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24226"/>
  <mc:AlternateContent xmlns:mc="http://schemas.openxmlformats.org/markup-compatibility/2006">
    <mc:Choice Requires="x15">
      <x15ac:absPath xmlns:x15ac="http://schemas.microsoft.com/office/spreadsheetml/2010/11/ac" url="N:\Finance\OEB\Rate Applications\2024 Cost of Service\OEB Models\Version 1 (11-14-22)\Submission\"/>
    </mc:Choice>
  </mc:AlternateContent>
  <xr:revisionPtr revIDLastSave="0" documentId="13_ncr:1_{4E60DA4E-8A08-4BEA-B753-CE7B8173DD91}" xr6:coauthVersionLast="47" xr6:coauthVersionMax="47" xr10:uidLastSave="{00000000-0000-0000-0000-000000000000}"/>
  <workbookProtection workbookAlgorithmName="SHA-512" workbookHashValue="Z5sBmgpJ3AcY4Lm4fJ6fiagkwgQknSyQa2iieAAlUR87mcLDo/R0e21FIwcOMGaU5EW19rblGs44dZCM3vLg5A==" workbookSaltValue="f0plSjnKXlDvbs0t0Yw6VQ==" workbookSpinCount="100000" lockStructure="1"/>
  <bookViews>
    <workbookView xWindow="-120" yWindow="-120" windowWidth="29040" windowHeight="15840" tabRatio="791" xr2:uid="{00000000-000D-0000-FFFF-FFFF00000000}"/>
  </bookViews>
  <sheets>
    <sheet name="1. Assumptions" sheetId="45" r:id="rId1"/>
    <sheet name="2. Customer Classes" sheetId="44" r:id="rId2"/>
    <sheet name="3. Consumption by Rate Class" sheetId="30" r:id="rId3"/>
    <sheet name="4. Customer Growth" sheetId="6" r:id="rId4"/>
    <sheet name="5.Variables" sheetId="52" r:id="rId5"/>
    <sheet name="6. WS Regression Analysis" sheetId="4" r:id="rId6"/>
    <sheet name="7. Weather Senstive Class" sheetId="29" r:id="rId7"/>
    <sheet name="8. KW and Non-Weather Sensitive" sheetId="46" r:id="rId8"/>
    <sheet name="9. Weather Adj LF" sheetId="32" r:id="rId9"/>
    <sheet name="10. CDM Adjustment" sheetId="42" state="hidden" r:id="rId10"/>
    <sheet name="10.1 CDM Allocation" sheetId="53" state="hidden" r:id="rId11"/>
    <sheet name="10.2 CDM Allocation %" sheetId="61" state="hidden" r:id="rId12"/>
    <sheet name="10. Final Load Forecast" sheetId="51" r:id="rId13"/>
    <sheet name="12. Load Forecast by Month" sheetId="62" state="hidden" r:id="rId14"/>
    <sheet name="12b. Monthly kW Forecast" sheetId="63" state="hidden" r:id="rId15"/>
    <sheet name="12c. Monthly Customer Forecast" sheetId="64" state="hidden" r:id="rId16"/>
    <sheet name="13. Budget Input" sheetId="67" state="hidden" r:id="rId17"/>
    <sheet name="14. Transformer Allowance" sheetId="68" state="hidden" r:id="rId18"/>
    <sheet name="SQL Data kWh" sheetId="69" state="hidden" r:id="rId19"/>
    <sheet name="Query Results" sheetId="74" state="hidden" r:id="rId20"/>
    <sheet name="Query Results (2)" sheetId="75" state="hidden" r:id="rId21"/>
    <sheet name="Hotel kW" sheetId="73" state="hidden" r:id="rId22"/>
    <sheet name="Harris Data kW" sheetId="72" state="hidden" r:id="rId23"/>
    <sheet name="Customer Counts" sheetId="70" state="hidden" r:id="rId24"/>
  </sheets>
  <definedNames>
    <definedName name="_xlnm.Print_Area" localSheetId="15">'12c. Monthly Customer Forecast'!$A$1:$S$51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52" l="1"/>
  <c r="C12" i="4"/>
  <c r="P56" i="63" l="1"/>
  <c r="P55" i="63"/>
  <c r="P32" i="63"/>
  <c r="O23" i="46"/>
  <c r="M18" i="63"/>
  <c r="L18" i="63"/>
  <c r="K18" i="63"/>
  <c r="J18" i="63"/>
  <c r="I18" i="63"/>
  <c r="H18" i="63"/>
  <c r="G18" i="63"/>
  <c r="F18" i="63"/>
  <c r="E18" i="63"/>
  <c r="D18" i="63"/>
  <c r="C18" i="63"/>
  <c r="B18" i="63"/>
  <c r="M17" i="63"/>
  <c r="L17" i="63"/>
  <c r="K17" i="63"/>
  <c r="J17" i="63"/>
  <c r="I17" i="63"/>
  <c r="H17" i="63"/>
  <c r="G17" i="63"/>
  <c r="F17" i="63"/>
  <c r="E17" i="63"/>
  <c r="D17" i="63"/>
  <c r="C17" i="63"/>
  <c r="M16" i="63" l="1"/>
  <c r="L16" i="63"/>
  <c r="K16" i="63"/>
  <c r="J16" i="63"/>
  <c r="I16" i="63"/>
  <c r="H16" i="63"/>
  <c r="G16" i="63"/>
  <c r="F16" i="63"/>
  <c r="E16" i="63"/>
  <c r="D16" i="63"/>
  <c r="C16" i="63"/>
  <c r="B17" i="63"/>
  <c r="B16" i="63"/>
  <c r="P90" i="62"/>
  <c r="H58" i="62"/>
  <c r="M58" i="62" s="1"/>
  <c r="P58" i="62"/>
  <c r="M24" i="62"/>
  <c r="L24" i="62"/>
  <c r="K24" i="62"/>
  <c r="J24" i="62"/>
  <c r="I24" i="62"/>
  <c r="M23" i="62"/>
  <c r="L23" i="62"/>
  <c r="K23" i="62"/>
  <c r="J23" i="62"/>
  <c r="I23" i="62"/>
  <c r="M22" i="62"/>
  <c r="L22" i="62"/>
  <c r="K22" i="62"/>
  <c r="J22" i="62"/>
  <c r="I22" i="62"/>
  <c r="M21" i="62"/>
  <c r="L21" i="62"/>
  <c r="K21" i="62"/>
  <c r="J21" i="62"/>
  <c r="I21" i="62"/>
  <c r="M20" i="62"/>
  <c r="L20" i="62"/>
  <c r="K20" i="62"/>
  <c r="J20" i="62"/>
  <c r="I20" i="62"/>
  <c r="M19" i="62"/>
  <c r="L19" i="62"/>
  <c r="K19" i="62"/>
  <c r="J19" i="62"/>
  <c r="I19" i="62"/>
  <c r="H24" i="62"/>
  <c r="H23" i="62"/>
  <c r="H22" i="62"/>
  <c r="H21" i="62"/>
  <c r="H20" i="62"/>
  <c r="H19" i="62"/>
  <c r="G24" i="62"/>
  <c r="G23" i="62"/>
  <c r="G22" i="62"/>
  <c r="G21" i="62"/>
  <c r="G20" i="62"/>
  <c r="G19" i="62"/>
  <c r="F24" i="62"/>
  <c r="F23" i="62"/>
  <c r="F22" i="62"/>
  <c r="F21" i="62"/>
  <c r="F20" i="62"/>
  <c r="F19" i="62"/>
  <c r="E24" i="62"/>
  <c r="E23" i="62"/>
  <c r="E22" i="62"/>
  <c r="E21" i="62"/>
  <c r="E20" i="62"/>
  <c r="E19" i="62"/>
  <c r="D24" i="62"/>
  <c r="D23" i="62"/>
  <c r="D22" i="62"/>
  <c r="D21" i="62"/>
  <c r="D20" i="62"/>
  <c r="D19" i="62"/>
  <c r="C24" i="62"/>
  <c r="C23" i="62"/>
  <c r="C22" i="62"/>
  <c r="C21" i="62"/>
  <c r="C20" i="62"/>
  <c r="C19" i="62"/>
  <c r="B24" i="62"/>
  <c r="N24" i="62" s="1"/>
  <c r="B23" i="62"/>
  <c r="B22" i="62"/>
  <c r="B21" i="62"/>
  <c r="B20" i="62"/>
  <c r="B19" i="62"/>
  <c r="A3" i="32"/>
  <c r="A1" i="32"/>
  <c r="I58" i="62" l="1"/>
  <c r="J58" i="62"/>
  <c r="K58" i="62"/>
  <c r="L58" i="62"/>
  <c r="A3" i="4" l="1"/>
  <c r="A1" i="4"/>
  <c r="A3" i="45"/>
  <c r="A1" i="52"/>
  <c r="AL73" i="69" l="1"/>
  <c r="AK73" i="69"/>
  <c r="AI73" i="69"/>
  <c r="AH73" i="69"/>
  <c r="AG73" i="69"/>
  <c r="AN73" i="69" s="1"/>
  <c r="AF73" i="69"/>
  <c r="AE73" i="69"/>
  <c r="AD73" i="69"/>
  <c r="AC73" i="69"/>
  <c r="D33" i="74" l="1"/>
  <c r="D34" i="74"/>
  <c r="D35" i="74"/>
  <c r="D36" i="74"/>
  <c r="D37" i="74"/>
  <c r="D38" i="74"/>
  <c r="D40" i="74"/>
  <c r="D41" i="74"/>
  <c r="D42" i="74"/>
  <c r="D43" i="74"/>
  <c r="D44" i="74"/>
  <c r="AA28" i="74"/>
  <c r="AA27" i="74"/>
  <c r="AA16" i="74"/>
  <c r="AA15" i="74"/>
  <c r="AA14" i="74"/>
  <c r="AA13" i="74"/>
  <c r="AA12" i="74"/>
  <c r="AA11" i="74"/>
  <c r="AA10" i="74"/>
  <c r="AA9" i="74"/>
  <c r="AA8" i="74"/>
  <c r="AA7" i="74"/>
  <c r="AA6" i="74"/>
  <c r="AA5" i="74"/>
  <c r="O57" i="74"/>
  <c r="P57" i="74"/>
  <c r="Q57" i="74"/>
  <c r="R57" i="74"/>
  <c r="S57" i="74"/>
  <c r="T57" i="74"/>
  <c r="U57" i="74"/>
  <c r="V57" i="74"/>
  <c r="W57" i="74"/>
  <c r="X57" i="74"/>
  <c r="Y57" i="74"/>
  <c r="O58" i="74"/>
  <c r="P58" i="74"/>
  <c r="Q58" i="74"/>
  <c r="R58" i="74"/>
  <c r="S58" i="74"/>
  <c r="T58" i="74"/>
  <c r="U58" i="74"/>
  <c r="V58" i="74"/>
  <c r="W58" i="74"/>
  <c r="X58" i="74"/>
  <c r="Y58" i="74"/>
  <c r="O59" i="74"/>
  <c r="P59" i="74"/>
  <c r="Q59" i="74"/>
  <c r="R59" i="74"/>
  <c r="S59" i="74"/>
  <c r="T59" i="74"/>
  <c r="U59" i="74"/>
  <c r="V59" i="74"/>
  <c r="W59" i="74"/>
  <c r="X59" i="74"/>
  <c r="Y59" i="74"/>
  <c r="O60" i="74"/>
  <c r="P60" i="74"/>
  <c r="Q60" i="74"/>
  <c r="R60" i="74"/>
  <c r="S60" i="74"/>
  <c r="T60" i="74"/>
  <c r="U60" i="74"/>
  <c r="V60" i="74"/>
  <c r="W60" i="74"/>
  <c r="X60" i="74"/>
  <c r="Y60" i="74"/>
  <c r="O61" i="74"/>
  <c r="P61" i="74"/>
  <c r="Q61" i="74"/>
  <c r="R61" i="74"/>
  <c r="S61" i="74"/>
  <c r="T61" i="74"/>
  <c r="U61" i="74"/>
  <c r="V61" i="74"/>
  <c r="W61" i="74"/>
  <c r="X61" i="74"/>
  <c r="Y61" i="74"/>
  <c r="O62" i="74"/>
  <c r="P62" i="74"/>
  <c r="Q62" i="74"/>
  <c r="R62" i="74"/>
  <c r="S62" i="74"/>
  <c r="T62" i="74"/>
  <c r="U62" i="74"/>
  <c r="V62" i="74"/>
  <c r="W62" i="74"/>
  <c r="X62" i="74"/>
  <c r="Y62" i="74"/>
  <c r="N58" i="74"/>
  <c r="L78" i="75" l="1"/>
  <c r="N77" i="75"/>
  <c r="N76" i="75"/>
  <c r="L76" i="75"/>
  <c r="K75" i="75"/>
  <c r="F74" i="75"/>
  <c r="Y62" i="75"/>
  <c r="X62" i="75"/>
  <c r="W62" i="75"/>
  <c r="V62" i="75"/>
  <c r="V78" i="75" s="1"/>
  <c r="U62" i="75"/>
  <c r="U78" i="75" s="1"/>
  <c r="T62" i="75"/>
  <c r="T78" i="75" s="1"/>
  <c r="S62" i="75"/>
  <c r="S78" i="75" s="1"/>
  <c r="R62" i="75"/>
  <c r="R78" i="75" s="1"/>
  <c r="Q62" i="75"/>
  <c r="Q78" i="75" s="1"/>
  <c r="P62" i="75"/>
  <c r="P78" i="75" s="1"/>
  <c r="O62" i="75"/>
  <c r="O78" i="75" s="1"/>
  <c r="N62" i="75"/>
  <c r="N78" i="75" s="1"/>
  <c r="M62" i="75"/>
  <c r="M78" i="75" s="1"/>
  <c r="L62" i="75"/>
  <c r="K62" i="75"/>
  <c r="K78" i="75" s="1"/>
  <c r="J62" i="75"/>
  <c r="J78" i="75" s="1"/>
  <c r="I62" i="75"/>
  <c r="I78" i="75" s="1"/>
  <c r="H62" i="75"/>
  <c r="H78" i="75" s="1"/>
  <c r="G62" i="75"/>
  <c r="G78" i="75" s="1"/>
  <c r="F62" i="75"/>
  <c r="F78" i="75" s="1"/>
  <c r="E62" i="75"/>
  <c r="E78" i="75" s="1"/>
  <c r="D62" i="75"/>
  <c r="D78" i="75" s="1"/>
  <c r="C62" i="75"/>
  <c r="C78" i="75" s="1"/>
  <c r="B62" i="75"/>
  <c r="B78" i="75" s="1"/>
  <c r="Y61" i="75"/>
  <c r="X61" i="75"/>
  <c r="W61" i="75"/>
  <c r="V61" i="75"/>
  <c r="V77" i="75" s="1"/>
  <c r="U61" i="75"/>
  <c r="U77" i="75" s="1"/>
  <c r="T61" i="75"/>
  <c r="T77" i="75" s="1"/>
  <c r="S61" i="75"/>
  <c r="S77" i="75" s="1"/>
  <c r="R61" i="75"/>
  <c r="R77" i="75" s="1"/>
  <c r="Q61" i="75"/>
  <c r="Q77" i="75" s="1"/>
  <c r="P61" i="75"/>
  <c r="P77" i="75" s="1"/>
  <c r="O61" i="75"/>
  <c r="O77" i="75" s="1"/>
  <c r="N61" i="75"/>
  <c r="M61" i="75"/>
  <c r="M77" i="75" s="1"/>
  <c r="L61" i="75"/>
  <c r="L77" i="75" s="1"/>
  <c r="K61" i="75"/>
  <c r="K77" i="75" s="1"/>
  <c r="J61" i="75"/>
  <c r="J77" i="75" s="1"/>
  <c r="I61" i="75"/>
  <c r="I77" i="75" s="1"/>
  <c r="H61" i="75"/>
  <c r="H77" i="75" s="1"/>
  <c r="G61" i="75"/>
  <c r="G77" i="75" s="1"/>
  <c r="F61" i="75"/>
  <c r="F77" i="75" s="1"/>
  <c r="E61" i="75"/>
  <c r="E77" i="75" s="1"/>
  <c r="D61" i="75"/>
  <c r="D77" i="75" s="1"/>
  <c r="C61" i="75"/>
  <c r="C77" i="75" s="1"/>
  <c r="B61" i="75"/>
  <c r="B77" i="75" s="1"/>
  <c r="Y60" i="75"/>
  <c r="X60" i="75"/>
  <c r="W60" i="75"/>
  <c r="V60" i="75"/>
  <c r="V76" i="75" s="1"/>
  <c r="U60" i="75"/>
  <c r="U76" i="75" s="1"/>
  <c r="T60" i="75"/>
  <c r="T76" i="75" s="1"/>
  <c r="S60" i="75"/>
  <c r="S76" i="75" s="1"/>
  <c r="R60" i="75"/>
  <c r="R76" i="75" s="1"/>
  <c r="Q60" i="75"/>
  <c r="Q76" i="75" s="1"/>
  <c r="P60" i="75"/>
  <c r="P76" i="75" s="1"/>
  <c r="O60" i="75"/>
  <c r="O76" i="75" s="1"/>
  <c r="N60" i="75"/>
  <c r="M60" i="75"/>
  <c r="M76" i="75" s="1"/>
  <c r="L60" i="75"/>
  <c r="K60" i="75"/>
  <c r="K76" i="75" s="1"/>
  <c r="J60" i="75"/>
  <c r="J76" i="75" s="1"/>
  <c r="I60" i="75"/>
  <c r="I76" i="75" s="1"/>
  <c r="H60" i="75"/>
  <c r="H76" i="75" s="1"/>
  <c r="G60" i="75"/>
  <c r="G76" i="75" s="1"/>
  <c r="F60" i="75"/>
  <c r="F76" i="75" s="1"/>
  <c r="E60" i="75"/>
  <c r="E76" i="75" s="1"/>
  <c r="D60" i="75"/>
  <c r="D76" i="75" s="1"/>
  <c r="C60" i="75"/>
  <c r="C76" i="75" s="1"/>
  <c r="B60" i="75"/>
  <c r="B76" i="75" s="1"/>
  <c r="Y59" i="75"/>
  <c r="X59" i="75"/>
  <c r="W59" i="75"/>
  <c r="V59" i="75"/>
  <c r="V75" i="75" s="1"/>
  <c r="U59" i="75"/>
  <c r="U75" i="75" s="1"/>
  <c r="T59" i="75"/>
  <c r="T75" i="75" s="1"/>
  <c r="S59" i="75"/>
  <c r="S75" i="75" s="1"/>
  <c r="R59" i="75"/>
  <c r="R75" i="75" s="1"/>
  <c r="Q59" i="75"/>
  <c r="Q75" i="75" s="1"/>
  <c r="P59" i="75"/>
  <c r="P75" i="75" s="1"/>
  <c r="O59" i="75"/>
  <c r="O75" i="75" s="1"/>
  <c r="N59" i="75"/>
  <c r="N75" i="75" s="1"/>
  <c r="M59" i="75"/>
  <c r="M75" i="75" s="1"/>
  <c r="L59" i="75"/>
  <c r="L75" i="75" s="1"/>
  <c r="K59" i="75"/>
  <c r="J59" i="75"/>
  <c r="J75" i="75" s="1"/>
  <c r="I59" i="75"/>
  <c r="I75" i="75" s="1"/>
  <c r="H59" i="75"/>
  <c r="H75" i="75" s="1"/>
  <c r="G59" i="75"/>
  <c r="G75" i="75" s="1"/>
  <c r="F59" i="75"/>
  <c r="F75" i="75" s="1"/>
  <c r="E59" i="75"/>
  <c r="E75" i="75" s="1"/>
  <c r="D59" i="75"/>
  <c r="D75" i="75" s="1"/>
  <c r="C59" i="75"/>
  <c r="C75" i="75" s="1"/>
  <c r="B59" i="75"/>
  <c r="B75" i="75" s="1"/>
  <c r="Y58" i="75"/>
  <c r="X58" i="75"/>
  <c r="W58" i="75"/>
  <c r="V58" i="75"/>
  <c r="V74" i="75" s="1"/>
  <c r="U58" i="75"/>
  <c r="U74" i="75" s="1"/>
  <c r="T58" i="75"/>
  <c r="T74" i="75" s="1"/>
  <c r="S58" i="75"/>
  <c r="S74" i="75" s="1"/>
  <c r="R58" i="75"/>
  <c r="R74" i="75" s="1"/>
  <c r="Q58" i="75"/>
  <c r="Q74" i="75" s="1"/>
  <c r="P58" i="75"/>
  <c r="P74" i="75" s="1"/>
  <c r="O58" i="75"/>
  <c r="O74" i="75" s="1"/>
  <c r="N58" i="75"/>
  <c r="N74" i="75" s="1"/>
  <c r="M58" i="75"/>
  <c r="M74" i="75" s="1"/>
  <c r="L58" i="75"/>
  <c r="L74" i="75" s="1"/>
  <c r="K58" i="75"/>
  <c r="K74" i="75" s="1"/>
  <c r="J58" i="75"/>
  <c r="J74" i="75" s="1"/>
  <c r="I58" i="75"/>
  <c r="I74" i="75" s="1"/>
  <c r="H58" i="75"/>
  <c r="H74" i="75" s="1"/>
  <c r="G58" i="75"/>
  <c r="G74" i="75" s="1"/>
  <c r="F58" i="75"/>
  <c r="E58" i="75"/>
  <c r="E74" i="75" s="1"/>
  <c r="D58" i="75"/>
  <c r="D74" i="75" s="1"/>
  <c r="C58" i="75"/>
  <c r="C74" i="75" s="1"/>
  <c r="B58" i="75"/>
  <c r="B74" i="75" s="1"/>
  <c r="Y57" i="75"/>
  <c r="X57" i="75"/>
  <c r="W57" i="75"/>
  <c r="V57" i="75"/>
  <c r="V73" i="75" s="1"/>
  <c r="U57" i="75"/>
  <c r="U73" i="75" s="1"/>
  <c r="U79" i="75" s="1"/>
  <c r="T57" i="75"/>
  <c r="T73" i="75" s="1"/>
  <c r="S57" i="75"/>
  <c r="S73" i="75" s="1"/>
  <c r="R57" i="75"/>
  <c r="R73" i="75" s="1"/>
  <c r="R79" i="75" s="1"/>
  <c r="Q57" i="75"/>
  <c r="Q73" i="75" s="1"/>
  <c r="P57" i="75"/>
  <c r="P73" i="75" s="1"/>
  <c r="O57" i="75"/>
  <c r="O73" i="75" s="1"/>
  <c r="N57" i="75"/>
  <c r="N73" i="75" s="1"/>
  <c r="M57" i="75"/>
  <c r="M73" i="75" s="1"/>
  <c r="M79" i="75" s="1"/>
  <c r="L57" i="75"/>
  <c r="L73" i="75" s="1"/>
  <c r="K57" i="75"/>
  <c r="K73" i="75" s="1"/>
  <c r="J57" i="75"/>
  <c r="J73" i="75" s="1"/>
  <c r="I57" i="75"/>
  <c r="I73" i="75" s="1"/>
  <c r="H57" i="75"/>
  <c r="H73" i="75" s="1"/>
  <c r="G57" i="75"/>
  <c r="G73" i="75" s="1"/>
  <c r="F57" i="75"/>
  <c r="F73" i="75" s="1"/>
  <c r="E57" i="75"/>
  <c r="E73" i="75" s="1"/>
  <c r="E79" i="75" s="1"/>
  <c r="D57" i="75"/>
  <c r="D73" i="75" s="1"/>
  <c r="C57" i="75"/>
  <c r="C73" i="75" s="1"/>
  <c r="B57" i="75"/>
  <c r="B73" i="75" s="1"/>
  <c r="B79" i="75" s="1"/>
  <c r="Y44" i="75"/>
  <c r="X44" i="75"/>
  <c r="W44" i="75"/>
  <c r="V44" i="75"/>
  <c r="U44" i="75"/>
  <c r="T44" i="75"/>
  <c r="S44" i="75"/>
  <c r="R44" i="75"/>
  <c r="Q44" i="75"/>
  <c r="P44" i="75"/>
  <c r="O44" i="75"/>
  <c r="N44" i="75"/>
  <c r="M44" i="75"/>
  <c r="L44" i="75"/>
  <c r="K44" i="75"/>
  <c r="J44" i="75"/>
  <c r="I44" i="75"/>
  <c r="H44" i="75"/>
  <c r="G44" i="75"/>
  <c r="F44" i="75"/>
  <c r="E44" i="75"/>
  <c r="D44" i="75"/>
  <c r="C44" i="75"/>
  <c r="B44" i="75"/>
  <c r="Y43" i="75"/>
  <c r="X43" i="75"/>
  <c r="W43" i="75"/>
  <c r="V43" i="75"/>
  <c r="U43" i="75"/>
  <c r="T43" i="75"/>
  <c r="S43" i="75"/>
  <c r="R43" i="75"/>
  <c r="Q43" i="75"/>
  <c r="P43" i="75"/>
  <c r="O43" i="75"/>
  <c r="N43" i="75"/>
  <c r="M43" i="75"/>
  <c r="L43" i="75"/>
  <c r="K43" i="75"/>
  <c r="J43" i="75"/>
  <c r="I43" i="75"/>
  <c r="H43" i="75"/>
  <c r="G43" i="75"/>
  <c r="F43" i="75"/>
  <c r="E43" i="75"/>
  <c r="D43" i="75"/>
  <c r="C43" i="75"/>
  <c r="B43" i="75"/>
  <c r="Y42" i="75"/>
  <c r="X42" i="75"/>
  <c r="W42" i="75"/>
  <c r="V42" i="75"/>
  <c r="U42" i="75"/>
  <c r="T42" i="75"/>
  <c r="S42" i="75"/>
  <c r="R42" i="75"/>
  <c r="Q42" i="75"/>
  <c r="P42" i="75"/>
  <c r="O42" i="75"/>
  <c r="N42" i="75"/>
  <c r="M42" i="75"/>
  <c r="L42" i="75"/>
  <c r="K42" i="75"/>
  <c r="J42" i="75"/>
  <c r="I42" i="75"/>
  <c r="H42" i="75"/>
  <c r="G42" i="75"/>
  <c r="F42" i="75"/>
  <c r="E42" i="75"/>
  <c r="D42" i="75"/>
  <c r="C42" i="75"/>
  <c r="B42" i="75"/>
  <c r="Y41" i="75"/>
  <c r="X41" i="75"/>
  <c r="W41" i="75"/>
  <c r="V41" i="75"/>
  <c r="U41" i="75"/>
  <c r="T41" i="75"/>
  <c r="S41" i="75"/>
  <c r="R41" i="75"/>
  <c r="Q41" i="75"/>
  <c r="P41" i="75"/>
  <c r="O41" i="75"/>
  <c r="N41" i="75"/>
  <c r="M41" i="75"/>
  <c r="L41" i="75"/>
  <c r="K41" i="75"/>
  <c r="J41" i="75"/>
  <c r="I41" i="75"/>
  <c r="H41" i="75"/>
  <c r="G41" i="75"/>
  <c r="F41" i="75"/>
  <c r="E41" i="75"/>
  <c r="D41" i="75"/>
  <c r="C41" i="75"/>
  <c r="B41" i="75"/>
  <c r="Y40" i="75"/>
  <c r="X40" i="75"/>
  <c r="W40" i="75"/>
  <c r="V40" i="75"/>
  <c r="U40" i="75"/>
  <c r="T40" i="75"/>
  <c r="S40" i="75"/>
  <c r="R40" i="75"/>
  <c r="Q40" i="75"/>
  <c r="P40" i="75"/>
  <c r="O40" i="75"/>
  <c r="N40" i="75"/>
  <c r="M40" i="75"/>
  <c r="L40" i="75"/>
  <c r="K40" i="75"/>
  <c r="J40" i="75"/>
  <c r="I40" i="75"/>
  <c r="H40" i="75"/>
  <c r="G40" i="75"/>
  <c r="F40" i="75"/>
  <c r="E40" i="75"/>
  <c r="D40" i="75"/>
  <c r="C40" i="75"/>
  <c r="B40" i="75"/>
  <c r="Y39" i="75"/>
  <c r="X39" i="75"/>
  <c r="W39" i="75"/>
  <c r="V39" i="75"/>
  <c r="U39" i="75"/>
  <c r="T39" i="75"/>
  <c r="S39" i="75"/>
  <c r="R39" i="75"/>
  <c r="Q39" i="75"/>
  <c r="P39" i="75"/>
  <c r="O39" i="75"/>
  <c r="N39" i="75"/>
  <c r="M39" i="75"/>
  <c r="L39" i="75"/>
  <c r="K39" i="75"/>
  <c r="J39" i="75"/>
  <c r="I39" i="75"/>
  <c r="H39" i="75"/>
  <c r="G39" i="75"/>
  <c r="F39" i="75"/>
  <c r="E39" i="75"/>
  <c r="D39" i="75"/>
  <c r="C39" i="75"/>
  <c r="B39" i="75"/>
  <c r="Y38" i="75"/>
  <c r="X38" i="75"/>
  <c r="W38" i="75"/>
  <c r="V38" i="75"/>
  <c r="U38" i="75"/>
  <c r="T38" i="75"/>
  <c r="S38" i="75"/>
  <c r="R38" i="75"/>
  <c r="Q38" i="75"/>
  <c r="P38" i="75"/>
  <c r="O38" i="75"/>
  <c r="N38" i="75"/>
  <c r="M38" i="75"/>
  <c r="L38" i="75"/>
  <c r="K38" i="75"/>
  <c r="J38" i="75"/>
  <c r="I38" i="75"/>
  <c r="H38" i="75"/>
  <c r="G38" i="75"/>
  <c r="F38" i="75"/>
  <c r="E38" i="75"/>
  <c r="D38" i="75"/>
  <c r="C38" i="75"/>
  <c r="B38" i="75"/>
  <c r="Y37" i="75"/>
  <c r="X37" i="75"/>
  <c r="W37" i="75"/>
  <c r="V37" i="75"/>
  <c r="U37" i="75"/>
  <c r="T37" i="75"/>
  <c r="S37" i="75"/>
  <c r="R37" i="75"/>
  <c r="Q37" i="75"/>
  <c r="P37" i="75"/>
  <c r="O37" i="75"/>
  <c r="N37" i="75"/>
  <c r="M37" i="75"/>
  <c r="L37" i="75"/>
  <c r="K37" i="75"/>
  <c r="J37" i="75"/>
  <c r="I37" i="75"/>
  <c r="H37" i="75"/>
  <c r="G37" i="75"/>
  <c r="F37" i="75"/>
  <c r="E37" i="75"/>
  <c r="D37" i="75"/>
  <c r="C37" i="75"/>
  <c r="B37" i="75"/>
  <c r="Y36" i="75"/>
  <c r="X36" i="75"/>
  <c r="W36" i="75"/>
  <c r="V36" i="75"/>
  <c r="U36" i="75"/>
  <c r="T36" i="75"/>
  <c r="S36" i="75"/>
  <c r="R36" i="75"/>
  <c r="Q36" i="75"/>
  <c r="P36" i="75"/>
  <c r="O36" i="75"/>
  <c r="N36" i="75"/>
  <c r="M36" i="75"/>
  <c r="L36" i="75"/>
  <c r="K36" i="75"/>
  <c r="J36" i="75"/>
  <c r="I36" i="75"/>
  <c r="H36" i="75"/>
  <c r="G36" i="75"/>
  <c r="F36" i="75"/>
  <c r="E36" i="75"/>
  <c r="D36" i="75"/>
  <c r="C36" i="75"/>
  <c r="B36" i="75"/>
  <c r="Y35" i="75"/>
  <c r="X35" i="75"/>
  <c r="W35" i="75"/>
  <c r="V35" i="75"/>
  <c r="U35" i="75"/>
  <c r="T35" i="75"/>
  <c r="S35" i="75"/>
  <c r="R35" i="75"/>
  <c r="Q35" i="75"/>
  <c r="P35" i="75"/>
  <c r="O35" i="75"/>
  <c r="N35" i="75"/>
  <c r="M35" i="75"/>
  <c r="L35" i="75"/>
  <c r="K35" i="75"/>
  <c r="J35" i="75"/>
  <c r="I35" i="75"/>
  <c r="H35" i="75"/>
  <c r="G35" i="75"/>
  <c r="F35" i="75"/>
  <c r="E35" i="75"/>
  <c r="D35" i="75"/>
  <c r="C35" i="75"/>
  <c r="B35" i="75"/>
  <c r="Y34" i="75"/>
  <c r="X34" i="75"/>
  <c r="W34" i="75"/>
  <c r="V34" i="75"/>
  <c r="U34" i="75"/>
  <c r="T34" i="75"/>
  <c r="S34" i="75"/>
  <c r="R34" i="75"/>
  <c r="Q34" i="75"/>
  <c r="P34" i="75"/>
  <c r="O34" i="75"/>
  <c r="N34" i="75"/>
  <c r="M34" i="75"/>
  <c r="L34" i="75"/>
  <c r="K34" i="75"/>
  <c r="J34" i="75"/>
  <c r="I34" i="75"/>
  <c r="H34" i="75"/>
  <c r="G34" i="75"/>
  <c r="F34" i="75"/>
  <c r="E34" i="75"/>
  <c r="D34" i="75"/>
  <c r="C34" i="75"/>
  <c r="B34" i="75"/>
  <c r="Y33" i="75"/>
  <c r="X33" i="75"/>
  <c r="W33" i="75"/>
  <c r="V33" i="75"/>
  <c r="U33" i="75"/>
  <c r="T33" i="75"/>
  <c r="S33" i="75"/>
  <c r="R33" i="75"/>
  <c r="Q33" i="75"/>
  <c r="P33" i="75"/>
  <c r="O33" i="75"/>
  <c r="N33" i="75"/>
  <c r="M33" i="75"/>
  <c r="L33" i="75"/>
  <c r="K33" i="75"/>
  <c r="J33" i="75"/>
  <c r="I33" i="75"/>
  <c r="H33" i="75"/>
  <c r="G33" i="75"/>
  <c r="F33" i="75"/>
  <c r="E33" i="75"/>
  <c r="D33" i="75"/>
  <c r="C33" i="75"/>
  <c r="B33" i="75"/>
  <c r="J79" i="75" l="1"/>
  <c r="C79" i="75"/>
  <c r="K79" i="75"/>
  <c r="S79" i="75"/>
  <c r="D79" i="75"/>
  <c r="L79" i="75"/>
  <c r="T79" i="75"/>
  <c r="Q79" i="75"/>
  <c r="I79" i="75"/>
  <c r="F79" i="75"/>
  <c r="N79" i="75"/>
  <c r="V79" i="75"/>
  <c r="G79" i="75"/>
  <c r="O79" i="75"/>
  <c r="H79" i="75"/>
  <c r="P79" i="75"/>
  <c r="AI80" i="69"/>
  <c r="AI81" i="69"/>
  <c r="AI82" i="69"/>
  <c r="AI83" i="69"/>
  <c r="AI84" i="69"/>
  <c r="AI85" i="69"/>
  <c r="AI86" i="69"/>
  <c r="AI87" i="69"/>
  <c r="AI88" i="69"/>
  <c r="AI89" i="69"/>
  <c r="AI90" i="69"/>
  <c r="AI91" i="69"/>
  <c r="AI92" i="69"/>
  <c r="AI79" i="69"/>
  <c r="AH56" i="69"/>
  <c r="L5" i="69"/>
  <c r="L6" i="69"/>
  <c r="L7" i="69"/>
  <c r="L8" i="69"/>
  <c r="L9" i="69"/>
  <c r="L10" i="69"/>
  <c r="L11" i="69"/>
  <c r="L12" i="69"/>
  <c r="L13" i="69"/>
  <c r="L14" i="69"/>
  <c r="L15" i="69"/>
  <c r="L16" i="69"/>
  <c r="L17" i="69"/>
  <c r="L18" i="69"/>
  <c r="L19" i="69"/>
  <c r="L20" i="69"/>
  <c r="L21" i="69"/>
  <c r="L22" i="69"/>
  <c r="L23" i="69"/>
  <c r="L24" i="69"/>
  <c r="L25" i="69"/>
  <c r="L26" i="69"/>
  <c r="L27" i="69"/>
  <c r="L28" i="69"/>
  <c r="L29" i="69"/>
  <c r="L30" i="69"/>
  <c r="L31" i="69"/>
  <c r="L32" i="69"/>
  <c r="L33" i="69"/>
  <c r="L34" i="69"/>
  <c r="L35" i="69"/>
  <c r="L36" i="69"/>
  <c r="L37" i="69"/>
  <c r="L38" i="69"/>
  <c r="L39" i="69"/>
  <c r="L40" i="69"/>
  <c r="L41" i="69"/>
  <c r="L42" i="69"/>
  <c r="L43" i="69"/>
  <c r="L44" i="69"/>
  <c r="L45" i="69"/>
  <c r="L46" i="69"/>
  <c r="L47" i="69"/>
  <c r="L48" i="69"/>
  <c r="L49" i="69"/>
  <c r="L50" i="69"/>
  <c r="L51" i="69"/>
  <c r="L52" i="69"/>
  <c r="L53" i="69"/>
  <c r="L54" i="69"/>
  <c r="L55" i="69"/>
  <c r="L56" i="69"/>
  <c r="L57" i="69"/>
  <c r="L58" i="69"/>
  <c r="L59" i="69"/>
  <c r="L60" i="69"/>
  <c r="L61" i="69"/>
  <c r="L62" i="69"/>
  <c r="L63" i="69"/>
  <c r="L64" i="69"/>
  <c r="L65" i="69"/>
  <c r="L66" i="69"/>
  <c r="L67" i="69"/>
  <c r="L68" i="69"/>
  <c r="L69" i="69"/>
  <c r="L70" i="69"/>
  <c r="L71" i="69"/>
  <c r="L72" i="69"/>
  <c r="L73" i="69"/>
  <c r="L74" i="69"/>
  <c r="L75" i="69"/>
  <c r="L76" i="69"/>
  <c r="L77" i="69"/>
  <c r="L78" i="69"/>
  <c r="L79" i="69"/>
  <c r="L80" i="69"/>
  <c r="L81" i="69"/>
  <c r="L82" i="69"/>
  <c r="L83" i="69"/>
  <c r="L84" i="69"/>
  <c r="L85" i="69"/>
  <c r="L86" i="69"/>
  <c r="L87" i="69"/>
  <c r="D36" i="45" l="1"/>
  <c r="D23" i="45" s="1"/>
  <c r="C36" i="45"/>
  <c r="C23" i="45" s="1"/>
  <c r="C26" i="45" s="1"/>
  <c r="C20" i="45"/>
  <c r="D20" i="45" s="1"/>
  <c r="D26" i="45" s="1"/>
  <c r="L23" i="46"/>
  <c r="B13" i="45"/>
  <c r="N154" i="4" l="1"/>
  <c r="N153" i="4"/>
  <c r="M154" i="4"/>
  <c r="M153" i="4"/>
  <c r="U57" i="64" l="1"/>
  <c r="S57" i="64" s="1"/>
  <c r="U56" i="64"/>
  <c r="U45" i="64"/>
  <c r="S45" i="64" s="1"/>
  <c r="N53" i="64"/>
  <c r="M53" i="64"/>
  <c r="L53" i="64"/>
  <c r="K53" i="64"/>
  <c r="J53" i="64"/>
  <c r="I53" i="64"/>
  <c r="H53" i="64"/>
  <c r="G53" i="64"/>
  <c r="F53" i="64"/>
  <c r="E53" i="64"/>
  <c r="D53" i="64"/>
  <c r="C53" i="64"/>
  <c r="N41" i="64"/>
  <c r="D41" i="64"/>
  <c r="E41" i="64"/>
  <c r="F41" i="64"/>
  <c r="G41" i="64"/>
  <c r="H41" i="64"/>
  <c r="I41" i="64"/>
  <c r="J41" i="64"/>
  <c r="K41" i="64"/>
  <c r="L41" i="64"/>
  <c r="M41" i="64"/>
  <c r="C41" i="64"/>
  <c r="N7" i="64"/>
  <c r="M7" i="64"/>
  <c r="L7" i="64"/>
  <c r="K7" i="64"/>
  <c r="J7" i="64"/>
  <c r="I7" i="64"/>
  <c r="H7" i="64"/>
  <c r="G7" i="64"/>
  <c r="F7" i="64"/>
  <c r="E7" i="64"/>
  <c r="D7" i="64"/>
  <c r="C7" i="64"/>
  <c r="C8" i="64"/>
  <c r="C28" i="64" s="1"/>
  <c r="P139" i="30"/>
  <c r="P140" i="30"/>
  <c r="P141" i="30"/>
  <c r="X136" i="70"/>
  <c r="X135" i="70"/>
  <c r="G136" i="70"/>
  <c r="G135" i="70"/>
  <c r="N135" i="72" l="1"/>
  <c r="Q135" i="72"/>
  <c r="S135" i="72"/>
  <c r="S141" i="30" s="1"/>
  <c r="M135" i="72"/>
  <c r="T135" i="72" s="1"/>
  <c r="M141" i="30" s="1"/>
  <c r="N134" i="72"/>
  <c r="Q134" i="72"/>
  <c r="S134" i="72" s="1"/>
  <c r="S140" i="30" s="1"/>
  <c r="M134" i="72"/>
  <c r="T134" i="72" s="1"/>
  <c r="M140" i="30" s="1"/>
  <c r="N133" i="72"/>
  <c r="Q133" i="72"/>
  <c r="S133" i="72" s="1"/>
  <c r="S139" i="30" s="1"/>
  <c r="M133" i="72"/>
  <c r="U133" i="72" s="1"/>
  <c r="J139" i="30" s="1"/>
  <c r="U135" i="72" l="1"/>
  <c r="J141" i="30" s="1"/>
  <c r="U134" i="72"/>
  <c r="J140" i="30" s="1"/>
  <c r="T133" i="72"/>
  <c r="M139" i="30" s="1"/>
  <c r="U130" i="69"/>
  <c r="U129" i="69"/>
  <c r="U128" i="69"/>
  <c r="U127" i="69"/>
  <c r="U126" i="69"/>
  <c r="U125" i="69"/>
  <c r="U124" i="69"/>
  <c r="U123" i="69"/>
  <c r="U122" i="69"/>
  <c r="U121" i="69"/>
  <c r="U120" i="69"/>
  <c r="U119" i="69"/>
  <c r="U118" i="69"/>
  <c r="U117" i="69"/>
  <c r="U116" i="69"/>
  <c r="U115" i="69"/>
  <c r="U114" i="69"/>
  <c r="U113" i="69"/>
  <c r="T136" i="69"/>
  <c r="T135" i="69"/>
  <c r="T134" i="69"/>
  <c r="T133" i="69"/>
  <c r="T132" i="69"/>
  <c r="T131" i="69"/>
  <c r="S136" i="69"/>
  <c r="S135" i="69"/>
  <c r="S134" i="69"/>
  <c r="S133" i="69"/>
  <c r="S132" i="69"/>
  <c r="S131" i="69"/>
  <c r="R136" i="69"/>
  <c r="R135" i="69"/>
  <c r="R134" i="69"/>
  <c r="R133" i="69"/>
  <c r="R132" i="69"/>
  <c r="R131" i="69"/>
  <c r="Q136" i="69"/>
  <c r="Q135" i="69"/>
  <c r="Q134" i="69"/>
  <c r="Q133" i="69"/>
  <c r="Q132" i="69"/>
  <c r="Q131" i="69"/>
  <c r="O136" i="69"/>
  <c r="O135" i="69"/>
  <c r="O134" i="69"/>
  <c r="O133" i="69"/>
  <c r="O132" i="69"/>
  <c r="O131" i="69"/>
  <c r="O130" i="69"/>
  <c r="O129" i="69"/>
  <c r="O128" i="69"/>
  <c r="O127" i="69"/>
  <c r="O126" i="69"/>
  <c r="O125" i="69"/>
  <c r="O124" i="69"/>
  <c r="O123" i="69"/>
  <c r="O122" i="69"/>
  <c r="O121" i="69"/>
  <c r="O120" i="69"/>
  <c r="O119" i="69"/>
  <c r="O118" i="69"/>
  <c r="O117" i="69"/>
  <c r="O116" i="69"/>
  <c r="O115" i="69"/>
  <c r="O114" i="69"/>
  <c r="O113" i="69"/>
  <c r="N136" i="69"/>
  <c r="N135" i="69"/>
  <c r="N134" i="69"/>
  <c r="N133" i="69"/>
  <c r="N132" i="69"/>
  <c r="N131" i="69"/>
  <c r="N130" i="69"/>
  <c r="N129" i="69"/>
  <c r="N128" i="69"/>
  <c r="N127" i="69"/>
  <c r="N126" i="69"/>
  <c r="N125" i="69"/>
  <c r="N124" i="69"/>
  <c r="N123" i="69"/>
  <c r="N122" i="69"/>
  <c r="N121" i="69"/>
  <c r="N120" i="69"/>
  <c r="N119" i="69"/>
  <c r="K136" i="69"/>
  <c r="K135" i="69"/>
  <c r="K134" i="69"/>
  <c r="K133" i="69"/>
  <c r="K132" i="69"/>
  <c r="K131" i="69"/>
  <c r="K130" i="69"/>
  <c r="K129" i="69"/>
  <c r="K128" i="69"/>
  <c r="K127" i="69"/>
  <c r="K126" i="69"/>
  <c r="J136" i="69"/>
  <c r="J135" i="69"/>
  <c r="J134" i="69"/>
  <c r="J133" i="69"/>
  <c r="J132" i="69"/>
  <c r="J131" i="69"/>
  <c r="J130" i="69"/>
  <c r="J129" i="69"/>
  <c r="J128" i="69"/>
  <c r="J127" i="69"/>
  <c r="J126" i="69"/>
  <c r="E115" i="69"/>
  <c r="C33" i="74" l="1"/>
  <c r="E33" i="74"/>
  <c r="F33" i="74"/>
  <c r="G33" i="74"/>
  <c r="H33" i="74"/>
  <c r="I33" i="74"/>
  <c r="J33" i="74"/>
  <c r="K33" i="74"/>
  <c r="L33" i="74"/>
  <c r="M33" i="74"/>
  <c r="N33" i="74"/>
  <c r="O33" i="74"/>
  <c r="P33" i="74"/>
  <c r="Q33" i="74"/>
  <c r="R33" i="74"/>
  <c r="S33" i="74"/>
  <c r="T33" i="74"/>
  <c r="U33" i="74"/>
  <c r="V33" i="74"/>
  <c r="W33" i="74"/>
  <c r="X33" i="74"/>
  <c r="Y33" i="74"/>
  <c r="C34" i="74"/>
  <c r="E34" i="74"/>
  <c r="F34" i="74"/>
  <c r="G34" i="74"/>
  <c r="H34" i="74"/>
  <c r="I34" i="74"/>
  <c r="J34" i="74"/>
  <c r="K34" i="74"/>
  <c r="L34" i="74"/>
  <c r="M34" i="74"/>
  <c r="N34" i="74"/>
  <c r="O34" i="74"/>
  <c r="P34" i="74"/>
  <c r="Q34" i="74"/>
  <c r="R34" i="74"/>
  <c r="S34" i="74"/>
  <c r="T34" i="74"/>
  <c r="U34" i="74"/>
  <c r="V34" i="74"/>
  <c r="W34" i="74"/>
  <c r="X34" i="74"/>
  <c r="Y34" i="74"/>
  <c r="C35" i="74"/>
  <c r="E35" i="74"/>
  <c r="F35" i="74"/>
  <c r="G35" i="74"/>
  <c r="H35" i="74"/>
  <c r="I35" i="74"/>
  <c r="J35" i="74"/>
  <c r="K35" i="74"/>
  <c r="L35" i="74"/>
  <c r="M35" i="74"/>
  <c r="N35" i="74"/>
  <c r="O35" i="74"/>
  <c r="P35" i="74"/>
  <c r="Q35" i="74"/>
  <c r="R35" i="74"/>
  <c r="S35" i="74"/>
  <c r="T35" i="74"/>
  <c r="U35" i="74"/>
  <c r="V35" i="74"/>
  <c r="W35" i="74"/>
  <c r="X35" i="74"/>
  <c r="Y35" i="74"/>
  <c r="C36" i="74"/>
  <c r="E36" i="74"/>
  <c r="F36" i="74"/>
  <c r="G36" i="74"/>
  <c r="H36" i="74"/>
  <c r="I36" i="74"/>
  <c r="J36" i="74"/>
  <c r="K36" i="74"/>
  <c r="L36" i="74"/>
  <c r="M36" i="74"/>
  <c r="N36" i="74"/>
  <c r="O36" i="74"/>
  <c r="P36" i="74"/>
  <c r="Q36" i="74"/>
  <c r="R36" i="74"/>
  <c r="S36" i="74"/>
  <c r="T36" i="74"/>
  <c r="U36" i="74"/>
  <c r="V36" i="74"/>
  <c r="W36" i="74"/>
  <c r="X36" i="74"/>
  <c r="Y36" i="74"/>
  <c r="C37" i="74"/>
  <c r="E37" i="74"/>
  <c r="F37" i="74"/>
  <c r="G37" i="74"/>
  <c r="H37" i="74"/>
  <c r="I37" i="74"/>
  <c r="J37" i="74"/>
  <c r="K37" i="74"/>
  <c r="L37" i="74"/>
  <c r="M37" i="74"/>
  <c r="N37" i="74"/>
  <c r="O37" i="74"/>
  <c r="P37" i="74"/>
  <c r="Q37" i="74"/>
  <c r="R37" i="74"/>
  <c r="S37" i="74"/>
  <c r="T37" i="74"/>
  <c r="U37" i="74"/>
  <c r="V37" i="74"/>
  <c r="W37" i="74"/>
  <c r="X37" i="74"/>
  <c r="Y37" i="74"/>
  <c r="C38" i="74"/>
  <c r="D114" i="69" s="1"/>
  <c r="E38" i="74"/>
  <c r="D116" i="69" s="1"/>
  <c r="F38" i="74"/>
  <c r="D117" i="69" s="1"/>
  <c r="G38" i="74"/>
  <c r="D118" i="69" s="1"/>
  <c r="H38" i="74"/>
  <c r="D119" i="69" s="1"/>
  <c r="I38" i="74"/>
  <c r="D120" i="69" s="1"/>
  <c r="J38" i="74"/>
  <c r="D121" i="69" s="1"/>
  <c r="K38" i="74"/>
  <c r="D122" i="69" s="1"/>
  <c r="L38" i="74"/>
  <c r="D123" i="69" s="1"/>
  <c r="M38" i="74"/>
  <c r="D124" i="69" s="1"/>
  <c r="N38" i="74"/>
  <c r="D125" i="69" s="1"/>
  <c r="O38" i="74"/>
  <c r="D126" i="69" s="1"/>
  <c r="P38" i="74"/>
  <c r="D127" i="69" s="1"/>
  <c r="Q38" i="74"/>
  <c r="D128" i="69" s="1"/>
  <c r="R38" i="74"/>
  <c r="D129" i="69" s="1"/>
  <c r="S38" i="74"/>
  <c r="D130" i="69" s="1"/>
  <c r="T38" i="74"/>
  <c r="D131" i="69" s="1"/>
  <c r="U38" i="74"/>
  <c r="D132" i="69" s="1"/>
  <c r="V38" i="74"/>
  <c r="D133" i="69" s="1"/>
  <c r="W38" i="74"/>
  <c r="D134" i="69" s="1"/>
  <c r="X38" i="74"/>
  <c r="D135" i="69" s="1"/>
  <c r="Y38" i="74"/>
  <c r="D136" i="69" s="1"/>
  <c r="C39" i="74"/>
  <c r="D39" i="74"/>
  <c r="E39" i="74"/>
  <c r="F39" i="74"/>
  <c r="G39" i="74"/>
  <c r="H39" i="74"/>
  <c r="I39" i="74"/>
  <c r="J39" i="74"/>
  <c r="K39" i="74"/>
  <c r="L39" i="74"/>
  <c r="M39" i="74"/>
  <c r="N39" i="74"/>
  <c r="O39" i="74"/>
  <c r="P39" i="74"/>
  <c r="Q39" i="74"/>
  <c r="R39" i="74"/>
  <c r="S39" i="74"/>
  <c r="T39" i="74"/>
  <c r="U39" i="74"/>
  <c r="V39" i="74"/>
  <c r="W39" i="74"/>
  <c r="X39" i="74"/>
  <c r="Y39" i="74"/>
  <c r="C40" i="74"/>
  <c r="E114" i="69" s="1"/>
  <c r="E40" i="74"/>
  <c r="E116" i="69" s="1"/>
  <c r="F40" i="74"/>
  <c r="E117" i="69" s="1"/>
  <c r="G40" i="74"/>
  <c r="E118" i="69" s="1"/>
  <c r="H40" i="74"/>
  <c r="E119" i="69" s="1"/>
  <c r="I40" i="74"/>
  <c r="E120" i="69" s="1"/>
  <c r="J40" i="74"/>
  <c r="E121" i="69" s="1"/>
  <c r="K40" i="74"/>
  <c r="E122" i="69" s="1"/>
  <c r="L40" i="74"/>
  <c r="E123" i="69" s="1"/>
  <c r="M40" i="74"/>
  <c r="E124" i="69" s="1"/>
  <c r="N40" i="74"/>
  <c r="O40" i="74"/>
  <c r="E126" i="69" s="1"/>
  <c r="P40" i="74"/>
  <c r="E127" i="69" s="1"/>
  <c r="Q40" i="74"/>
  <c r="E128" i="69" s="1"/>
  <c r="R40" i="74"/>
  <c r="E129" i="69" s="1"/>
  <c r="S40" i="74"/>
  <c r="E130" i="69" s="1"/>
  <c r="T40" i="74"/>
  <c r="E131" i="69" s="1"/>
  <c r="U40" i="74"/>
  <c r="E132" i="69" s="1"/>
  <c r="V40" i="74"/>
  <c r="E133" i="69" s="1"/>
  <c r="W40" i="74"/>
  <c r="E134" i="69" s="1"/>
  <c r="X40" i="74"/>
  <c r="E135" i="69" s="1"/>
  <c r="Y40" i="74"/>
  <c r="E136" i="69" s="1"/>
  <c r="C41" i="74"/>
  <c r="E41" i="74"/>
  <c r="F41" i="74"/>
  <c r="G41" i="74"/>
  <c r="H41" i="74"/>
  <c r="I41" i="74"/>
  <c r="J41" i="74"/>
  <c r="G121" i="69" s="1"/>
  <c r="K41" i="74"/>
  <c r="L41" i="74"/>
  <c r="M41" i="74"/>
  <c r="N41" i="74"/>
  <c r="O41" i="74"/>
  <c r="P41" i="74"/>
  <c r="Q41" i="74"/>
  <c r="G128" i="69" s="1"/>
  <c r="R41" i="74"/>
  <c r="G129" i="69" s="1"/>
  <c r="S41" i="74"/>
  <c r="T41" i="74"/>
  <c r="U41" i="74"/>
  <c r="V41" i="74"/>
  <c r="W41" i="74"/>
  <c r="X41" i="74"/>
  <c r="Y41" i="74"/>
  <c r="G136" i="69" s="1"/>
  <c r="C42" i="74"/>
  <c r="E42" i="74"/>
  <c r="F42" i="74"/>
  <c r="G42" i="74"/>
  <c r="H42" i="74"/>
  <c r="I42" i="74"/>
  <c r="J42" i="74"/>
  <c r="K42" i="74"/>
  <c r="L42" i="74"/>
  <c r="M42" i="74"/>
  <c r="N42" i="74"/>
  <c r="O42" i="74"/>
  <c r="P42" i="74"/>
  <c r="Q42" i="74"/>
  <c r="R42" i="74"/>
  <c r="S42" i="74"/>
  <c r="T42" i="74"/>
  <c r="U42" i="74"/>
  <c r="V42" i="74"/>
  <c r="W42" i="74"/>
  <c r="X42" i="74"/>
  <c r="Y42" i="74"/>
  <c r="C43" i="74"/>
  <c r="E43" i="74"/>
  <c r="F43" i="74"/>
  <c r="G43" i="74"/>
  <c r="H43" i="74"/>
  <c r="I43" i="74"/>
  <c r="J43" i="74"/>
  <c r="K43" i="74"/>
  <c r="L43" i="74"/>
  <c r="M43" i="74"/>
  <c r="N43" i="74"/>
  <c r="O43" i="74"/>
  <c r="P43" i="74"/>
  <c r="Q43" i="74"/>
  <c r="R43" i="74"/>
  <c r="S43" i="74"/>
  <c r="T43" i="74"/>
  <c r="U43" i="74"/>
  <c r="V43" i="74"/>
  <c r="W43" i="74"/>
  <c r="X43" i="74"/>
  <c r="Y43" i="74"/>
  <c r="C44" i="74"/>
  <c r="E44" i="74"/>
  <c r="F44" i="74"/>
  <c r="G44" i="74"/>
  <c r="H44" i="74"/>
  <c r="I44" i="74"/>
  <c r="J44" i="74"/>
  <c r="K44" i="74"/>
  <c r="L44" i="74"/>
  <c r="M44" i="74"/>
  <c r="N44" i="74"/>
  <c r="O44" i="74"/>
  <c r="P44" i="74"/>
  <c r="Q44" i="74"/>
  <c r="R44" i="74"/>
  <c r="S44" i="74"/>
  <c r="T44" i="74"/>
  <c r="U44" i="74"/>
  <c r="V44" i="74"/>
  <c r="W44" i="74"/>
  <c r="X44" i="74"/>
  <c r="Y44" i="74"/>
  <c r="B34" i="74"/>
  <c r="B35" i="74"/>
  <c r="B36" i="74"/>
  <c r="B37" i="74"/>
  <c r="B38" i="74"/>
  <c r="D113" i="69" s="1"/>
  <c r="B39" i="74"/>
  <c r="B40" i="74"/>
  <c r="E113" i="69" s="1"/>
  <c r="B41" i="74"/>
  <c r="B42" i="74"/>
  <c r="B43" i="74"/>
  <c r="B44" i="74"/>
  <c r="B33" i="74"/>
  <c r="C129" i="69"/>
  <c r="B131" i="69"/>
  <c r="B129" i="69"/>
  <c r="AI71" i="69"/>
  <c r="AI72" i="69"/>
  <c r="AI74" i="69"/>
  <c r="AI75" i="69"/>
  <c r="AI76" i="69"/>
  <c r="AI77" i="69"/>
  <c r="AI78" i="69"/>
  <c r="AI93" i="69"/>
  <c r="AI94" i="69"/>
  <c r="AI95" i="69"/>
  <c r="AI96" i="69"/>
  <c r="AI97" i="69"/>
  <c r="AI98" i="69"/>
  <c r="AI99" i="69"/>
  <c r="AI100" i="69"/>
  <c r="AI101" i="69"/>
  <c r="AI102" i="69"/>
  <c r="AI103" i="69"/>
  <c r="AI104" i="69"/>
  <c r="AI105" i="69"/>
  <c r="AI106" i="69"/>
  <c r="AI107" i="69"/>
  <c r="AI108" i="69"/>
  <c r="AI109" i="69"/>
  <c r="AI110" i="69"/>
  <c r="AI111" i="69"/>
  <c r="AI112" i="69"/>
  <c r="AI113" i="69"/>
  <c r="AI114" i="69"/>
  <c r="AI115" i="69"/>
  <c r="AI116" i="69"/>
  <c r="AI117" i="69"/>
  <c r="AI118" i="69"/>
  <c r="AI119" i="69"/>
  <c r="AI120" i="69"/>
  <c r="AI121" i="69"/>
  <c r="AI122" i="69"/>
  <c r="AI123" i="69"/>
  <c r="AI124" i="69"/>
  <c r="AI125" i="69"/>
  <c r="AI126" i="69"/>
  <c r="AI127" i="69"/>
  <c r="AI128" i="69"/>
  <c r="AI129" i="69"/>
  <c r="AI130" i="69"/>
  <c r="AI131" i="69"/>
  <c r="AI132" i="69"/>
  <c r="AI133" i="69"/>
  <c r="AI134" i="69"/>
  <c r="AI135" i="69"/>
  <c r="AI136" i="69"/>
  <c r="C57" i="74"/>
  <c r="B114" i="69" s="1"/>
  <c r="D57" i="74"/>
  <c r="B115" i="69" s="1"/>
  <c r="E57" i="74"/>
  <c r="B116" i="69" s="1"/>
  <c r="F57" i="74"/>
  <c r="B117" i="69" s="1"/>
  <c r="G57" i="74"/>
  <c r="B118" i="69" s="1"/>
  <c r="H57" i="74"/>
  <c r="B119" i="69" s="1"/>
  <c r="I57" i="74"/>
  <c r="B120" i="69" s="1"/>
  <c r="J57" i="74"/>
  <c r="B121" i="69" s="1"/>
  <c r="K57" i="74"/>
  <c r="B122" i="69" s="1"/>
  <c r="L57" i="74"/>
  <c r="B123" i="69" s="1"/>
  <c r="M57" i="74"/>
  <c r="B124" i="69" s="1"/>
  <c r="N57" i="74"/>
  <c r="B125" i="69" s="1"/>
  <c r="B126" i="69"/>
  <c r="B127" i="69"/>
  <c r="B128" i="69"/>
  <c r="B130" i="69"/>
  <c r="B132" i="69"/>
  <c r="B133" i="69"/>
  <c r="B134" i="69"/>
  <c r="B135" i="69"/>
  <c r="B136" i="69"/>
  <c r="C58" i="74"/>
  <c r="C114" i="69" s="1"/>
  <c r="D58" i="74"/>
  <c r="C115" i="69" s="1"/>
  <c r="E58" i="74"/>
  <c r="C116" i="69" s="1"/>
  <c r="F58" i="74"/>
  <c r="C117" i="69" s="1"/>
  <c r="G58" i="74"/>
  <c r="C118" i="69" s="1"/>
  <c r="H58" i="74"/>
  <c r="C119" i="69" s="1"/>
  <c r="I58" i="74"/>
  <c r="C120" i="69" s="1"/>
  <c r="J58" i="74"/>
  <c r="C121" i="69" s="1"/>
  <c r="K58" i="74"/>
  <c r="C122" i="69" s="1"/>
  <c r="L58" i="74"/>
  <c r="C123" i="69" s="1"/>
  <c r="M58" i="74"/>
  <c r="C124" i="69" s="1"/>
  <c r="C125" i="69"/>
  <c r="C126" i="69"/>
  <c r="C127" i="69"/>
  <c r="C128" i="69"/>
  <c r="C130" i="69"/>
  <c r="C131" i="69"/>
  <c r="C132" i="69"/>
  <c r="C133" i="69"/>
  <c r="C134" i="69"/>
  <c r="C135" i="69"/>
  <c r="C136" i="69"/>
  <c r="C59" i="74"/>
  <c r="D59" i="74"/>
  <c r="E59" i="74"/>
  <c r="F59" i="74"/>
  <c r="G59" i="74"/>
  <c r="H59" i="74"/>
  <c r="I59" i="74"/>
  <c r="J59" i="74"/>
  <c r="K59" i="74"/>
  <c r="L59" i="74"/>
  <c r="M59" i="74"/>
  <c r="N59" i="74"/>
  <c r="C60" i="74"/>
  <c r="D60" i="74"/>
  <c r="E60" i="74"/>
  <c r="F60" i="74"/>
  <c r="G60" i="74"/>
  <c r="H60" i="74"/>
  <c r="I60" i="74"/>
  <c r="J60" i="74"/>
  <c r="K60" i="74"/>
  <c r="L60" i="74"/>
  <c r="M60" i="74"/>
  <c r="N60" i="74"/>
  <c r="C61" i="74"/>
  <c r="J114" i="69" s="1"/>
  <c r="D61" i="74"/>
  <c r="J115" i="69" s="1"/>
  <c r="E61" i="74"/>
  <c r="J116" i="69" s="1"/>
  <c r="F61" i="74"/>
  <c r="J117" i="69" s="1"/>
  <c r="G61" i="74"/>
  <c r="J118" i="69" s="1"/>
  <c r="H61" i="74"/>
  <c r="J119" i="69" s="1"/>
  <c r="I61" i="74"/>
  <c r="J120" i="69" s="1"/>
  <c r="J61" i="74"/>
  <c r="J121" i="69" s="1"/>
  <c r="K61" i="74"/>
  <c r="J122" i="69" s="1"/>
  <c r="L61" i="74"/>
  <c r="J123" i="69" s="1"/>
  <c r="M61" i="74"/>
  <c r="J124" i="69" s="1"/>
  <c r="N61" i="74"/>
  <c r="J125" i="69" s="1"/>
  <c r="C62" i="74"/>
  <c r="K114" i="69" s="1"/>
  <c r="D62" i="74"/>
  <c r="K115" i="69" s="1"/>
  <c r="E62" i="74"/>
  <c r="K116" i="69" s="1"/>
  <c r="F62" i="74"/>
  <c r="K117" i="69" s="1"/>
  <c r="G62" i="74"/>
  <c r="K118" i="69" s="1"/>
  <c r="H62" i="74"/>
  <c r="K119" i="69" s="1"/>
  <c r="I62" i="74"/>
  <c r="K120" i="69" s="1"/>
  <c r="J62" i="74"/>
  <c r="K121" i="69" s="1"/>
  <c r="K62" i="74"/>
  <c r="K122" i="69" s="1"/>
  <c r="L62" i="74"/>
  <c r="K123" i="69" s="1"/>
  <c r="M62" i="74"/>
  <c r="K124" i="69" s="1"/>
  <c r="N62" i="74"/>
  <c r="K125" i="69" s="1"/>
  <c r="B62" i="74"/>
  <c r="K113" i="69" s="1"/>
  <c r="B61" i="74"/>
  <c r="J113" i="69" s="1"/>
  <c r="B59" i="74"/>
  <c r="B58" i="74"/>
  <c r="C113" i="69" s="1"/>
  <c r="B57" i="74"/>
  <c r="B113" i="69" s="1"/>
  <c r="AA43" i="74" l="1"/>
  <c r="AA39" i="74"/>
  <c r="AA35" i="74"/>
  <c r="L136" i="69"/>
  <c r="AA44" i="74"/>
  <c r="G135" i="69"/>
  <c r="G119" i="69"/>
  <c r="AA40" i="74"/>
  <c r="E125" i="69"/>
  <c r="D115" i="69"/>
  <c r="G134" i="69"/>
  <c r="L134" i="69" s="1"/>
  <c r="AA36" i="74"/>
  <c r="G133" i="69"/>
  <c r="G132" i="69"/>
  <c r="AA37" i="74"/>
  <c r="AA33" i="74"/>
  <c r="G131" i="69"/>
  <c r="G130" i="69"/>
  <c r="AA38" i="74"/>
  <c r="AA34" i="74"/>
  <c r="G120" i="69"/>
  <c r="G118" i="69"/>
  <c r="G113" i="69"/>
  <c r="G117" i="69"/>
  <c r="G124" i="69"/>
  <c r="G116" i="69"/>
  <c r="G123" i="69"/>
  <c r="G115" i="69"/>
  <c r="G122" i="69"/>
  <c r="G114" i="69"/>
  <c r="G127" i="69"/>
  <c r="G126" i="69"/>
  <c r="AA42" i="74"/>
  <c r="AA41" i="74"/>
  <c r="G125" i="69"/>
  <c r="L135" i="69"/>
  <c r="C76" i="74"/>
  <c r="D76" i="74"/>
  <c r="E76" i="74"/>
  <c r="F76" i="74"/>
  <c r="G76" i="74"/>
  <c r="H76" i="74"/>
  <c r="I76" i="74"/>
  <c r="J76" i="74"/>
  <c r="K76" i="74"/>
  <c r="L76" i="74"/>
  <c r="M76" i="74"/>
  <c r="N76" i="74"/>
  <c r="O76" i="74"/>
  <c r="P76" i="74"/>
  <c r="Q76" i="74"/>
  <c r="R76" i="74"/>
  <c r="S76" i="74"/>
  <c r="T76" i="74"/>
  <c r="U76" i="74"/>
  <c r="V76" i="74"/>
  <c r="B60" i="74"/>
  <c r="B76" i="74" s="1"/>
  <c r="C75" i="74"/>
  <c r="D75" i="74"/>
  <c r="E75" i="74"/>
  <c r="F75" i="74"/>
  <c r="G75" i="74"/>
  <c r="H75" i="74"/>
  <c r="I75" i="74"/>
  <c r="J75" i="74"/>
  <c r="K75" i="74"/>
  <c r="L75" i="74"/>
  <c r="M75" i="74"/>
  <c r="N75" i="74"/>
  <c r="O75" i="74"/>
  <c r="P75" i="74"/>
  <c r="Q75" i="74"/>
  <c r="R75" i="74"/>
  <c r="S75" i="74"/>
  <c r="T75" i="74"/>
  <c r="U75" i="74"/>
  <c r="V75" i="74"/>
  <c r="B75" i="74"/>
  <c r="C73" i="74" l="1"/>
  <c r="D73" i="74"/>
  <c r="E73" i="74"/>
  <c r="F73" i="74"/>
  <c r="G73" i="74"/>
  <c r="H73" i="74"/>
  <c r="I73" i="74"/>
  <c r="J73" i="74"/>
  <c r="K73" i="74"/>
  <c r="L73" i="74"/>
  <c r="M73" i="74"/>
  <c r="N73" i="74"/>
  <c r="O73" i="74"/>
  <c r="P73" i="74"/>
  <c r="Q73" i="74"/>
  <c r="R73" i="74"/>
  <c r="S73" i="74"/>
  <c r="T73" i="74"/>
  <c r="U73" i="74"/>
  <c r="V73" i="74"/>
  <c r="C74" i="74"/>
  <c r="D74" i="74"/>
  <c r="E74" i="74"/>
  <c r="F74" i="74"/>
  <c r="G74" i="74"/>
  <c r="H74" i="74"/>
  <c r="I74" i="74"/>
  <c r="J74" i="74"/>
  <c r="K74" i="74"/>
  <c r="L74" i="74"/>
  <c r="M74" i="74"/>
  <c r="N74" i="74"/>
  <c r="O74" i="74"/>
  <c r="P74" i="74"/>
  <c r="Q74" i="74"/>
  <c r="R74" i="74"/>
  <c r="S74" i="74"/>
  <c r="T74" i="74"/>
  <c r="U74" i="74"/>
  <c r="V74" i="74"/>
  <c r="C77" i="74"/>
  <c r="D77" i="74"/>
  <c r="E77" i="74"/>
  <c r="F77" i="74"/>
  <c r="G77" i="74"/>
  <c r="H77" i="74"/>
  <c r="I77" i="74"/>
  <c r="J77" i="74"/>
  <c r="K77" i="74"/>
  <c r="L77" i="74"/>
  <c r="M77" i="74"/>
  <c r="N77" i="74"/>
  <c r="O77" i="74"/>
  <c r="P77" i="74"/>
  <c r="Q77" i="74"/>
  <c r="R77" i="74"/>
  <c r="S77" i="74"/>
  <c r="T77" i="74"/>
  <c r="U77" i="74"/>
  <c r="V77" i="74"/>
  <c r="C78" i="74"/>
  <c r="D78" i="74"/>
  <c r="E78" i="74"/>
  <c r="F78" i="74"/>
  <c r="G78" i="74"/>
  <c r="H78" i="74"/>
  <c r="I78" i="74"/>
  <c r="J78" i="74"/>
  <c r="K78" i="74"/>
  <c r="L78" i="74"/>
  <c r="M78" i="74"/>
  <c r="N78" i="74"/>
  <c r="O78" i="74"/>
  <c r="P78" i="74"/>
  <c r="Q78" i="74"/>
  <c r="R78" i="74"/>
  <c r="S78" i="74"/>
  <c r="T78" i="74"/>
  <c r="U78" i="74"/>
  <c r="V78" i="74"/>
  <c r="B78" i="74"/>
  <c r="B77" i="74"/>
  <c r="B74" i="74"/>
  <c r="B73" i="74"/>
  <c r="P79" i="74" l="1"/>
  <c r="V79" i="74"/>
  <c r="T79" i="74"/>
  <c r="L79" i="74"/>
  <c r="D79" i="74"/>
  <c r="H79" i="74"/>
  <c r="O79" i="74"/>
  <c r="G79" i="74"/>
  <c r="N79" i="74"/>
  <c r="F79" i="74"/>
  <c r="U79" i="74"/>
  <c r="M79" i="74"/>
  <c r="E79" i="74"/>
  <c r="S79" i="74"/>
  <c r="K79" i="74"/>
  <c r="C79" i="74"/>
  <c r="B79" i="74"/>
  <c r="R79" i="74"/>
  <c r="J79" i="74"/>
  <c r="Q79" i="74"/>
  <c r="I79" i="74"/>
  <c r="P22" i="46" l="1"/>
  <c r="L24" i="46" l="1"/>
  <c r="O28" i="32"/>
  <c r="N28" i="32"/>
  <c r="M28" i="32"/>
  <c r="M26" i="51" s="1"/>
  <c r="O38" i="32"/>
  <c r="N38" i="32"/>
  <c r="L38" i="32"/>
  <c r="K38" i="32"/>
  <c r="K54" i="46" l="1"/>
  <c r="K64" i="46" s="1"/>
  <c r="A54" i="46"/>
  <c r="A64" i="46" s="1"/>
  <c r="N24" i="46"/>
  <c r="O24" i="46"/>
  <c r="R24" i="46" s="1"/>
  <c r="K24" i="46"/>
  <c r="K34" i="46" s="1"/>
  <c r="P34" i="46"/>
  <c r="Q34" i="46" s="1"/>
  <c r="M34" i="46"/>
  <c r="N34" i="46" s="1"/>
  <c r="F34" i="46"/>
  <c r="G34" i="46" s="1"/>
  <c r="C34" i="46"/>
  <c r="D34" i="46" s="1"/>
  <c r="A34" i="46"/>
  <c r="N30" i="29"/>
  <c r="J30" i="29"/>
  <c r="E30" i="29"/>
  <c r="J23" i="29"/>
  <c r="Q24" i="46" l="1"/>
  <c r="S34" i="46"/>
  <c r="O30" i="32" s="1"/>
  <c r="S24" i="46"/>
  <c r="R34" i="46"/>
  <c r="O29" i="32" s="1"/>
  <c r="P103" i="62" s="1"/>
  <c r="U55" i="64" l="1"/>
  <c r="Q60" i="64"/>
  <c r="S56" i="64"/>
  <c r="T179" i="30" l="1"/>
  <c r="T178" i="30"/>
  <c r="Q179" i="30"/>
  <c r="Q178" i="30"/>
  <c r="N179" i="30"/>
  <c r="N178" i="30"/>
  <c r="K179" i="30"/>
  <c r="K178" i="30"/>
  <c r="H179" i="30"/>
  <c r="H178" i="30"/>
  <c r="F179" i="30"/>
  <c r="F178" i="30"/>
  <c r="S179" i="30"/>
  <c r="S178" i="30"/>
  <c r="R179" i="30"/>
  <c r="R178" i="30"/>
  <c r="O179" i="30"/>
  <c r="O178" i="30"/>
  <c r="M179" i="30"/>
  <c r="M178" i="30"/>
  <c r="L179" i="30"/>
  <c r="L178" i="30"/>
  <c r="J179" i="30"/>
  <c r="J178" i="30"/>
  <c r="I179" i="30"/>
  <c r="I178" i="30"/>
  <c r="G179" i="30"/>
  <c r="G178" i="30"/>
  <c r="E179" i="30"/>
  <c r="E178" i="30"/>
  <c r="C179" i="30"/>
  <c r="C178" i="30"/>
  <c r="D179" i="30"/>
  <c r="D178" i="30"/>
  <c r="E178" i="4"/>
  <c r="L178" i="4" s="1"/>
  <c r="E177" i="4"/>
  <c r="L177" i="4" s="1"/>
  <c r="E176" i="4"/>
  <c r="L176" i="4" s="1"/>
  <c r="E175" i="4"/>
  <c r="L175" i="4" s="1"/>
  <c r="E174" i="4"/>
  <c r="L174" i="4" s="1"/>
  <c r="E173" i="4"/>
  <c r="L173" i="4" s="1"/>
  <c r="E172" i="4"/>
  <c r="L172" i="4" s="1"/>
  <c r="E171" i="4"/>
  <c r="L171" i="4" s="1"/>
  <c r="E170" i="4"/>
  <c r="L170" i="4" s="1"/>
  <c r="E169" i="4"/>
  <c r="L169" i="4" s="1"/>
  <c r="E168" i="4"/>
  <c r="L168" i="4" s="1"/>
  <c r="E167" i="4"/>
  <c r="L167" i="4" s="1"/>
  <c r="V178" i="30" l="1"/>
  <c r="V179" i="30"/>
  <c r="A94" i="52"/>
  <c r="M152" i="4"/>
  <c r="M151" i="4"/>
  <c r="M150" i="4"/>
  <c r="N152" i="4"/>
  <c r="N151" i="4"/>
  <c r="N150" i="4"/>
  <c r="P137" i="30" l="1"/>
  <c r="P138" i="30"/>
  <c r="S138" i="30"/>
  <c r="M132" i="72"/>
  <c r="U132" i="72" s="1"/>
  <c r="J138" i="30" s="1"/>
  <c r="N132" i="72"/>
  <c r="Q132" i="72"/>
  <c r="S132" i="72" s="1"/>
  <c r="M131" i="72"/>
  <c r="T131" i="72" s="1"/>
  <c r="M137" i="30" s="1"/>
  <c r="N131" i="72"/>
  <c r="Q131" i="72"/>
  <c r="S131" i="72" s="1"/>
  <c r="S137" i="30" s="1"/>
  <c r="X134" i="70"/>
  <c r="X133" i="70"/>
  <c r="X132" i="70"/>
  <c r="G134" i="70"/>
  <c r="G133" i="70"/>
  <c r="G132" i="70"/>
  <c r="G131" i="70"/>
  <c r="B134" i="70"/>
  <c r="B133" i="70"/>
  <c r="B132" i="70"/>
  <c r="B131" i="70"/>
  <c r="B130" i="70"/>
  <c r="B129" i="70"/>
  <c r="B128" i="70"/>
  <c r="B127" i="70"/>
  <c r="B126" i="70"/>
  <c r="X134" i="69"/>
  <c r="X133" i="69"/>
  <c r="X132" i="69"/>
  <c r="X131" i="69"/>
  <c r="L114" i="69"/>
  <c r="L115" i="69"/>
  <c r="L116" i="69"/>
  <c r="L117" i="69"/>
  <c r="L118" i="69"/>
  <c r="L119" i="69"/>
  <c r="L120" i="69"/>
  <c r="L121" i="69"/>
  <c r="L122" i="69"/>
  <c r="L123" i="69"/>
  <c r="L124" i="69"/>
  <c r="L125" i="69"/>
  <c r="L126" i="69"/>
  <c r="L127" i="69"/>
  <c r="L128" i="69"/>
  <c r="L129" i="69"/>
  <c r="L130" i="69"/>
  <c r="L131" i="69"/>
  <c r="L132" i="69"/>
  <c r="L133" i="69"/>
  <c r="U131" i="72" l="1"/>
  <c r="J137" i="30" s="1"/>
  <c r="X173" i="69"/>
  <c r="M38" i="32" s="1"/>
  <c r="T132" i="72"/>
  <c r="M138" i="30" s="1"/>
  <c r="AA59" i="4"/>
  <c r="AA73" i="4" s="1"/>
  <c r="B5" i="46" l="1"/>
  <c r="A23" i="46"/>
  <c r="A22" i="46"/>
  <c r="A11" i="46"/>
  <c r="A41" i="46" s="1"/>
  <c r="A12" i="46"/>
  <c r="K42" i="46" s="1"/>
  <c r="A13" i="46"/>
  <c r="K13" i="46" s="1"/>
  <c r="A14" i="46"/>
  <c r="K14" i="46" s="1"/>
  <c r="A15" i="46"/>
  <c r="K15" i="46" s="1"/>
  <c r="A16" i="46"/>
  <c r="A17" i="46"/>
  <c r="K47" i="46" s="1"/>
  <c r="A18" i="46"/>
  <c r="K18" i="46" s="1"/>
  <c r="A19" i="46"/>
  <c r="K49" i="46" s="1"/>
  <c r="A20" i="46"/>
  <c r="K50" i="46" s="1"/>
  <c r="A10" i="46"/>
  <c r="J18" i="29"/>
  <c r="I6" i="4"/>
  <c r="J6" i="4"/>
  <c r="K6" i="4"/>
  <c r="I7" i="4"/>
  <c r="J7" i="4"/>
  <c r="K7" i="4"/>
  <c r="J8" i="4"/>
  <c r="K8" i="4"/>
  <c r="J9" i="4"/>
  <c r="K9" i="4"/>
  <c r="J10" i="4"/>
  <c r="K10" i="4"/>
  <c r="J11" i="4"/>
  <c r="K11" i="4"/>
  <c r="F12" i="4"/>
  <c r="G12" i="4"/>
  <c r="H12" i="4"/>
  <c r="J12" i="4"/>
  <c r="K12" i="4"/>
  <c r="D13" i="4"/>
  <c r="F13" i="4"/>
  <c r="G13" i="4"/>
  <c r="H13" i="4"/>
  <c r="J13" i="4"/>
  <c r="K13" i="4"/>
  <c r="D14" i="4"/>
  <c r="F14" i="4"/>
  <c r="G14" i="4"/>
  <c r="H14" i="4"/>
  <c r="J14" i="4"/>
  <c r="K14" i="4"/>
  <c r="D15" i="4"/>
  <c r="F15" i="4"/>
  <c r="G15" i="4"/>
  <c r="H15" i="4"/>
  <c r="I15" i="4"/>
  <c r="J15" i="4"/>
  <c r="K15" i="4"/>
  <c r="D16" i="4"/>
  <c r="F16" i="4"/>
  <c r="G16" i="4"/>
  <c r="H16" i="4"/>
  <c r="I16" i="4"/>
  <c r="J16" i="4"/>
  <c r="K16" i="4"/>
  <c r="D17" i="4"/>
  <c r="F17" i="4"/>
  <c r="G17" i="4"/>
  <c r="H17" i="4"/>
  <c r="I17" i="4"/>
  <c r="J17" i="4"/>
  <c r="K17" i="4"/>
  <c r="K41" i="46" l="1"/>
  <c r="K19" i="46"/>
  <c r="K11" i="46"/>
  <c r="K48" i="46"/>
  <c r="K17" i="46"/>
  <c r="K12" i="46"/>
  <c r="A49" i="46"/>
  <c r="A48" i="46"/>
  <c r="K20" i="46"/>
  <c r="K46" i="46"/>
  <c r="K16" i="46"/>
  <c r="A46" i="46"/>
  <c r="B5" i="29"/>
  <c r="A47" i="46"/>
  <c r="A45" i="46"/>
  <c r="K45" i="46"/>
  <c r="A44" i="46"/>
  <c r="K44" i="46"/>
  <c r="A43" i="46"/>
  <c r="K43" i="46"/>
  <c r="A50" i="46"/>
  <c r="A42" i="46"/>
  <c r="C17" i="4"/>
  <c r="C16" i="4"/>
  <c r="C15" i="4"/>
  <c r="C14" i="4"/>
  <c r="C13" i="4"/>
  <c r="E166" i="4"/>
  <c r="L166" i="4" s="1"/>
  <c r="E165" i="4"/>
  <c r="L165" i="4" s="1"/>
  <c r="E164" i="4"/>
  <c r="L164" i="4" s="1"/>
  <c r="E162" i="4"/>
  <c r="L162" i="4" s="1"/>
  <c r="E163" i="4"/>
  <c r="L163" i="4" s="1"/>
  <c r="E161" i="4"/>
  <c r="L161" i="4" s="1"/>
  <c r="E160" i="4"/>
  <c r="L160" i="4" s="1"/>
  <c r="E159" i="4"/>
  <c r="L159" i="4" s="1"/>
  <c r="E158" i="4"/>
  <c r="L158" i="4" s="1"/>
  <c r="E157" i="4"/>
  <c r="L157" i="4" s="1"/>
  <c r="Q156" i="4"/>
  <c r="E156" i="4"/>
  <c r="L156" i="4" s="1"/>
  <c r="E155" i="4"/>
  <c r="E17" i="4" l="1"/>
  <c r="L17" i="4" s="1"/>
  <c r="L155" i="4"/>
  <c r="N149" i="4"/>
  <c r="N148" i="4"/>
  <c r="N147" i="4"/>
  <c r="N146" i="4"/>
  <c r="N145" i="4"/>
  <c r="N144" i="4"/>
  <c r="N143" i="4"/>
  <c r="N142" i="4"/>
  <c r="N141" i="4"/>
  <c r="N140" i="4"/>
  <c r="N139" i="4"/>
  <c r="M149" i="4"/>
  <c r="M148" i="4"/>
  <c r="M147" i="4"/>
  <c r="M146" i="4"/>
  <c r="M145" i="4"/>
  <c r="M144" i="4"/>
  <c r="M143" i="4"/>
  <c r="M142" i="4"/>
  <c r="M141" i="4"/>
  <c r="M140" i="4"/>
  <c r="M139" i="4"/>
  <c r="C15" i="68" l="1"/>
  <c r="D15" i="68"/>
  <c r="E15" i="68"/>
  <c r="F15" i="68"/>
  <c r="F24" i="68" s="1"/>
  <c r="G15" i="68"/>
  <c r="H15" i="68"/>
  <c r="I15" i="68"/>
  <c r="J15" i="68"/>
  <c r="K15" i="68"/>
  <c r="L15" i="68"/>
  <c r="M15" i="68"/>
  <c r="B15" i="68"/>
  <c r="B24" i="68" s="1"/>
  <c r="N67" i="68"/>
  <c r="N68" i="68"/>
  <c r="N82" i="68"/>
  <c r="L80" i="68"/>
  <c r="M80" i="68"/>
  <c r="K80" i="68"/>
  <c r="C80" i="68"/>
  <c r="D80" i="68"/>
  <c r="E80" i="68"/>
  <c r="F80" i="68"/>
  <c r="G80" i="68"/>
  <c r="H80" i="68"/>
  <c r="B80" i="68"/>
  <c r="N72" i="68"/>
  <c r="N101" i="68"/>
  <c r="N96" i="68"/>
  <c r="N70" i="68"/>
  <c r="P126" i="30"/>
  <c r="P127" i="30"/>
  <c r="P128" i="30"/>
  <c r="P129" i="30"/>
  <c r="P130" i="30"/>
  <c r="P131" i="30"/>
  <c r="P132" i="30"/>
  <c r="P133" i="30"/>
  <c r="P134" i="30"/>
  <c r="P135" i="30"/>
  <c r="P136" i="30"/>
  <c r="P127" i="72"/>
  <c r="P126" i="72"/>
  <c r="P179" i="30" l="1"/>
  <c r="P178" i="30"/>
  <c r="N15" i="68"/>
  <c r="P177" i="30"/>
  <c r="E50" i="46" s="1"/>
  <c r="M130" i="72"/>
  <c r="U130" i="72" s="1"/>
  <c r="J136" i="30" s="1"/>
  <c r="N130" i="72"/>
  <c r="Q130" i="72"/>
  <c r="S130" i="72" s="1"/>
  <c r="S136" i="30" s="1"/>
  <c r="N129" i="72"/>
  <c r="Q129" i="72"/>
  <c r="S129" i="72" s="1"/>
  <c r="S135" i="30" s="1"/>
  <c r="M129" i="72"/>
  <c r="M127" i="72"/>
  <c r="N127" i="72"/>
  <c r="M128" i="72"/>
  <c r="U128" i="72" s="1"/>
  <c r="J134" i="30" s="1"/>
  <c r="N128" i="72"/>
  <c r="Q128" i="72"/>
  <c r="S128" i="72" s="1"/>
  <c r="S134" i="30" s="1"/>
  <c r="Q127" i="72"/>
  <c r="S127" i="72" s="1"/>
  <c r="S133" i="30" s="1"/>
  <c r="M126" i="72"/>
  <c r="T126" i="72" s="1"/>
  <c r="M132" i="30" s="1"/>
  <c r="N126" i="72"/>
  <c r="Q126" i="72"/>
  <c r="S126" i="72" s="1"/>
  <c r="S132" i="30" s="1"/>
  <c r="M125" i="72"/>
  <c r="U125" i="72" s="1"/>
  <c r="J131" i="30" s="1"/>
  <c r="N125" i="72"/>
  <c r="Q125" i="72"/>
  <c r="S125" i="72" s="1"/>
  <c r="S131" i="30" s="1"/>
  <c r="M124" i="72"/>
  <c r="U124" i="72" s="1"/>
  <c r="J130" i="30" s="1"/>
  <c r="N124" i="72"/>
  <c r="Q124" i="72"/>
  <c r="S124" i="72" s="1"/>
  <c r="S130" i="30" s="1"/>
  <c r="S177" i="30" s="1"/>
  <c r="M123" i="72"/>
  <c r="T123" i="72" s="1"/>
  <c r="M129" i="30" s="1"/>
  <c r="N123" i="72"/>
  <c r="Q123" i="72"/>
  <c r="S123" i="72" s="1"/>
  <c r="S129" i="30" s="1"/>
  <c r="M122" i="72"/>
  <c r="T122" i="72" s="1"/>
  <c r="M128" i="30" s="1"/>
  <c r="N122" i="72"/>
  <c r="Q122" i="72"/>
  <c r="S122" i="72" s="1"/>
  <c r="S128" i="30" s="1"/>
  <c r="M121" i="72"/>
  <c r="T121" i="72" s="1"/>
  <c r="M127" i="30" s="1"/>
  <c r="N121" i="72"/>
  <c r="Q121" i="72"/>
  <c r="S121" i="72" s="1"/>
  <c r="S127" i="30" s="1"/>
  <c r="N120" i="72"/>
  <c r="M120" i="72"/>
  <c r="T120" i="72" s="1"/>
  <c r="M126" i="30" s="1"/>
  <c r="Q120" i="72"/>
  <c r="S120" i="72" s="1"/>
  <c r="S126" i="30" s="1"/>
  <c r="X131" i="70"/>
  <c r="X130" i="70"/>
  <c r="X129" i="70"/>
  <c r="X128" i="70"/>
  <c r="X127" i="70"/>
  <c r="X126" i="70"/>
  <c r="X125" i="70"/>
  <c r="X124" i="70"/>
  <c r="X123" i="70"/>
  <c r="X122" i="70"/>
  <c r="X113" i="70"/>
  <c r="AC113" i="70"/>
  <c r="AD113" i="70"/>
  <c r="AE113" i="70"/>
  <c r="AF113" i="70"/>
  <c r="AG113" i="70"/>
  <c r="U122" i="72" l="1"/>
  <c r="J128" i="30" s="1"/>
  <c r="U126" i="72"/>
  <c r="J132" i="30" s="1"/>
  <c r="J177" i="30" s="1"/>
  <c r="T125" i="72"/>
  <c r="M131" i="30" s="1"/>
  <c r="T130" i="72"/>
  <c r="M136" i="30" s="1"/>
  <c r="T128" i="72"/>
  <c r="M134" i="30" s="1"/>
  <c r="O20" i="46"/>
  <c r="O22" i="46" s="1"/>
  <c r="T127" i="72"/>
  <c r="M133" i="30" s="1"/>
  <c r="U127" i="72"/>
  <c r="J133" i="30" s="1"/>
  <c r="T129" i="72"/>
  <c r="M135" i="30" s="1"/>
  <c r="U129" i="72"/>
  <c r="J135" i="30" s="1"/>
  <c r="U120" i="72"/>
  <c r="J126" i="30" s="1"/>
  <c r="T124" i="72"/>
  <c r="M130" i="30" s="1"/>
  <c r="M177" i="30" s="1"/>
  <c r="U123" i="72"/>
  <c r="J129" i="30" s="1"/>
  <c r="U121" i="72"/>
  <c r="J127" i="30" s="1"/>
  <c r="E20" i="46" l="1"/>
  <c r="H79" i="68"/>
  <c r="I79" i="68"/>
  <c r="J79" i="68"/>
  <c r="K79" i="68"/>
  <c r="L79" i="68"/>
  <c r="M79" i="68"/>
  <c r="H7" i="63"/>
  <c r="I7" i="63"/>
  <c r="J7" i="63"/>
  <c r="K7" i="63"/>
  <c r="L7" i="63"/>
  <c r="M7" i="63"/>
  <c r="N76" i="62"/>
  <c r="H7" i="62"/>
  <c r="I7" i="62"/>
  <c r="J7" i="62"/>
  <c r="J22" i="29" l="1"/>
  <c r="J21" i="29"/>
  <c r="J19" i="29"/>
  <c r="A29" i="29"/>
  <c r="A28" i="29"/>
  <c r="AA74" i="4"/>
  <c r="AA58" i="4" l="1"/>
  <c r="AA72" i="4" s="1"/>
  <c r="E154" i="4"/>
  <c r="L154" i="4" s="1"/>
  <c r="E153" i="4"/>
  <c r="L153" i="4" s="1"/>
  <c r="E152" i="4"/>
  <c r="E151" i="4"/>
  <c r="L151" i="4" s="1"/>
  <c r="E150" i="4"/>
  <c r="L150" i="4" s="1"/>
  <c r="E149" i="4"/>
  <c r="L149" i="4" s="1"/>
  <c r="E148" i="4"/>
  <c r="L148" i="4" s="1"/>
  <c r="E147" i="4"/>
  <c r="L147" i="4" s="1"/>
  <c r="E146" i="4"/>
  <c r="L146" i="4" s="1"/>
  <c r="E145" i="4"/>
  <c r="L145" i="4" s="1"/>
  <c r="E144" i="4"/>
  <c r="L144" i="4" s="1"/>
  <c r="E143" i="4"/>
  <c r="O138" i="4"/>
  <c r="O137" i="4"/>
  <c r="O136" i="4"/>
  <c r="O135" i="4"/>
  <c r="O134" i="4"/>
  <c r="O133" i="4"/>
  <c r="O132" i="4"/>
  <c r="O131" i="4"/>
  <c r="O130" i="4"/>
  <c r="O129" i="4"/>
  <c r="O128" i="4"/>
  <c r="O127" i="4"/>
  <c r="O126" i="4"/>
  <c r="O125" i="4"/>
  <c r="O124" i="4"/>
  <c r="O123" i="4"/>
  <c r="O122" i="4"/>
  <c r="O121" i="4"/>
  <c r="O120" i="4"/>
  <c r="O119" i="4"/>
  <c r="N138" i="4"/>
  <c r="N137" i="4"/>
  <c r="N136" i="4"/>
  <c r="N135" i="4"/>
  <c r="N134" i="4"/>
  <c r="N133" i="4"/>
  <c r="N132" i="4"/>
  <c r="N131" i="4"/>
  <c r="N130" i="4"/>
  <c r="N129" i="4"/>
  <c r="N128" i="4"/>
  <c r="N127" i="4"/>
  <c r="N126" i="4"/>
  <c r="M138" i="4"/>
  <c r="M137" i="4"/>
  <c r="M136" i="4"/>
  <c r="M135" i="4"/>
  <c r="M134" i="4"/>
  <c r="M133" i="4"/>
  <c r="M132" i="4"/>
  <c r="M131" i="4"/>
  <c r="M130" i="4"/>
  <c r="M129" i="4"/>
  <c r="M128" i="4"/>
  <c r="M127" i="4"/>
  <c r="M126" i="4"/>
  <c r="L152" i="4" l="1"/>
  <c r="E16" i="4"/>
  <c r="L143" i="4"/>
  <c r="E126" i="4"/>
  <c r="E127" i="4"/>
  <c r="E128" i="4"/>
  <c r="N119" i="72"/>
  <c r="Q119" i="72"/>
  <c r="S119" i="72" s="1"/>
  <c r="S125" i="30" s="1"/>
  <c r="M119" i="72"/>
  <c r="T119" i="72" s="1"/>
  <c r="M125" i="30" s="1"/>
  <c r="P125" i="30"/>
  <c r="L16" i="4" l="1"/>
  <c r="U119" i="72"/>
  <c r="J125" i="30" s="1"/>
  <c r="X121" i="70"/>
  <c r="X120" i="70"/>
  <c r="P113" i="30"/>
  <c r="P114" i="30"/>
  <c r="P115" i="30"/>
  <c r="P116" i="30"/>
  <c r="P117" i="30"/>
  <c r="P118" i="30"/>
  <c r="P119" i="30"/>
  <c r="P120" i="30"/>
  <c r="P121" i="30"/>
  <c r="P122" i="30"/>
  <c r="P123" i="30"/>
  <c r="P124" i="30"/>
  <c r="D6" i="45"/>
  <c r="AC108" i="69"/>
  <c r="C113" i="30" s="1"/>
  <c r="AD108" i="69"/>
  <c r="E113" i="30" s="1"/>
  <c r="AE108" i="69"/>
  <c r="AF108" i="69"/>
  <c r="AG108" i="69"/>
  <c r="AH108" i="69"/>
  <c r="AJ108" i="69"/>
  <c r="R113" i="30" s="1"/>
  <c r="AK108" i="69"/>
  <c r="G113" i="30" s="1"/>
  <c r="AL108" i="69"/>
  <c r="O113" i="30" s="1"/>
  <c r="AC109" i="69"/>
  <c r="C114" i="30" s="1"/>
  <c r="AD109" i="69"/>
  <c r="E114" i="30" s="1"/>
  <c r="AE109" i="69"/>
  <c r="AF109" i="69"/>
  <c r="AG109" i="69"/>
  <c r="AH109" i="69"/>
  <c r="AJ109" i="69"/>
  <c r="R114" i="30" s="1"/>
  <c r="AK109" i="69"/>
  <c r="G114" i="30" s="1"/>
  <c r="AL109" i="69"/>
  <c r="O114" i="30" s="1"/>
  <c r="AC110" i="69"/>
  <c r="C115" i="30" s="1"/>
  <c r="AD110" i="69"/>
  <c r="E115" i="30" s="1"/>
  <c r="AE110" i="69"/>
  <c r="AF110" i="69"/>
  <c r="AG110" i="69"/>
  <c r="AH110" i="69"/>
  <c r="AJ110" i="69"/>
  <c r="R115" i="30" s="1"/>
  <c r="AK110" i="69"/>
  <c r="G115" i="30" s="1"/>
  <c r="AL110" i="69"/>
  <c r="O115" i="30" s="1"/>
  <c r="AC111" i="69"/>
  <c r="C116" i="30" s="1"/>
  <c r="AD111" i="69"/>
  <c r="E116" i="30" s="1"/>
  <c r="AE111" i="69"/>
  <c r="AF111" i="69"/>
  <c r="AG111" i="69"/>
  <c r="AH111" i="69"/>
  <c r="AJ111" i="69"/>
  <c r="R116" i="30" s="1"/>
  <c r="AK111" i="69"/>
  <c r="G116" i="30" s="1"/>
  <c r="AL111" i="69"/>
  <c r="O116" i="30" s="1"/>
  <c r="AC112" i="69"/>
  <c r="C117" i="30" s="1"/>
  <c r="AD112" i="69"/>
  <c r="E117" i="30" s="1"/>
  <c r="AE112" i="69"/>
  <c r="AF112" i="69"/>
  <c r="AG112" i="69"/>
  <c r="AH112" i="69"/>
  <c r="AJ112" i="69"/>
  <c r="R117" i="30" s="1"/>
  <c r="AK112" i="69"/>
  <c r="G117" i="30" s="1"/>
  <c r="AL112" i="69"/>
  <c r="O117" i="30" s="1"/>
  <c r="AC113" i="69"/>
  <c r="AD113" i="69"/>
  <c r="E118" i="30" s="1"/>
  <c r="AE113" i="69"/>
  <c r="AF113" i="69"/>
  <c r="AG113" i="69"/>
  <c r="AH113" i="69"/>
  <c r="AJ113" i="69"/>
  <c r="R118" i="30" s="1"/>
  <c r="AK113" i="69"/>
  <c r="G118" i="30" s="1"/>
  <c r="AL113" i="69"/>
  <c r="O118" i="30" s="1"/>
  <c r="AC114" i="69"/>
  <c r="C119" i="30" s="1"/>
  <c r="AD114" i="69"/>
  <c r="AE114" i="69"/>
  <c r="AF114" i="69"/>
  <c r="AG114" i="69"/>
  <c r="AH114" i="69"/>
  <c r="AJ114" i="69"/>
  <c r="R119" i="30" s="1"/>
  <c r="AK114" i="69"/>
  <c r="G119" i="30" s="1"/>
  <c r="AL114" i="69"/>
  <c r="O119" i="30" s="1"/>
  <c r="AC115" i="69"/>
  <c r="C120" i="30" s="1"/>
  <c r="AD115" i="69"/>
  <c r="E120" i="30" s="1"/>
  <c r="AE115" i="69"/>
  <c r="AF115" i="69"/>
  <c r="AG115" i="69"/>
  <c r="AH115" i="69"/>
  <c r="AJ115" i="69"/>
  <c r="R120" i="30" s="1"/>
  <c r="AK115" i="69"/>
  <c r="G120" i="30" s="1"/>
  <c r="AL115" i="69"/>
  <c r="O120" i="30" s="1"/>
  <c r="AC116" i="69"/>
  <c r="C121" i="30" s="1"/>
  <c r="AD116" i="69"/>
  <c r="AE116" i="69"/>
  <c r="AF116" i="69"/>
  <c r="AG116" i="69"/>
  <c r="AH116" i="69"/>
  <c r="AJ116" i="69"/>
  <c r="R121" i="30" s="1"/>
  <c r="AK116" i="69"/>
  <c r="G121" i="30" s="1"/>
  <c r="AL116" i="69"/>
  <c r="O121" i="30" s="1"/>
  <c r="AC117" i="69"/>
  <c r="C122" i="30" s="1"/>
  <c r="AD117" i="69"/>
  <c r="E122" i="30" s="1"/>
  <c r="AE117" i="69"/>
  <c r="AF117" i="69"/>
  <c r="AG117" i="69"/>
  <c r="AH117" i="69"/>
  <c r="AJ117" i="69"/>
  <c r="R122" i="30" s="1"/>
  <c r="AK117" i="69"/>
  <c r="G122" i="30" s="1"/>
  <c r="AL117" i="69"/>
  <c r="O122" i="30" s="1"/>
  <c r="AC118" i="69"/>
  <c r="AD118" i="69"/>
  <c r="E123" i="30" s="1"/>
  <c r="AE118" i="69"/>
  <c r="AF118" i="69"/>
  <c r="AG118" i="69"/>
  <c r="AH118" i="69"/>
  <c r="AJ118" i="69"/>
  <c r="R123" i="30" s="1"/>
  <c r="AK118" i="69"/>
  <c r="G123" i="30" s="1"/>
  <c r="AL118" i="69"/>
  <c r="O123" i="30" s="1"/>
  <c r="AC119" i="69"/>
  <c r="AD119" i="69"/>
  <c r="E124" i="30" s="1"/>
  <c r="AE119" i="69"/>
  <c r="AF119" i="69"/>
  <c r="AG119" i="69"/>
  <c r="AH119" i="69"/>
  <c r="AJ119" i="69"/>
  <c r="R124" i="30" s="1"/>
  <c r="AK119" i="69"/>
  <c r="G124" i="30" s="1"/>
  <c r="AL119" i="69"/>
  <c r="O124" i="30" s="1"/>
  <c r="AC120" i="69"/>
  <c r="C125" i="30" s="1"/>
  <c r="AD120" i="69"/>
  <c r="E125" i="30" s="1"/>
  <c r="AE120" i="69"/>
  <c r="AF120" i="69"/>
  <c r="AG120" i="69"/>
  <c r="AH120" i="69"/>
  <c r="AJ120" i="69"/>
  <c r="R125" i="30" s="1"/>
  <c r="AK120" i="69"/>
  <c r="G125" i="30" s="1"/>
  <c r="AL120" i="69"/>
  <c r="O125" i="30" s="1"/>
  <c r="AC121" i="69"/>
  <c r="C126" i="30" s="1"/>
  <c r="AD121" i="69"/>
  <c r="E126" i="30" s="1"/>
  <c r="AE121" i="69"/>
  <c r="AF121" i="69"/>
  <c r="AG121" i="69"/>
  <c r="AH121" i="69"/>
  <c r="AJ121" i="69"/>
  <c r="R126" i="30" s="1"/>
  <c r="AK121" i="69"/>
  <c r="G126" i="30" s="1"/>
  <c r="AL121" i="69"/>
  <c r="O126" i="30" s="1"/>
  <c r="AC122" i="69"/>
  <c r="C127" i="30" s="1"/>
  <c r="AD122" i="69"/>
  <c r="E127" i="30" s="1"/>
  <c r="AE122" i="69"/>
  <c r="AF122" i="69"/>
  <c r="AG122" i="69"/>
  <c r="AH122" i="69"/>
  <c r="AJ122" i="69"/>
  <c r="R127" i="30" s="1"/>
  <c r="AK122" i="69"/>
  <c r="G127" i="30" s="1"/>
  <c r="AL122" i="69"/>
  <c r="O127" i="30" s="1"/>
  <c r="AC123" i="69"/>
  <c r="C128" i="30" s="1"/>
  <c r="AD123" i="69"/>
  <c r="E128" i="30" s="1"/>
  <c r="AE123" i="69"/>
  <c r="AF123" i="69"/>
  <c r="AG123" i="69"/>
  <c r="AH123" i="69"/>
  <c r="AJ123" i="69"/>
  <c r="R128" i="30" s="1"/>
  <c r="AK123" i="69"/>
  <c r="G128" i="30" s="1"/>
  <c r="AL123" i="69"/>
  <c r="O128" i="30" s="1"/>
  <c r="AC124" i="69"/>
  <c r="C129" i="30" s="1"/>
  <c r="AD124" i="69"/>
  <c r="E129" i="30" s="1"/>
  <c r="AE124" i="69"/>
  <c r="AF124" i="69"/>
  <c r="AG124" i="69"/>
  <c r="AH124" i="69"/>
  <c r="AJ124" i="69"/>
  <c r="R129" i="30" s="1"/>
  <c r="AK124" i="69"/>
  <c r="G129" i="30" s="1"/>
  <c r="AL124" i="69"/>
  <c r="O129" i="30" s="1"/>
  <c r="AC125" i="69"/>
  <c r="C130" i="30" s="1"/>
  <c r="AD125" i="69"/>
  <c r="E130" i="30" s="1"/>
  <c r="AE125" i="69"/>
  <c r="AF125" i="69"/>
  <c r="AG125" i="69"/>
  <c r="AH125" i="69"/>
  <c r="AJ125" i="69"/>
  <c r="R130" i="30" s="1"/>
  <c r="AK125" i="69"/>
  <c r="G130" i="30" s="1"/>
  <c r="AL125" i="69"/>
  <c r="O130" i="30" s="1"/>
  <c r="AC126" i="69"/>
  <c r="C131" i="30" s="1"/>
  <c r="AD126" i="69"/>
  <c r="E131" i="30" s="1"/>
  <c r="AE126" i="69"/>
  <c r="AF126" i="69"/>
  <c r="AG126" i="69"/>
  <c r="AH126" i="69"/>
  <c r="AJ126" i="69"/>
  <c r="R131" i="30" s="1"/>
  <c r="AK126" i="69"/>
  <c r="G131" i="30" s="1"/>
  <c r="AL126" i="69"/>
  <c r="O131" i="30" s="1"/>
  <c r="AC127" i="69"/>
  <c r="C132" i="30" s="1"/>
  <c r="AD127" i="69"/>
  <c r="E132" i="30" s="1"/>
  <c r="AE127" i="69"/>
  <c r="AF127" i="69"/>
  <c r="AG127" i="69"/>
  <c r="AH127" i="69"/>
  <c r="AJ127" i="69"/>
  <c r="R132" i="30" s="1"/>
  <c r="AK127" i="69"/>
  <c r="G132" i="30" s="1"/>
  <c r="AL127" i="69"/>
  <c r="O132" i="30" s="1"/>
  <c r="AC128" i="69"/>
  <c r="C133" i="30" s="1"/>
  <c r="AD128" i="69"/>
  <c r="E133" i="30" s="1"/>
  <c r="AE128" i="69"/>
  <c r="AF128" i="69"/>
  <c r="AG128" i="69"/>
  <c r="AH128" i="69"/>
  <c r="AJ128" i="69"/>
  <c r="R133" i="30" s="1"/>
  <c r="AK128" i="69"/>
  <c r="G133" i="30" s="1"/>
  <c r="AL128" i="69"/>
  <c r="O133" i="30" s="1"/>
  <c r="AC129" i="69"/>
  <c r="C134" i="30" s="1"/>
  <c r="AD129" i="69"/>
  <c r="E134" i="30" s="1"/>
  <c r="AE129" i="69"/>
  <c r="AF129" i="69"/>
  <c r="AG129" i="69"/>
  <c r="AH129" i="69"/>
  <c r="AJ129" i="69"/>
  <c r="R134" i="30" s="1"/>
  <c r="AK129" i="69"/>
  <c r="G134" i="30" s="1"/>
  <c r="AL129" i="69"/>
  <c r="O134" i="30" s="1"/>
  <c r="AC130" i="69"/>
  <c r="C135" i="30" s="1"/>
  <c r="AD130" i="69"/>
  <c r="E135" i="30" s="1"/>
  <c r="AE130" i="69"/>
  <c r="AF130" i="69"/>
  <c r="AG130" i="69"/>
  <c r="AH130" i="69"/>
  <c r="AJ130" i="69"/>
  <c r="R135" i="30" s="1"/>
  <c r="AK130" i="69"/>
  <c r="G135" i="30" s="1"/>
  <c r="AL130" i="69"/>
  <c r="O135" i="30" s="1"/>
  <c r="AC131" i="69"/>
  <c r="C136" i="30" s="1"/>
  <c r="AD131" i="69"/>
  <c r="E136" i="30" s="1"/>
  <c r="AE131" i="69"/>
  <c r="AF131" i="69"/>
  <c r="AG131" i="69"/>
  <c r="AH131" i="69"/>
  <c r="AJ131" i="69"/>
  <c r="R136" i="30" s="1"/>
  <c r="AK131" i="69"/>
  <c r="G136" i="30" s="1"/>
  <c r="AL131" i="69"/>
  <c r="O136" i="30" s="1"/>
  <c r="AC132" i="69"/>
  <c r="C137" i="30" s="1"/>
  <c r="AD132" i="69"/>
  <c r="E137" i="30" s="1"/>
  <c r="AE132" i="69"/>
  <c r="AF132" i="69"/>
  <c r="AG132" i="69"/>
  <c r="AH132" i="69"/>
  <c r="AJ132" i="69"/>
  <c r="R137" i="30" s="1"/>
  <c r="AK132" i="69"/>
  <c r="G137" i="30" s="1"/>
  <c r="AL132" i="69"/>
  <c r="O137" i="30" s="1"/>
  <c r="AC133" i="69"/>
  <c r="C138" i="30" s="1"/>
  <c r="AD133" i="69"/>
  <c r="E138" i="30" s="1"/>
  <c r="AE133" i="69"/>
  <c r="AF133" i="69"/>
  <c r="AG133" i="69"/>
  <c r="AH133" i="69"/>
  <c r="AJ133" i="69"/>
  <c r="R138" i="30" s="1"/>
  <c r="AK133" i="69"/>
  <c r="G138" i="30" s="1"/>
  <c r="AL133" i="69"/>
  <c r="O138" i="30" s="1"/>
  <c r="AC134" i="69"/>
  <c r="C139" i="30" s="1"/>
  <c r="AD134" i="69"/>
  <c r="E139" i="30" s="1"/>
  <c r="AE134" i="69"/>
  <c r="AF134" i="69"/>
  <c r="AG134" i="69"/>
  <c r="AH134" i="69"/>
  <c r="AJ134" i="69"/>
  <c r="R139" i="30" s="1"/>
  <c r="AK134" i="69"/>
  <c r="G139" i="30" s="1"/>
  <c r="AL134" i="69"/>
  <c r="O139" i="30" s="1"/>
  <c r="AC135" i="69"/>
  <c r="C140" i="30" s="1"/>
  <c r="AD135" i="69"/>
  <c r="E140" i="30" s="1"/>
  <c r="AE135" i="69"/>
  <c r="AF135" i="69"/>
  <c r="AG135" i="69"/>
  <c r="AH135" i="69"/>
  <c r="AJ135" i="69"/>
  <c r="R140" i="30" s="1"/>
  <c r="AK135" i="69"/>
  <c r="G140" i="30" s="1"/>
  <c r="AL135" i="69"/>
  <c r="O140" i="30" s="1"/>
  <c r="AC136" i="69"/>
  <c r="C141" i="30" s="1"/>
  <c r="AD136" i="69"/>
  <c r="E141" i="30" s="1"/>
  <c r="AE136" i="69"/>
  <c r="AF136" i="69"/>
  <c r="AG136" i="69"/>
  <c r="AH136" i="69"/>
  <c r="AJ136" i="69"/>
  <c r="R141" i="30" s="1"/>
  <c r="AK136" i="69"/>
  <c r="G141" i="30" s="1"/>
  <c r="AL136" i="69"/>
  <c r="O141" i="30" s="1"/>
  <c r="X108" i="69"/>
  <c r="X109" i="69"/>
  <c r="X110" i="69"/>
  <c r="X111" i="69"/>
  <c r="X112" i="69"/>
  <c r="X113" i="69"/>
  <c r="X114" i="69"/>
  <c r="X115" i="69"/>
  <c r="X116" i="69"/>
  <c r="X117" i="69"/>
  <c r="X118" i="69"/>
  <c r="X119" i="69"/>
  <c r="X120" i="69"/>
  <c r="X121" i="69"/>
  <c r="X122" i="69"/>
  <c r="X123" i="69"/>
  <c r="X124" i="69"/>
  <c r="X125" i="69"/>
  <c r="X126" i="69"/>
  <c r="X127" i="69"/>
  <c r="X128" i="69"/>
  <c r="X129" i="69"/>
  <c r="X130" i="69"/>
  <c r="L108" i="69"/>
  <c r="L109" i="69"/>
  <c r="L110" i="69"/>
  <c r="L111" i="69"/>
  <c r="L112" i="69"/>
  <c r="L113" i="69"/>
  <c r="L101" i="69"/>
  <c r="X101" i="69"/>
  <c r="L102" i="69"/>
  <c r="X102" i="69"/>
  <c r="L103" i="69"/>
  <c r="X103" i="69"/>
  <c r="L104" i="69"/>
  <c r="X104" i="69"/>
  <c r="L105" i="69"/>
  <c r="X105" i="69"/>
  <c r="L106" i="69"/>
  <c r="X106" i="69"/>
  <c r="L107" i="69"/>
  <c r="X107" i="69"/>
  <c r="M118" i="72"/>
  <c r="T118" i="72" s="1"/>
  <c r="M124" i="30" s="1"/>
  <c r="N118" i="72"/>
  <c r="Q118" i="72"/>
  <c r="S118" i="72" s="1"/>
  <c r="S124" i="30" s="1"/>
  <c r="M117" i="72"/>
  <c r="T117" i="72" s="1"/>
  <c r="M123" i="30" s="1"/>
  <c r="N117" i="72"/>
  <c r="Q117" i="72"/>
  <c r="S117" i="72" s="1"/>
  <c r="S123" i="30" s="1"/>
  <c r="M116" i="72"/>
  <c r="T116" i="72" s="1"/>
  <c r="M122" i="30" s="1"/>
  <c r="N116" i="72"/>
  <c r="Q116" i="72"/>
  <c r="S116" i="72" s="1"/>
  <c r="S122" i="30" s="1"/>
  <c r="M115" i="72"/>
  <c r="T115" i="72" s="1"/>
  <c r="M121" i="30" s="1"/>
  <c r="N115" i="72"/>
  <c r="Q115" i="72"/>
  <c r="S115" i="72" s="1"/>
  <c r="S121" i="30" s="1"/>
  <c r="M114" i="72"/>
  <c r="N114" i="72"/>
  <c r="Q114" i="72"/>
  <c r="S114" i="72" s="1"/>
  <c r="S120" i="30" s="1"/>
  <c r="M113" i="72"/>
  <c r="T113" i="72" s="1"/>
  <c r="M119" i="30" s="1"/>
  <c r="N113" i="72"/>
  <c r="Q113" i="72"/>
  <c r="S113" i="72" s="1"/>
  <c r="S119" i="30" s="1"/>
  <c r="M112" i="72"/>
  <c r="T112" i="72" s="1"/>
  <c r="M118" i="30" s="1"/>
  <c r="N112" i="72"/>
  <c r="Q112" i="72"/>
  <c r="S112" i="72" s="1"/>
  <c r="S118" i="30" s="1"/>
  <c r="Q111" i="72"/>
  <c r="S111" i="72" s="1"/>
  <c r="S117" i="30" s="1"/>
  <c r="Q110" i="72"/>
  <c r="S110" i="72" s="1"/>
  <c r="S116" i="30" s="1"/>
  <c r="Q109" i="72"/>
  <c r="S109" i="72" s="1"/>
  <c r="S115" i="30" s="1"/>
  <c r="Q108" i="72"/>
  <c r="S108" i="72" s="1"/>
  <c r="S114" i="30" s="1"/>
  <c r="AC127" i="70"/>
  <c r="D132" i="30" s="1"/>
  <c r="AD127" i="70"/>
  <c r="F132" i="30" s="1"/>
  <c r="AE127" i="70"/>
  <c r="AF127" i="70"/>
  <c r="AG127" i="70"/>
  <c r="AH127" i="70"/>
  <c r="AI127" i="70"/>
  <c r="AJ127" i="70"/>
  <c r="T132" i="30" s="1"/>
  <c r="AK127" i="70"/>
  <c r="H132" i="30" s="1"/>
  <c r="AL127" i="70"/>
  <c r="Q132" i="30" s="1"/>
  <c r="AC128" i="70"/>
  <c r="D133" i="30" s="1"/>
  <c r="AD128" i="70"/>
  <c r="F133" i="30" s="1"/>
  <c r="AE128" i="70"/>
  <c r="AF128" i="70"/>
  <c r="AG128" i="70"/>
  <c r="AH128" i="70"/>
  <c r="AI128" i="70"/>
  <c r="AJ128" i="70"/>
  <c r="T133" i="30" s="1"/>
  <c r="AK128" i="70"/>
  <c r="H133" i="30" s="1"/>
  <c r="AL128" i="70"/>
  <c r="Q133" i="30" s="1"/>
  <c r="AC129" i="70"/>
  <c r="D134" i="30" s="1"/>
  <c r="AD129" i="70"/>
  <c r="F134" i="30" s="1"/>
  <c r="AE129" i="70"/>
  <c r="AF129" i="70"/>
  <c r="AG129" i="70"/>
  <c r="AH129" i="70"/>
  <c r="AI129" i="70"/>
  <c r="AJ129" i="70"/>
  <c r="T134" i="30" s="1"/>
  <c r="AK129" i="70"/>
  <c r="H134" i="30" s="1"/>
  <c r="AL129" i="70"/>
  <c r="Q134" i="30" s="1"/>
  <c r="AC130" i="70"/>
  <c r="D135" i="30" s="1"/>
  <c r="AD130" i="70"/>
  <c r="F135" i="30" s="1"/>
  <c r="AE130" i="70"/>
  <c r="AF130" i="70"/>
  <c r="AG130" i="70"/>
  <c r="AH130" i="70"/>
  <c r="AI130" i="70"/>
  <c r="AJ130" i="70"/>
  <c r="T135" i="30" s="1"/>
  <c r="AK130" i="70"/>
  <c r="H135" i="30" s="1"/>
  <c r="AL130" i="70"/>
  <c r="Q135" i="30" s="1"/>
  <c r="AC131" i="70"/>
  <c r="D136" i="30" s="1"/>
  <c r="AD131" i="70"/>
  <c r="F136" i="30" s="1"/>
  <c r="I20" i="64" s="1"/>
  <c r="AE131" i="70"/>
  <c r="AF131" i="70"/>
  <c r="AG131" i="70"/>
  <c r="AH131" i="70"/>
  <c r="AI131" i="70"/>
  <c r="AJ131" i="70"/>
  <c r="T136" i="30" s="1"/>
  <c r="I24" i="64" s="1"/>
  <c r="I34" i="64" s="1"/>
  <c r="AK131" i="70"/>
  <c r="H136" i="30" s="1"/>
  <c r="I22" i="64" s="1"/>
  <c r="AL131" i="70"/>
  <c r="Q136" i="30" s="1"/>
  <c r="I23" i="64" s="1"/>
  <c r="AC132" i="70"/>
  <c r="D137" i="30" s="1"/>
  <c r="AD132" i="70"/>
  <c r="F137" i="30" s="1"/>
  <c r="J20" i="64" s="1"/>
  <c r="J30" i="64" s="1"/>
  <c r="AE132" i="70"/>
  <c r="AF132" i="70"/>
  <c r="AG132" i="70"/>
  <c r="AH132" i="70"/>
  <c r="AI132" i="70"/>
  <c r="AJ132" i="70"/>
  <c r="T137" i="30" s="1"/>
  <c r="J24" i="64" s="1"/>
  <c r="J34" i="64" s="1"/>
  <c r="AK132" i="70"/>
  <c r="H137" i="30" s="1"/>
  <c r="J22" i="64" s="1"/>
  <c r="J32" i="64" s="1"/>
  <c r="AL132" i="70"/>
  <c r="Q137" i="30" s="1"/>
  <c r="J23" i="64" s="1"/>
  <c r="J33" i="64" s="1"/>
  <c r="AC133" i="70"/>
  <c r="D138" i="30" s="1"/>
  <c r="AD133" i="70"/>
  <c r="F138" i="30" s="1"/>
  <c r="K20" i="64" s="1"/>
  <c r="K30" i="64" s="1"/>
  <c r="AE133" i="70"/>
  <c r="AF133" i="70"/>
  <c r="AG133" i="70"/>
  <c r="AH133" i="70"/>
  <c r="AI133" i="70"/>
  <c r="AJ133" i="70"/>
  <c r="T138" i="30" s="1"/>
  <c r="K24" i="64" s="1"/>
  <c r="K34" i="64" s="1"/>
  <c r="AK133" i="70"/>
  <c r="H138" i="30" s="1"/>
  <c r="K22" i="64" s="1"/>
  <c r="K32" i="64" s="1"/>
  <c r="AL133" i="70"/>
  <c r="Q138" i="30" s="1"/>
  <c r="K23" i="64" s="1"/>
  <c r="K33" i="64" s="1"/>
  <c r="AC134" i="70"/>
  <c r="D139" i="30" s="1"/>
  <c r="AD134" i="70"/>
  <c r="F139" i="30" s="1"/>
  <c r="L20" i="64" s="1"/>
  <c r="L30" i="64" s="1"/>
  <c r="AE134" i="70"/>
  <c r="AF134" i="70"/>
  <c r="AG134" i="70"/>
  <c r="AH134" i="70"/>
  <c r="AI134" i="70"/>
  <c r="AJ134" i="70"/>
  <c r="T139" i="30" s="1"/>
  <c r="L24" i="64" s="1"/>
  <c r="L34" i="64" s="1"/>
  <c r="AK134" i="70"/>
  <c r="H139" i="30" s="1"/>
  <c r="L22" i="64" s="1"/>
  <c r="L32" i="64" s="1"/>
  <c r="AL134" i="70"/>
  <c r="Q139" i="30" s="1"/>
  <c r="L23" i="64" s="1"/>
  <c r="L33" i="64" s="1"/>
  <c r="AC135" i="70"/>
  <c r="D140" i="30" s="1"/>
  <c r="AD135" i="70"/>
  <c r="F140" i="30" s="1"/>
  <c r="M20" i="64" s="1"/>
  <c r="M30" i="64" s="1"/>
  <c r="AE135" i="70"/>
  <c r="AF135" i="70"/>
  <c r="AG135" i="70"/>
  <c r="AH135" i="70"/>
  <c r="AI135" i="70"/>
  <c r="AJ135" i="70"/>
  <c r="T140" i="30" s="1"/>
  <c r="M24" i="64" s="1"/>
  <c r="M34" i="64" s="1"/>
  <c r="AK135" i="70"/>
  <c r="H140" i="30" s="1"/>
  <c r="M22" i="64" s="1"/>
  <c r="M32" i="64" s="1"/>
  <c r="AL135" i="70"/>
  <c r="Q140" i="30" s="1"/>
  <c r="M23" i="64" s="1"/>
  <c r="M33" i="64" s="1"/>
  <c r="AC136" i="70"/>
  <c r="D141" i="30" s="1"/>
  <c r="AD136" i="70"/>
  <c r="F141" i="30" s="1"/>
  <c r="N20" i="64" s="1"/>
  <c r="AE136" i="70"/>
  <c r="AF136" i="70"/>
  <c r="AG136" i="70"/>
  <c r="AH136" i="70"/>
  <c r="AI136" i="70"/>
  <c r="AJ136" i="70"/>
  <c r="T141" i="30" s="1"/>
  <c r="N24" i="64" s="1"/>
  <c r="AK136" i="70"/>
  <c r="H141" i="30" s="1"/>
  <c r="N22" i="64" s="1"/>
  <c r="AL136" i="70"/>
  <c r="Q141" i="30" s="1"/>
  <c r="N23" i="64" s="1"/>
  <c r="AC110" i="70"/>
  <c r="D115" i="30" s="1"/>
  <c r="AD110" i="70"/>
  <c r="F115" i="30" s="1"/>
  <c r="AE110" i="70"/>
  <c r="AF110" i="70"/>
  <c r="AG110" i="70"/>
  <c r="AH110" i="70"/>
  <c r="AI110" i="70"/>
  <c r="AJ110" i="70"/>
  <c r="T115" i="30" s="1"/>
  <c r="AK110" i="70"/>
  <c r="H115" i="30" s="1"/>
  <c r="AL110" i="70"/>
  <c r="Q115" i="30" s="1"/>
  <c r="AC111" i="70"/>
  <c r="D116" i="30" s="1"/>
  <c r="AD111" i="70"/>
  <c r="F116" i="30" s="1"/>
  <c r="AE111" i="70"/>
  <c r="AF111" i="70"/>
  <c r="AG111" i="70"/>
  <c r="AH111" i="70"/>
  <c r="AI111" i="70"/>
  <c r="AJ111" i="70"/>
  <c r="T116" i="30" s="1"/>
  <c r="AK111" i="70"/>
  <c r="H116" i="30" s="1"/>
  <c r="AL111" i="70"/>
  <c r="Q116" i="30" s="1"/>
  <c r="AC112" i="70"/>
  <c r="D117" i="30" s="1"/>
  <c r="AD112" i="70"/>
  <c r="AE112" i="70"/>
  <c r="AF112" i="70"/>
  <c r="AG112" i="70"/>
  <c r="AH112" i="70"/>
  <c r="AI112" i="70"/>
  <c r="AJ112" i="70"/>
  <c r="T117" i="30" s="1"/>
  <c r="AK112" i="70"/>
  <c r="H117" i="30" s="1"/>
  <c r="AL112" i="70"/>
  <c r="Q117" i="30" s="1"/>
  <c r="D118" i="30"/>
  <c r="F118" i="30"/>
  <c r="AH113" i="70"/>
  <c r="AI113" i="70"/>
  <c r="AJ113" i="70"/>
  <c r="T118" i="30" s="1"/>
  <c r="AK113" i="70"/>
  <c r="H118" i="30" s="1"/>
  <c r="AL113" i="70"/>
  <c r="Q118" i="30" s="1"/>
  <c r="AC114" i="70"/>
  <c r="D119" i="30" s="1"/>
  <c r="AD114" i="70"/>
  <c r="F119" i="30" s="1"/>
  <c r="AE114" i="70"/>
  <c r="AF114" i="70"/>
  <c r="AG114" i="70"/>
  <c r="AH114" i="70"/>
  <c r="AI114" i="70"/>
  <c r="AJ114" i="70"/>
  <c r="T119" i="30" s="1"/>
  <c r="AK114" i="70"/>
  <c r="H119" i="30" s="1"/>
  <c r="AL114" i="70"/>
  <c r="Q119" i="30" s="1"/>
  <c r="AC115" i="70"/>
  <c r="D120" i="30" s="1"/>
  <c r="AD115" i="70"/>
  <c r="F120" i="30" s="1"/>
  <c r="AE115" i="70"/>
  <c r="AF115" i="70"/>
  <c r="AG115" i="70"/>
  <c r="AH115" i="70"/>
  <c r="AI115" i="70"/>
  <c r="AJ115" i="70"/>
  <c r="T120" i="30" s="1"/>
  <c r="AK115" i="70"/>
  <c r="H120" i="30" s="1"/>
  <c r="AL115" i="70"/>
  <c r="Q120" i="30" s="1"/>
  <c r="AC116" i="70"/>
  <c r="D121" i="30" s="1"/>
  <c r="AD116" i="70"/>
  <c r="AE116" i="70"/>
  <c r="AF116" i="70"/>
  <c r="AG116" i="70"/>
  <c r="AH116" i="70"/>
  <c r="AI116" i="70"/>
  <c r="AJ116" i="70"/>
  <c r="T121" i="30" s="1"/>
  <c r="AK116" i="70"/>
  <c r="H121" i="30" s="1"/>
  <c r="AL116" i="70"/>
  <c r="Q121" i="30" s="1"/>
  <c r="AC117" i="70"/>
  <c r="D122" i="30" s="1"/>
  <c r="AD117" i="70"/>
  <c r="F122" i="30" s="1"/>
  <c r="AE117" i="70"/>
  <c r="AF117" i="70"/>
  <c r="AG117" i="70"/>
  <c r="AH117" i="70"/>
  <c r="AI117" i="70"/>
  <c r="AJ117" i="70"/>
  <c r="T122" i="30" s="1"/>
  <c r="AK117" i="70"/>
  <c r="H122" i="30" s="1"/>
  <c r="AL117" i="70"/>
  <c r="Q122" i="30" s="1"/>
  <c r="AC118" i="70"/>
  <c r="D123" i="30" s="1"/>
  <c r="AD118" i="70"/>
  <c r="AE118" i="70"/>
  <c r="AF118" i="70"/>
  <c r="AG118" i="70"/>
  <c r="AH118" i="70"/>
  <c r="AI118" i="70"/>
  <c r="AJ118" i="70"/>
  <c r="T123" i="30" s="1"/>
  <c r="AK118" i="70"/>
  <c r="H123" i="30" s="1"/>
  <c r="AL118" i="70"/>
  <c r="Q123" i="30" s="1"/>
  <c r="AC119" i="70"/>
  <c r="D124" i="30" s="1"/>
  <c r="AD119" i="70"/>
  <c r="F124" i="30" s="1"/>
  <c r="AE119" i="70"/>
  <c r="AF119" i="70"/>
  <c r="AG119" i="70"/>
  <c r="AH119" i="70"/>
  <c r="AI119" i="70"/>
  <c r="AJ119" i="70"/>
  <c r="T124" i="30" s="1"/>
  <c r="AK119" i="70"/>
  <c r="H124" i="30" s="1"/>
  <c r="AL119" i="70"/>
  <c r="Q124" i="30" s="1"/>
  <c r="AC120" i="70"/>
  <c r="D125" i="30" s="1"/>
  <c r="AD120" i="70"/>
  <c r="F125" i="30" s="1"/>
  <c r="AE120" i="70"/>
  <c r="AF120" i="70"/>
  <c r="AG120" i="70"/>
  <c r="AH120" i="70"/>
  <c r="AI120" i="70"/>
  <c r="AJ120" i="70"/>
  <c r="T125" i="30" s="1"/>
  <c r="AK120" i="70"/>
  <c r="H125" i="30" s="1"/>
  <c r="AL120" i="70"/>
  <c r="Q125" i="30" s="1"/>
  <c r="AC121" i="70"/>
  <c r="D126" i="30" s="1"/>
  <c r="AD121" i="70"/>
  <c r="F126" i="30" s="1"/>
  <c r="AE121" i="70"/>
  <c r="AF121" i="70"/>
  <c r="AG121" i="70"/>
  <c r="AH121" i="70"/>
  <c r="AI121" i="70"/>
  <c r="AJ121" i="70"/>
  <c r="T126" i="30" s="1"/>
  <c r="AK121" i="70"/>
  <c r="H126" i="30" s="1"/>
  <c r="AL121" i="70"/>
  <c r="Q126" i="30" s="1"/>
  <c r="AC122" i="70"/>
  <c r="D127" i="30" s="1"/>
  <c r="AD122" i="70"/>
  <c r="F127" i="30" s="1"/>
  <c r="AE122" i="70"/>
  <c r="AF122" i="70"/>
  <c r="AG122" i="70"/>
  <c r="AH122" i="70"/>
  <c r="AI122" i="70"/>
  <c r="AJ122" i="70"/>
  <c r="T127" i="30" s="1"/>
  <c r="AK122" i="70"/>
  <c r="H127" i="30" s="1"/>
  <c r="AL122" i="70"/>
  <c r="Q127" i="30" s="1"/>
  <c r="AC123" i="70"/>
  <c r="D128" i="30" s="1"/>
  <c r="AD123" i="70"/>
  <c r="F128" i="30" s="1"/>
  <c r="AE123" i="70"/>
  <c r="AF123" i="70"/>
  <c r="AG123" i="70"/>
  <c r="AH123" i="70"/>
  <c r="AI123" i="70"/>
  <c r="AJ123" i="70"/>
  <c r="T128" i="30" s="1"/>
  <c r="AK123" i="70"/>
  <c r="H128" i="30" s="1"/>
  <c r="AL123" i="70"/>
  <c r="Q128" i="30" s="1"/>
  <c r="AC124" i="70"/>
  <c r="D129" i="30" s="1"/>
  <c r="AD124" i="70"/>
  <c r="F129" i="30" s="1"/>
  <c r="B20" i="64" s="1"/>
  <c r="AE124" i="70"/>
  <c r="AF124" i="70"/>
  <c r="AG124" i="70"/>
  <c r="AH124" i="70"/>
  <c r="AI124" i="70"/>
  <c r="AJ124" i="70"/>
  <c r="T129" i="30" s="1"/>
  <c r="B24" i="64" s="1"/>
  <c r="AK124" i="70"/>
  <c r="H129" i="30" s="1"/>
  <c r="B22" i="64" s="1"/>
  <c r="AL124" i="70"/>
  <c r="Q129" i="30" s="1"/>
  <c r="B23" i="64" s="1"/>
  <c r="AC125" i="70"/>
  <c r="D130" i="30" s="1"/>
  <c r="AD125" i="70"/>
  <c r="F130" i="30" s="1"/>
  <c r="F177" i="30" s="1"/>
  <c r="AE125" i="70"/>
  <c r="AF125" i="70"/>
  <c r="AG125" i="70"/>
  <c r="AH125" i="70"/>
  <c r="AI125" i="70"/>
  <c r="AJ125" i="70"/>
  <c r="T130" i="30" s="1"/>
  <c r="AK125" i="70"/>
  <c r="H130" i="30" s="1"/>
  <c r="AL125" i="70"/>
  <c r="Q130" i="30" s="1"/>
  <c r="AC126" i="70"/>
  <c r="D131" i="30" s="1"/>
  <c r="AD126" i="70"/>
  <c r="F131" i="30" s="1"/>
  <c r="AE126" i="70"/>
  <c r="AF126" i="70"/>
  <c r="AG126" i="70"/>
  <c r="AH126" i="70"/>
  <c r="AI126" i="70"/>
  <c r="AJ126" i="70"/>
  <c r="T131" i="30" s="1"/>
  <c r="AK126" i="70"/>
  <c r="H131" i="30" s="1"/>
  <c r="AL126" i="70"/>
  <c r="Q131" i="30" s="1"/>
  <c r="X110" i="70"/>
  <c r="X111" i="70"/>
  <c r="X112" i="70"/>
  <c r="X114" i="70"/>
  <c r="X115" i="70"/>
  <c r="X116" i="70"/>
  <c r="X117" i="70"/>
  <c r="X118" i="70"/>
  <c r="X119" i="70"/>
  <c r="C19" i="29" l="1"/>
  <c r="L19" i="29" s="1"/>
  <c r="AB60" i="4"/>
  <c r="Q177" i="30"/>
  <c r="K19" i="64"/>
  <c r="K29" i="64" s="1"/>
  <c r="N33" i="64"/>
  <c r="C47" i="64" s="1"/>
  <c r="D47" i="64" s="1"/>
  <c r="E47" i="64" s="1"/>
  <c r="F47" i="64" s="1"/>
  <c r="G47" i="64" s="1"/>
  <c r="H47" i="64" s="1"/>
  <c r="I47" i="64" s="1"/>
  <c r="J47" i="64" s="1"/>
  <c r="K47" i="64" s="1"/>
  <c r="L47" i="64" s="1"/>
  <c r="M47" i="64" s="1"/>
  <c r="N47" i="64" s="1"/>
  <c r="C59" i="64" s="1"/>
  <c r="D59" i="64" s="1"/>
  <c r="E59" i="64" s="1"/>
  <c r="F59" i="64" s="1"/>
  <c r="G59" i="64" s="1"/>
  <c r="H59" i="64" s="1"/>
  <c r="I59" i="64" s="1"/>
  <c r="J59" i="64" s="1"/>
  <c r="K59" i="64" s="1"/>
  <c r="L59" i="64" s="1"/>
  <c r="M59" i="64" s="1"/>
  <c r="N59" i="64" s="1"/>
  <c r="R23" i="64"/>
  <c r="R20" i="64"/>
  <c r="N30" i="64"/>
  <c r="R22" i="64"/>
  <c r="N32" i="64"/>
  <c r="C46" i="64" s="1"/>
  <c r="D46" i="64" s="1"/>
  <c r="E46" i="64" s="1"/>
  <c r="F46" i="64" s="1"/>
  <c r="G46" i="64" s="1"/>
  <c r="H46" i="64" s="1"/>
  <c r="I46" i="64" s="1"/>
  <c r="J46" i="64" s="1"/>
  <c r="K46" i="64" s="1"/>
  <c r="L46" i="64" s="1"/>
  <c r="M46" i="64" s="1"/>
  <c r="N46" i="64" s="1"/>
  <c r="C58" i="64" s="1"/>
  <c r="D58" i="64" s="1"/>
  <c r="E58" i="64" s="1"/>
  <c r="F58" i="64" s="1"/>
  <c r="G58" i="64" s="1"/>
  <c r="H58" i="64" s="1"/>
  <c r="I58" i="64" s="1"/>
  <c r="J58" i="64" s="1"/>
  <c r="K58" i="64" s="1"/>
  <c r="L58" i="64" s="1"/>
  <c r="M58" i="64" s="1"/>
  <c r="N58" i="64" s="1"/>
  <c r="N19" i="64"/>
  <c r="J19" i="64"/>
  <c r="J29" i="64" s="1"/>
  <c r="R24" i="64"/>
  <c r="N34" i="64"/>
  <c r="M19" i="64"/>
  <c r="M29" i="64" s="1"/>
  <c r="H177" i="30"/>
  <c r="L19" i="64"/>
  <c r="L29" i="64" s="1"/>
  <c r="T177" i="30"/>
  <c r="L18" i="6" s="1"/>
  <c r="AB74" i="4"/>
  <c r="E6" i="45"/>
  <c r="D8" i="64"/>
  <c r="D28" i="64" s="1"/>
  <c r="R177" i="30"/>
  <c r="L20" i="46" s="1"/>
  <c r="N20" i="46" s="1"/>
  <c r="N22" i="46" s="1"/>
  <c r="O177" i="30"/>
  <c r="B50" i="46" s="1"/>
  <c r="D50" i="46" s="1"/>
  <c r="G177" i="30"/>
  <c r="L50" i="46" s="1"/>
  <c r="N50" i="46" s="1"/>
  <c r="E177" i="30"/>
  <c r="H24" i="64"/>
  <c r="H34" i="64" s="1"/>
  <c r="AN112" i="70"/>
  <c r="G24" i="64"/>
  <c r="G34" i="64" s="1"/>
  <c r="F24" i="64"/>
  <c r="F34" i="64" s="1"/>
  <c r="D24" i="64"/>
  <c r="D34" i="64" s="1"/>
  <c r="E24" i="64"/>
  <c r="E34" i="64" s="1"/>
  <c r="G23" i="64"/>
  <c r="G20" i="64"/>
  <c r="G22" i="64"/>
  <c r="F23" i="64"/>
  <c r="F20" i="64"/>
  <c r="D23" i="64"/>
  <c r="F22" i="64"/>
  <c r="D20" i="64"/>
  <c r="D22" i="64"/>
  <c r="E23" i="64"/>
  <c r="E20" i="64"/>
  <c r="H22" i="64"/>
  <c r="E22" i="64"/>
  <c r="H23" i="64"/>
  <c r="H20" i="64"/>
  <c r="I32" i="64"/>
  <c r="C23" i="64"/>
  <c r="F50" i="46"/>
  <c r="H50" i="46" s="1"/>
  <c r="I19" i="64"/>
  <c r="E19" i="64"/>
  <c r="C22" i="64"/>
  <c r="P50" i="46"/>
  <c r="C19" i="64"/>
  <c r="D177" i="30"/>
  <c r="G19" i="29" s="1"/>
  <c r="AN110" i="70"/>
  <c r="K115" i="30" s="1"/>
  <c r="V115" i="30" s="1"/>
  <c r="D19" i="64"/>
  <c r="C24" i="64"/>
  <c r="C34" i="64" s="1"/>
  <c r="P20" i="46"/>
  <c r="R20" i="46" s="1"/>
  <c r="AN115" i="70"/>
  <c r="AO115" i="70" s="1"/>
  <c r="T176" i="30"/>
  <c r="H19" i="64"/>
  <c r="C177" i="30"/>
  <c r="B19" i="29" s="1"/>
  <c r="E19" i="29" s="1"/>
  <c r="C20" i="64"/>
  <c r="P19" i="29"/>
  <c r="B19" i="64"/>
  <c r="AN135" i="69"/>
  <c r="I140" i="30" s="1"/>
  <c r="I33" i="64"/>
  <c r="I30" i="64"/>
  <c r="G19" i="64"/>
  <c r="AN117" i="70"/>
  <c r="K122" i="30" s="1"/>
  <c r="F19" i="64"/>
  <c r="AO110" i="69"/>
  <c r="L115" i="30" s="1"/>
  <c r="U113" i="72"/>
  <c r="J119" i="30" s="1"/>
  <c r="U112" i="72"/>
  <c r="J118" i="30" s="1"/>
  <c r="U117" i="72"/>
  <c r="J123" i="30" s="1"/>
  <c r="U116" i="72"/>
  <c r="J122" i="30" s="1"/>
  <c r="U115" i="72"/>
  <c r="J121" i="30" s="1"/>
  <c r="S176" i="30"/>
  <c r="O19" i="46" s="1"/>
  <c r="AN118" i="70"/>
  <c r="AN114" i="70"/>
  <c r="AO114" i="70" s="1"/>
  <c r="AN124" i="70"/>
  <c r="AO124" i="70" s="1"/>
  <c r="AO135" i="69"/>
  <c r="P176" i="30"/>
  <c r="E49" i="46" s="1"/>
  <c r="M26" i="32" s="1"/>
  <c r="M24" i="51" s="1"/>
  <c r="AO136" i="69"/>
  <c r="Q176" i="30"/>
  <c r="H176" i="30"/>
  <c r="D176" i="30"/>
  <c r="AN111" i="69"/>
  <c r="I116" i="30" s="1"/>
  <c r="AN116" i="69"/>
  <c r="I121" i="30" s="1"/>
  <c r="R176" i="30"/>
  <c r="L19" i="46" s="1"/>
  <c r="N19" i="46" s="1"/>
  <c r="L29" i="32" s="1"/>
  <c r="L27" i="51" s="1"/>
  <c r="O176" i="30"/>
  <c r="B49" i="46" s="1"/>
  <c r="D49" i="46" s="1"/>
  <c r="L25" i="32" s="1"/>
  <c r="G176" i="30"/>
  <c r="L49" i="46" s="1"/>
  <c r="N49" i="46" s="1"/>
  <c r="AN129" i="69"/>
  <c r="I134" i="30" s="1"/>
  <c r="AO122" i="69"/>
  <c r="AO123" i="69"/>
  <c r="AN127" i="69"/>
  <c r="I132" i="30" s="1"/>
  <c r="AN132" i="69"/>
  <c r="I137" i="30" s="1"/>
  <c r="AO120" i="69"/>
  <c r="L125" i="30" s="1"/>
  <c r="AO119" i="69"/>
  <c r="L124" i="30" s="1"/>
  <c r="AN122" i="70"/>
  <c r="K123" i="30"/>
  <c r="N123" i="30"/>
  <c r="K117" i="30"/>
  <c r="N117" i="30"/>
  <c r="AN123" i="70"/>
  <c r="AN116" i="70"/>
  <c r="AO116" i="70" s="1"/>
  <c r="AN121" i="69"/>
  <c r="I126" i="30" s="1"/>
  <c r="AO112" i="69"/>
  <c r="L117" i="30" s="1"/>
  <c r="AN108" i="69"/>
  <c r="I113" i="30" s="1"/>
  <c r="AN122" i="69"/>
  <c r="I127" i="30" s="1"/>
  <c r="AO118" i="69"/>
  <c r="L123" i="30" s="1"/>
  <c r="AO116" i="69"/>
  <c r="L121" i="30" s="1"/>
  <c r="AN115" i="69"/>
  <c r="I120" i="30" s="1"/>
  <c r="C118" i="30"/>
  <c r="F121" i="30"/>
  <c r="AN119" i="69"/>
  <c r="I124" i="30" s="1"/>
  <c r="E121" i="30"/>
  <c r="AN135" i="70"/>
  <c r="AN131" i="70"/>
  <c r="AN127" i="70"/>
  <c r="AO125" i="69"/>
  <c r="AO112" i="70"/>
  <c r="F117" i="30"/>
  <c r="AN130" i="70"/>
  <c r="AN128" i="69"/>
  <c r="I133" i="30" s="1"/>
  <c r="AO128" i="69"/>
  <c r="AN124" i="69"/>
  <c r="I129" i="30" s="1"/>
  <c r="AN111" i="70"/>
  <c r="AN134" i="70"/>
  <c r="T114" i="72"/>
  <c r="M120" i="30" s="1"/>
  <c r="M176" i="30" s="1"/>
  <c r="E19" i="46" s="1"/>
  <c r="U114" i="72"/>
  <c r="J120" i="30" s="1"/>
  <c r="AN121" i="70"/>
  <c r="AO134" i="69"/>
  <c r="AO132" i="69"/>
  <c r="AN131" i="69"/>
  <c r="I136" i="30" s="1"/>
  <c r="N122" i="30"/>
  <c r="E119" i="30"/>
  <c r="AO118" i="70"/>
  <c r="F123" i="30"/>
  <c r="AN120" i="70"/>
  <c r="AN134" i="69"/>
  <c r="I139" i="30" s="1"/>
  <c r="AO113" i="69"/>
  <c r="L118" i="30" s="1"/>
  <c r="AO109" i="69"/>
  <c r="AO131" i="69"/>
  <c r="AN118" i="69"/>
  <c r="I123" i="30" s="1"/>
  <c r="AO115" i="69"/>
  <c r="AN113" i="70"/>
  <c r="AO129" i="69"/>
  <c r="AN113" i="69"/>
  <c r="I118" i="30" s="1"/>
  <c r="AN110" i="69"/>
  <c r="I115" i="30" s="1"/>
  <c r="AO108" i="69"/>
  <c r="L113" i="30" s="1"/>
  <c r="AN126" i="70"/>
  <c r="AN119" i="70"/>
  <c r="AN133" i="70"/>
  <c r="AN129" i="70"/>
  <c r="AN130" i="69"/>
  <c r="I135" i="30" s="1"/>
  <c r="AN126" i="69"/>
  <c r="I131" i="30" s="1"/>
  <c r="AO124" i="69"/>
  <c r="AN123" i="69"/>
  <c r="I128" i="30" s="1"/>
  <c r="AN114" i="69"/>
  <c r="I119" i="30" s="1"/>
  <c r="AO111" i="69"/>
  <c r="L116" i="30" s="1"/>
  <c r="AN125" i="70"/>
  <c r="AN136" i="70"/>
  <c r="AN132" i="70"/>
  <c r="AN128" i="70"/>
  <c r="AN136" i="69"/>
  <c r="I141" i="30" s="1"/>
  <c r="AO133" i="69"/>
  <c r="AO130" i="69"/>
  <c r="AO127" i="69"/>
  <c r="AN120" i="69"/>
  <c r="I125" i="30" s="1"/>
  <c r="AO117" i="69"/>
  <c r="AO114" i="69"/>
  <c r="L119" i="30" s="1"/>
  <c r="C124" i="30"/>
  <c r="C123" i="30"/>
  <c r="AP110" i="69"/>
  <c r="AN112" i="69"/>
  <c r="I117" i="30" s="1"/>
  <c r="AO126" i="69"/>
  <c r="AN109" i="69"/>
  <c r="I114" i="30" s="1"/>
  <c r="AO121" i="69"/>
  <c r="AN133" i="69"/>
  <c r="I138" i="30" s="1"/>
  <c r="AN125" i="69"/>
  <c r="I130" i="30" s="1"/>
  <c r="AN117" i="69"/>
  <c r="I122" i="30" s="1"/>
  <c r="U118" i="72"/>
  <c r="J124" i="30" s="1"/>
  <c r="L23" i="51" l="1"/>
  <c r="AO132" i="70"/>
  <c r="N137" i="30"/>
  <c r="K137" i="30"/>
  <c r="AP136" i="69"/>
  <c r="L141" i="30"/>
  <c r="AO136" i="70"/>
  <c r="K141" i="30"/>
  <c r="N141" i="30"/>
  <c r="AO133" i="70"/>
  <c r="K138" i="30"/>
  <c r="N138" i="30"/>
  <c r="AP135" i="69"/>
  <c r="L140" i="30"/>
  <c r="AO134" i="70"/>
  <c r="N139" i="30"/>
  <c r="K139" i="30"/>
  <c r="N29" i="64"/>
  <c r="R19" i="64"/>
  <c r="AO135" i="70"/>
  <c r="K140" i="30"/>
  <c r="N140" i="30"/>
  <c r="AP134" i="69"/>
  <c r="L139" i="30"/>
  <c r="K19" i="29"/>
  <c r="N19" i="29" s="1"/>
  <c r="N21" i="29" s="1"/>
  <c r="F6" i="45"/>
  <c r="E8" i="64"/>
  <c r="E28" i="64" s="1"/>
  <c r="I177" i="30"/>
  <c r="V177" i="30" s="1"/>
  <c r="AP132" i="69"/>
  <c r="L137" i="30"/>
  <c r="AP133" i="69"/>
  <c r="L138" i="30"/>
  <c r="AO110" i="70"/>
  <c r="N120" i="30"/>
  <c r="K120" i="30"/>
  <c r="N115" i="30"/>
  <c r="K119" i="30"/>
  <c r="N119" i="30"/>
  <c r="Q50" i="46"/>
  <c r="Q56" i="46" s="1"/>
  <c r="AP121" i="69"/>
  <c r="L126" i="30"/>
  <c r="L26" i="32"/>
  <c r="I49" i="46"/>
  <c r="E21" i="29"/>
  <c r="E22" i="29" s="1"/>
  <c r="L18" i="32"/>
  <c r="AP126" i="69"/>
  <c r="L131" i="30"/>
  <c r="AO129" i="70"/>
  <c r="K134" i="30"/>
  <c r="N134" i="30"/>
  <c r="AO117" i="70"/>
  <c r="AO130" i="70"/>
  <c r="K135" i="30"/>
  <c r="N135" i="30"/>
  <c r="K129" i="30"/>
  <c r="N129" i="30"/>
  <c r="AP123" i="69"/>
  <c r="L128" i="30"/>
  <c r="AP127" i="69"/>
  <c r="L132" i="30"/>
  <c r="AO125" i="70"/>
  <c r="N130" i="30"/>
  <c r="K130" i="30"/>
  <c r="G18" i="29"/>
  <c r="L8" i="32" s="1"/>
  <c r="B17" i="6"/>
  <c r="AP111" i="69"/>
  <c r="AO126" i="70"/>
  <c r="N131" i="30"/>
  <c r="K131" i="30"/>
  <c r="AP125" i="69"/>
  <c r="L130" i="30"/>
  <c r="AP122" i="69"/>
  <c r="L127" i="30"/>
  <c r="P49" i="46"/>
  <c r="L20" i="32" s="1"/>
  <c r="L18" i="51" s="1"/>
  <c r="F17" i="6"/>
  <c r="S19" i="46"/>
  <c r="L30" i="32"/>
  <c r="L28" i="51" s="1"/>
  <c r="L17" i="6"/>
  <c r="P19" i="46"/>
  <c r="L28" i="32" s="1"/>
  <c r="L26" i="51" s="1"/>
  <c r="AP130" i="69"/>
  <c r="L135" i="30"/>
  <c r="AO127" i="70"/>
  <c r="K132" i="30"/>
  <c r="N132" i="30"/>
  <c r="J17" i="6"/>
  <c r="F49" i="46"/>
  <c r="L24" i="32" s="1"/>
  <c r="L22" i="51" s="1"/>
  <c r="AO128" i="70"/>
  <c r="K133" i="30"/>
  <c r="N133" i="30"/>
  <c r="AP124" i="69"/>
  <c r="L129" i="30"/>
  <c r="AO121" i="70"/>
  <c r="K126" i="30"/>
  <c r="V126" i="30" s="1"/>
  <c r="J61" i="52" s="1"/>
  <c r="P139" i="4" s="1"/>
  <c r="N126" i="30"/>
  <c r="AO131" i="70"/>
  <c r="K136" i="30"/>
  <c r="N136" i="30"/>
  <c r="AO122" i="70"/>
  <c r="K127" i="30"/>
  <c r="V127" i="30" s="1"/>
  <c r="K61" i="52" s="1"/>
  <c r="P140" i="4" s="1"/>
  <c r="N127" i="30"/>
  <c r="L21" i="32"/>
  <c r="AP128" i="69"/>
  <c r="L133" i="30"/>
  <c r="G50" i="46"/>
  <c r="G56" i="46" s="1"/>
  <c r="C64" i="46" s="1"/>
  <c r="D64" i="46" s="1"/>
  <c r="I50" i="46"/>
  <c r="I56" i="46" s="1"/>
  <c r="AO123" i="70"/>
  <c r="K128" i="30"/>
  <c r="V128" i="30" s="1"/>
  <c r="L61" i="52" s="1"/>
  <c r="P141" i="4" s="1"/>
  <c r="N128" i="30"/>
  <c r="AP131" i="69"/>
  <c r="L136" i="30"/>
  <c r="Q20" i="46"/>
  <c r="S20" i="46"/>
  <c r="AP129" i="69"/>
  <c r="L134" i="30"/>
  <c r="AO120" i="70"/>
  <c r="N125" i="30"/>
  <c r="K125" i="30"/>
  <c r="V120" i="30"/>
  <c r="D61" i="52" s="1"/>
  <c r="V119" i="30"/>
  <c r="C61" i="52" s="1"/>
  <c r="AP108" i="69"/>
  <c r="V122" i="30"/>
  <c r="F61" i="52" s="1"/>
  <c r="V123" i="30"/>
  <c r="G61" i="52" s="1"/>
  <c r="F176" i="30"/>
  <c r="J176" i="30"/>
  <c r="V117" i="30"/>
  <c r="AP118" i="69"/>
  <c r="AP120" i="69"/>
  <c r="C176" i="30"/>
  <c r="B18" i="29" s="1"/>
  <c r="L9" i="32" s="1"/>
  <c r="AP113" i="69"/>
  <c r="I176" i="30"/>
  <c r="E176" i="30"/>
  <c r="K18" i="29" s="1"/>
  <c r="L13" i="32" s="1"/>
  <c r="AP112" i="69"/>
  <c r="AP119" i="69"/>
  <c r="AO119" i="70"/>
  <c r="K124" i="30"/>
  <c r="N124" i="30"/>
  <c r="AP109" i="69"/>
  <c r="L114" i="30"/>
  <c r="AO113" i="70"/>
  <c r="K118" i="30"/>
  <c r="N118" i="30"/>
  <c r="AO111" i="70"/>
  <c r="K116" i="30"/>
  <c r="V116" i="30" s="1"/>
  <c r="N116" i="30"/>
  <c r="AP117" i="69"/>
  <c r="L122" i="30"/>
  <c r="AP114" i="69"/>
  <c r="AP116" i="69"/>
  <c r="AP115" i="69"/>
  <c r="L120" i="30"/>
  <c r="K121" i="30"/>
  <c r="N121" i="30"/>
  <c r="M83" i="68"/>
  <c r="L83" i="68"/>
  <c r="L11" i="51" l="1"/>
  <c r="L19" i="51"/>
  <c r="L21" i="64"/>
  <c r="L31" i="64" s="1"/>
  <c r="V139" i="30"/>
  <c r="K62" i="52" s="1"/>
  <c r="P152" i="4" s="1"/>
  <c r="N21" i="64"/>
  <c r="V141" i="30"/>
  <c r="M62" i="52" s="1"/>
  <c r="P154" i="4" s="1"/>
  <c r="M18" i="6"/>
  <c r="N177" i="30"/>
  <c r="M21" i="64"/>
  <c r="M31" i="64" s="1"/>
  <c r="V140" i="30"/>
  <c r="L62" i="52" s="1"/>
  <c r="P153" i="4" s="1"/>
  <c r="J21" i="64"/>
  <c r="J31" i="64" s="1"/>
  <c r="V137" i="30"/>
  <c r="I62" i="52" s="1"/>
  <c r="P150" i="4" s="1"/>
  <c r="V176" i="30"/>
  <c r="K21" i="64"/>
  <c r="K31" i="64" s="1"/>
  <c r="V138" i="30"/>
  <c r="J62" i="52" s="1"/>
  <c r="P151" i="4" s="1"/>
  <c r="L38" i="6"/>
  <c r="G6" i="45"/>
  <c r="F8" i="64"/>
  <c r="F28" i="64" s="1"/>
  <c r="L177" i="30"/>
  <c r="B20" i="46" s="1"/>
  <c r="D20" i="46" s="1"/>
  <c r="M64" i="46"/>
  <c r="N64" i="46" s="1"/>
  <c r="E23" i="29"/>
  <c r="Q49" i="46"/>
  <c r="G21" i="64"/>
  <c r="V134" i="30"/>
  <c r="F62" i="52" s="1"/>
  <c r="P147" i="4" s="1"/>
  <c r="G49" i="46"/>
  <c r="E21" i="64"/>
  <c r="V132" i="30"/>
  <c r="D62" i="52" s="1"/>
  <c r="P145" i="4" s="1"/>
  <c r="R19" i="46"/>
  <c r="D21" i="64"/>
  <c r="V131" i="30"/>
  <c r="C62" i="52" s="1"/>
  <c r="P144" i="4" s="1"/>
  <c r="H21" i="64"/>
  <c r="H31" i="64" s="1"/>
  <c r="V135" i="30"/>
  <c r="G62" i="52" s="1"/>
  <c r="P148" i="4" s="1"/>
  <c r="L34" i="32"/>
  <c r="L16" i="51"/>
  <c r="K177" i="30"/>
  <c r="F20" i="46" s="1"/>
  <c r="H20" i="46" s="1"/>
  <c r="C21" i="64"/>
  <c r="V130" i="30"/>
  <c r="B62" i="52" s="1"/>
  <c r="P143" i="4" s="1"/>
  <c r="H49" i="46"/>
  <c r="Q19" i="46"/>
  <c r="L43" i="32"/>
  <c r="L24" i="51"/>
  <c r="B21" i="64"/>
  <c r="V129" i="30"/>
  <c r="M61" i="52" s="1"/>
  <c r="P142" i="4" s="1"/>
  <c r="I21" i="64"/>
  <c r="I31" i="64" s="1"/>
  <c r="V136" i="30"/>
  <c r="H62" i="52" s="1"/>
  <c r="P149" i="4" s="1"/>
  <c r="F21" i="64"/>
  <c r="V133" i="30"/>
  <c r="E62" i="52" s="1"/>
  <c r="P146" i="4" s="1"/>
  <c r="D17" i="6"/>
  <c r="P18" i="29"/>
  <c r="L12" i="32" s="1"/>
  <c r="L10" i="51" s="1"/>
  <c r="L6" i="51"/>
  <c r="L7" i="51"/>
  <c r="V125" i="30"/>
  <c r="I61" i="52" s="1"/>
  <c r="V121" i="30"/>
  <c r="E61" i="52" s="1"/>
  <c r="V118" i="30"/>
  <c r="B61" i="52" s="1"/>
  <c r="K176" i="30"/>
  <c r="N176" i="30"/>
  <c r="P132" i="4"/>
  <c r="V124" i="30"/>
  <c r="H61" i="52" s="1"/>
  <c r="P136" i="4"/>
  <c r="P133" i="4"/>
  <c r="P135" i="4"/>
  <c r="G53" i="46"/>
  <c r="G54" i="46" s="1"/>
  <c r="G52" i="46"/>
  <c r="L176" i="30"/>
  <c r="B19" i="46" s="1"/>
  <c r="D19" i="46" s="1"/>
  <c r="L17" i="32" s="1"/>
  <c r="R21" i="64" l="1"/>
  <c r="R25" i="64" s="1"/>
  <c r="N31" i="64"/>
  <c r="C45" i="64" s="1"/>
  <c r="D45" i="64" s="1"/>
  <c r="E45" i="64" s="1"/>
  <c r="F45" i="64" s="1"/>
  <c r="G45" i="64" s="1"/>
  <c r="H45" i="64" s="1"/>
  <c r="I45" i="64" s="1"/>
  <c r="J45" i="64" s="1"/>
  <c r="K45" i="64" s="1"/>
  <c r="L45" i="64" s="1"/>
  <c r="M45" i="64" s="1"/>
  <c r="N45" i="64" s="1"/>
  <c r="C57" i="64" s="1"/>
  <c r="D57" i="64" s="1"/>
  <c r="E57" i="64" s="1"/>
  <c r="F57" i="64" s="1"/>
  <c r="G57" i="64" s="1"/>
  <c r="H57" i="64" s="1"/>
  <c r="I57" i="64" s="1"/>
  <c r="J57" i="64" s="1"/>
  <c r="K57" i="64" s="1"/>
  <c r="L57" i="64" s="1"/>
  <c r="M57" i="64" s="1"/>
  <c r="N57" i="64" s="1"/>
  <c r="H6" i="45"/>
  <c r="G8" i="64"/>
  <c r="G28" i="64" s="1"/>
  <c r="L34" i="51"/>
  <c r="I19" i="46"/>
  <c r="L32" i="51"/>
  <c r="H17" i="6"/>
  <c r="F19" i="46"/>
  <c r="G20" i="46"/>
  <c r="I20" i="46"/>
  <c r="P138" i="4"/>
  <c r="P131" i="4"/>
  <c r="P137" i="4"/>
  <c r="P134" i="4"/>
  <c r="O17" i="6" l="1"/>
  <c r="G22" i="46"/>
  <c r="G23" i="46" s="1"/>
  <c r="G24" i="46" s="1"/>
  <c r="I6" i="45"/>
  <c r="H8" i="64"/>
  <c r="H28" i="64" s="1"/>
  <c r="L16" i="32"/>
  <c r="H19" i="46"/>
  <c r="G19" i="46"/>
  <c r="L15" i="51"/>
  <c r="L31" i="51" s="1"/>
  <c r="L42" i="32"/>
  <c r="L33" i="32"/>
  <c r="L45" i="32" s="1"/>
  <c r="I25" i="62"/>
  <c r="I25" i="63"/>
  <c r="N75" i="62"/>
  <c r="L47" i="32" l="1"/>
  <c r="L50" i="32"/>
  <c r="L46" i="32"/>
  <c r="L49" i="32"/>
  <c r="L48" i="32"/>
  <c r="J6" i="45"/>
  <c r="I8" i="64"/>
  <c r="I28" i="64" s="1"/>
  <c r="L14" i="51"/>
  <c r="L30" i="51" s="1"/>
  <c r="L32" i="32"/>
  <c r="L41" i="32"/>
  <c r="J25" i="63"/>
  <c r="J25" i="62"/>
  <c r="M25" i="63"/>
  <c r="L25" i="63"/>
  <c r="K25" i="63"/>
  <c r="K6" i="45" l="1"/>
  <c r="J8" i="64"/>
  <c r="J28" i="64" s="1"/>
  <c r="N125" i="4"/>
  <c r="N124" i="4"/>
  <c r="N123" i="4"/>
  <c r="N121" i="4"/>
  <c r="N120" i="4"/>
  <c r="N119" i="4"/>
  <c r="N122" i="4"/>
  <c r="M125" i="4"/>
  <c r="M124" i="4"/>
  <c r="M123" i="4"/>
  <c r="M122" i="4"/>
  <c r="M121" i="4"/>
  <c r="M120" i="4"/>
  <c r="M119" i="4"/>
  <c r="M60" i="52"/>
  <c r="P130" i="4" s="1"/>
  <c r="L60" i="52"/>
  <c r="P129" i="4" s="1"/>
  <c r="K60" i="52"/>
  <c r="P128" i="4" s="1"/>
  <c r="A23" i="52"/>
  <c r="A38" i="52" s="1"/>
  <c r="A53" i="52" s="1"/>
  <c r="A68" i="52" s="1"/>
  <c r="A83" i="52" s="1"/>
  <c r="A98" i="52" s="1"/>
  <c r="A24" i="52"/>
  <c r="A39" i="52" s="1"/>
  <c r="A54" i="52" s="1"/>
  <c r="A69" i="52" s="1"/>
  <c r="A84" i="52" s="1"/>
  <c r="A99" i="52" s="1"/>
  <c r="A25" i="52"/>
  <c r="A40" i="52" s="1"/>
  <c r="A55" i="52" s="1"/>
  <c r="A70" i="52" s="1"/>
  <c r="A85" i="52" s="1"/>
  <c r="A100" i="52" s="1"/>
  <c r="A26" i="52"/>
  <c r="A27" i="52"/>
  <c r="A28" i="52"/>
  <c r="A43" i="52" s="1"/>
  <c r="A58" i="52" s="1"/>
  <c r="A73" i="52" s="1"/>
  <c r="A88" i="52" s="1"/>
  <c r="A103" i="52" s="1"/>
  <c r="A29" i="52"/>
  <c r="A30" i="52"/>
  <c r="A31" i="52"/>
  <c r="A32" i="52"/>
  <c r="A47" i="52" s="1"/>
  <c r="A62" i="52" s="1"/>
  <c r="A77" i="52" s="1"/>
  <c r="A92" i="52" s="1"/>
  <c r="A107" i="52" s="1"/>
  <c r="A33" i="52"/>
  <c r="A48" i="52" s="1"/>
  <c r="A63" i="52" s="1"/>
  <c r="A22" i="52"/>
  <c r="A37" i="52" s="1"/>
  <c r="A52" i="52" s="1"/>
  <c r="A67" i="52" s="1"/>
  <c r="A82" i="52" s="1"/>
  <c r="A97" i="52" s="1"/>
  <c r="J7" i="32"/>
  <c r="I5" i="51"/>
  <c r="L6" i="45" l="1"/>
  <c r="K8" i="64"/>
  <c r="K28" i="64" s="1"/>
  <c r="A78" i="52"/>
  <c r="A45" i="52"/>
  <c r="A60" i="52" s="1"/>
  <c r="A75" i="52" s="1"/>
  <c r="A44" i="52"/>
  <c r="A59" i="52" s="1"/>
  <c r="A42" i="52"/>
  <c r="A57" i="52" s="1"/>
  <c r="A41" i="52"/>
  <c r="A56" i="52" s="1"/>
  <c r="A71" i="52" s="1"/>
  <c r="A86" i="52" s="1"/>
  <c r="A101" i="52" s="1"/>
  <c r="A46" i="52"/>
  <c r="A61" i="52" s="1"/>
  <c r="A76" i="52" s="1"/>
  <c r="J16" i="29"/>
  <c r="AA57" i="4"/>
  <c r="AA71" i="4" s="1"/>
  <c r="M6" i="45" l="1"/>
  <c r="L8" i="64"/>
  <c r="L28" i="64" s="1"/>
  <c r="A91" i="52"/>
  <c r="A106" i="52" s="1"/>
  <c r="A90" i="52"/>
  <c r="A105" i="52" s="1"/>
  <c r="A93" i="52"/>
  <c r="A108" i="52" s="1"/>
  <c r="A72" i="52"/>
  <c r="A87" i="52" s="1"/>
  <c r="A102" i="52" s="1"/>
  <c r="A74" i="52"/>
  <c r="N6" i="45" l="1"/>
  <c r="M8" i="64"/>
  <c r="M28" i="64" s="1"/>
  <c r="A89" i="52"/>
  <c r="A104" i="52" s="1"/>
  <c r="C9" i="45" l="1"/>
  <c r="N8" i="64"/>
  <c r="N28" i="64" s="1"/>
  <c r="E142" i="4"/>
  <c r="L142" i="4" s="1"/>
  <c r="E141" i="4"/>
  <c r="L141" i="4" s="1"/>
  <c r="E140" i="4"/>
  <c r="L140" i="4" s="1"/>
  <c r="E139" i="4"/>
  <c r="L139" i="4" s="1"/>
  <c r="E138" i="4"/>
  <c r="L138" i="4" s="1"/>
  <c r="E137" i="4"/>
  <c r="L137" i="4" s="1"/>
  <c r="E136" i="4"/>
  <c r="L136" i="4" s="1"/>
  <c r="E135" i="4"/>
  <c r="L135" i="4" s="1"/>
  <c r="E134" i="4"/>
  <c r="L134" i="4" s="1"/>
  <c r="E133" i="4"/>
  <c r="L133" i="4" s="1"/>
  <c r="E132" i="4"/>
  <c r="L132" i="4" s="1"/>
  <c r="E131" i="4"/>
  <c r="P100" i="30"/>
  <c r="P101" i="30"/>
  <c r="P102" i="30"/>
  <c r="P103" i="30"/>
  <c r="P104" i="30"/>
  <c r="P105" i="30"/>
  <c r="P106" i="30"/>
  <c r="P107" i="30"/>
  <c r="P108" i="30"/>
  <c r="P109" i="30"/>
  <c r="P110" i="30"/>
  <c r="P111" i="30"/>
  <c r="P112" i="30"/>
  <c r="D9" i="45" l="1"/>
  <c r="C42" i="64"/>
  <c r="L131" i="4"/>
  <c r="E15" i="4"/>
  <c r="Q118" i="4"/>
  <c r="Q117" i="4"/>
  <c r="Q116" i="4"/>
  <c r="Q115" i="4"/>
  <c r="Q114" i="4"/>
  <c r="Q113" i="4"/>
  <c r="Q112" i="4"/>
  <c r="Q111" i="4"/>
  <c r="Q110" i="4"/>
  <c r="Q109" i="4"/>
  <c r="Q108" i="4"/>
  <c r="Q107" i="4"/>
  <c r="O118" i="4"/>
  <c r="O117" i="4"/>
  <c r="O116" i="4"/>
  <c r="O115" i="4"/>
  <c r="O114" i="4"/>
  <c r="O113" i="4"/>
  <c r="O112" i="4"/>
  <c r="O111" i="4"/>
  <c r="O110" i="4"/>
  <c r="O109" i="4"/>
  <c r="O108" i="4"/>
  <c r="O107" i="4"/>
  <c r="L127" i="4"/>
  <c r="L128" i="4"/>
  <c r="E118" i="4"/>
  <c r="E119" i="4"/>
  <c r="E120" i="4"/>
  <c r="E121" i="4"/>
  <c r="E122" i="4"/>
  <c r="E123" i="4"/>
  <c r="E124" i="4"/>
  <c r="E125" i="4"/>
  <c r="E129" i="4"/>
  <c r="L129" i="4" s="1"/>
  <c r="E130" i="4"/>
  <c r="L130" i="4" s="1"/>
  <c r="L15" i="4" l="1"/>
  <c r="E9" i="45"/>
  <c r="D42" i="64"/>
  <c r="Q125" i="4"/>
  <c r="Q127" i="4"/>
  <c r="Q126" i="4"/>
  <c r="Q128" i="4"/>
  <c r="Q119" i="4"/>
  <c r="Q121" i="4"/>
  <c r="Q129" i="4"/>
  <c r="Q122" i="4"/>
  <c r="Q130" i="4"/>
  <c r="Q123" i="4"/>
  <c r="Q124" i="4"/>
  <c r="E14" i="4"/>
  <c r="L126" i="4"/>
  <c r="C18" i="29" l="1"/>
  <c r="E18" i="29" s="1"/>
  <c r="AB59" i="4"/>
  <c r="AB73" i="4" s="1"/>
  <c r="F9" i="45"/>
  <c r="E42" i="64"/>
  <c r="L18" i="29"/>
  <c r="N18" i="29" s="1"/>
  <c r="U18" i="29" s="1"/>
  <c r="Q140" i="4"/>
  <c r="Q141" i="4"/>
  <c r="Q138" i="4"/>
  <c r="Q136" i="4"/>
  <c r="Q135" i="4"/>
  <c r="Q133" i="4"/>
  <c r="Q139" i="4"/>
  <c r="Q134" i="4"/>
  <c r="Q142" i="4"/>
  <c r="Q131" i="4"/>
  <c r="Q137" i="4"/>
  <c r="U19" i="29"/>
  <c r="M109" i="4"/>
  <c r="N111" i="4"/>
  <c r="N109" i="4"/>
  <c r="M118" i="4"/>
  <c r="N108" i="4"/>
  <c r="N114" i="4"/>
  <c r="N112" i="4"/>
  <c r="M111" i="4"/>
  <c r="M107" i="4"/>
  <c r="M113" i="4"/>
  <c r="M110" i="4"/>
  <c r="N113" i="4"/>
  <c r="M115" i="4"/>
  <c r="N107" i="4"/>
  <c r="N118" i="4"/>
  <c r="N110" i="4"/>
  <c r="M114" i="4"/>
  <c r="N117" i="4"/>
  <c r="N116" i="4"/>
  <c r="M108" i="4"/>
  <c r="N115" i="4"/>
  <c r="M112" i="4"/>
  <c r="M117" i="4"/>
  <c r="M116" i="4"/>
  <c r="AC60" i="4" l="1"/>
  <c r="G9" i="45"/>
  <c r="F42" i="64"/>
  <c r="Q148" i="4"/>
  <c r="Q149" i="4"/>
  <c r="Q151" i="4"/>
  <c r="Q150" i="4"/>
  <c r="Q146" i="4"/>
  <c r="Q143" i="4"/>
  <c r="Q145" i="4"/>
  <c r="Q153" i="4"/>
  <c r="Q154" i="4"/>
  <c r="Q147" i="4"/>
  <c r="Q152" i="4"/>
  <c r="AC94" i="69"/>
  <c r="C99" i="30" s="1"/>
  <c r="AD94" i="69"/>
  <c r="AE94" i="69"/>
  <c r="AF94" i="69"/>
  <c r="AG94" i="69"/>
  <c r="AH94" i="69"/>
  <c r="AJ94" i="69"/>
  <c r="R99" i="30" s="1"/>
  <c r="AK94" i="69"/>
  <c r="AL94" i="69"/>
  <c r="AC95" i="69"/>
  <c r="C100" i="30" s="1"/>
  <c r="AD95" i="69"/>
  <c r="E100" i="30" s="1"/>
  <c r="AE95" i="69"/>
  <c r="AF95" i="69"/>
  <c r="AG95" i="69"/>
  <c r="AH95" i="69"/>
  <c r="AJ95" i="69"/>
  <c r="R100" i="30" s="1"/>
  <c r="AK95" i="69"/>
  <c r="G100" i="30" s="1"/>
  <c r="AL95" i="69"/>
  <c r="O100" i="30" s="1"/>
  <c r="AC96" i="69"/>
  <c r="C101" i="30" s="1"/>
  <c r="AD96" i="69"/>
  <c r="E101" i="30" s="1"/>
  <c r="AE96" i="69"/>
  <c r="AF96" i="69"/>
  <c r="AG96" i="69"/>
  <c r="AH96" i="69"/>
  <c r="AJ96" i="69"/>
  <c r="R101" i="30" s="1"/>
  <c r="AK96" i="69"/>
  <c r="G101" i="30" s="1"/>
  <c r="AL96" i="69"/>
  <c r="O101" i="30" s="1"/>
  <c r="AC97" i="69"/>
  <c r="C102" i="30" s="1"/>
  <c r="AD97" i="69"/>
  <c r="E102" i="30" s="1"/>
  <c r="AE97" i="69"/>
  <c r="AF97" i="69"/>
  <c r="AG97" i="69"/>
  <c r="AH97" i="69"/>
  <c r="AJ97" i="69"/>
  <c r="R102" i="30" s="1"/>
  <c r="AK97" i="69"/>
  <c r="G102" i="30" s="1"/>
  <c r="AL97" i="69"/>
  <c r="O102" i="30" s="1"/>
  <c r="AC98" i="69"/>
  <c r="C103" i="30" s="1"/>
  <c r="AD98" i="69"/>
  <c r="E103" i="30" s="1"/>
  <c r="AE98" i="69"/>
  <c r="AF98" i="69"/>
  <c r="AG98" i="69"/>
  <c r="AH98" i="69"/>
  <c r="AJ98" i="69"/>
  <c r="R103" i="30" s="1"/>
  <c r="AK98" i="69"/>
  <c r="G103" i="30" s="1"/>
  <c r="AL98" i="69"/>
  <c r="O103" i="30" s="1"/>
  <c r="AC99" i="69"/>
  <c r="C104" i="30" s="1"/>
  <c r="AD99" i="69"/>
  <c r="E104" i="30" s="1"/>
  <c r="AE99" i="69"/>
  <c r="AF99" i="69"/>
  <c r="AG99" i="69"/>
  <c r="AH99" i="69"/>
  <c r="AJ99" i="69"/>
  <c r="R104" i="30" s="1"/>
  <c r="AK99" i="69"/>
  <c r="G104" i="30" s="1"/>
  <c r="AL99" i="69"/>
  <c r="O104" i="30" s="1"/>
  <c r="AC100" i="69"/>
  <c r="C105" i="30" s="1"/>
  <c r="AD100" i="69"/>
  <c r="E105" i="30" s="1"/>
  <c r="AE100" i="69"/>
  <c r="AF100" i="69"/>
  <c r="AG100" i="69"/>
  <c r="AH100" i="69"/>
  <c r="AJ100" i="69"/>
  <c r="R105" i="30" s="1"/>
  <c r="AK100" i="69"/>
  <c r="G105" i="30" s="1"/>
  <c r="AL100" i="69"/>
  <c r="O105" i="30" s="1"/>
  <c r="AC101" i="69"/>
  <c r="C106" i="30" s="1"/>
  <c r="AD101" i="69"/>
  <c r="E106" i="30" s="1"/>
  <c r="AE101" i="69"/>
  <c r="AF101" i="69"/>
  <c r="AG101" i="69"/>
  <c r="AH101" i="69"/>
  <c r="AJ101" i="69"/>
  <c r="R106" i="30" s="1"/>
  <c r="B25" i="63" s="1"/>
  <c r="AK101" i="69"/>
  <c r="G106" i="30" s="1"/>
  <c r="AL101" i="69"/>
  <c r="O106" i="30" s="1"/>
  <c r="AC102" i="69"/>
  <c r="C107" i="30" s="1"/>
  <c r="AD102" i="69"/>
  <c r="E107" i="30" s="1"/>
  <c r="AE102" i="69"/>
  <c r="AF102" i="69"/>
  <c r="AG102" i="69"/>
  <c r="AH102" i="69"/>
  <c r="AJ102" i="69"/>
  <c r="R107" i="30" s="1"/>
  <c r="C25" i="63" s="1"/>
  <c r="AK102" i="69"/>
  <c r="G107" i="30" s="1"/>
  <c r="AL102" i="69"/>
  <c r="O107" i="30" s="1"/>
  <c r="AC103" i="69"/>
  <c r="C108" i="30" s="1"/>
  <c r="AD103" i="69"/>
  <c r="E108" i="30" s="1"/>
  <c r="AE103" i="69"/>
  <c r="AF103" i="69"/>
  <c r="AG103" i="69"/>
  <c r="AH103" i="69"/>
  <c r="AJ103" i="69"/>
  <c r="R108" i="30" s="1"/>
  <c r="D25" i="63" s="1"/>
  <c r="AK103" i="69"/>
  <c r="G108" i="30" s="1"/>
  <c r="AL103" i="69"/>
  <c r="O108" i="30" s="1"/>
  <c r="AC104" i="69"/>
  <c r="C109" i="30" s="1"/>
  <c r="AD104" i="69"/>
  <c r="E109" i="30" s="1"/>
  <c r="AE104" i="69"/>
  <c r="AF104" i="69"/>
  <c r="AG104" i="69"/>
  <c r="AH104" i="69"/>
  <c r="AJ104" i="69"/>
  <c r="R109" i="30" s="1"/>
  <c r="E25" i="63" s="1"/>
  <c r="AK104" i="69"/>
  <c r="G109" i="30" s="1"/>
  <c r="AL104" i="69"/>
  <c r="O109" i="30" s="1"/>
  <c r="AC105" i="69"/>
  <c r="AD105" i="69"/>
  <c r="E110" i="30" s="1"/>
  <c r="AE105" i="69"/>
  <c r="AF105" i="69"/>
  <c r="AG105" i="69"/>
  <c r="AH105" i="69"/>
  <c r="AJ105" i="69"/>
  <c r="R110" i="30" s="1"/>
  <c r="F25" i="63" s="1"/>
  <c r="AK105" i="69"/>
  <c r="G110" i="30" s="1"/>
  <c r="AL105" i="69"/>
  <c r="O110" i="30" s="1"/>
  <c r="AC106" i="69"/>
  <c r="C111" i="30" s="1"/>
  <c r="AD106" i="69"/>
  <c r="E111" i="30" s="1"/>
  <c r="AE106" i="69"/>
  <c r="AF106" i="69"/>
  <c r="AG106" i="69"/>
  <c r="AH106" i="69"/>
  <c r="AJ106" i="69"/>
  <c r="R111" i="30" s="1"/>
  <c r="G25" i="63" s="1"/>
  <c r="AK106" i="69"/>
  <c r="G111" i="30" s="1"/>
  <c r="AL106" i="69"/>
  <c r="O111" i="30" s="1"/>
  <c r="AC107" i="69"/>
  <c r="C112" i="30" s="1"/>
  <c r="AD107" i="69"/>
  <c r="E112" i="30" s="1"/>
  <c r="AE107" i="69"/>
  <c r="AF107" i="69"/>
  <c r="AG107" i="69"/>
  <c r="AH107" i="69"/>
  <c r="AJ107" i="69"/>
  <c r="R112" i="30" s="1"/>
  <c r="H25" i="63" s="1"/>
  <c r="AK107" i="69"/>
  <c r="G112" i="30" s="1"/>
  <c r="AL107" i="69"/>
  <c r="O112" i="30" s="1"/>
  <c r="X95" i="69"/>
  <c r="X96" i="69"/>
  <c r="X97" i="69"/>
  <c r="I115" i="4" s="1"/>
  <c r="X98" i="69"/>
  <c r="I116" i="4" s="1"/>
  <c r="X99" i="69"/>
  <c r="I117" i="4" s="1"/>
  <c r="X100" i="69"/>
  <c r="I118" i="4" s="1"/>
  <c r="L88" i="69"/>
  <c r="L89" i="69"/>
  <c r="L90" i="69"/>
  <c r="L91" i="69"/>
  <c r="L92" i="69"/>
  <c r="L93" i="69"/>
  <c r="L94" i="69"/>
  <c r="L95" i="69"/>
  <c r="L96" i="69"/>
  <c r="L97" i="69"/>
  <c r="L98" i="69"/>
  <c r="L99" i="69"/>
  <c r="L100" i="69"/>
  <c r="Q164" i="4" l="1"/>
  <c r="Q176" i="4" s="1"/>
  <c r="Q163" i="4"/>
  <c r="Q175" i="4" s="1"/>
  <c r="Q162" i="4"/>
  <c r="Q174" i="4" s="1"/>
  <c r="Q166" i="4"/>
  <c r="Q178" i="4" s="1"/>
  <c r="Q165" i="4"/>
  <c r="Q177" i="4" s="1"/>
  <c r="H9" i="45"/>
  <c r="G42" i="64"/>
  <c r="Q157" i="4"/>
  <c r="Q169" i="4" s="1"/>
  <c r="Q159" i="4"/>
  <c r="Q171" i="4" s="1"/>
  <c r="Q155" i="4"/>
  <c r="Q167" i="4" s="1"/>
  <c r="Q161" i="4"/>
  <c r="Q173" i="4" s="1"/>
  <c r="Q158" i="4"/>
  <c r="Q170" i="4" s="1"/>
  <c r="Q160" i="4"/>
  <c r="Q172" i="4" s="1"/>
  <c r="AO106" i="69"/>
  <c r="AP106" i="69" s="1"/>
  <c r="AN103" i="69"/>
  <c r="I108" i="30" s="1"/>
  <c r="AO98" i="69"/>
  <c r="AP98" i="69" s="1"/>
  <c r="AO97" i="69"/>
  <c r="L102" i="30" s="1"/>
  <c r="AO95" i="69"/>
  <c r="L100" i="30" s="1"/>
  <c r="I123" i="4"/>
  <c r="L123" i="4" s="1"/>
  <c r="AN100" i="69"/>
  <c r="I105" i="30" s="1"/>
  <c r="AO99" i="69"/>
  <c r="I122" i="4"/>
  <c r="L122" i="4" s="1"/>
  <c r="AO103" i="69"/>
  <c r="L108" i="30" s="1"/>
  <c r="AO102" i="69"/>
  <c r="L107" i="30" s="1"/>
  <c r="AN99" i="69"/>
  <c r="I104" i="30" s="1"/>
  <c r="AN95" i="69"/>
  <c r="I100" i="30" s="1"/>
  <c r="C110" i="30"/>
  <c r="I120" i="4"/>
  <c r="L120" i="4" s="1"/>
  <c r="AN106" i="69"/>
  <c r="I111" i="30" s="1"/>
  <c r="AN102" i="69"/>
  <c r="I107" i="30" s="1"/>
  <c r="AN98" i="69"/>
  <c r="I103" i="30" s="1"/>
  <c r="AN94" i="69"/>
  <c r="I119" i="4"/>
  <c r="AO105" i="69"/>
  <c r="L110" i="30" s="1"/>
  <c r="AN101" i="69"/>
  <c r="I106" i="30" s="1"/>
  <c r="I121" i="4"/>
  <c r="L121" i="4" s="1"/>
  <c r="AN105" i="69"/>
  <c r="I110" i="30" s="1"/>
  <c r="AO104" i="69"/>
  <c r="L109" i="30" s="1"/>
  <c r="AN97" i="69"/>
  <c r="I102" i="30" s="1"/>
  <c r="I125" i="4"/>
  <c r="L125" i="4" s="1"/>
  <c r="AO101" i="69"/>
  <c r="I124" i="4"/>
  <c r="L124" i="4" s="1"/>
  <c r="AN104" i="69"/>
  <c r="I109" i="30" s="1"/>
  <c r="AO96" i="69"/>
  <c r="L101" i="30" s="1"/>
  <c r="AN107" i="69"/>
  <c r="I112" i="30" s="1"/>
  <c r="AO107" i="69"/>
  <c r="AN96" i="69"/>
  <c r="I101" i="30" s="1"/>
  <c r="AO94" i="69"/>
  <c r="AP94" i="69" s="1"/>
  <c r="AO100" i="69"/>
  <c r="I9" i="45" l="1"/>
  <c r="H42" i="64"/>
  <c r="AP95" i="69"/>
  <c r="L119" i="4"/>
  <c r="I14" i="4"/>
  <c r="L14" i="4" s="1"/>
  <c r="L103" i="30"/>
  <c r="AP103" i="69"/>
  <c r="AP97" i="69"/>
  <c r="AP102" i="69"/>
  <c r="L111" i="30"/>
  <c r="AP104" i="69"/>
  <c r="AP101" i="69"/>
  <c r="L106" i="30"/>
  <c r="AP99" i="69"/>
  <c r="L104" i="30"/>
  <c r="AP100" i="69"/>
  <c r="L105" i="30"/>
  <c r="AP107" i="69"/>
  <c r="L112" i="30"/>
  <c r="AP105" i="69"/>
  <c r="AP96" i="69"/>
  <c r="Q95" i="72"/>
  <c r="S95" i="72" s="1"/>
  <c r="S101" i="30" s="1"/>
  <c r="Q96" i="72"/>
  <c r="S96" i="72" s="1"/>
  <c r="S102" i="30" s="1"/>
  <c r="Q97" i="72"/>
  <c r="S97" i="72" s="1"/>
  <c r="S103" i="30" s="1"/>
  <c r="Q98" i="72"/>
  <c r="S98" i="72" s="1"/>
  <c r="S104" i="30" s="1"/>
  <c r="Q99" i="72"/>
  <c r="S99" i="72" s="1"/>
  <c r="S105" i="30" s="1"/>
  <c r="Q100" i="72"/>
  <c r="S100" i="72" s="1"/>
  <c r="S106" i="30" s="1"/>
  <c r="Q101" i="72"/>
  <c r="S101" i="72" s="1"/>
  <c r="S107" i="30" s="1"/>
  <c r="Q102" i="72"/>
  <c r="S102" i="72" s="1"/>
  <c r="S108" i="30" s="1"/>
  <c r="Q103" i="72"/>
  <c r="S103" i="72" s="1"/>
  <c r="S109" i="30" s="1"/>
  <c r="Q104" i="72"/>
  <c r="S104" i="72" s="1"/>
  <c r="S110" i="30" s="1"/>
  <c r="Q105" i="72"/>
  <c r="S105" i="72" s="1"/>
  <c r="S111" i="30" s="1"/>
  <c r="Q106" i="72"/>
  <c r="S106" i="72" s="1"/>
  <c r="S112" i="30" s="1"/>
  <c r="Q107" i="72"/>
  <c r="S107" i="72" s="1"/>
  <c r="S113" i="30" s="1"/>
  <c r="Q94" i="72"/>
  <c r="S94" i="72" s="1"/>
  <c r="S100" i="30" s="1"/>
  <c r="M96" i="72"/>
  <c r="T96" i="72" s="1"/>
  <c r="M102" i="30" s="1"/>
  <c r="N96" i="72"/>
  <c r="M97" i="72"/>
  <c r="T97" i="72" s="1"/>
  <c r="M103" i="30" s="1"/>
  <c r="N97" i="72"/>
  <c r="M98" i="72"/>
  <c r="T98" i="72" s="1"/>
  <c r="M104" i="30" s="1"/>
  <c r="N98" i="72"/>
  <c r="M99" i="72"/>
  <c r="T99" i="72" s="1"/>
  <c r="M105" i="30" s="1"/>
  <c r="N99" i="72"/>
  <c r="M100" i="72"/>
  <c r="T100" i="72" s="1"/>
  <c r="M106" i="30" s="1"/>
  <c r="N100" i="72"/>
  <c r="M101" i="72"/>
  <c r="T101" i="72" s="1"/>
  <c r="M107" i="30" s="1"/>
  <c r="N101" i="72"/>
  <c r="M102" i="72"/>
  <c r="T102" i="72" s="1"/>
  <c r="M108" i="30" s="1"/>
  <c r="N102" i="72"/>
  <c r="M103" i="72"/>
  <c r="T103" i="72" s="1"/>
  <c r="M109" i="30" s="1"/>
  <c r="N103" i="72"/>
  <c r="M104" i="72"/>
  <c r="T104" i="72" s="1"/>
  <c r="M110" i="30" s="1"/>
  <c r="N104" i="72"/>
  <c r="M105" i="72"/>
  <c r="T105" i="72" s="1"/>
  <c r="M111" i="30" s="1"/>
  <c r="N105" i="72"/>
  <c r="M106" i="72"/>
  <c r="T106" i="72" s="1"/>
  <c r="M112" i="30" s="1"/>
  <c r="N106" i="72"/>
  <c r="M107" i="72"/>
  <c r="T107" i="72" s="1"/>
  <c r="M113" i="30" s="1"/>
  <c r="N107" i="72"/>
  <c r="M108" i="72"/>
  <c r="N108" i="72"/>
  <c r="M109" i="72"/>
  <c r="N109" i="72"/>
  <c r="M110" i="72"/>
  <c r="N110" i="72"/>
  <c r="M111" i="72"/>
  <c r="N111" i="72"/>
  <c r="M95" i="72"/>
  <c r="T95" i="72" s="1"/>
  <c r="M101" i="30" s="1"/>
  <c r="N95" i="72"/>
  <c r="N76" i="72"/>
  <c r="N77" i="72"/>
  <c r="N78" i="72"/>
  <c r="N79" i="72"/>
  <c r="N80" i="72"/>
  <c r="N81" i="72"/>
  <c r="N82" i="72"/>
  <c r="N83" i="72"/>
  <c r="N84" i="72"/>
  <c r="N85" i="72"/>
  <c r="N86" i="72"/>
  <c r="N87" i="72"/>
  <c r="N88" i="72"/>
  <c r="N89" i="72"/>
  <c r="N90" i="72"/>
  <c r="N91" i="72"/>
  <c r="N92" i="72"/>
  <c r="N93" i="72"/>
  <c r="N94" i="72"/>
  <c r="M94" i="72"/>
  <c r="T94" i="72" s="1"/>
  <c r="M100" i="30" s="1"/>
  <c r="X109" i="70"/>
  <c r="X108" i="70"/>
  <c r="X107" i="70"/>
  <c r="X106" i="70"/>
  <c r="X105" i="70"/>
  <c r="X104" i="70"/>
  <c r="X103" i="70"/>
  <c r="X102" i="70"/>
  <c r="X101" i="70"/>
  <c r="X100" i="70"/>
  <c r="X99" i="70"/>
  <c r="X98" i="70"/>
  <c r="X97" i="70"/>
  <c r="X96" i="70"/>
  <c r="X95" i="70"/>
  <c r="J9" i="45" l="1"/>
  <c r="I42" i="64"/>
  <c r="C17" i="29"/>
  <c r="L17" i="29" s="1"/>
  <c r="AB58" i="4"/>
  <c r="T108" i="72"/>
  <c r="M114" i="30" s="1"/>
  <c r="U108" i="72"/>
  <c r="J114" i="30" s="1"/>
  <c r="T111" i="72"/>
  <c r="M117" i="30" s="1"/>
  <c r="U111" i="72"/>
  <c r="J117" i="30" s="1"/>
  <c r="T110" i="72"/>
  <c r="M116" i="30" s="1"/>
  <c r="U110" i="72"/>
  <c r="J116" i="30" s="1"/>
  <c r="T109" i="72"/>
  <c r="M115" i="30" s="1"/>
  <c r="U109" i="72"/>
  <c r="J115" i="30" s="1"/>
  <c r="U100" i="72"/>
  <c r="J106" i="30" s="1"/>
  <c r="U107" i="72"/>
  <c r="J113" i="30" s="1"/>
  <c r="U99" i="72"/>
  <c r="J105" i="30" s="1"/>
  <c r="U106" i="72"/>
  <c r="J112" i="30" s="1"/>
  <c r="U98" i="72"/>
  <c r="J104" i="30" s="1"/>
  <c r="U105" i="72"/>
  <c r="J111" i="30" s="1"/>
  <c r="U97" i="72"/>
  <c r="J103" i="30" s="1"/>
  <c r="U104" i="72"/>
  <c r="J110" i="30" s="1"/>
  <c r="U96" i="72"/>
  <c r="J102" i="30" s="1"/>
  <c r="U103" i="72"/>
  <c r="J109" i="30" s="1"/>
  <c r="U95" i="72"/>
  <c r="J101" i="30" s="1"/>
  <c r="U102" i="72"/>
  <c r="J108" i="30" s="1"/>
  <c r="U94" i="72"/>
  <c r="J100" i="30" s="1"/>
  <c r="U101" i="72"/>
  <c r="J107" i="30" s="1"/>
  <c r="S171" i="72"/>
  <c r="AC95" i="70"/>
  <c r="D100" i="30" s="1"/>
  <c r="AD95" i="70"/>
  <c r="F100" i="30" s="1"/>
  <c r="AE95" i="70"/>
  <c r="AF95" i="70"/>
  <c r="AG95" i="70"/>
  <c r="AH95" i="70"/>
  <c r="AI95" i="70"/>
  <c r="AJ95" i="70"/>
  <c r="T100" i="30" s="1"/>
  <c r="AK95" i="70"/>
  <c r="H100" i="30" s="1"/>
  <c r="AL95" i="70"/>
  <c r="Q100" i="30" s="1"/>
  <c r="AC96" i="70"/>
  <c r="D101" i="30" s="1"/>
  <c r="AD96" i="70"/>
  <c r="F101" i="30" s="1"/>
  <c r="AE96" i="70"/>
  <c r="AF96" i="70"/>
  <c r="AG96" i="70"/>
  <c r="AH96" i="70"/>
  <c r="AI96" i="70"/>
  <c r="AJ96" i="70"/>
  <c r="T101" i="30" s="1"/>
  <c r="AK96" i="70"/>
  <c r="H101" i="30" s="1"/>
  <c r="AL96" i="70"/>
  <c r="Q101" i="30" s="1"/>
  <c r="AC97" i="70"/>
  <c r="D102" i="30" s="1"/>
  <c r="AD97" i="70"/>
  <c r="F102" i="30" s="1"/>
  <c r="AE97" i="70"/>
  <c r="AF97" i="70"/>
  <c r="AG97" i="70"/>
  <c r="AH97" i="70"/>
  <c r="AI97" i="70"/>
  <c r="AJ97" i="70"/>
  <c r="T102" i="30" s="1"/>
  <c r="AK97" i="70"/>
  <c r="H102" i="30" s="1"/>
  <c r="AL97" i="70"/>
  <c r="Q102" i="30" s="1"/>
  <c r="AC98" i="70"/>
  <c r="D103" i="30" s="1"/>
  <c r="AD98" i="70"/>
  <c r="F103" i="30" s="1"/>
  <c r="AE98" i="70"/>
  <c r="AF98" i="70"/>
  <c r="AG98" i="70"/>
  <c r="AH98" i="70"/>
  <c r="AI98" i="70"/>
  <c r="AJ98" i="70"/>
  <c r="T103" i="30" s="1"/>
  <c r="AK98" i="70"/>
  <c r="H103" i="30" s="1"/>
  <c r="AL98" i="70"/>
  <c r="Q103" i="30" s="1"/>
  <c r="AC99" i="70"/>
  <c r="D104" i="30" s="1"/>
  <c r="AD99" i="70"/>
  <c r="F104" i="30" s="1"/>
  <c r="AE99" i="70"/>
  <c r="AF99" i="70"/>
  <c r="AG99" i="70"/>
  <c r="AH99" i="70"/>
  <c r="AI99" i="70"/>
  <c r="AJ99" i="70"/>
  <c r="T104" i="30" s="1"/>
  <c r="AK99" i="70"/>
  <c r="H104" i="30" s="1"/>
  <c r="AL99" i="70"/>
  <c r="Q104" i="30" s="1"/>
  <c r="AC100" i="70"/>
  <c r="D105" i="30" s="1"/>
  <c r="AD100" i="70"/>
  <c r="F105" i="30" s="1"/>
  <c r="AE100" i="70"/>
  <c r="AF100" i="70"/>
  <c r="AG100" i="70"/>
  <c r="AH100" i="70"/>
  <c r="AI100" i="70"/>
  <c r="AJ100" i="70"/>
  <c r="T105" i="30" s="1"/>
  <c r="AK100" i="70"/>
  <c r="H105" i="30" s="1"/>
  <c r="AL100" i="70"/>
  <c r="Q105" i="30" s="1"/>
  <c r="AC101" i="70"/>
  <c r="D106" i="30" s="1"/>
  <c r="AD101" i="70"/>
  <c r="F106" i="30" s="1"/>
  <c r="AE101" i="70"/>
  <c r="AF101" i="70"/>
  <c r="AG101" i="70"/>
  <c r="AH101" i="70"/>
  <c r="AI101" i="70"/>
  <c r="AJ101" i="70"/>
  <c r="T106" i="30" s="1"/>
  <c r="AK101" i="70"/>
  <c r="H106" i="30" s="1"/>
  <c r="AL101" i="70"/>
  <c r="Q106" i="30" s="1"/>
  <c r="AC102" i="70"/>
  <c r="D107" i="30" s="1"/>
  <c r="AD102" i="70"/>
  <c r="F107" i="30" s="1"/>
  <c r="AE102" i="70"/>
  <c r="AF102" i="70"/>
  <c r="AG102" i="70"/>
  <c r="AH102" i="70"/>
  <c r="AI102" i="70"/>
  <c r="AJ102" i="70"/>
  <c r="T107" i="30" s="1"/>
  <c r="AK102" i="70"/>
  <c r="H107" i="30" s="1"/>
  <c r="AL102" i="70"/>
  <c r="Q107" i="30" s="1"/>
  <c r="AC103" i="70"/>
  <c r="D108" i="30" s="1"/>
  <c r="AD103" i="70"/>
  <c r="F108" i="30" s="1"/>
  <c r="AE103" i="70"/>
  <c r="AF103" i="70"/>
  <c r="AG103" i="70"/>
  <c r="AH103" i="70"/>
  <c r="AI103" i="70"/>
  <c r="AJ103" i="70"/>
  <c r="T108" i="30" s="1"/>
  <c r="AK103" i="70"/>
  <c r="H108" i="30" s="1"/>
  <c r="AL103" i="70"/>
  <c r="Q108" i="30" s="1"/>
  <c r="AC104" i="70"/>
  <c r="D109" i="30" s="1"/>
  <c r="AD104" i="70"/>
  <c r="F109" i="30" s="1"/>
  <c r="AE104" i="70"/>
  <c r="AF104" i="70"/>
  <c r="AG104" i="70"/>
  <c r="AH104" i="70"/>
  <c r="AI104" i="70"/>
  <c r="AJ104" i="70"/>
  <c r="T109" i="30" s="1"/>
  <c r="AK104" i="70"/>
  <c r="H109" i="30" s="1"/>
  <c r="AL104" i="70"/>
  <c r="Q109" i="30" s="1"/>
  <c r="AC105" i="70"/>
  <c r="D110" i="30" s="1"/>
  <c r="AD105" i="70"/>
  <c r="F110" i="30" s="1"/>
  <c r="AE105" i="70"/>
  <c r="AF105" i="70"/>
  <c r="AG105" i="70"/>
  <c r="AH105" i="70"/>
  <c r="AI105" i="70"/>
  <c r="AJ105" i="70"/>
  <c r="T110" i="30" s="1"/>
  <c r="AK105" i="70"/>
  <c r="H110" i="30" s="1"/>
  <c r="AL105" i="70"/>
  <c r="Q110" i="30" s="1"/>
  <c r="AC106" i="70"/>
  <c r="D111" i="30" s="1"/>
  <c r="AD106" i="70"/>
  <c r="F111" i="30" s="1"/>
  <c r="AE106" i="70"/>
  <c r="AF106" i="70"/>
  <c r="AG106" i="70"/>
  <c r="AH106" i="70"/>
  <c r="AI106" i="70"/>
  <c r="AJ106" i="70"/>
  <c r="T111" i="30" s="1"/>
  <c r="AK106" i="70"/>
  <c r="H111" i="30" s="1"/>
  <c r="AL106" i="70"/>
  <c r="Q111" i="30" s="1"/>
  <c r="AC107" i="70"/>
  <c r="D112" i="30" s="1"/>
  <c r="AD107" i="70"/>
  <c r="F112" i="30" s="1"/>
  <c r="AE107" i="70"/>
  <c r="AF107" i="70"/>
  <c r="AG107" i="70"/>
  <c r="AH107" i="70"/>
  <c r="AI107" i="70"/>
  <c r="AJ107" i="70"/>
  <c r="T112" i="30" s="1"/>
  <c r="AK107" i="70"/>
  <c r="H112" i="30" s="1"/>
  <c r="AL107" i="70"/>
  <c r="Q112" i="30" s="1"/>
  <c r="AC108" i="70"/>
  <c r="AD108" i="70"/>
  <c r="AE108" i="70"/>
  <c r="AF108" i="70"/>
  <c r="AG108" i="70"/>
  <c r="AH108" i="70"/>
  <c r="AI108" i="70"/>
  <c r="AJ108" i="70"/>
  <c r="AK108" i="70"/>
  <c r="AL108" i="70"/>
  <c r="AC109" i="70"/>
  <c r="AD109" i="70"/>
  <c r="AE109" i="70"/>
  <c r="AF109" i="70"/>
  <c r="AG109" i="70"/>
  <c r="AH109" i="70"/>
  <c r="AI109" i="70"/>
  <c r="AJ109" i="70"/>
  <c r="AK109" i="70"/>
  <c r="AL109" i="70"/>
  <c r="X89" i="70"/>
  <c r="K9" i="45" l="1"/>
  <c r="J42" i="64"/>
  <c r="AB72" i="4"/>
  <c r="AC59" i="4"/>
  <c r="F113" i="30"/>
  <c r="T113" i="30"/>
  <c r="F114" i="30"/>
  <c r="AN104" i="70"/>
  <c r="K109" i="30" s="1"/>
  <c r="Q114" i="30"/>
  <c r="H114" i="30"/>
  <c r="D114" i="30"/>
  <c r="T114" i="30"/>
  <c r="H113" i="30"/>
  <c r="D113" i="30"/>
  <c r="Q113" i="30"/>
  <c r="AN100" i="70"/>
  <c r="K105" i="30" s="1"/>
  <c r="AN96" i="70"/>
  <c r="K101" i="30" s="1"/>
  <c r="V101" i="30" s="1"/>
  <c r="AN103" i="70"/>
  <c r="AN99" i="70"/>
  <c r="AN95" i="70"/>
  <c r="AN107" i="70"/>
  <c r="AN106" i="70"/>
  <c r="AN102" i="70"/>
  <c r="AN98" i="70"/>
  <c r="I29" i="64"/>
  <c r="AN105" i="70"/>
  <c r="AN101" i="70"/>
  <c r="AN97" i="70"/>
  <c r="AN109" i="70"/>
  <c r="AN108" i="70"/>
  <c r="U44" i="64"/>
  <c r="U43" i="64"/>
  <c r="S55" i="64" s="1"/>
  <c r="L9" i="45" l="1"/>
  <c r="K42" i="64"/>
  <c r="AO100" i="70"/>
  <c r="N105" i="30"/>
  <c r="N101" i="30"/>
  <c r="N109" i="30"/>
  <c r="AO96" i="70"/>
  <c r="AO104" i="70"/>
  <c r="V109" i="30"/>
  <c r="E60" i="52" s="1"/>
  <c r="P122" i="4" s="1"/>
  <c r="K113" i="30"/>
  <c r="V113" i="30" s="1"/>
  <c r="I60" i="52" s="1"/>
  <c r="P126" i="4" s="1"/>
  <c r="N113" i="30"/>
  <c r="K114" i="30"/>
  <c r="V114" i="30" s="1"/>
  <c r="J60" i="52" s="1"/>
  <c r="P127" i="4" s="1"/>
  <c r="N114" i="30"/>
  <c r="AO98" i="70"/>
  <c r="N103" i="30"/>
  <c r="K103" i="30"/>
  <c r="V103" i="30" s="1"/>
  <c r="AO107" i="70"/>
  <c r="K112" i="30"/>
  <c r="N112" i="30"/>
  <c r="AO102" i="70"/>
  <c r="N107" i="30"/>
  <c r="K107" i="30"/>
  <c r="AO105" i="70"/>
  <c r="K110" i="30"/>
  <c r="N110" i="30"/>
  <c r="AO109" i="70"/>
  <c r="AO95" i="70"/>
  <c r="K100" i="30"/>
  <c r="V100" i="30" s="1"/>
  <c r="N100" i="30"/>
  <c r="V105" i="30"/>
  <c r="AO99" i="70"/>
  <c r="K104" i="30"/>
  <c r="V104" i="30" s="1"/>
  <c r="N104" i="30"/>
  <c r="AO101" i="70"/>
  <c r="K106" i="30"/>
  <c r="N106" i="30"/>
  <c r="AO106" i="70"/>
  <c r="N111" i="30"/>
  <c r="K111" i="30"/>
  <c r="AO97" i="70"/>
  <c r="N102" i="30"/>
  <c r="K102" i="30"/>
  <c r="V102" i="30" s="1"/>
  <c r="AO103" i="70"/>
  <c r="K108" i="30"/>
  <c r="N108" i="30"/>
  <c r="AO108" i="70"/>
  <c r="B85" i="68"/>
  <c r="C85" i="68" s="1"/>
  <c r="M9" i="45" l="1"/>
  <c r="L42" i="64"/>
  <c r="V110" i="30"/>
  <c r="V111" i="30"/>
  <c r="V107" i="30"/>
  <c r="V112" i="30"/>
  <c r="V108" i="30"/>
  <c r="V106" i="30"/>
  <c r="B60" i="52" s="1"/>
  <c r="P119" i="4" s="1"/>
  <c r="D85" i="68"/>
  <c r="C18" i="68"/>
  <c r="B18" i="68"/>
  <c r="T93" i="30"/>
  <c r="T94" i="30"/>
  <c r="T95" i="30"/>
  <c r="T96" i="30"/>
  <c r="T97" i="30"/>
  <c r="T92" i="30"/>
  <c r="S44" i="64"/>
  <c r="C44" i="64" s="1"/>
  <c r="S43" i="64"/>
  <c r="S58" i="62"/>
  <c r="N175" i="30"/>
  <c r="M175" i="30"/>
  <c r="E18" i="46" s="1"/>
  <c r="L175" i="30"/>
  <c r="S164" i="72"/>
  <c r="D39" i="32" s="1"/>
  <c r="S163" i="72"/>
  <c r="C39" i="32" s="1"/>
  <c r="X164" i="69"/>
  <c r="D38" i="32" s="1"/>
  <c r="X163" i="69"/>
  <c r="C38" i="32" s="1"/>
  <c r="C48" i="42"/>
  <c r="D48" i="42" s="1"/>
  <c r="E48" i="42" s="1"/>
  <c r="F48" i="42" s="1"/>
  <c r="G48" i="42" s="1"/>
  <c r="A168" i="30"/>
  <c r="A169" i="30" s="1"/>
  <c r="A170" i="30" s="1"/>
  <c r="A171" i="30" s="1"/>
  <c r="A172" i="30" s="1"/>
  <c r="A173" i="30" s="1"/>
  <c r="A174" i="30" s="1"/>
  <c r="A175" i="30" s="1"/>
  <c r="A176" i="30" s="1"/>
  <c r="A177" i="30" s="1"/>
  <c r="A178" i="30" s="1"/>
  <c r="A179" i="30" s="1"/>
  <c r="A180" i="30" s="1"/>
  <c r="A181" i="30" s="1"/>
  <c r="A182" i="30" s="1"/>
  <c r="C48" i="64"/>
  <c r="D48" i="64" s="1"/>
  <c r="E48" i="64" s="1"/>
  <c r="F48" i="64" s="1"/>
  <c r="G48" i="64" s="1"/>
  <c r="H48" i="64" s="1"/>
  <c r="K48" i="64" s="1"/>
  <c r="L48" i="64" s="1"/>
  <c r="M48" i="64" s="1"/>
  <c r="N48" i="64" s="1"/>
  <c r="O23" i="4"/>
  <c r="N9" i="45" l="1"/>
  <c r="M42" i="64"/>
  <c r="B18" i="46"/>
  <c r="D18" i="46" s="1"/>
  <c r="K18" i="32"/>
  <c r="H60" i="52"/>
  <c r="P125" i="4" s="1"/>
  <c r="C60" i="52"/>
  <c r="P120" i="4" s="1"/>
  <c r="G60" i="52"/>
  <c r="P124" i="4" s="1"/>
  <c r="D60" i="52"/>
  <c r="P121" i="4" s="1"/>
  <c r="F60" i="52"/>
  <c r="P123" i="4" s="1"/>
  <c r="E85" i="68"/>
  <c r="D18" i="68"/>
  <c r="C12" i="45" l="1"/>
  <c r="N42" i="64"/>
  <c r="O60" i="64"/>
  <c r="R60" i="64" s="1"/>
  <c r="I18" i="46"/>
  <c r="K17" i="32"/>
  <c r="K16" i="51"/>
  <c r="F85" i="68"/>
  <c r="E18" i="68"/>
  <c r="I113" i="4"/>
  <c r="I114" i="4"/>
  <c r="K15" i="51" l="1"/>
  <c r="D12" i="45"/>
  <c r="C54" i="64"/>
  <c r="L28" i="6"/>
  <c r="G85" i="68"/>
  <c r="F18" i="68"/>
  <c r="E12" i="45" l="1"/>
  <c r="D54" i="64"/>
  <c r="H85" i="68"/>
  <c r="G18" i="68"/>
  <c r="M59" i="52"/>
  <c r="P118" i="4" s="1"/>
  <c r="L59" i="52"/>
  <c r="P117" i="4" s="1"/>
  <c r="K59" i="52"/>
  <c r="P116" i="4" s="1"/>
  <c r="J59" i="52"/>
  <c r="P115" i="4" s="1"/>
  <c r="I59" i="52"/>
  <c r="P114" i="4" s="1"/>
  <c r="H59" i="52"/>
  <c r="P113" i="4" s="1"/>
  <c r="F12" i="45" l="1"/>
  <c r="E54" i="64"/>
  <c r="I85" i="68"/>
  <c r="H18" i="68"/>
  <c r="L118" i="4"/>
  <c r="E117" i="4"/>
  <c r="L117" i="4" s="1"/>
  <c r="E116" i="4"/>
  <c r="L116" i="4" s="1"/>
  <c r="E115" i="4"/>
  <c r="L115" i="4" s="1"/>
  <c r="E114" i="4"/>
  <c r="L114" i="4" s="1"/>
  <c r="E113" i="4"/>
  <c r="L113" i="4" s="1"/>
  <c r="E112" i="4"/>
  <c r="E111" i="4"/>
  <c r="E110" i="4"/>
  <c r="E109" i="4"/>
  <c r="E108" i="4"/>
  <c r="E107" i="4"/>
  <c r="G12" i="45" l="1"/>
  <c r="F54" i="64"/>
  <c r="E13" i="4"/>
  <c r="J85" i="68"/>
  <c r="I18" i="68"/>
  <c r="H12" i="45" l="1"/>
  <c r="G54" i="64"/>
  <c r="F7" i="4"/>
  <c r="G11" i="4"/>
  <c r="G9" i="4"/>
  <c r="G7" i="4"/>
  <c r="H11" i="4"/>
  <c r="H9" i="4"/>
  <c r="H7" i="4"/>
  <c r="F11" i="4"/>
  <c r="G10" i="4"/>
  <c r="G8" i="4"/>
  <c r="H6" i="4"/>
  <c r="H10" i="4"/>
  <c r="H8" i="4"/>
  <c r="F6" i="4"/>
  <c r="F10" i="4"/>
  <c r="F8" i="4"/>
  <c r="G6" i="4"/>
  <c r="F9" i="4"/>
  <c r="K85" i="68"/>
  <c r="J18" i="68"/>
  <c r="E75" i="4"/>
  <c r="E79" i="4"/>
  <c r="E87" i="4"/>
  <c r="E91" i="4"/>
  <c r="E67" i="4" l="1"/>
  <c r="I12" i="45"/>
  <c r="H54" i="64"/>
  <c r="C6" i="4"/>
  <c r="D11" i="4"/>
  <c r="D10" i="4"/>
  <c r="D9" i="4"/>
  <c r="D8" i="4"/>
  <c r="D7" i="4"/>
  <c r="D12" i="4"/>
  <c r="D6" i="4"/>
  <c r="E83" i="4"/>
  <c r="C11" i="4"/>
  <c r="E71" i="4"/>
  <c r="C10" i="4"/>
  <c r="E63" i="4"/>
  <c r="E59" i="4"/>
  <c r="C9" i="4"/>
  <c r="C8" i="4"/>
  <c r="C7" i="4"/>
  <c r="E66" i="4"/>
  <c r="E62" i="4"/>
  <c r="E55" i="4"/>
  <c r="E97" i="4"/>
  <c r="E58" i="4"/>
  <c r="E54" i="4"/>
  <c r="E50" i="4"/>
  <c r="E46" i="4"/>
  <c r="E51" i="4"/>
  <c r="E100" i="4"/>
  <c r="E96" i="4"/>
  <c r="E106" i="4"/>
  <c r="E99" i="4"/>
  <c r="E102" i="4"/>
  <c r="E78" i="4"/>
  <c r="E42" i="4"/>
  <c r="E38" i="4"/>
  <c r="E34" i="4"/>
  <c r="E30" i="4"/>
  <c r="E94" i="4"/>
  <c r="E74" i="4"/>
  <c r="E103" i="4"/>
  <c r="E90" i="4"/>
  <c r="E82" i="4"/>
  <c r="E70" i="4"/>
  <c r="E86" i="4"/>
  <c r="E81" i="4"/>
  <c r="E57" i="4"/>
  <c r="E37" i="4"/>
  <c r="E76" i="4"/>
  <c r="E85" i="4"/>
  <c r="E65" i="4"/>
  <c r="E45" i="4"/>
  <c r="E25" i="4"/>
  <c r="E26" i="4"/>
  <c r="E105" i="4"/>
  <c r="E73" i="4"/>
  <c r="E33" i="4"/>
  <c r="E98" i="4"/>
  <c r="E104" i="4"/>
  <c r="E77" i="4"/>
  <c r="E53" i="4"/>
  <c r="E29" i="4"/>
  <c r="E84" i="4"/>
  <c r="E68" i="4"/>
  <c r="E64" i="4"/>
  <c r="E60" i="4"/>
  <c r="E56" i="4"/>
  <c r="E52" i="4"/>
  <c r="E48" i="4"/>
  <c r="E44" i="4"/>
  <c r="E40" i="4"/>
  <c r="E36" i="4"/>
  <c r="E32" i="4"/>
  <c r="E28" i="4"/>
  <c r="E89" i="4"/>
  <c r="E69" i="4"/>
  <c r="E49" i="4"/>
  <c r="E88" i="4"/>
  <c r="E72" i="4"/>
  <c r="E101" i="4"/>
  <c r="E93" i="4"/>
  <c r="E61" i="4"/>
  <c r="E41" i="4"/>
  <c r="E92" i="4"/>
  <c r="E80" i="4"/>
  <c r="E24" i="4"/>
  <c r="E23" i="4"/>
  <c r="E47" i="4"/>
  <c r="E43" i="4"/>
  <c r="E39" i="4"/>
  <c r="E35" i="4"/>
  <c r="E31" i="4"/>
  <c r="E27" i="4"/>
  <c r="L85" i="68"/>
  <c r="K18" i="68"/>
  <c r="J12" i="45" l="1"/>
  <c r="I54" i="64"/>
  <c r="E11" i="4"/>
  <c r="E95" i="4"/>
  <c r="E12" i="4" s="1"/>
  <c r="E8" i="4"/>
  <c r="E6" i="4"/>
  <c r="L6" i="4" s="1"/>
  <c r="E10" i="4"/>
  <c r="E9" i="4"/>
  <c r="E7" i="4"/>
  <c r="M85" i="68"/>
  <c r="M18" i="68" s="1"/>
  <c r="L18" i="68"/>
  <c r="P83" i="30"/>
  <c r="P84" i="30"/>
  <c r="P85" i="30"/>
  <c r="P86" i="30"/>
  <c r="P87" i="30"/>
  <c r="P88" i="30"/>
  <c r="P89" i="30"/>
  <c r="P90" i="30"/>
  <c r="P91" i="30"/>
  <c r="P92" i="30"/>
  <c r="P93" i="30"/>
  <c r="P94" i="30"/>
  <c r="P95" i="30"/>
  <c r="P96" i="30"/>
  <c r="P97" i="30"/>
  <c r="P98" i="30"/>
  <c r="P99" i="30"/>
  <c r="P82" i="30"/>
  <c r="M76" i="72"/>
  <c r="M77" i="72"/>
  <c r="M78" i="72"/>
  <c r="M79" i="72"/>
  <c r="M80" i="72"/>
  <c r="M81" i="72"/>
  <c r="M82" i="72"/>
  <c r="M83" i="72"/>
  <c r="M84" i="72"/>
  <c r="M85" i="72"/>
  <c r="M86" i="72"/>
  <c r="M87" i="72"/>
  <c r="M88" i="72"/>
  <c r="M89" i="72"/>
  <c r="M90" i="72"/>
  <c r="M91" i="72"/>
  <c r="M92" i="72"/>
  <c r="M93" i="72"/>
  <c r="M5" i="72"/>
  <c r="M6" i="72"/>
  <c r="M7" i="72"/>
  <c r="M8" i="72"/>
  <c r="M9" i="72"/>
  <c r="M10" i="72"/>
  <c r="M11" i="72"/>
  <c r="M12" i="72"/>
  <c r="M13" i="72"/>
  <c r="M14" i="72"/>
  <c r="M15" i="72"/>
  <c r="M16" i="72"/>
  <c r="M17" i="72"/>
  <c r="M18" i="72"/>
  <c r="M19" i="72"/>
  <c r="M20" i="72"/>
  <c r="M21" i="72"/>
  <c r="M22" i="72"/>
  <c r="M23" i="72"/>
  <c r="M24" i="72"/>
  <c r="M25" i="72"/>
  <c r="M26" i="72"/>
  <c r="M27" i="72"/>
  <c r="M28" i="72"/>
  <c r="M29" i="72"/>
  <c r="M30" i="72"/>
  <c r="M31" i="72"/>
  <c r="M32" i="72"/>
  <c r="M33" i="72"/>
  <c r="M34" i="72"/>
  <c r="M35" i="72"/>
  <c r="M36" i="72"/>
  <c r="M37" i="72"/>
  <c r="M38" i="72"/>
  <c r="M39" i="72"/>
  <c r="M40" i="72"/>
  <c r="M41" i="72"/>
  <c r="M42" i="72"/>
  <c r="M43" i="72"/>
  <c r="M44" i="72"/>
  <c r="M45" i="72"/>
  <c r="M46" i="72"/>
  <c r="M47" i="72"/>
  <c r="M48" i="72"/>
  <c r="M49" i="72"/>
  <c r="M50" i="72"/>
  <c r="M51" i="72"/>
  <c r="M52" i="72"/>
  <c r="M53" i="72"/>
  <c r="M54" i="72"/>
  <c r="M55" i="72"/>
  <c r="M56" i="72"/>
  <c r="M57" i="72"/>
  <c r="M58" i="72"/>
  <c r="M59" i="72"/>
  <c r="M60" i="72"/>
  <c r="M61" i="72"/>
  <c r="M62" i="72"/>
  <c r="M63" i="72"/>
  <c r="M64" i="72"/>
  <c r="M65" i="72"/>
  <c r="M66" i="72"/>
  <c r="M67" i="72"/>
  <c r="M68" i="72"/>
  <c r="M69" i="72"/>
  <c r="M70" i="72"/>
  <c r="M71" i="72"/>
  <c r="M72" i="72"/>
  <c r="M73" i="72"/>
  <c r="M74" i="72"/>
  <c r="M75" i="72"/>
  <c r="M4" i="72"/>
  <c r="L7" i="4" l="1"/>
  <c r="C10" i="29" s="1"/>
  <c r="L10" i="29" s="1"/>
  <c r="K12" i="45"/>
  <c r="J54" i="64"/>
  <c r="C9" i="29"/>
  <c r="AB50" i="4"/>
  <c r="U45" i="72"/>
  <c r="J51" i="30" s="1"/>
  <c r="U37" i="72"/>
  <c r="J43" i="30" s="1"/>
  <c r="T29" i="72"/>
  <c r="M35" i="30" s="1"/>
  <c r="U29" i="72"/>
  <c r="J35" i="30" s="1"/>
  <c r="T21" i="72"/>
  <c r="M27" i="30" s="1"/>
  <c r="U21" i="72"/>
  <c r="J27" i="30" s="1"/>
  <c r="T13" i="72"/>
  <c r="M19" i="30" s="1"/>
  <c r="U13" i="72"/>
  <c r="J19" i="30" s="1"/>
  <c r="T5" i="72"/>
  <c r="M11" i="30" s="1"/>
  <c r="U5" i="72"/>
  <c r="J11" i="30" s="1"/>
  <c r="T30" i="72"/>
  <c r="M36" i="30" s="1"/>
  <c r="U30" i="72"/>
  <c r="J36" i="30" s="1"/>
  <c r="U44" i="72"/>
  <c r="J50" i="30" s="1"/>
  <c r="U36" i="72"/>
  <c r="J42" i="30" s="1"/>
  <c r="T28" i="72"/>
  <c r="M34" i="30" s="1"/>
  <c r="U28" i="72"/>
  <c r="J34" i="30" s="1"/>
  <c r="T20" i="72"/>
  <c r="M26" i="30" s="1"/>
  <c r="U20" i="72"/>
  <c r="J26" i="30" s="1"/>
  <c r="T12" i="72"/>
  <c r="M18" i="30" s="1"/>
  <c r="U12" i="72"/>
  <c r="J18" i="30" s="1"/>
  <c r="U46" i="72"/>
  <c r="J52" i="30" s="1"/>
  <c r="T27" i="72"/>
  <c r="M33" i="30" s="1"/>
  <c r="U27" i="72"/>
  <c r="J33" i="30" s="1"/>
  <c r="T19" i="72"/>
  <c r="M25" i="30" s="1"/>
  <c r="U19" i="72"/>
  <c r="J25" i="30" s="1"/>
  <c r="T11" i="72"/>
  <c r="M17" i="30" s="1"/>
  <c r="U11" i="72"/>
  <c r="J17" i="30" s="1"/>
  <c r="U38" i="72"/>
  <c r="J44" i="30" s="1"/>
  <c r="T6" i="72"/>
  <c r="M12" i="30" s="1"/>
  <c r="U6" i="72"/>
  <c r="J12" i="30" s="1"/>
  <c r="U35" i="72"/>
  <c r="J41" i="30" s="1"/>
  <c r="U34" i="72"/>
  <c r="J40" i="30" s="1"/>
  <c r="T26" i="72"/>
  <c r="M32" i="30" s="1"/>
  <c r="U26" i="72"/>
  <c r="J32" i="30" s="1"/>
  <c r="T18" i="72"/>
  <c r="M24" i="30" s="1"/>
  <c r="U18" i="72"/>
  <c r="J24" i="30" s="1"/>
  <c r="T10" i="72"/>
  <c r="M16" i="30" s="1"/>
  <c r="U10" i="72"/>
  <c r="J16" i="30" s="1"/>
  <c r="T22" i="72"/>
  <c r="M28" i="30" s="1"/>
  <c r="U22" i="72"/>
  <c r="J28" i="30" s="1"/>
  <c r="U41" i="72"/>
  <c r="T17" i="72"/>
  <c r="M23" i="30" s="1"/>
  <c r="U17" i="72"/>
  <c r="J23" i="30" s="1"/>
  <c r="T9" i="72"/>
  <c r="M15" i="30" s="1"/>
  <c r="U9" i="72"/>
  <c r="J15" i="30" s="1"/>
  <c r="T4" i="72"/>
  <c r="M10" i="30" s="1"/>
  <c r="U4" i="72"/>
  <c r="J10" i="30" s="1"/>
  <c r="U42" i="72"/>
  <c r="J48" i="30" s="1"/>
  <c r="U33" i="72"/>
  <c r="J39" i="30" s="1"/>
  <c r="U40" i="72"/>
  <c r="T32" i="72"/>
  <c r="M38" i="30" s="1"/>
  <c r="U32" i="72"/>
  <c r="J38" i="30" s="1"/>
  <c r="T24" i="72"/>
  <c r="M30" i="30" s="1"/>
  <c r="U24" i="72"/>
  <c r="J30" i="30" s="1"/>
  <c r="T16" i="72"/>
  <c r="M22" i="30" s="1"/>
  <c r="U16" i="72"/>
  <c r="J22" i="30" s="1"/>
  <c r="T8" i="72"/>
  <c r="M14" i="30" s="1"/>
  <c r="U8" i="72"/>
  <c r="J14" i="30" s="1"/>
  <c r="T14" i="72"/>
  <c r="M20" i="30" s="1"/>
  <c r="U14" i="72"/>
  <c r="J20" i="30" s="1"/>
  <c r="U43" i="72"/>
  <c r="J49" i="30" s="1"/>
  <c r="T25" i="72"/>
  <c r="M31" i="30" s="1"/>
  <c r="U25" i="72"/>
  <c r="J31" i="30" s="1"/>
  <c r="U39" i="72"/>
  <c r="J45" i="30" s="1"/>
  <c r="T31" i="72"/>
  <c r="M37" i="30" s="1"/>
  <c r="U31" i="72"/>
  <c r="J37" i="30" s="1"/>
  <c r="T23" i="72"/>
  <c r="M29" i="30" s="1"/>
  <c r="U23" i="72"/>
  <c r="J29" i="30" s="1"/>
  <c r="T15" i="72"/>
  <c r="M21" i="30" s="1"/>
  <c r="U15" i="72"/>
  <c r="J21" i="30" s="1"/>
  <c r="T7" i="72"/>
  <c r="M13" i="30" s="1"/>
  <c r="U7" i="72"/>
  <c r="J13" i="30" s="1"/>
  <c r="S34" i="72"/>
  <c r="T34" i="72" s="1"/>
  <c r="M40" i="30" s="1"/>
  <c r="S35" i="72"/>
  <c r="T35" i="72" s="1"/>
  <c r="M41" i="30" s="1"/>
  <c r="S36" i="72"/>
  <c r="T36" i="72" s="1"/>
  <c r="M42" i="30" s="1"/>
  <c r="S37" i="72"/>
  <c r="T37" i="72" s="1"/>
  <c r="M43" i="30" s="1"/>
  <c r="S38" i="72"/>
  <c r="T38" i="72" s="1"/>
  <c r="M44" i="30" s="1"/>
  <c r="S39" i="72"/>
  <c r="T39" i="72" s="1"/>
  <c r="M45" i="30" s="1"/>
  <c r="S40" i="72"/>
  <c r="T40" i="72" s="1"/>
  <c r="S41" i="72"/>
  <c r="T41" i="72" s="1"/>
  <c r="S42" i="72"/>
  <c r="T42" i="72" s="1"/>
  <c r="M48" i="30" s="1"/>
  <c r="S43" i="72"/>
  <c r="T43" i="72" s="1"/>
  <c r="M49" i="30" s="1"/>
  <c r="S44" i="72"/>
  <c r="T44" i="72" s="1"/>
  <c r="M50" i="30" s="1"/>
  <c r="S45" i="72"/>
  <c r="T45" i="72" s="1"/>
  <c r="M51" i="30" s="1"/>
  <c r="S46" i="72"/>
  <c r="T46" i="72" s="1"/>
  <c r="M52" i="30" s="1"/>
  <c r="S47" i="72"/>
  <c r="S48" i="72"/>
  <c r="S49" i="72"/>
  <c r="S50" i="72"/>
  <c r="S51" i="72"/>
  <c r="S52" i="72"/>
  <c r="S53" i="72"/>
  <c r="S54" i="72"/>
  <c r="S55" i="72"/>
  <c r="S56" i="72"/>
  <c r="S57" i="72"/>
  <c r="S58" i="72"/>
  <c r="S59" i="72"/>
  <c r="S60" i="72"/>
  <c r="S61" i="72"/>
  <c r="S62" i="72"/>
  <c r="S63" i="72"/>
  <c r="S64" i="72"/>
  <c r="S65" i="72"/>
  <c r="S66" i="72"/>
  <c r="S67" i="72"/>
  <c r="S68" i="72"/>
  <c r="S69" i="72"/>
  <c r="S70" i="72"/>
  <c r="S71" i="72"/>
  <c r="S72" i="72"/>
  <c r="S73" i="72"/>
  <c r="S74" i="72"/>
  <c r="S75" i="72"/>
  <c r="S76" i="72"/>
  <c r="S77" i="72"/>
  <c r="S78" i="72"/>
  <c r="S79" i="72"/>
  <c r="S80" i="72"/>
  <c r="S81" i="72"/>
  <c r="S82" i="72"/>
  <c r="S83" i="72"/>
  <c r="S84" i="72"/>
  <c r="S85" i="72"/>
  <c r="S86" i="72"/>
  <c r="S87" i="72"/>
  <c r="S88" i="72"/>
  <c r="S89" i="72"/>
  <c r="S90" i="72"/>
  <c r="S91" i="72"/>
  <c r="S92" i="72"/>
  <c r="S98" i="30" s="1"/>
  <c r="Q93" i="72"/>
  <c r="S93" i="72" s="1"/>
  <c r="S99" i="30" s="1"/>
  <c r="S33" i="72"/>
  <c r="O78" i="72"/>
  <c r="O81" i="72"/>
  <c r="O82" i="72"/>
  <c r="R22" i="73"/>
  <c r="O63" i="72" s="1"/>
  <c r="R21" i="73"/>
  <c r="O62" i="72" s="1"/>
  <c r="R20" i="73"/>
  <c r="O61" i="72" s="1"/>
  <c r="R19" i="73"/>
  <c r="O60" i="72" s="1"/>
  <c r="R18" i="73"/>
  <c r="O59" i="72" s="1"/>
  <c r="R17" i="73"/>
  <c r="O58" i="72" s="1"/>
  <c r="R16" i="73"/>
  <c r="O57" i="72" s="1"/>
  <c r="R15" i="73"/>
  <c r="O56" i="72" s="1"/>
  <c r="R14" i="73"/>
  <c r="O55" i="72" s="1"/>
  <c r="R13" i="73"/>
  <c r="O54" i="72" s="1"/>
  <c r="R12" i="73"/>
  <c r="O53" i="72" s="1"/>
  <c r="R11" i="73"/>
  <c r="O52" i="72" s="1"/>
  <c r="R10" i="73"/>
  <c r="O51" i="72" s="1"/>
  <c r="R9" i="73"/>
  <c r="O50" i="72" s="1"/>
  <c r="R8" i="73"/>
  <c r="O49" i="72" s="1"/>
  <c r="R7" i="73"/>
  <c r="O48" i="72" s="1"/>
  <c r="R6" i="73"/>
  <c r="O47" i="72" s="1"/>
  <c r="Z126" i="73"/>
  <c r="R53" i="73"/>
  <c r="R52" i="73"/>
  <c r="O93" i="72" s="1"/>
  <c r="R51" i="73"/>
  <c r="O92" i="72" s="1"/>
  <c r="R47" i="73"/>
  <c r="O88" i="72" s="1"/>
  <c r="R48" i="73"/>
  <c r="O89" i="72" s="1"/>
  <c r="R49" i="73"/>
  <c r="O90" i="72" s="1"/>
  <c r="R50" i="73"/>
  <c r="O91" i="72" s="1"/>
  <c r="R46" i="73"/>
  <c r="O87" i="72" s="1"/>
  <c r="R45" i="73"/>
  <c r="O86" i="72" s="1"/>
  <c r="R44" i="73"/>
  <c r="O85" i="72" s="1"/>
  <c r="R43" i="73"/>
  <c r="O84" i="72" s="1"/>
  <c r="R42" i="73"/>
  <c r="O83" i="72" s="1"/>
  <c r="R39" i="73"/>
  <c r="O80" i="72" s="1"/>
  <c r="R38" i="73"/>
  <c r="O79" i="72" s="1"/>
  <c r="R36" i="73"/>
  <c r="O77" i="72" s="1"/>
  <c r="R35" i="73"/>
  <c r="O76" i="72" s="1"/>
  <c r="R34" i="73"/>
  <c r="O75" i="72" s="1"/>
  <c r="R33" i="73"/>
  <c r="O74" i="72" s="1"/>
  <c r="R32" i="73"/>
  <c r="O73" i="72" s="1"/>
  <c r="R31" i="73"/>
  <c r="O72" i="72" s="1"/>
  <c r="R30" i="73"/>
  <c r="O71" i="72" s="1"/>
  <c r="R29" i="73"/>
  <c r="O70" i="72" s="1"/>
  <c r="R28" i="73"/>
  <c r="O69" i="72" s="1"/>
  <c r="R27" i="73"/>
  <c r="O68" i="72" s="1"/>
  <c r="R26" i="73"/>
  <c r="O67" i="72" s="1"/>
  <c r="R25" i="73"/>
  <c r="O66" i="72" s="1"/>
  <c r="R24" i="73"/>
  <c r="O65" i="72" s="1"/>
  <c r="R23" i="73"/>
  <c r="O64" i="72" s="1"/>
  <c r="Q34" i="73"/>
  <c r="P75" i="72" s="1"/>
  <c r="Q9" i="73"/>
  <c r="P50" i="72" s="1"/>
  <c r="Q8" i="73"/>
  <c r="P49" i="72" s="1"/>
  <c r="Q7" i="73"/>
  <c r="P48" i="72" s="1"/>
  <c r="Q6" i="73"/>
  <c r="P47" i="72" s="1"/>
  <c r="L126" i="73"/>
  <c r="Q51" i="73"/>
  <c r="P92" i="72" s="1"/>
  <c r="Q53" i="73"/>
  <c r="Q52" i="73"/>
  <c r="P93" i="72" s="1"/>
  <c r="Q38" i="73"/>
  <c r="P79" i="72" s="1"/>
  <c r="Q39" i="73"/>
  <c r="P80" i="72" s="1"/>
  <c r="Q40" i="73"/>
  <c r="P81" i="72" s="1"/>
  <c r="Q41" i="73"/>
  <c r="P82" i="72" s="1"/>
  <c r="Q42" i="73"/>
  <c r="P83" i="72" s="1"/>
  <c r="Q43" i="73"/>
  <c r="P84" i="72" s="1"/>
  <c r="Q44" i="73"/>
  <c r="P85" i="72" s="1"/>
  <c r="Q45" i="73"/>
  <c r="P86" i="72" s="1"/>
  <c r="Q46" i="73"/>
  <c r="P87" i="72" s="1"/>
  <c r="Q47" i="73"/>
  <c r="P88" i="72" s="1"/>
  <c r="Q48" i="73"/>
  <c r="P89" i="72" s="1"/>
  <c r="Q49" i="73"/>
  <c r="P90" i="72" s="1"/>
  <c r="Q50" i="73"/>
  <c r="P91" i="72" s="1"/>
  <c r="Q37" i="73"/>
  <c r="P78" i="72" s="1"/>
  <c r="Q36" i="73"/>
  <c r="P77" i="72" s="1"/>
  <c r="Q35" i="73"/>
  <c r="P76" i="72" s="1"/>
  <c r="Q33" i="73"/>
  <c r="P74" i="72" s="1"/>
  <c r="Q32" i="73"/>
  <c r="P73" i="72" s="1"/>
  <c r="Q31" i="73"/>
  <c r="P72" i="72" s="1"/>
  <c r="Q30" i="73"/>
  <c r="P71" i="72" s="1"/>
  <c r="Q29" i="73"/>
  <c r="P70" i="72" s="1"/>
  <c r="Q28" i="73"/>
  <c r="P69" i="72" s="1"/>
  <c r="Q27" i="73"/>
  <c r="P68" i="72" s="1"/>
  <c r="Q26" i="73"/>
  <c r="P67" i="72" s="1"/>
  <c r="Q25" i="73"/>
  <c r="P66" i="72" s="1"/>
  <c r="Q24" i="73"/>
  <c r="P65" i="72" s="1"/>
  <c r="Q23" i="73"/>
  <c r="P64" i="72" s="1"/>
  <c r="Q22" i="73"/>
  <c r="P63" i="72" s="1"/>
  <c r="Q21" i="73"/>
  <c r="P62" i="72" s="1"/>
  <c r="Q20" i="73"/>
  <c r="P61" i="72" s="1"/>
  <c r="Q19" i="73"/>
  <c r="P60" i="72" s="1"/>
  <c r="Q18" i="73"/>
  <c r="P59" i="72" s="1"/>
  <c r="Q17" i="73"/>
  <c r="P58" i="72" s="1"/>
  <c r="Q16" i="73"/>
  <c r="P57" i="72" s="1"/>
  <c r="Q15" i="73"/>
  <c r="P56" i="72" s="1"/>
  <c r="Q14" i="73"/>
  <c r="P55" i="72" s="1"/>
  <c r="Q13" i="73"/>
  <c r="P54" i="72" s="1"/>
  <c r="Q12" i="73"/>
  <c r="P53" i="72" s="1"/>
  <c r="Q11" i="73"/>
  <c r="P52" i="72" s="1"/>
  <c r="Q10" i="73"/>
  <c r="P51" i="72" s="1"/>
  <c r="AB51" i="4" l="1"/>
  <c r="AB65" i="4" s="1"/>
  <c r="L12" i="45"/>
  <c r="K54" i="64"/>
  <c r="T62" i="72"/>
  <c r="M68" i="30" s="1"/>
  <c r="T54" i="72"/>
  <c r="M60" i="30" s="1"/>
  <c r="T64" i="72"/>
  <c r="M70" i="30" s="1"/>
  <c r="U76" i="72"/>
  <c r="J82" i="30" s="1"/>
  <c r="U90" i="72"/>
  <c r="J96" i="30" s="1"/>
  <c r="T92" i="72"/>
  <c r="M98" i="30" s="1"/>
  <c r="T93" i="72"/>
  <c r="S169" i="72"/>
  <c r="I39" i="32" s="1"/>
  <c r="U84" i="72"/>
  <c r="J90" i="30" s="1"/>
  <c r="U82" i="72"/>
  <c r="J88" i="30" s="1"/>
  <c r="U86" i="72"/>
  <c r="J92" i="30" s="1"/>
  <c r="S170" i="72"/>
  <c r="T56" i="72"/>
  <c r="M62" i="30" s="1"/>
  <c r="U70" i="72"/>
  <c r="J76" i="30" s="1"/>
  <c r="T60" i="72"/>
  <c r="M66" i="30" s="1"/>
  <c r="U78" i="72"/>
  <c r="J84" i="30" s="1"/>
  <c r="U92" i="72"/>
  <c r="J98" i="30" s="1"/>
  <c r="M47" i="30"/>
  <c r="M46" i="30"/>
  <c r="T68" i="72"/>
  <c r="M74" i="30" s="1"/>
  <c r="U68" i="72"/>
  <c r="J74" i="30" s="1"/>
  <c r="T87" i="72"/>
  <c r="M93" i="30" s="1"/>
  <c r="U87" i="72"/>
  <c r="J93" i="30" s="1"/>
  <c r="U54" i="72"/>
  <c r="J60" i="30" s="1"/>
  <c r="U62" i="72"/>
  <c r="J68" i="30" s="1"/>
  <c r="T47" i="72"/>
  <c r="M53" i="30" s="1"/>
  <c r="U47" i="72"/>
  <c r="J53" i="30" s="1"/>
  <c r="T55" i="72"/>
  <c r="M61" i="30" s="1"/>
  <c r="U55" i="72"/>
  <c r="J61" i="30" s="1"/>
  <c r="T63" i="72"/>
  <c r="M69" i="30" s="1"/>
  <c r="U63" i="72"/>
  <c r="J69" i="30" s="1"/>
  <c r="T79" i="72"/>
  <c r="M85" i="30" s="1"/>
  <c r="U79" i="72"/>
  <c r="J85" i="30" s="1"/>
  <c r="T48" i="72"/>
  <c r="M54" i="30" s="1"/>
  <c r="U48" i="72"/>
  <c r="J54" i="30" s="1"/>
  <c r="T71" i="72"/>
  <c r="M77" i="30" s="1"/>
  <c r="U71" i="72"/>
  <c r="J77" i="30" s="1"/>
  <c r="U80" i="72"/>
  <c r="J86" i="30" s="1"/>
  <c r="T49" i="72"/>
  <c r="M55" i="30" s="1"/>
  <c r="U49" i="72"/>
  <c r="J55" i="30" s="1"/>
  <c r="T57" i="72"/>
  <c r="M63" i="30" s="1"/>
  <c r="U57" i="72"/>
  <c r="J63" i="30" s="1"/>
  <c r="U91" i="72"/>
  <c r="J97" i="30" s="1"/>
  <c r="U64" i="72"/>
  <c r="J70" i="30" s="1"/>
  <c r="T72" i="72"/>
  <c r="M78" i="30" s="1"/>
  <c r="U72" i="72"/>
  <c r="J78" i="30" s="1"/>
  <c r="T83" i="72"/>
  <c r="M89" i="30" s="1"/>
  <c r="U83" i="72"/>
  <c r="J89" i="30" s="1"/>
  <c r="U88" i="72"/>
  <c r="J94" i="30" s="1"/>
  <c r="T50" i="72"/>
  <c r="M56" i="30" s="1"/>
  <c r="U50" i="72"/>
  <c r="J56" i="30" s="1"/>
  <c r="T58" i="72"/>
  <c r="M64" i="30" s="1"/>
  <c r="U58" i="72"/>
  <c r="J64" i="30" s="1"/>
  <c r="T65" i="72"/>
  <c r="M71" i="30" s="1"/>
  <c r="U65" i="72"/>
  <c r="J71" i="30" s="1"/>
  <c r="T73" i="72"/>
  <c r="M79" i="30" s="1"/>
  <c r="U73" i="72"/>
  <c r="J79" i="30" s="1"/>
  <c r="T51" i="72"/>
  <c r="M57" i="30" s="1"/>
  <c r="U51" i="72"/>
  <c r="J57" i="30" s="1"/>
  <c r="T59" i="72"/>
  <c r="M65" i="30" s="1"/>
  <c r="U59" i="72"/>
  <c r="J65" i="30" s="1"/>
  <c r="T70" i="72"/>
  <c r="M76" i="30" s="1"/>
  <c r="T66" i="72"/>
  <c r="M72" i="30" s="1"/>
  <c r="U66" i="72"/>
  <c r="J72" i="30" s="1"/>
  <c r="T74" i="72"/>
  <c r="M80" i="30" s="1"/>
  <c r="U74" i="72"/>
  <c r="J80" i="30" s="1"/>
  <c r="T52" i="72"/>
  <c r="M58" i="30" s="1"/>
  <c r="U52" i="72"/>
  <c r="J58" i="30" s="1"/>
  <c r="U60" i="72"/>
  <c r="J66" i="30" s="1"/>
  <c r="U56" i="72"/>
  <c r="J62" i="30" s="1"/>
  <c r="T53" i="72"/>
  <c r="M59" i="30" s="1"/>
  <c r="T61" i="72"/>
  <c r="M67" i="30" s="1"/>
  <c r="S167" i="72"/>
  <c r="G39" i="32" s="1"/>
  <c r="J46" i="30"/>
  <c r="J47" i="30"/>
  <c r="T69" i="72"/>
  <c r="M75" i="30" s="1"/>
  <c r="U61" i="72"/>
  <c r="J67" i="30" s="1"/>
  <c r="T77" i="72"/>
  <c r="M83" i="30" s="1"/>
  <c r="T75" i="72"/>
  <c r="M81" i="30" s="1"/>
  <c r="R126" i="73"/>
  <c r="R127" i="73" s="1"/>
  <c r="T89" i="72"/>
  <c r="M95" i="30" s="1"/>
  <c r="T81" i="72"/>
  <c r="M87" i="30" s="1"/>
  <c r="S168" i="72"/>
  <c r="H39" i="32" s="1"/>
  <c r="S166" i="72"/>
  <c r="F39" i="32" s="1"/>
  <c r="M168" i="30"/>
  <c r="U75" i="72"/>
  <c r="J81" i="30" s="1"/>
  <c r="M99" i="30"/>
  <c r="T67" i="72"/>
  <c r="M73" i="30" s="1"/>
  <c r="S165" i="72"/>
  <c r="E39" i="32" s="1"/>
  <c r="U77" i="72"/>
  <c r="J83" i="30" s="1"/>
  <c r="T85" i="72"/>
  <c r="M91" i="30" s="1"/>
  <c r="U67" i="72"/>
  <c r="J73" i="30" s="1"/>
  <c r="U81" i="72"/>
  <c r="J87" i="30" s="1"/>
  <c r="M167" i="30"/>
  <c r="E10" i="46" s="1"/>
  <c r="C18" i="32" s="1"/>
  <c r="U85" i="72"/>
  <c r="J91" i="30" s="1"/>
  <c r="U53" i="72"/>
  <c r="J59" i="30" s="1"/>
  <c r="T91" i="72"/>
  <c r="M97" i="30" s="1"/>
  <c r="Q126" i="73"/>
  <c r="Q127" i="73" s="1"/>
  <c r="U89" i="72"/>
  <c r="J95" i="30" s="1"/>
  <c r="T33" i="72"/>
  <c r="M39" i="30" s="1"/>
  <c r="M169" i="30" s="1"/>
  <c r="E12" i="46" s="1"/>
  <c r="U93" i="72"/>
  <c r="J99" i="30" s="1"/>
  <c r="U69" i="72"/>
  <c r="J75" i="30" s="1"/>
  <c r="T90" i="72"/>
  <c r="M96" i="30" s="1"/>
  <c r="T86" i="72"/>
  <c r="M92" i="30" s="1"/>
  <c r="T82" i="72"/>
  <c r="M88" i="30" s="1"/>
  <c r="T78" i="72"/>
  <c r="M84" i="30" s="1"/>
  <c r="T88" i="72"/>
  <c r="M94" i="30" s="1"/>
  <c r="T84" i="72"/>
  <c r="M90" i="30" s="1"/>
  <c r="T80" i="72"/>
  <c r="M86" i="30" s="1"/>
  <c r="T76" i="72"/>
  <c r="M82" i="30" s="1"/>
  <c r="M12" i="45" l="1"/>
  <c r="L54" i="64"/>
  <c r="E11" i="46"/>
  <c r="J39" i="32"/>
  <c r="E18" i="32"/>
  <c r="M172" i="30"/>
  <c r="M173" i="30"/>
  <c r="M174" i="30"/>
  <c r="E17" i="46" s="1"/>
  <c r="M171" i="30"/>
  <c r="M170" i="30"/>
  <c r="N12" i="45" l="1"/>
  <c r="N54" i="64" s="1"/>
  <c r="M54" i="64"/>
  <c r="E16" i="46"/>
  <c r="E13" i="46"/>
  <c r="F18" i="32" s="1"/>
  <c r="E14" i="46"/>
  <c r="G18" i="32" s="1"/>
  <c r="E15" i="46"/>
  <c r="H18" i="32" s="1"/>
  <c r="D18" i="32"/>
  <c r="J18" i="32"/>
  <c r="I18" i="32" l="1"/>
  <c r="J16" i="51"/>
  <c r="AL94" i="70" l="1"/>
  <c r="Q99" i="30" s="1"/>
  <c r="AK94" i="70"/>
  <c r="H99" i="30" s="1"/>
  <c r="AL93" i="70"/>
  <c r="Q98" i="30" s="1"/>
  <c r="AK93" i="70"/>
  <c r="H98" i="30" s="1"/>
  <c r="AL92" i="70"/>
  <c r="Q97" i="30" s="1"/>
  <c r="AK92" i="70"/>
  <c r="H97" i="30" s="1"/>
  <c r="AL91" i="70"/>
  <c r="Q96" i="30" s="1"/>
  <c r="AK91" i="70"/>
  <c r="H96" i="30" s="1"/>
  <c r="AL90" i="70"/>
  <c r="Q95" i="30" s="1"/>
  <c r="AK90" i="70"/>
  <c r="H95" i="30" s="1"/>
  <c r="AL89" i="70"/>
  <c r="Q94" i="30" s="1"/>
  <c r="AK89" i="70"/>
  <c r="H94" i="30" s="1"/>
  <c r="AL88" i="70"/>
  <c r="Q93" i="30" s="1"/>
  <c r="AK88" i="70"/>
  <c r="H93" i="30" s="1"/>
  <c r="AL87" i="70"/>
  <c r="Q92" i="30" s="1"/>
  <c r="AK87" i="70"/>
  <c r="H92" i="30" s="1"/>
  <c r="AL86" i="70"/>
  <c r="Q91" i="30" s="1"/>
  <c r="AK86" i="70"/>
  <c r="H91" i="30" s="1"/>
  <c r="AL85" i="70"/>
  <c r="Q90" i="30" s="1"/>
  <c r="AK85" i="70"/>
  <c r="H90" i="30" s="1"/>
  <c r="AL84" i="70"/>
  <c r="Q89" i="30" s="1"/>
  <c r="AK84" i="70"/>
  <c r="H89" i="30" s="1"/>
  <c r="AL83" i="70"/>
  <c r="Q88" i="30" s="1"/>
  <c r="AK83" i="70"/>
  <c r="H88" i="30" s="1"/>
  <c r="AL82" i="70"/>
  <c r="Q87" i="30" s="1"/>
  <c r="AK82" i="70"/>
  <c r="H87" i="30" s="1"/>
  <c r="AL81" i="70"/>
  <c r="Q86" i="30" s="1"/>
  <c r="AK81" i="70"/>
  <c r="H86" i="30" s="1"/>
  <c r="AL80" i="70"/>
  <c r="Q85" i="30" s="1"/>
  <c r="AK80" i="70"/>
  <c r="H85" i="30" s="1"/>
  <c r="AL79" i="70"/>
  <c r="Q84" i="30" s="1"/>
  <c r="AK79" i="70"/>
  <c r="H84" i="30" s="1"/>
  <c r="AL78" i="70"/>
  <c r="Q83" i="30" s="1"/>
  <c r="AK78" i="70"/>
  <c r="H83" i="30" s="1"/>
  <c r="AL77" i="70"/>
  <c r="Q82" i="30" s="1"/>
  <c r="AK77" i="70"/>
  <c r="H82" i="30" s="1"/>
  <c r="AL76" i="70"/>
  <c r="Q81" i="30" s="1"/>
  <c r="AK76" i="70"/>
  <c r="H81" i="30" s="1"/>
  <c r="AL75" i="70"/>
  <c r="Q80" i="30" s="1"/>
  <c r="AK75" i="70"/>
  <c r="H80" i="30" s="1"/>
  <c r="AL74" i="70"/>
  <c r="Q79" i="30" s="1"/>
  <c r="AK74" i="70"/>
  <c r="H79" i="30" s="1"/>
  <c r="AL73" i="70"/>
  <c r="Q78" i="30" s="1"/>
  <c r="AK73" i="70"/>
  <c r="H78" i="30" s="1"/>
  <c r="AL72" i="70"/>
  <c r="Q77" i="30" s="1"/>
  <c r="AK72" i="70"/>
  <c r="H77" i="30" s="1"/>
  <c r="AL71" i="70"/>
  <c r="Q76" i="30" s="1"/>
  <c r="AK71" i="70"/>
  <c r="H76" i="30" s="1"/>
  <c r="AL70" i="70"/>
  <c r="Q75" i="30" s="1"/>
  <c r="AK70" i="70"/>
  <c r="H75" i="30" s="1"/>
  <c r="AL69" i="70"/>
  <c r="Q74" i="30" s="1"/>
  <c r="AK69" i="70"/>
  <c r="H74" i="30" s="1"/>
  <c r="AL68" i="70"/>
  <c r="Q73" i="30" s="1"/>
  <c r="AK68" i="70"/>
  <c r="H73" i="30" s="1"/>
  <c r="AL67" i="70"/>
  <c r="Q72" i="30" s="1"/>
  <c r="AK67" i="70"/>
  <c r="H72" i="30" s="1"/>
  <c r="AL66" i="70"/>
  <c r="Q71" i="30" s="1"/>
  <c r="AK66" i="70"/>
  <c r="H71" i="30" s="1"/>
  <c r="AL65" i="70"/>
  <c r="Q70" i="30" s="1"/>
  <c r="AK65" i="70"/>
  <c r="H70" i="30" s="1"/>
  <c r="AL64" i="70"/>
  <c r="Q69" i="30" s="1"/>
  <c r="AK64" i="70"/>
  <c r="H69" i="30" s="1"/>
  <c r="AL63" i="70"/>
  <c r="Q68" i="30" s="1"/>
  <c r="AK63" i="70"/>
  <c r="H68" i="30" s="1"/>
  <c r="AL62" i="70"/>
  <c r="Q67" i="30" s="1"/>
  <c r="AK62" i="70"/>
  <c r="H67" i="30" s="1"/>
  <c r="AL61" i="70"/>
  <c r="Q66" i="30" s="1"/>
  <c r="AK61" i="70"/>
  <c r="H66" i="30" s="1"/>
  <c r="AL60" i="70"/>
  <c r="Q65" i="30" s="1"/>
  <c r="AK60" i="70"/>
  <c r="H65" i="30" s="1"/>
  <c r="AK6" i="70"/>
  <c r="H11" i="30" s="1"/>
  <c r="AL6" i="70"/>
  <c r="Q11" i="30" s="1"/>
  <c r="AK7" i="70"/>
  <c r="H12" i="30" s="1"/>
  <c r="AL7" i="70"/>
  <c r="Q12" i="30" s="1"/>
  <c r="AK8" i="70"/>
  <c r="H13" i="30" s="1"/>
  <c r="AL8" i="70"/>
  <c r="Q13" i="30" s="1"/>
  <c r="AK9" i="70"/>
  <c r="H14" i="30" s="1"/>
  <c r="AL9" i="70"/>
  <c r="Q14" i="30" s="1"/>
  <c r="AK10" i="70"/>
  <c r="H15" i="30" s="1"/>
  <c r="AL10" i="70"/>
  <c r="Q15" i="30" s="1"/>
  <c r="AK11" i="70"/>
  <c r="H16" i="30" s="1"/>
  <c r="AL11" i="70"/>
  <c r="Q16" i="30" s="1"/>
  <c r="AK12" i="70"/>
  <c r="H17" i="30" s="1"/>
  <c r="AL12" i="70"/>
  <c r="Q17" i="30" s="1"/>
  <c r="AK13" i="70"/>
  <c r="H18" i="30" s="1"/>
  <c r="AL13" i="70"/>
  <c r="Q18" i="30" s="1"/>
  <c r="AK14" i="70"/>
  <c r="H19" i="30" s="1"/>
  <c r="AL14" i="70"/>
  <c r="Q19" i="30" s="1"/>
  <c r="AK15" i="70"/>
  <c r="H20" i="30" s="1"/>
  <c r="AL15" i="70"/>
  <c r="Q20" i="30" s="1"/>
  <c r="AK16" i="70"/>
  <c r="H21" i="30" s="1"/>
  <c r="AL16" i="70"/>
  <c r="Q21" i="30" s="1"/>
  <c r="AK17" i="70"/>
  <c r="H22" i="30" s="1"/>
  <c r="AL17" i="70"/>
  <c r="Q22" i="30" s="1"/>
  <c r="AK18" i="70"/>
  <c r="H23" i="30" s="1"/>
  <c r="AL18" i="70"/>
  <c r="Q23" i="30" s="1"/>
  <c r="AK19" i="70"/>
  <c r="H24" i="30" s="1"/>
  <c r="AL19" i="70"/>
  <c r="Q24" i="30" s="1"/>
  <c r="AK20" i="70"/>
  <c r="H25" i="30" s="1"/>
  <c r="AL20" i="70"/>
  <c r="Q25" i="30" s="1"/>
  <c r="AK21" i="70"/>
  <c r="H26" i="30" s="1"/>
  <c r="AL21" i="70"/>
  <c r="Q26" i="30" s="1"/>
  <c r="AK22" i="70"/>
  <c r="H27" i="30" s="1"/>
  <c r="AL22" i="70"/>
  <c r="Q27" i="30" s="1"/>
  <c r="AK23" i="70"/>
  <c r="H28" i="30" s="1"/>
  <c r="AL23" i="70"/>
  <c r="Q28" i="30" s="1"/>
  <c r="AK24" i="70"/>
  <c r="H29" i="30" s="1"/>
  <c r="AL24" i="70"/>
  <c r="Q29" i="30" s="1"/>
  <c r="AK25" i="70"/>
  <c r="H30" i="30" s="1"/>
  <c r="AL25" i="70"/>
  <c r="Q30" i="30" s="1"/>
  <c r="AK26" i="70"/>
  <c r="H31" i="30" s="1"/>
  <c r="AL26" i="70"/>
  <c r="Q31" i="30" s="1"/>
  <c r="AK27" i="70"/>
  <c r="H32" i="30" s="1"/>
  <c r="AL27" i="70"/>
  <c r="Q32" i="30" s="1"/>
  <c r="AK28" i="70"/>
  <c r="H33" i="30" s="1"/>
  <c r="AL28" i="70"/>
  <c r="Q33" i="30" s="1"/>
  <c r="AK29" i="70"/>
  <c r="H34" i="30" s="1"/>
  <c r="AL29" i="70"/>
  <c r="Q34" i="30" s="1"/>
  <c r="AK30" i="70"/>
  <c r="H35" i="30" s="1"/>
  <c r="AL30" i="70"/>
  <c r="Q35" i="30" s="1"/>
  <c r="AK31" i="70"/>
  <c r="H36" i="30" s="1"/>
  <c r="AL31" i="70"/>
  <c r="Q36" i="30" s="1"/>
  <c r="AK32" i="70"/>
  <c r="H37" i="30" s="1"/>
  <c r="AL32" i="70"/>
  <c r="Q37" i="30" s="1"/>
  <c r="AK33" i="70"/>
  <c r="H38" i="30" s="1"/>
  <c r="AL33" i="70"/>
  <c r="Q38" i="30" s="1"/>
  <c r="AK34" i="70"/>
  <c r="H39" i="30" s="1"/>
  <c r="AL34" i="70"/>
  <c r="Q39" i="30" s="1"/>
  <c r="AK35" i="70"/>
  <c r="H40" i="30" s="1"/>
  <c r="AL35" i="70"/>
  <c r="Q40" i="30" s="1"/>
  <c r="AK36" i="70"/>
  <c r="H41" i="30" s="1"/>
  <c r="AL36" i="70"/>
  <c r="Q41" i="30" s="1"/>
  <c r="AK37" i="70"/>
  <c r="H42" i="30" s="1"/>
  <c r="AL37" i="70"/>
  <c r="Q42" i="30" s="1"/>
  <c r="AK38" i="70"/>
  <c r="H43" i="30" s="1"/>
  <c r="AL38" i="70"/>
  <c r="Q43" i="30" s="1"/>
  <c r="AK39" i="70"/>
  <c r="H44" i="30" s="1"/>
  <c r="AL39" i="70"/>
  <c r="Q44" i="30" s="1"/>
  <c r="AK40" i="70"/>
  <c r="H45" i="30" s="1"/>
  <c r="AL40" i="70"/>
  <c r="Q45" i="30" s="1"/>
  <c r="AK41" i="70"/>
  <c r="H46" i="30" s="1"/>
  <c r="AL41" i="70"/>
  <c r="Q46" i="30" s="1"/>
  <c r="AK42" i="70"/>
  <c r="H47" i="30" s="1"/>
  <c r="AL42" i="70"/>
  <c r="Q47" i="30" s="1"/>
  <c r="AK43" i="70"/>
  <c r="H48" i="30" s="1"/>
  <c r="AL43" i="70"/>
  <c r="Q48" i="30" s="1"/>
  <c r="AK44" i="70"/>
  <c r="H49" i="30" s="1"/>
  <c r="AL44" i="70"/>
  <c r="Q49" i="30" s="1"/>
  <c r="AK45" i="70"/>
  <c r="H50" i="30" s="1"/>
  <c r="AL45" i="70"/>
  <c r="Q50" i="30" s="1"/>
  <c r="AK46" i="70"/>
  <c r="H51" i="30" s="1"/>
  <c r="AL46" i="70"/>
  <c r="Q51" i="30" s="1"/>
  <c r="AK47" i="70"/>
  <c r="H52" i="30" s="1"/>
  <c r="AL47" i="70"/>
  <c r="Q52" i="30" s="1"/>
  <c r="AK48" i="70"/>
  <c r="H53" i="30" s="1"/>
  <c r="AL48" i="70"/>
  <c r="Q53" i="30" s="1"/>
  <c r="AK49" i="70"/>
  <c r="H54" i="30" s="1"/>
  <c r="AL49" i="70"/>
  <c r="Q54" i="30" s="1"/>
  <c r="AK50" i="70"/>
  <c r="H55" i="30" s="1"/>
  <c r="AL50" i="70"/>
  <c r="Q55" i="30" s="1"/>
  <c r="AK51" i="70"/>
  <c r="H56" i="30" s="1"/>
  <c r="AL51" i="70"/>
  <c r="Q56" i="30" s="1"/>
  <c r="AK52" i="70"/>
  <c r="H57" i="30" s="1"/>
  <c r="AL52" i="70"/>
  <c r="Q57" i="30" s="1"/>
  <c r="AK53" i="70"/>
  <c r="H58" i="30" s="1"/>
  <c r="AL53" i="70"/>
  <c r="Q58" i="30" s="1"/>
  <c r="AK54" i="70"/>
  <c r="H59" i="30" s="1"/>
  <c r="AL54" i="70"/>
  <c r="Q59" i="30" s="1"/>
  <c r="AK55" i="70"/>
  <c r="H60" i="30" s="1"/>
  <c r="AL55" i="70"/>
  <c r="Q60" i="30" s="1"/>
  <c r="AK56" i="70"/>
  <c r="H61" i="30" s="1"/>
  <c r="AL56" i="70"/>
  <c r="Q61" i="30" s="1"/>
  <c r="AK57" i="70"/>
  <c r="H62" i="30" s="1"/>
  <c r="AL57" i="70"/>
  <c r="Q62" i="30" s="1"/>
  <c r="AL5" i="70"/>
  <c r="Q10" i="30" s="1"/>
  <c r="AK5" i="70"/>
  <c r="H10" i="30" s="1"/>
  <c r="AH94" i="70"/>
  <c r="AG94" i="70"/>
  <c r="AF94" i="70"/>
  <c r="AE94" i="70"/>
  <c r="AD94" i="70"/>
  <c r="F99" i="30" s="1"/>
  <c r="AC94" i="70"/>
  <c r="D99" i="30" s="1"/>
  <c r="AH93" i="70"/>
  <c r="AG93" i="70"/>
  <c r="AF93" i="70"/>
  <c r="AE93" i="70"/>
  <c r="AD93" i="70"/>
  <c r="F98" i="30" s="1"/>
  <c r="AC93" i="70"/>
  <c r="D98" i="30" s="1"/>
  <c r="AH92" i="70"/>
  <c r="AG92" i="70"/>
  <c r="AF92" i="70"/>
  <c r="AE92" i="70"/>
  <c r="AD92" i="70"/>
  <c r="F97" i="30" s="1"/>
  <c r="AC92" i="70"/>
  <c r="D97" i="30" s="1"/>
  <c r="AH91" i="70"/>
  <c r="AG91" i="70"/>
  <c r="AF91" i="70"/>
  <c r="AE91" i="70"/>
  <c r="AD91" i="70"/>
  <c r="F96" i="30" s="1"/>
  <c r="AC91" i="70"/>
  <c r="D96" i="30" s="1"/>
  <c r="AH90" i="70"/>
  <c r="AG90" i="70"/>
  <c r="AF90" i="70"/>
  <c r="AE90" i="70"/>
  <c r="AD90" i="70"/>
  <c r="F95" i="30" s="1"/>
  <c r="AC90" i="70"/>
  <c r="D95" i="30" s="1"/>
  <c r="AH89" i="70"/>
  <c r="AG89" i="70"/>
  <c r="AF89" i="70"/>
  <c r="AE89" i="70"/>
  <c r="AD89" i="70"/>
  <c r="AC89" i="70"/>
  <c r="AH88" i="70"/>
  <c r="AG88" i="70"/>
  <c r="AF88" i="70"/>
  <c r="AE88" i="70"/>
  <c r="AD88" i="70"/>
  <c r="AC88" i="70"/>
  <c r="AH87" i="70"/>
  <c r="AG87" i="70"/>
  <c r="AF87" i="70"/>
  <c r="AE87" i="70"/>
  <c r="AD87" i="70"/>
  <c r="AC87" i="70"/>
  <c r="AH86" i="70"/>
  <c r="AG86" i="70"/>
  <c r="AF86" i="70"/>
  <c r="AE86" i="70"/>
  <c r="AD86" i="70"/>
  <c r="AC86" i="70"/>
  <c r="AH85" i="70"/>
  <c r="AG85" i="70"/>
  <c r="AF85" i="70"/>
  <c r="AE85" i="70"/>
  <c r="AD85" i="70"/>
  <c r="AC85" i="70"/>
  <c r="AH84" i="70"/>
  <c r="AG84" i="70"/>
  <c r="AF84" i="70"/>
  <c r="AE84" i="70"/>
  <c r="AD84" i="70"/>
  <c r="AC84" i="70"/>
  <c r="AH83" i="70"/>
  <c r="AG83" i="70"/>
  <c r="AF83" i="70"/>
  <c r="AE83" i="70"/>
  <c r="AD83" i="70"/>
  <c r="AC83" i="70"/>
  <c r="AH82" i="70"/>
  <c r="AG82" i="70"/>
  <c r="AF82" i="70"/>
  <c r="AE82" i="70"/>
  <c r="AD82" i="70"/>
  <c r="AC82" i="70"/>
  <c r="AH81" i="70"/>
  <c r="AG81" i="70"/>
  <c r="AF81" i="70"/>
  <c r="AE81" i="70"/>
  <c r="AD81" i="70"/>
  <c r="AC81" i="70"/>
  <c r="AH80" i="70"/>
  <c r="AG80" i="70"/>
  <c r="AF80" i="70"/>
  <c r="AE80" i="70"/>
  <c r="AD80" i="70"/>
  <c r="AC80" i="70"/>
  <c r="AH79" i="70"/>
  <c r="AG79" i="70"/>
  <c r="AF79" i="70"/>
  <c r="AE79" i="70"/>
  <c r="AD79" i="70"/>
  <c r="AC79" i="70"/>
  <c r="AH78" i="70"/>
  <c r="AG78" i="70"/>
  <c r="AF78" i="70"/>
  <c r="AE78" i="70"/>
  <c r="AD78" i="70"/>
  <c r="AC78" i="70"/>
  <c r="AH77" i="70"/>
  <c r="AG77" i="70"/>
  <c r="AF77" i="70"/>
  <c r="AE77" i="70"/>
  <c r="AD77" i="70"/>
  <c r="AC77" i="70"/>
  <c r="AH76" i="70"/>
  <c r="AG76" i="70"/>
  <c r="AF76" i="70"/>
  <c r="AE76" i="70"/>
  <c r="AD76" i="70"/>
  <c r="AC76" i="70"/>
  <c r="AH75" i="70"/>
  <c r="AG75" i="70"/>
  <c r="AF75" i="70"/>
  <c r="AE75" i="70"/>
  <c r="AD75" i="70"/>
  <c r="AC75" i="70"/>
  <c r="AH74" i="70"/>
  <c r="AG74" i="70"/>
  <c r="AF74" i="70"/>
  <c r="AE74" i="70"/>
  <c r="AD74" i="70"/>
  <c r="AC74" i="70"/>
  <c r="AH73" i="70"/>
  <c r="AG73" i="70"/>
  <c r="AF73" i="70"/>
  <c r="AE73" i="70"/>
  <c r="AD73" i="70"/>
  <c r="AC73" i="70"/>
  <c r="AH72" i="70"/>
  <c r="AG72" i="70"/>
  <c r="AF72" i="70"/>
  <c r="AE72" i="70"/>
  <c r="AD72" i="70"/>
  <c r="AC72" i="70"/>
  <c r="AH71" i="70"/>
  <c r="AG71" i="70"/>
  <c r="AF71" i="70"/>
  <c r="AE71" i="70"/>
  <c r="AD71" i="70"/>
  <c r="AC71" i="70"/>
  <c r="AH70" i="70"/>
  <c r="AG70" i="70"/>
  <c r="AF70" i="70"/>
  <c r="AE70" i="70"/>
  <c r="AD70" i="70"/>
  <c r="AC70" i="70"/>
  <c r="AH69" i="70"/>
  <c r="AG69" i="70"/>
  <c r="AF69" i="70"/>
  <c r="AE69" i="70"/>
  <c r="AD69" i="70"/>
  <c r="AC69" i="70"/>
  <c r="AH68" i="70"/>
  <c r="AG68" i="70"/>
  <c r="AF68" i="70"/>
  <c r="AE68" i="70"/>
  <c r="AD68" i="70"/>
  <c r="AC68" i="70"/>
  <c r="AH67" i="70"/>
  <c r="AG67" i="70"/>
  <c r="AF67" i="70"/>
  <c r="AE67" i="70"/>
  <c r="AD67" i="70"/>
  <c r="AC67" i="70"/>
  <c r="AH66" i="70"/>
  <c r="AG66" i="70"/>
  <c r="AF66" i="70"/>
  <c r="AE66" i="70"/>
  <c r="AD66" i="70"/>
  <c r="AC66" i="70"/>
  <c r="AH65" i="70"/>
  <c r="AG65" i="70"/>
  <c r="AF65" i="70"/>
  <c r="AE65" i="70"/>
  <c r="AD65" i="70"/>
  <c r="AC65" i="70"/>
  <c r="AH64" i="70"/>
  <c r="AG64" i="70"/>
  <c r="AF64" i="70"/>
  <c r="AE64" i="70"/>
  <c r="AD64" i="70"/>
  <c r="AC64" i="70"/>
  <c r="AH63" i="70"/>
  <c r="AG63" i="70"/>
  <c r="AF63" i="70"/>
  <c r="AE63" i="70"/>
  <c r="AD63" i="70"/>
  <c r="AC63" i="70"/>
  <c r="AH62" i="70"/>
  <c r="AG62" i="70"/>
  <c r="AF62" i="70"/>
  <c r="AE62" i="70"/>
  <c r="AD62" i="70"/>
  <c r="AC62" i="70"/>
  <c r="AH61" i="70"/>
  <c r="AG61" i="70"/>
  <c r="AF61" i="70"/>
  <c r="AE61" i="70"/>
  <c r="AD61" i="70"/>
  <c r="AC61" i="70"/>
  <c r="AH60" i="70"/>
  <c r="AG60" i="70"/>
  <c r="AF60" i="70"/>
  <c r="AE60" i="70"/>
  <c r="AD60" i="70"/>
  <c r="AC60" i="70"/>
  <c r="AC6" i="70"/>
  <c r="D11" i="30" s="1"/>
  <c r="AD6" i="70"/>
  <c r="AE6" i="70"/>
  <c r="AF6" i="70"/>
  <c r="AG6" i="70"/>
  <c r="AH6" i="70"/>
  <c r="AC7" i="70"/>
  <c r="AD7" i="70"/>
  <c r="AE7" i="70"/>
  <c r="AF7" i="70"/>
  <c r="AG7" i="70"/>
  <c r="AH7" i="70"/>
  <c r="AC8" i="70"/>
  <c r="AD8" i="70"/>
  <c r="AE8" i="70"/>
  <c r="AF8" i="70"/>
  <c r="AG8" i="70"/>
  <c r="AH8" i="70"/>
  <c r="AC9" i="70"/>
  <c r="AD9" i="70"/>
  <c r="AE9" i="70"/>
  <c r="AF9" i="70"/>
  <c r="AG9" i="70"/>
  <c r="AH9" i="70"/>
  <c r="AC10" i="70"/>
  <c r="AD10" i="70"/>
  <c r="AE10" i="70"/>
  <c r="AF10" i="70"/>
  <c r="AG10" i="70"/>
  <c r="AH10" i="70"/>
  <c r="AC11" i="70"/>
  <c r="AD11" i="70"/>
  <c r="AE11" i="70"/>
  <c r="AF11" i="70"/>
  <c r="AG11" i="70"/>
  <c r="AH11" i="70"/>
  <c r="AC12" i="70"/>
  <c r="AD12" i="70"/>
  <c r="AE12" i="70"/>
  <c r="AF12" i="70"/>
  <c r="AG12" i="70"/>
  <c r="AH12" i="70"/>
  <c r="AC13" i="70"/>
  <c r="AD13" i="70"/>
  <c r="AE13" i="70"/>
  <c r="AF13" i="70"/>
  <c r="AG13" i="70"/>
  <c r="AH13" i="70"/>
  <c r="AC14" i="70"/>
  <c r="AD14" i="70"/>
  <c r="AE14" i="70"/>
  <c r="AF14" i="70"/>
  <c r="AG14" i="70"/>
  <c r="AH14" i="70"/>
  <c r="AC15" i="70"/>
  <c r="AD15" i="70"/>
  <c r="AE15" i="70"/>
  <c r="AF15" i="70"/>
  <c r="AG15" i="70"/>
  <c r="AH15" i="70"/>
  <c r="AC16" i="70"/>
  <c r="AD16" i="70"/>
  <c r="AE16" i="70"/>
  <c r="AF16" i="70"/>
  <c r="AG16" i="70"/>
  <c r="AH16" i="70"/>
  <c r="AC17" i="70"/>
  <c r="AD17" i="70"/>
  <c r="AE17" i="70"/>
  <c r="AF17" i="70"/>
  <c r="AG17" i="70"/>
  <c r="AH17" i="70"/>
  <c r="AC18" i="70"/>
  <c r="AD18" i="70"/>
  <c r="AE18" i="70"/>
  <c r="AF18" i="70"/>
  <c r="AG18" i="70"/>
  <c r="AH18" i="70"/>
  <c r="AC19" i="70"/>
  <c r="AD19" i="70"/>
  <c r="AE19" i="70"/>
  <c r="AF19" i="70"/>
  <c r="AG19" i="70"/>
  <c r="AH19" i="70"/>
  <c r="AC20" i="70"/>
  <c r="AD20" i="70"/>
  <c r="AE20" i="70"/>
  <c r="AF20" i="70"/>
  <c r="AG20" i="70"/>
  <c r="AH20" i="70"/>
  <c r="AC21" i="70"/>
  <c r="AD21" i="70"/>
  <c r="AE21" i="70"/>
  <c r="AF21" i="70"/>
  <c r="AG21" i="70"/>
  <c r="AH21" i="70"/>
  <c r="AC22" i="70"/>
  <c r="AD22" i="70"/>
  <c r="AE22" i="70"/>
  <c r="AF22" i="70"/>
  <c r="AG22" i="70"/>
  <c r="AH22" i="70"/>
  <c r="AC23" i="70"/>
  <c r="AD23" i="70"/>
  <c r="AE23" i="70"/>
  <c r="AF23" i="70"/>
  <c r="AG23" i="70"/>
  <c r="AH23" i="70"/>
  <c r="AC24" i="70"/>
  <c r="AD24" i="70"/>
  <c r="AE24" i="70"/>
  <c r="AF24" i="70"/>
  <c r="AG24" i="70"/>
  <c r="AH24" i="70"/>
  <c r="AC25" i="70"/>
  <c r="AD25" i="70"/>
  <c r="AE25" i="70"/>
  <c r="AF25" i="70"/>
  <c r="AG25" i="70"/>
  <c r="AH25" i="70"/>
  <c r="AC26" i="70"/>
  <c r="AD26" i="70"/>
  <c r="AE26" i="70"/>
  <c r="AF26" i="70"/>
  <c r="AG26" i="70"/>
  <c r="AH26" i="70"/>
  <c r="AC27" i="70"/>
  <c r="AD27" i="70"/>
  <c r="AE27" i="70"/>
  <c r="AF27" i="70"/>
  <c r="AG27" i="70"/>
  <c r="AH27" i="70"/>
  <c r="AC28" i="70"/>
  <c r="AD28" i="70"/>
  <c r="AE28" i="70"/>
  <c r="AF28" i="70"/>
  <c r="AG28" i="70"/>
  <c r="AH28" i="70"/>
  <c r="AC29" i="70"/>
  <c r="AD29" i="70"/>
  <c r="AE29" i="70"/>
  <c r="AF29" i="70"/>
  <c r="AG29" i="70"/>
  <c r="AH29" i="70"/>
  <c r="AC30" i="70"/>
  <c r="AD30" i="70"/>
  <c r="AE30" i="70"/>
  <c r="AF30" i="70"/>
  <c r="AG30" i="70"/>
  <c r="AH30" i="70"/>
  <c r="AC31" i="70"/>
  <c r="AD31" i="70"/>
  <c r="AE31" i="70"/>
  <c r="AF31" i="70"/>
  <c r="AG31" i="70"/>
  <c r="AH31" i="70"/>
  <c r="AC32" i="70"/>
  <c r="AD32" i="70"/>
  <c r="AE32" i="70"/>
  <c r="AF32" i="70"/>
  <c r="AG32" i="70"/>
  <c r="AH32" i="70"/>
  <c r="AC33" i="70"/>
  <c r="AD33" i="70"/>
  <c r="AE33" i="70"/>
  <c r="AF33" i="70"/>
  <c r="AG33" i="70"/>
  <c r="AH33" i="70"/>
  <c r="AC34" i="70"/>
  <c r="AD34" i="70"/>
  <c r="AE34" i="70"/>
  <c r="AF34" i="70"/>
  <c r="AG34" i="70"/>
  <c r="AH34" i="70"/>
  <c r="AC35" i="70"/>
  <c r="AD35" i="70"/>
  <c r="AE35" i="70"/>
  <c r="AF35" i="70"/>
  <c r="AG35" i="70"/>
  <c r="AH35" i="70"/>
  <c r="AC36" i="70"/>
  <c r="AD36" i="70"/>
  <c r="AE36" i="70"/>
  <c r="AF36" i="70"/>
  <c r="AG36" i="70"/>
  <c r="AH36" i="70"/>
  <c r="AC37" i="70"/>
  <c r="AD37" i="70"/>
  <c r="AE37" i="70"/>
  <c r="AF37" i="70"/>
  <c r="AG37" i="70"/>
  <c r="AH37" i="70"/>
  <c r="AC38" i="70"/>
  <c r="AD38" i="70"/>
  <c r="AE38" i="70"/>
  <c r="AF38" i="70"/>
  <c r="AG38" i="70"/>
  <c r="AH38" i="70"/>
  <c r="AC39" i="70"/>
  <c r="AD39" i="70"/>
  <c r="AE39" i="70"/>
  <c r="AF39" i="70"/>
  <c r="AG39" i="70"/>
  <c r="AH39" i="70"/>
  <c r="AC40" i="70"/>
  <c r="AD40" i="70"/>
  <c r="AE40" i="70"/>
  <c r="AF40" i="70"/>
  <c r="AG40" i="70"/>
  <c r="AH40" i="70"/>
  <c r="AC41" i="70"/>
  <c r="AD41" i="70"/>
  <c r="AE41" i="70"/>
  <c r="AF41" i="70"/>
  <c r="AG41" i="70"/>
  <c r="AH41" i="70"/>
  <c r="AC42" i="70"/>
  <c r="AD42" i="70"/>
  <c r="AE42" i="70"/>
  <c r="AF42" i="70"/>
  <c r="AG42" i="70"/>
  <c r="AH42" i="70"/>
  <c r="AC43" i="70"/>
  <c r="AD43" i="70"/>
  <c r="AE43" i="70"/>
  <c r="AF43" i="70"/>
  <c r="AG43" i="70"/>
  <c r="AH43" i="70"/>
  <c r="AC44" i="70"/>
  <c r="AD44" i="70"/>
  <c r="AE44" i="70"/>
  <c r="AF44" i="70"/>
  <c r="AG44" i="70"/>
  <c r="AH44" i="70"/>
  <c r="AC45" i="70"/>
  <c r="AD45" i="70"/>
  <c r="AE45" i="70"/>
  <c r="AF45" i="70"/>
  <c r="AG45" i="70"/>
  <c r="AH45" i="70"/>
  <c r="AC46" i="70"/>
  <c r="AD46" i="70"/>
  <c r="AE46" i="70"/>
  <c r="AF46" i="70"/>
  <c r="AG46" i="70"/>
  <c r="AH46" i="70"/>
  <c r="AC47" i="70"/>
  <c r="AD47" i="70"/>
  <c r="AE47" i="70"/>
  <c r="AF47" i="70"/>
  <c r="AG47" i="70"/>
  <c r="AH47" i="70"/>
  <c r="AC48" i="70"/>
  <c r="AD48" i="70"/>
  <c r="AE48" i="70"/>
  <c r="AF48" i="70"/>
  <c r="AG48" i="70"/>
  <c r="AH48" i="70"/>
  <c r="AC49" i="70"/>
  <c r="AD49" i="70"/>
  <c r="AE49" i="70"/>
  <c r="AF49" i="70"/>
  <c r="AG49" i="70"/>
  <c r="AH49" i="70"/>
  <c r="AC50" i="70"/>
  <c r="AD50" i="70"/>
  <c r="AE50" i="70"/>
  <c r="AF50" i="70"/>
  <c r="AG50" i="70"/>
  <c r="AH50" i="70"/>
  <c r="AC51" i="70"/>
  <c r="AD51" i="70"/>
  <c r="AE51" i="70"/>
  <c r="AF51" i="70"/>
  <c r="AG51" i="70"/>
  <c r="AH51" i="70"/>
  <c r="AC52" i="70"/>
  <c r="AD52" i="70"/>
  <c r="AE52" i="70"/>
  <c r="AF52" i="70"/>
  <c r="AG52" i="70"/>
  <c r="AH52" i="70"/>
  <c r="AC53" i="70"/>
  <c r="AD53" i="70"/>
  <c r="AE53" i="70"/>
  <c r="AF53" i="70"/>
  <c r="AG53" i="70"/>
  <c r="AH53" i="70"/>
  <c r="AC54" i="70"/>
  <c r="AD54" i="70"/>
  <c r="AE54" i="70"/>
  <c r="AF54" i="70"/>
  <c r="AG54" i="70"/>
  <c r="AH54" i="70"/>
  <c r="AC55" i="70"/>
  <c r="AD55" i="70"/>
  <c r="AE55" i="70"/>
  <c r="AF55" i="70"/>
  <c r="AG55" i="70"/>
  <c r="AH55" i="70"/>
  <c r="AC56" i="70"/>
  <c r="AD56" i="70"/>
  <c r="AE56" i="70"/>
  <c r="AF56" i="70"/>
  <c r="AG56" i="70"/>
  <c r="AH56" i="70"/>
  <c r="AC57" i="70"/>
  <c r="AD57" i="70"/>
  <c r="AE57" i="70"/>
  <c r="AF57" i="70"/>
  <c r="AG57" i="70"/>
  <c r="AH57" i="70"/>
  <c r="AD5" i="70"/>
  <c r="AE5" i="70"/>
  <c r="AF5" i="70"/>
  <c r="AG5" i="70"/>
  <c r="AH5" i="70"/>
  <c r="AC5" i="70"/>
  <c r="D10" i="30" s="1"/>
  <c r="AN4" i="70"/>
  <c r="AO4" i="70" s="1"/>
  <c r="AL176" i="70" l="1"/>
  <c r="AK176" i="70"/>
  <c r="AK179" i="70" s="1"/>
  <c r="AH176" i="70"/>
  <c r="AG176" i="70"/>
  <c r="AF176" i="70"/>
  <c r="AE176" i="70"/>
  <c r="AD176" i="70"/>
  <c r="AC176" i="70"/>
  <c r="AJ94" i="70"/>
  <c r="T99" i="30" s="1"/>
  <c r="AI94" i="70"/>
  <c r="X94" i="70"/>
  <c r="AJ93" i="70"/>
  <c r="T98" i="30" s="1"/>
  <c r="AI93" i="70"/>
  <c r="X93" i="70"/>
  <c r="AI92" i="70"/>
  <c r="X92" i="70"/>
  <c r="AI91" i="70"/>
  <c r="X91" i="70"/>
  <c r="AI90" i="70"/>
  <c r="X90" i="70"/>
  <c r="AI89" i="70"/>
  <c r="F94" i="30"/>
  <c r="D94" i="30"/>
  <c r="AI88" i="70"/>
  <c r="F93" i="30"/>
  <c r="D93" i="30"/>
  <c r="X88" i="70"/>
  <c r="AI87" i="70"/>
  <c r="F92" i="30"/>
  <c r="D92" i="30"/>
  <c r="X87" i="70"/>
  <c r="AI86" i="70"/>
  <c r="F91" i="30"/>
  <c r="D91" i="30"/>
  <c r="X86" i="70"/>
  <c r="AI85" i="70"/>
  <c r="F90" i="30"/>
  <c r="D90" i="30"/>
  <c r="X85" i="70"/>
  <c r="AI84" i="70"/>
  <c r="F89" i="30"/>
  <c r="D89" i="30"/>
  <c r="X84" i="70"/>
  <c r="AI83" i="70"/>
  <c r="F88" i="30"/>
  <c r="D88" i="30"/>
  <c r="X83" i="70"/>
  <c r="AI82" i="70"/>
  <c r="F87" i="30"/>
  <c r="D87" i="30"/>
  <c r="X82" i="70"/>
  <c r="AI81" i="70"/>
  <c r="F86" i="30"/>
  <c r="D86" i="30"/>
  <c r="X81" i="70"/>
  <c r="AI80" i="70"/>
  <c r="F85" i="30"/>
  <c r="D85" i="30"/>
  <c r="X80" i="70"/>
  <c r="AI79" i="70"/>
  <c r="F84" i="30"/>
  <c r="D84" i="30"/>
  <c r="X79" i="70"/>
  <c r="AI78" i="70"/>
  <c r="F83" i="30"/>
  <c r="D83" i="30"/>
  <c r="X78" i="70"/>
  <c r="AI77" i="70"/>
  <c r="F82" i="30"/>
  <c r="D82" i="30"/>
  <c r="X77" i="70"/>
  <c r="AI76" i="70"/>
  <c r="F81" i="30"/>
  <c r="D81" i="30"/>
  <c r="X76" i="70"/>
  <c r="AI75" i="70"/>
  <c r="F80" i="30"/>
  <c r="D80" i="30"/>
  <c r="X75" i="70"/>
  <c r="AI74" i="70"/>
  <c r="F79" i="30"/>
  <c r="D79" i="30"/>
  <c r="X74" i="70"/>
  <c r="AI73" i="70"/>
  <c r="F78" i="30"/>
  <c r="D78" i="30"/>
  <c r="X73" i="70"/>
  <c r="AI72" i="70"/>
  <c r="F77" i="30"/>
  <c r="D77" i="30"/>
  <c r="X72" i="70"/>
  <c r="AI71" i="70"/>
  <c r="F76" i="30"/>
  <c r="D76" i="30"/>
  <c r="X71" i="70"/>
  <c r="F75" i="30"/>
  <c r="D75" i="30"/>
  <c r="X70" i="70"/>
  <c r="F74" i="30"/>
  <c r="D74" i="30"/>
  <c r="X69" i="70"/>
  <c r="F73" i="30"/>
  <c r="D73" i="30"/>
  <c r="X68" i="70"/>
  <c r="F72" i="30"/>
  <c r="D72" i="30"/>
  <c r="X67" i="70"/>
  <c r="F71" i="30"/>
  <c r="D71" i="30"/>
  <c r="X66" i="70"/>
  <c r="F70" i="30"/>
  <c r="D70" i="30"/>
  <c r="X65" i="70"/>
  <c r="F69" i="30"/>
  <c r="D69" i="30"/>
  <c r="X64" i="70"/>
  <c r="F68" i="30"/>
  <c r="D68" i="30"/>
  <c r="X63" i="70"/>
  <c r="F67" i="30"/>
  <c r="D67" i="30"/>
  <c r="X62" i="70"/>
  <c r="F66" i="30"/>
  <c r="D66" i="30"/>
  <c r="X61" i="70"/>
  <c r="F65" i="30"/>
  <c r="D65" i="30"/>
  <c r="X60" i="70"/>
  <c r="AK59" i="70"/>
  <c r="H64" i="30" s="1"/>
  <c r="X59" i="70"/>
  <c r="X58" i="70"/>
  <c r="F62" i="30"/>
  <c r="D62" i="30"/>
  <c r="X57" i="70"/>
  <c r="F61" i="30"/>
  <c r="D61" i="30"/>
  <c r="X56" i="70"/>
  <c r="F60" i="30"/>
  <c r="D60" i="30"/>
  <c r="X55" i="70"/>
  <c r="F59" i="30"/>
  <c r="D59" i="30"/>
  <c r="X54" i="70"/>
  <c r="F58" i="30"/>
  <c r="D58" i="30"/>
  <c r="X53" i="70"/>
  <c r="F57" i="30"/>
  <c r="D57" i="30"/>
  <c r="X52" i="70"/>
  <c r="F56" i="30"/>
  <c r="D56" i="30"/>
  <c r="X51" i="70"/>
  <c r="F55" i="30"/>
  <c r="D55" i="30"/>
  <c r="X50" i="70"/>
  <c r="F54" i="30"/>
  <c r="D54" i="30"/>
  <c r="X49" i="70"/>
  <c r="F53" i="30"/>
  <c r="D53" i="30"/>
  <c r="X48" i="70"/>
  <c r="F52" i="30"/>
  <c r="D52" i="30"/>
  <c r="X47" i="70"/>
  <c r="F51" i="30"/>
  <c r="D51" i="30"/>
  <c r="X46" i="70"/>
  <c r="F50" i="30"/>
  <c r="D50" i="30"/>
  <c r="X45" i="70"/>
  <c r="F49" i="30"/>
  <c r="D49" i="30"/>
  <c r="X44" i="70"/>
  <c r="F48" i="30"/>
  <c r="D48" i="30"/>
  <c r="X43" i="70"/>
  <c r="F47" i="30"/>
  <c r="D47" i="30"/>
  <c r="X42" i="70"/>
  <c r="F46" i="30"/>
  <c r="D46" i="30"/>
  <c r="X41" i="70"/>
  <c r="F45" i="30"/>
  <c r="D45" i="30"/>
  <c r="X40" i="70"/>
  <c r="F44" i="30"/>
  <c r="D44" i="30"/>
  <c r="X39" i="70"/>
  <c r="F43" i="30"/>
  <c r="D43" i="30"/>
  <c r="X38" i="70"/>
  <c r="F42" i="30"/>
  <c r="D42" i="30"/>
  <c r="X37" i="70"/>
  <c r="F41" i="30"/>
  <c r="D41" i="30"/>
  <c r="X36" i="70"/>
  <c r="F40" i="30"/>
  <c r="D40" i="30"/>
  <c r="X35" i="70"/>
  <c r="F39" i="30"/>
  <c r="D39" i="30"/>
  <c r="X34" i="70"/>
  <c r="F38" i="30"/>
  <c r="D38" i="30"/>
  <c r="F37" i="30"/>
  <c r="D37" i="30"/>
  <c r="F36" i="30"/>
  <c r="D36" i="30"/>
  <c r="F35" i="30"/>
  <c r="D35" i="30"/>
  <c r="F34" i="30"/>
  <c r="D34" i="30"/>
  <c r="F33" i="30"/>
  <c r="D33" i="30"/>
  <c r="F32" i="30"/>
  <c r="D32" i="30"/>
  <c r="F31" i="30"/>
  <c r="D31" i="30"/>
  <c r="F30" i="30"/>
  <c r="D30" i="30"/>
  <c r="F29" i="30"/>
  <c r="D29" i="30"/>
  <c r="F28" i="30"/>
  <c r="D28" i="30"/>
  <c r="F27" i="30"/>
  <c r="D27" i="30"/>
  <c r="F26" i="30"/>
  <c r="D26" i="30"/>
  <c r="F25" i="30"/>
  <c r="D25" i="30"/>
  <c r="F24" i="30"/>
  <c r="D24" i="30"/>
  <c r="F23" i="30"/>
  <c r="D23" i="30"/>
  <c r="F22" i="30"/>
  <c r="D22" i="30"/>
  <c r="F21" i="30"/>
  <c r="D21" i="30"/>
  <c r="F20" i="30"/>
  <c r="D20" i="30"/>
  <c r="F19" i="30"/>
  <c r="D19" i="30"/>
  <c r="F18" i="30"/>
  <c r="D18" i="30"/>
  <c r="F17" i="30"/>
  <c r="D17" i="30"/>
  <c r="F16" i="30"/>
  <c r="D16" i="30"/>
  <c r="F15" i="30"/>
  <c r="D15" i="30"/>
  <c r="F14" i="30"/>
  <c r="D14" i="30"/>
  <c r="F13" i="30"/>
  <c r="D13" i="30"/>
  <c r="F12" i="30"/>
  <c r="D12" i="30"/>
  <c r="F11" i="30"/>
  <c r="F10" i="30"/>
  <c r="O99" i="30"/>
  <c r="G99" i="30"/>
  <c r="AL93" i="69"/>
  <c r="O98" i="30" s="1"/>
  <c r="AK93" i="69"/>
  <c r="G98" i="30" s="1"/>
  <c r="AL92" i="69"/>
  <c r="O97" i="30" s="1"/>
  <c r="AK92" i="69"/>
  <c r="G97" i="30" s="1"/>
  <c r="AL91" i="69"/>
  <c r="O96" i="30" s="1"/>
  <c r="AK91" i="69"/>
  <c r="G96" i="30" s="1"/>
  <c r="AL90" i="69"/>
  <c r="O95" i="30" s="1"/>
  <c r="AK90" i="69"/>
  <c r="G95" i="30" s="1"/>
  <c r="AL89" i="69"/>
  <c r="O94" i="30" s="1"/>
  <c r="AK89" i="69"/>
  <c r="G94" i="30" s="1"/>
  <c r="AL88" i="69"/>
  <c r="O93" i="30" s="1"/>
  <c r="AK88" i="69"/>
  <c r="G93" i="30" s="1"/>
  <c r="AL87" i="69"/>
  <c r="O92" i="30" s="1"/>
  <c r="AK87" i="69"/>
  <c r="G92" i="30" s="1"/>
  <c r="AL86" i="69"/>
  <c r="O91" i="30" s="1"/>
  <c r="AK86" i="69"/>
  <c r="G91" i="30" s="1"/>
  <c r="AL85" i="69"/>
  <c r="O90" i="30" s="1"/>
  <c r="AK85" i="69"/>
  <c r="G90" i="30" s="1"/>
  <c r="AL84" i="69"/>
  <c r="O89" i="30" s="1"/>
  <c r="AK84" i="69"/>
  <c r="G89" i="30" s="1"/>
  <c r="AL83" i="69"/>
  <c r="O88" i="30" s="1"/>
  <c r="AK83" i="69"/>
  <c r="G88" i="30" s="1"/>
  <c r="AL82" i="69"/>
  <c r="O87" i="30" s="1"/>
  <c r="AK82" i="69"/>
  <c r="G87" i="30" s="1"/>
  <c r="AL81" i="69"/>
  <c r="O86" i="30" s="1"/>
  <c r="AK81" i="69"/>
  <c r="G86" i="30" s="1"/>
  <c r="AL80" i="69"/>
  <c r="O85" i="30" s="1"/>
  <c r="AK80" i="69"/>
  <c r="G85" i="30" s="1"/>
  <c r="AL79" i="69"/>
  <c r="O84" i="30" s="1"/>
  <c r="AK79" i="69"/>
  <c r="G84" i="30" s="1"/>
  <c r="AL78" i="69"/>
  <c r="O83" i="30" s="1"/>
  <c r="AK78" i="69"/>
  <c r="G83" i="30" s="1"/>
  <c r="AL77" i="69"/>
  <c r="O82" i="30" s="1"/>
  <c r="AK77" i="69"/>
  <c r="G82" i="30" s="1"/>
  <c r="AL76" i="69"/>
  <c r="O81" i="30" s="1"/>
  <c r="AK76" i="69"/>
  <c r="G81" i="30" s="1"/>
  <c r="AL75" i="69"/>
  <c r="O80" i="30" s="1"/>
  <c r="AK75" i="69"/>
  <c r="G80" i="30" s="1"/>
  <c r="AL74" i="69"/>
  <c r="O79" i="30" s="1"/>
  <c r="AK74" i="69"/>
  <c r="G79" i="30" s="1"/>
  <c r="O78" i="30"/>
  <c r="G78" i="30"/>
  <c r="AL72" i="69"/>
  <c r="O77" i="30" s="1"/>
  <c r="AK72" i="69"/>
  <c r="G77" i="30" s="1"/>
  <c r="AL71" i="69"/>
  <c r="O76" i="30" s="1"/>
  <c r="AK71" i="69"/>
  <c r="G76" i="30" s="1"/>
  <c r="AL70" i="69"/>
  <c r="O75" i="30" s="1"/>
  <c r="AK70" i="69"/>
  <c r="G75" i="30" s="1"/>
  <c r="AL69" i="69"/>
  <c r="O74" i="30" s="1"/>
  <c r="AK69" i="69"/>
  <c r="G74" i="30" s="1"/>
  <c r="AL68" i="69"/>
  <c r="O73" i="30" s="1"/>
  <c r="AK68" i="69"/>
  <c r="G73" i="30" s="1"/>
  <c r="AL67" i="69"/>
  <c r="O72" i="30" s="1"/>
  <c r="AK67" i="69"/>
  <c r="G72" i="30" s="1"/>
  <c r="AL66" i="69"/>
  <c r="O71" i="30" s="1"/>
  <c r="AK66" i="69"/>
  <c r="G71" i="30" s="1"/>
  <c r="AL65" i="69"/>
  <c r="O70" i="30" s="1"/>
  <c r="AK65" i="69"/>
  <c r="G70" i="30" s="1"/>
  <c r="AL64" i="69"/>
  <c r="O69" i="30" s="1"/>
  <c r="AK64" i="69"/>
  <c r="G69" i="30" s="1"/>
  <c r="AL63" i="69"/>
  <c r="O68" i="30" s="1"/>
  <c r="AK63" i="69"/>
  <c r="G68" i="30" s="1"/>
  <c r="AL62" i="69"/>
  <c r="O67" i="30" s="1"/>
  <c r="AK62" i="69"/>
  <c r="G67" i="30" s="1"/>
  <c r="AL61" i="69"/>
  <c r="O66" i="30" s="1"/>
  <c r="AK61" i="69"/>
  <c r="G66" i="30" s="1"/>
  <c r="AL60" i="69"/>
  <c r="O65" i="30" s="1"/>
  <c r="AK60" i="69"/>
  <c r="G65" i="30" s="1"/>
  <c r="AK6" i="69"/>
  <c r="G11" i="30" s="1"/>
  <c r="AL6" i="69"/>
  <c r="O11" i="30" s="1"/>
  <c r="AK7" i="69"/>
  <c r="G12" i="30" s="1"/>
  <c r="AL7" i="69"/>
  <c r="O12" i="30" s="1"/>
  <c r="AK8" i="69"/>
  <c r="G13" i="30" s="1"/>
  <c r="AL8" i="69"/>
  <c r="O13" i="30" s="1"/>
  <c r="AK9" i="69"/>
  <c r="G14" i="30" s="1"/>
  <c r="AL9" i="69"/>
  <c r="O14" i="30" s="1"/>
  <c r="AK10" i="69"/>
  <c r="G15" i="30" s="1"/>
  <c r="AL10" i="69"/>
  <c r="O15" i="30" s="1"/>
  <c r="AK11" i="69"/>
  <c r="G16" i="30" s="1"/>
  <c r="AL11" i="69"/>
  <c r="O16" i="30" s="1"/>
  <c r="AK12" i="69"/>
  <c r="G17" i="30" s="1"/>
  <c r="AL12" i="69"/>
  <c r="O17" i="30" s="1"/>
  <c r="AK13" i="69"/>
  <c r="G18" i="30" s="1"/>
  <c r="AL13" i="69"/>
  <c r="O18" i="30" s="1"/>
  <c r="AK14" i="69"/>
  <c r="G19" i="30" s="1"/>
  <c r="AL14" i="69"/>
  <c r="O19" i="30" s="1"/>
  <c r="AK15" i="69"/>
  <c r="G20" i="30" s="1"/>
  <c r="AL15" i="69"/>
  <c r="O20" i="30" s="1"/>
  <c r="AK16" i="69"/>
  <c r="G21" i="30" s="1"/>
  <c r="AL16" i="69"/>
  <c r="O21" i="30" s="1"/>
  <c r="AK17" i="69"/>
  <c r="G22" i="30" s="1"/>
  <c r="AL17" i="69"/>
  <c r="O22" i="30" s="1"/>
  <c r="AK18" i="69"/>
  <c r="G23" i="30" s="1"/>
  <c r="AL18" i="69"/>
  <c r="O23" i="30" s="1"/>
  <c r="AK19" i="69"/>
  <c r="G24" i="30" s="1"/>
  <c r="AL19" i="69"/>
  <c r="O24" i="30" s="1"/>
  <c r="AK20" i="69"/>
  <c r="G25" i="30" s="1"/>
  <c r="AL20" i="69"/>
  <c r="O25" i="30" s="1"/>
  <c r="AK21" i="69"/>
  <c r="G26" i="30" s="1"/>
  <c r="AL21" i="69"/>
  <c r="O26" i="30" s="1"/>
  <c r="AK22" i="69"/>
  <c r="G27" i="30" s="1"/>
  <c r="AL22" i="69"/>
  <c r="O27" i="30" s="1"/>
  <c r="AK23" i="69"/>
  <c r="G28" i="30" s="1"/>
  <c r="AL23" i="69"/>
  <c r="O28" i="30" s="1"/>
  <c r="AK24" i="69"/>
  <c r="G29" i="30" s="1"/>
  <c r="AL24" i="69"/>
  <c r="O29" i="30" s="1"/>
  <c r="AK25" i="69"/>
  <c r="G30" i="30" s="1"/>
  <c r="AL25" i="69"/>
  <c r="O30" i="30" s="1"/>
  <c r="AK26" i="69"/>
  <c r="G31" i="30" s="1"/>
  <c r="AL26" i="69"/>
  <c r="O31" i="30" s="1"/>
  <c r="AK27" i="69"/>
  <c r="G32" i="30" s="1"/>
  <c r="AL27" i="69"/>
  <c r="O32" i="30" s="1"/>
  <c r="AK28" i="69"/>
  <c r="G33" i="30" s="1"/>
  <c r="AL28" i="69"/>
  <c r="O33" i="30" s="1"/>
  <c r="AK29" i="69"/>
  <c r="G34" i="30" s="1"/>
  <c r="AL29" i="69"/>
  <c r="O34" i="30" s="1"/>
  <c r="AK30" i="69"/>
  <c r="G35" i="30" s="1"/>
  <c r="AL30" i="69"/>
  <c r="O35" i="30" s="1"/>
  <c r="AK31" i="69"/>
  <c r="G36" i="30" s="1"/>
  <c r="AL31" i="69"/>
  <c r="O36" i="30" s="1"/>
  <c r="AK32" i="69"/>
  <c r="G37" i="30" s="1"/>
  <c r="AL32" i="69"/>
  <c r="O37" i="30" s="1"/>
  <c r="AK33" i="69"/>
  <c r="G38" i="30" s="1"/>
  <c r="AL33" i="69"/>
  <c r="O38" i="30" s="1"/>
  <c r="AK34" i="69"/>
  <c r="G39" i="30" s="1"/>
  <c r="AL34" i="69"/>
  <c r="O39" i="30" s="1"/>
  <c r="AK35" i="69"/>
  <c r="G40" i="30" s="1"/>
  <c r="AL35" i="69"/>
  <c r="O40" i="30" s="1"/>
  <c r="AK36" i="69"/>
  <c r="G41" i="30" s="1"/>
  <c r="AL36" i="69"/>
  <c r="O41" i="30" s="1"/>
  <c r="AK37" i="69"/>
  <c r="G42" i="30" s="1"/>
  <c r="AL37" i="69"/>
  <c r="O42" i="30" s="1"/>
  <c r="AK38" i="69"/>
  <c r="G43" i="30" s="1"/>
  <c r="AL38" i="69"/>
  <c r="O43" i="30" s="1"/>
  <c r="AK39" i="69"/>
  <c r="G44" i="30" s="1"/>
  <c r="AL39" i="69"/>
  <c r="O44" i="30" s="1"/>
  <c r="AK40" i="69"/>
  <c r="G45" i="30" s="1"/>
  <c r="AL40" i="69"/>
  <c r="O45" i="30" s="1"/>
  <c r="AK41" i="69"/>
  <c r="G46" i="30" s="1"/>
  <c r="AL41" i="69"/>
  <c r="O46" i="30" s="1"/>
  <c r="AK42" i="69"/>
  <c r="G47" i="30" s="1"/>
  <c r="AL42" i="69"/>
  <c r="O47" i="30" s="1"/>
  <c r="AK43" i="69"/>
  <c r="G48" i="30" s="1"/>
  <c r="AL43" i="69"/>
  <c r="O48" i="30" s="1"/>
  <c r="AK44" i="69"/>
  <c r="G49" i="30" s="1"/>
  <c r="AL44" i="69"/>
  <c r="O49" i="30" s="1"/>
  <c r="AK45" i="69"/>
  <c r="G50" i="30" s="1"/>
  <c r="AL45" i="69"/>
  <c r="O50" i="30" s="1"/>
  <c r="AK46" i="69"/>
  <c r="G51" i="30" s="1"/>
  <c r="AL46" i="69"/>
  <c r="O51" i="30" s="1"/>
  <c r="AK47" i="69"/>
  <c r="G52" i="30" s="1"/>
  <c r="AL47" i="69"/>
  <c r="O52" i="30" s="1"/>
  <c r="AK48" i="69"/>
  <c r="G53" i="30" s="1"/>
  <c r="AL48" i="69"/>
  <c r="O53" i="30" s="1"/>
  <c r="AK49" i="69"/>
  <c r="G54" i="30" s="1"/>
  <c r="AL49" i="69"/>
  <c r="O54" i="30" s="1"/>
  <c r="AK50" i="69"/>
  <c r="G55" i="30" s="1"/>
  <c r="AL50" i="69"/>
  <c r="O55" i="30" s="1"/>
  <c r="AK51" i="69"/>
  <c r="G56" i="30" s="1"/>
  <c r="AL51" i="69"/>
  <c r="O56" i="30" s="1"/>
  <c r="AK52" i="69"/>
  <c r="G57" i="30" s="1"/>
  <c r="AL52" i="69"/>
  <c r="O57" i="30" s="1"/>
  <c r="AK53" i="69"/>
  <c r="G58" i="30" s="1"/>
  <c r="AL53" i="69"/>
  <c r="O58" i="30" s="1"/>
  <c r="AK54" i="69"/>
  <c r="G59" i="30" s="1"/>
  <c r="AL54" i="69"/>
  <c r="O59" i="30" s="1"/>
  <c r="AK55" i="69"/>
  <c r="G60" i="30" s="1"/>
  <c r="AL55" i="69"/>
  <c r="O60" i="30" s="1"/>
  <c r="AK56" i="69"/>
  <c r="G61" i="30" s="1"/>
  <c r="AL56" i="69"/>
  <c r="O61" i="30" s="1"/>
  <c r="AK57" i="69"/>
  <c r="G62" i="30" s="1"/>
  <c r="AL57" i="69"/>
  <c r="O62" i="30" s="1"/>
  <c r="AL5" i="69"/>
  <c r="O10" i="30" s="1"/>
  <c r="AK5" i="69"/>
  <c r="G10" i="30" s="1"/>
  <c r="AJ93" i="69"/>
  <c r="R98" i="30" s="1"/>
  <c r="AE6" i="69"/>
  <c r="AF6" i="69"/>
  <c r="AG6" i="69"/>
  <c r="AH6" i="69"/>
  <c r="AE7" i="69"/>
  <c r="AF7" i="69"/>
  <c r="AG7" i="69"/>
  <c r="AH7" i="69"/>
  <c r="AE8" i="69"/>
  <c r="AF8" i="69"/>
  <c r="AG8" i="69"/>
  <c r="AH8" i="69"/>
  <c r="AE9" i="69"/>
  <c r="AF9" i="69"/>
  <c r="AG9" i="69"/>
  <c r="AH9" i="69"/>
  <c r="AE10" i="69"/>
  <c r="AF10" i="69"/>
  <c r="AG10" i="69"/>
  <c r="AH10" i="69"/>
  <c r="AE11" i="69"/>
  <c r="AF11" i="69"/>
  <c r="AG11" i="69"/>
  <c r="AH11" i="69"/>
  <c r="AE12" i="69"/>
  <c r="AF12" i="69"/>
  <c r="AG12" i="69"/>
  <c r="AH12" i="69"/>
  <c r="AE13" i="69"/>
  <c r="AF13" i="69"/>
  <c r="AG13" i="69"/>
  <c r="AH13" i="69"/>
  <c r="AE14" i="69"/>
  <c r="AF14" i="69"/>
  <c r="AG14" i="69"/>
  <c r="AH14" i="69"/>
  <c r="AE15" i="69"/>
  <c r="AF15" i="69"/>
  <c r="AG15" i="69"/>
  <c r="AH15" i="69"/>
  <c r="AE16" i="69"/>
  <c r="AF16" i="69"/>
  <c r="AG16" i="69"/>
  <c r="AH16" i="69"/>
  <c r="AE17" i="69"/>
  <c r="AF17" i="69"/>
  <c r="AG17" i="69"/>
  <c r="AH17" i="69"/>
  <c r="AE18" i="69"/>
  <c r="AF18" i="69"/>
  <c r="AG18" i="69"/>
  <c r="AH18" i="69"/>
  <c r="AE19" i="69"/>
  <c r="AF19" i="69"/>
  <c r="AG19" i="69"/>
  <c r="AH19" i="69"/>
  <c r="AE20" i="69"/>
  <c r="AF20" i="69"/>
  <c r="AG20" i="69"/>
  <c r="AH20" i="69"/>
  <c r="AE21" i="69"/>
  <c r="AF21" i="69"/>
  <c r="AG21" i="69"/>
  <c r="AH21" i="69"/>
  <c r="AE22" i="69"/>
  <c r="AF22" i="69"/>
  <c r="AG22" i="69"/>
  <c r="AH22" i="69"/>
  <c r="AE23" i="69"/>
  <c r="AF23" i="69"/>
  <c r="AG23" i="69"/>
  <c r="AH23" i="69"/>
  <c r="AE24" i="69"/>
  <c r="AF24" i="69"/>
  <c r="AG24" i="69"/>
  <c r="AH24" i="69"/>
  <c r="AE25" i="69"/>
  <c r="AF25" i="69"/>
  <c r="AG25" i="69"/>
  <c r="AH25" i="69"/>
  <c r="AE26" i="69"/>
  <c r="AF26" i="69"/>
  <c r="AG26" i="69"/>
  <c r="AH26" i="69"/>
  <c r="AE27" i="69"/>
  <c r="AF27" i="69"/>
  <c r="AG27" i="69"/>
  <c r="AH27" i="69"/>
  <c r="AE28" i="69"/>
  <c r="AF28" i="69"/>
  <c r="AG28" i="69"/>
  <c r="AH28" i="69"/>
  <c r="AE29" i="69"/>
  <c r="AF29" i="69"/>
  <c r="AG29" i="69"/>
  <c r="AH29" i="69"/>
  <c r="AE30" i="69"/>
  <c r="AF30" i="69"/>
  <c r="AG30" i="69"/>
  <c r="AH30" i="69"/>
  <c r="AE31" i="69"/>
  <c r="AF31" i="69"/>
  <c r="AG31" i="69"/>
  <c r="AH31" i="69"/>
  <c r="AE32" i="69"/>
  <c r="AF32" i="69"/>
  <c r="AG32" i="69"/>
  <c r="AH32" i="69"/>
  <c r="AE33" i="69"/>
  <c r="AF33" i="69"/>
  <c r="AG33" i="69"/>
  <c r="AH33" i="69"/>
  <c r="AE34" i="69"/>
  <c r="AF34" i="69"/>
  <c r="AG34" i="69"/>
  <c r="AH34" i="69"/>
  <c r="AE35" i="69"/>
  <c r="AF35" i="69"/>
  <c r="AG35" i="69"/>
  <c r="AH35" i="69"/>
  <c r="AE36" i="69"/>
  <c r="AF36" i="69"/>
  <c r="AG36" i="69"/>
  <c r="AH36" i="69"/>
  <c r="AE37" i="69"/>
  <c r="AF37" i="69"/>
  <c r="AG37" i="69"/>
  <c r="AH37" i="69"/>
  <c r="AE38" i="69"/>
  <c r="AF38" i="69"/>
  <c r="AG38" i="69"/>
  <c r="AH38" i="69"/>
  <c r="AE39" i="69"/>
  <c r="AF39" i="69"/>
  <c r="AG39" i="69"/>
  <c r="AH39" i="69"/>
  <c r="AE40" i="69"/>
  <c r="AF40" i="69"/>
  <c r="AG40" i="69"/>
  <c r="AH40" i="69"/>
  <c r="AE41" i="69"/>
  <c r="AF41" i="69"/>
  <c r="AG41" i="69"/>
  <c r="AH41" i="69"/>
  <c r="AE42" i="69"/>
  <c r="AF42" i="69"/>
  <c r="AG42" i="69"/>
  <c r="AH42" i="69"/>
  <c r="AE43" i="69"/>
  <c r="AF43" i="69"/>
  <c r="AG43" i="69"/>
  <c r="AH43" i="69"/>
  <c r="AE44" i="69"/>
  <c r="AF44" i="69"/>
  <c r="AG44" i="69"/>
  <c r="AH44" i="69"/>
  <c r="AE45" i="69"/>
  <c r="AF45" i="69"/>
  <c r="AG45" i="69"/>
  <c r="AH45" i="69"/>
  <c r="AE46" i="69"/>
  <c r="AF46" i="69"/>
  <c r="AG46" i="69"/>
  <c r="AH46" i="69"/>
  <c r="AE47" i="69"/>
  <c r="AF47" i="69"/>
  <c r="AG47" i="69"/>
  <c r="AH47" i="69"/>
  <c r="AE48" i="69"/>
  <c r="AF48" i="69"/>
  <c r="AG48" i="69"/>
  <c r="AH48" i="69"/>
  <c r="AE49" i="69"/>
  <c r="AF49" i="69"/>
  <c r="AG49" i="69"/>
  <c r="AH49" i="69"/>
  <c r="AE50" i="69"/>
  <c r="AF50" i="69"/>
  <c r="AG50" i="69"/>
  <c r="AH50" i="69"/>
  <c r="AE51" i="69"/>
  <c r="AF51" i="69"/>
  <c r="AG51" i="69"/>
  <c r="AH51" i="69"/>
  <c r="AE52" i="69"/>
  <c r="AF52" i="69"/>
  <c r="AG52" i="69"/>
  <c r="AH52" i="69"/>
  <c r="AE53" i="69"/>
  <c r="AF53" i="69"/>
  <c r="AG53" i="69"/>
  <c r="AH53" i="69"/>
  <c r="AE54" i="69"/>
  <c r="AF54" i="69"/>
  <c r="AG54" i="69"/>
  <c r="AH54" i="69"/>
  <c r="AE55" i="69"/>
  <c r="AF55" i="69"/>
  <c r="AG55" i="69"/>
  <c r="AH55" i="69"/>
  <c r="AE56" i="69"/>
  <c r="AF56" i="69"/>
  <c r="AG56" i="69"/>
  <c r="AE57" i="69"/>
  <c r="AF57" i="69"/>
  <c r="AG57" i="69"/>
  <c r="AH57" i="69"/>
  <c r="AE60" i="69"/>
  <c r="AF60" i="69"/>
  <c r="AG60" i="69"/>
  <c r="AH60" i="69"/>
  <c r="AE61" i="69"/>
  <c r="AF61" i="69"/>
  <c r="AG61" i="69"/>
  <c r="AH61" i="69"/>
  <c r="AE62" i="69"/>
  <c r="AF62" i="69"/>
  <c r="AG62" i="69"/>
  <c r="AH62" i="69"/>
  <c r="AE63" i="69"/>
  <c r="AF63" i="69"/>
  <c r="AG63" i="69"/>
  <c r="AH63" i="69"/>
  <c r="AE64" i="69"/>
  <c r="AF64" i="69"/>
  <c r="AG64" i="69"/>
  <c r="AH64" i="69"/>
  <c r="AE65" i="69"/>
  <c r="AF65" i="69"/>
  <c r="AG65" i="69"/>
  <c r="AH65" i="69"/>
  <c r="AE66" i="69"/>
  <c r="AF66" i="69"/>
  <c r="AG66" i="69"/>
  <c r="AH66" i="69"/>
  <c r="AE67" i="69"/>
  <c r="AF67" i="69"/>
  <c r="AG67" i="69"/>
  <c r="AH67" i="69"/>
  <c r="AE68" i="69"/>
  <c r="AF68" i="69"/>
  <c r="AG68" i="69"/>
  <c r="AH68" i="69"/>
  <c r="AE69" i="69"/>
  <c r="AF69" i="69"/>
  <c r="AG69" i="69"/>
  <c r="AH69" i="69"/>
  <c r="AE70" i="69"/>
  <c r="AF70" i="69"/>
  <c r="AG70" i="69"/>
  <c r="AH70" i="69"/>
  <c r="AE71" i="69"/>
  <c r="AF71" i="69"/>
  <c r="AG71" i="69"/>
  <c r="AH71" i="69"/>
  <c r="AE72" i="69"/>
  <c r="AF72" i="69"/>
  <c r="AG72" i="69"/>
  <c r="AH72" i="69"/>
  <c r="AE74" i="69"/>
  <c r="AF74" i="69"/>
  <c r="AG74" i="69"/>
  <c r="AH74" i="69"/>
  <c r="AE75" i="69"/>
  <c r="AF75" i="69"/>
  <c r="AG75" i="69"/>
  <c r="AH75" i="69"/>
  <c r="AE76" i="69"/>
  <c r="AF76" i="69"/>
  <c r="AG76" i="69"/>
  <c r="AH76" i="69"/>
  <c r="AE77" i="69"/>
  <c r="AF77" i="69"/>
  <c r="AG77" i="69"/>
  <c r="AH77" i="69"/>
  <c r="AE78" i="69"/>
  <c r="AF78" i="69"/>
  <c r="AG78" i="69"/>
  <c r="AH78" i="69"/>
  <c r="AE79" i="69"/>
  <c r="AF79" i="69"/>
  <c r="AG79" i="69"/>
  <c r="AH79" i="69"/>
  <c r="AE80" i="69"/>
  <c r="AF80" i="69"/>
  <c r="AG80" i="69"/>
  <c r="AH80" i="69"/>
  <c r="AE81" i="69"/>
  <c r="AF81" i="69"/>
  <c r="AG81" i="69"/>
  <c r="AH81" i="69"/>
  <c r="AE82" i="69"/>
  <c r="AF82" i="69"/>
  <c r="AG82" i="69"/>
  <c r="AH82" i="69"/>
  <c r="AE83" i="69"/>
  <c r="AF83" i="69"/>
  <c r="AG83" i="69"/>
  <c r="AH83" i="69"/>
  <c r="AH171" i="69" s="1"/>
  <c r="AE84" i="69"/>
  <c r="AF84" i="69"/>
  <c r="AG84" i="69"/>
  <c r="AH84" i="69"/>
  <c r="AE85" i="69"/>
  <c r="AF85" i="69"/>
  <c r="AG85" i="69"/>
  <c r="AH85" i="69"/>
  <c r="AE86" i="69"/>
  <c r="AF86" i="69"/>
  <c r="AG86" i="69"/>
  <c r="AH86" i="69"/>
  <c r="AE87" i="69"/>
  <c r="AF87" i="69"/>
  <c r="AG87" i="69"/>
  <c r="AH87" i="69"/>
  <c r="AE88" i="69"/>
  <c r="AF88" i="69"/>
  <c r="AG88" i="69"/>
  <c r="AH88" i="69"/>
  <c r="AE89" i="69"/>
  <c r="AF89" i="69"/>
  <c r="AG89" i="69"/>
  <c r="AH89" i="69"/>
  <c r="AE90" i="69"/>
  <c r="AF90" i="69"/>
  <c r="AG90" i="69"/>
  <c r="AH90" i="69"/>
  <c r="AE91" i="69"/>
  <c r="AF91" i="69"/>
  <c r="AG91" i="69"/>
  <c r="AH91" i="69"/>
  <c r="AE92" i="69"/>
  <c r="AF92" i="69"/>
  <c r="AG92" i="69"/>
  <c r="AH92" i="69"/>
  <c r="AE93" i="69"/>
  <c r="AF93" i="69"/>
  <c r="AG93" i="69"/>
  <c r="AH93" i="69"/>
  <c r="AE5" i="69"/>
  <c r="AF5" i="69"/>
  <c r="AG5" i="69"/>
  <c r="AH5" i="69"/>
  <c r="AD196" i="69"/>
  <c r="AE196" i="69"/>
  <c r="AF196" i="69"/>
  <c r="AG196" i="69"/>
  <c r="AH196" i="69"/>
  <c r="AK196" i="69"/>
  <c r="AK199" i="69" s="1"/>
  <c r="AK59" i="69" s="1"/>
  <c r="G64" i="30" s="1"/>
  <c r="AL196" i="69"/>
  <c r="AD6" i="69"/>
  <c r="E11" i="30" s="1"/>
  <c r="AD7" i="69"/>
  <c r="E12" i="30" s="1"/>
  <c r="AD8" i="69"/>
  <c r="E13" i="30" s="1"/>
  <c r="AD9" i="69"/>
  <c r="E14" i="30" s="1"/>
  <c r="AD10" i="69"/>
  <c r="E15" i="30" s="1"/>
  <c r="AD11" i="69"/>
  <c r="E16" i="30" s="1"/>
  <c r="AD12" i="69"/>
  <c r="E17" i="30" s="1"/>
  <c r="AD13" i="69"/>
  <c r="E18" i="30" s="1"/>
  <c r="AD14" i="69"/>
  <c r="E19" i="30" s="1"/>
  <c r="AD15" i="69"/>
  <c r="E20" i="30" s="1"/>
  <c r="AD16" i="69"/>
  <c r="E21" i="30" s="1"/>
  <c r="AD17" i="69"/>
  <c r="E22" i="30" s="1"/>
  <c r="AD18" i="69"/>
  <c r="E23" i="30" s="1"/>
  <c r="AD19" i="69"/>
  <c r="E24" i="30" s="1"/>
  <c r="AD20" i="69"/>
  <c r="E25" i="30" s="1"/>
  <c r="AD21" i="69"/>
  <c r="E26" i="30" s="1"/>
  <c r="AD22" i="69"/>
  <c r="E27" i="30" s="1"/>
  <c r="AD23" i="69"/>
  <c r="E28" i="30" s="1"/>
  <c r="AD24" i="69"/>
  <c r="E29" i="30" s="1"/>
  <c r="AD25" i="69"/>
  <c r="E30" i="30" s="1"/>
  <c r="AD26" i="69"/>
  <c r="E31" i="30" s="1"/>
  <c r="AD27" i="69"/>
  <c r="E32" i="30" s="1"/>
  <c r="AD28" i="69"/>
  <c r="E33" i="30" s="1"/>
  <c r="AD29" i="69"/>
  <c r="E34" i="30" s="1"/>
  <c r="AD30" i="69"/>
  <c r="E35" i="30" s="1"/>
  <c r="AD31" i="69"/>
  <c r="E36" i="30" s="1"/>
  <c r="AD32" i="69"/>
  <c r="E37" i="30" s="1"/>
  <c r="AD33" i="69"/>
  <c r="E38" i="30" s="1"/>
  <c r="AD34" i="69"/>
  <c r="E39" i="30" s="1"/>
  <c r="AD35" i="69"/>
  <c r="E40" i="30" s="1"/>
  <c r="AD36" i="69"/>
  <c r="E41" i="30" s="1"/>
  <c r="AD37" i="69"/>
  <c r="E42" i="30" s="1"/>
  <c r="AD38" i="69"/>
  <c r="E43" i="30" s="1"/>
  <c r="AD39" i="69"/>
  <c r="E44" i="30" s="1"/>
  <c r="AD40" i="69"/>
  <c r="E45" i="30" s="1"/>
  <c r="AD41" i="69"/>
  <c r="E46" i="30" s="1"/>
  <c r="AD42" i="69"/>
  <c r="E47" i="30" s="1"/>
  <c r="AD43" i="69"/>
  <c r="E48" i="30" s="1"/>
  <c r="AD44" i="69"/>
  <c r="E49" i="30" s="1"/>
  <c r="AD45" i="69"/>
  <c r="E50" i="30" s="1"/>
  <c r="AD46" i="69"/>
  <c r="E51" i="30" s="1"/>
  <c r="AD47" i="69"/>
  <c r="E52" i="30" s="1"/>
  <c r="AD48" i="69"/>
  <c r="E53" i="30" s="1"/>
  <c r="AD49" i="69"/>
  <c r="E54" i="30" s="1"/>
  <c r="AD50" i="69"/>
  <c r="E55" i="30" s="1"/>
  <c r="AD51" i="69"/>
  <c r="E56" i="30" s="1"/>
  <c r="AD52" i="69"/>
  <c r="E57" i="30" s="1"/>
  <c r="AD53" i="69"/>
  <c r="E58" i="30" s="1"/>
  <c r="AD54" i="69"/>
  <c r="E59" i="30" s="1"/>
  <c r="AD55" i="69"/>
  <c r="E60" i="30" s="1"/>
  <c r="AD56" i="69"/>
  <c r="E61" i="30" s="1"/>
  <c r="AD57" i="69"/>
  <c r="E62" i="30" s="1"/>
  <c r="AD60" i="69"/>
  <c r="E65" i="30" s="1"/>
  <c r="AD61" i="69"/>
  <c r="E66" i="30" s="1"/>
  <c r="AD62" i="69"/>
  <c r="E67" i="30" s="1"/>
  <c r="AD63" i="69"/>
  <c r="E68" i="30" s="1"/>
  <c r="AD64" i="69"/>
  <c r="E69" i="30" s="1"/>
  <c r="AD65" i="69"/>
  <c r="E70" i="30" s="1"/>
  <c r="AD66" i="69"/>
  <c r="E71" i="30" s="1"/>
  <c r="AD67" i="69"/>
  <c r="E72" i="30" s="1"/>
  <c r="AD68" i="69"/>
  <c r="E73" i="30" s="1"/>
  <c r="AD69" i="69"/>
  <c r="E74" i="30" s="1"/>
  <c r="AD70" i="69"/>
  <c r="E75" i="30" s="1"/>
  <c r="AD71" i="69"/>
  <c r="E76" i="30" s="1"/>
  <c r="AD72" i="69"/>
  <c r="E77" i="30" s="1"/>
  <c r="E78" i="30"/>
  <c r="AD74" i="69"/>
  <c r="E79" i="30" s="1"/>
  <c r="AD75" i="69"/>
  <c r="E80" i="30" s="1"/>
  <c r="AD76" i="69"/>
  <c r="E81" i="30" s="1"/>
  <c r="AD77" i="69"/>
  <c r="E82" i="30" s="1"/>
  <c r="AD78" i="69"/>
  <c r="E83" i="30" s="1"/>
  <c r="AD79" i="69"/>
  <c r="E84" i="30" s="1"/>
  <c r="AD80" i="69"/>
  <c r="E85" i="30" s="1"/>
  <c r="AD81" i="69"/>
  <c r="E86" i="30" s="1"/>
  <c r="AD82" i="69"/>
  <c r="E87" i="30" s="1"/>
  <c r="AD83" i="69"/>
  <c r="E88" i="30" s="1"/>
  <c r="AD84" i="69"/>
  <c r="E89" i="30" s="1"/>
  <c r="AD85" i="69"/>
  <c r="E90" i="30" s="1"/>
  <c r="AD86" i="69"/>
  <c r="E91" i="30" s="1"/>
  <c r="AD87" i="69"/>
  <c r="E92" i="30" s="1"/>
  <c r="AD88" i="69"/>
  <c r="E93" i="30" s="1"/>
  <c r="AD89" i="69"/>
  <c r="E94" i="30" s="1"/>
  <c r="AD90" i="69"/>
  <c r="E95" i="30" s="1"/>
  <c r="AD91" i="69"/>
  <c r="E96" i="30" s="1"/>
  <c r="AD92" i="69"/>
  <c r="E97" i="30" s="1"/>
  <c r="AD93" i="69"/>
  <c r="E98" i="30" s="1"/>
  <c r="E99" i="30"/>
  <c r="AD5" i="69"/>
  <c r="E10" i="30" s="1"/>
  <c r="AC196" i="69"/>
  <c r="AC6" i="69"/>
  <c r="C11" i="30" s="1"/>
  <c r="AC7" i="69"/>
  <c r="C12" i="30" s="1"/>
  <c r="AC8" i="69"/>
  <c r="AC9" i="69"/>
  <c r="C14" i="30" s="1"/>
  <c r="AC10" i="69"/>
  <c r="C15" i="30" s="1"/>
  <c r="AC11" i="69"/>
  <c r="C16" i="30" s="1"/>
  <c r="AC12" i="69"/>
  <c r="C17" i="30" s="1"/>
  <c r="AC13" i="69"/>
  <c r="C18" i="30" s="1"/>
  <c r="AC14" i="69"/>
  <c r="C19" i="30" s="1"/>
  <c r="AC15" i="69"/>
  <c r="C20" i="30" s="1"/>
  <c r="AC16" i="69"/>
  <c r="AC17" i="69"/>
  <c r="C22" i="30" s="1"/>
  <c r="AC18" i="69"/>
  <c r="C23" i="30" s="1"/>
  <c r="AC19" i="69"/>
  <c r="C24" i="30" s="1"/>
  <c r="AC20" i="69"/>
  <c r="C25" i="30" s="1"/>
  <c r="AC21" i="69"/>
  <c r="C26" i="30" s="1"/>
  <c r="AC22" i="69"/>
  <c r="C27" i="30" s="1"/>
  <c r="AC23" i="69"/>
  <c r="C28" i="30" s="1"/>
  <c r="AC24" i="69"/>
  <c r="AC25" i="69"/>
  <c r="C30" i="30" s="1"/>
  <c r="AC26" i="69"/>
  <c r="C31" i="30" s="1"/>
  <c r="AC27" i="69"/>
  <c r="C32" i="30" s="1"/>
  <c r="AC28" i="69"/>
  <c r="C33" i="30" s="1"/>
  <c r="AC29" i="69"/>
  <c r="C34" i="30" s="1"/>
  <c r="AC30" i="69"/>
  <c r="C35" i="30" s="1"/>
  <c r="AC31" i="69"/>
  <c r="C36" i="30" s="1"/>
  <c r="AC32" i="69"/>
  <c r="AC33" i="69"/>
  <c r="C38" i="30" s="1"/>
  <c r="AC34" i="69"/>
  <c r="C39" i="30" s="1"/>
  <c r="AC35" i="69"/>
  <c r="C40" i="30" s="1"/>
  <c r="AC36" i="69"/>
  <c r="C41" i="30" s="1"/>
  <c r="AC37" i="69"/>
  <c r="C42" i="30" s="1"/>
  <c r="AC38" i="69"/>
  <c r="C43" i="30" s="1"/>
  <c r="AC39" i="69"/>
  <c r="C44" i="30" s="1"/>
  <c r="AC40" i="69"/>
  <c r="AC41" i="69"/>
  <c r="C46" i="30" s="1"/>
  <c r="AC42" i="69"/>
  <c r="C47" i="30" s="1"/>
  <c r="AC43" i="69"/>
  <c r="C48" i="30" s="1"/>
  <c r="AC44" i="69"/>
  <c r="C49" i="30" s="1"/>
  <c r="AC45" i="69"/>
  <c r="C50" i="30" s="1"/>
  <c r="AC46" i="69"/>
  <c r="C51" i="30" s="1"/>
  <c r="AC47" i="69"/>
  <c r="C52" i="30" s="1"/>
  <c r="AC48" i="69"/>
  <c r="AC49" i="69"/>
  <c r="C54" i="30" s="1"/>
  <c r="AC50" i="69"/>
  <c r="C55" i="30" s="1"/>
  <c r="AC51" i="69"/>
  <c r="C56" i="30" s="1"/>
  <c r="AC52" i="69"/>
  <c r="C57" i="30" s="1"/>
  <c r="AC53" i="69"/>
  <c r="C58" i="30" s="1"/>
  <c r="AC54" i="69"/>
  <c r="C59" i="30" s="1"/>
  <c r="AC55" i="69"/>
  <c r="C60" i="30" s="1"/>
  <c r="AC56" i="69"/>
  <c r="AC57" i="69"/>
  <c r="C62" i="30" s="1"/>
  <c r="AC60" i="69"/>
  <c r="C65" i="30" s="1"/>
  <c r="AC61" i="69"/>
  <c r="C66" i="30" s="1"/>
  <c r="AC62" i="69"/>
  <c r="C67" i="30" s="1"/>
  <c r="AC63" i="69"/>
  <c r="C68" i="30" s="1"/>
  <c r="AC64" i="69"/>
  <c r="C69" i="30" s="1"/>
  <c r="AC65" i="69"/>
  <c r="C70" i="30" s="1"/>
  <c r="AC66" i="69"/>
  <c r="AC67" i="69"/>
  <c r="C72" i="30" s="1"/>
  <c r="AC68" i="69"/>
  <c r="C73" i="30" s="1"/>
  <c r="AC69" i="69"/>
  <c r="C74" i="30" s="1"/>
  <c r="AC70" i="69"/>
  <c r="C75" i="30" s="1"/>
  <c r="AC71" i="69"/>
  <c r="C76" i="30" s="1"/>
  <c r="AC72" i="69"/>
  <c r="C77" i="30" s="1"/>
  <c r="C78" i="30"/>
  <c r="AC74" i="69"/>
  <c r="AC75" i="69"/>
  <c r="C80" i="30" s="1"/>
  <c r="AC76" i="69"/>
  <c r="C81" i="30" s="1"/>
  <c r="AC77" i="69"/>
  <c r="C82" i="30" s="1"/>
  <c r="AC78" i="69"/>
  <c r="C83" i="30" s="1"/>
  <c r="AC79" i="69"/>
  <c r="C84" i="30" s="1"/>
  <c r="AC80" i="69"/>
  <c r="C85" i="30" s="1"/>
  <c r="AC81" i="69"/>
  <c r="C86" i="30" s="1"/>
  <c r="AC82" i="69"/>
  <c r="AC83" i="69"/>
  <c r="C88" i="30" s="1"/>
  <c r="AC84" i="69"/>
  <c r="C89" i="30" s="1"/>
  <c r="AC85" i="69"/>
  <c r="C90" i="30" s="1"/>
  <c r="AC86" i="69"/>
  <c r="C91" i="30" s="1"/>
  <c r="AC87" i="69"/>
  <c r="C92" i="30" s="1"/>
  <c r="AC88" i="69"/>
  <c r="C93" i="30" s="1"/>
  <c r="AC89" i="69"/>
  <c r="C94" i="30" s="1"/>
  <c r="AC90" i="69"/>
  <c r="AC91" i="69"/>
  <c r="C96" i="30" s="1"/>
  <c r="AC92" i="69"/>
  <c r="C97" i="30" s="1"/>
  <c r="AC93" i="69"/>
  <c r="C98" i="30" s="1"/>
  <c r="AC5" i="69"/>
  <c r="C10" i="30" s="1"/>
  <c r="X35" i="69"/>
  <c r="I53" i="4" s="1"/>
  <c r="X36" i="69"/>
  <c r="I54" i="4" s="1"/>
  <c r="X37" i="69"/>
  <c r="I55" i="4" s="1"/>
  <c r="X38" i="69"/>
  <c r="I56" i="4" s="1"/>
  <c r="X39" i="69"/>
  <c r="I57" i="4" s="1"/>
  <c r="X40" i="69"/>
  <c r="I58" i="4" s="1"/>
  <c r="X41" i="69"/>
  <c r="X42" i="69"/>
  <c r="I60" i="4" s="1"/>
  <c r="X43" i="69"/>
  <c r="I61" i="4" s="1"/>
  <c r="X44" i="69"/>
  <c r="I62" i="4" s="1"/>
  <c r="X45" i="69"/>
  <c r="I63" i="4" s="1"/>
  <c r="X46" i="69"/>
  <c r="I64" i="4" s="1"/>
  <c r="X47" i="69"/>
  <c r="I65" i="4" s="1"/>
  <c r="X48" i="69"/>
  <c r="I66" i="4" s="1"/>
  <c r="X49" i="69"/>
  <c r="I67" i="4" s="1"/>
  <c r="X50" i="69"/>
  <c r="I68" i="4" s="1"/>
  <c r="X51" i="69"/>
  <c r="I69" i="4" s="1"/>
  <c r="X52" i="69"/>
  <c r="I70" i="4" s="1"/>
  <c r="X53" i="69"/>
  <c r="X54" i="69"/>
  <c r="I72" i="4" s="1"/>
  <c r="X55" i="69"/>
  <c r="I73" i="4" s="1"/>
  <c r="X56" i="69"/>
  <c r="I74" i="4" s="1"/>
  <c r="X57" i="69"/>
  <c r="I75" i="4" s="1"/>
  <c r="X58" i="69"/>
  <c r="I76" i="4" s="1"/>
  <c r="X59" i="69"/>
  <c r="I77" i="4" s="1"/>
  <c r="X60" i="69"/>
  <c r="I78" i="4" s="1"/>
  <c r="X61" i="69"/>
  <c r="I79" i="4" s="1"/>
  <c r="X62" i="69"/>
  <c r="I80" i="4" s="1"/>
  <c r="X63" i="69"/>
  <c r="I81" i="4" s="1"/>
  <c r="X64" i="69"/>
  <c r="I82" i="4" s="1"/>
  <c r="X65" i="69"/>
  <c r="X66" i="69"/>
  <c r="I84" i="4" s="1"/>
  <c r="X67" i="69"/>
  <c r="I85" i="4" s="1"/>
  <c r="X68" i="69"/>
  <c r="I86" i="4" s="1"/>
  <c r="X69" i="69"/>
  <c r="I87" i="4" s="1"/>
  <c r="X70" i="69"/>
  <c r="I88" i="4" s="1"/>
  <c r="X71" i="69"/>
  <c r="I89" i="4" s="1"/>
  <c r="X72" i="69"/>
  <c r="I90" i="4" s="1"/>
  <c r="X73" i="69"/>
  <c r="I91" i="4" s="1"/>
  <c r="X74" i="69"/>
  <c r="I92" i="4" s="1"/>
  <c r="X75" i="69"/>
  <c r="I93" i="4" s="1"/>
  <c r="X76" i="69"/>
  <c r="I94" i="4" s="1"/>
  <c r="X77" i="69"/>
  <c r="X78" i="69"/>
  <c r="I96" i="4" s="1"/>
  <c r="X79" i="69"/>
  <c r="I97" i="4" s="1"/>
  <c r="X80" i="69"/>
  <c r="I98" i="4" s="1"/>
  <c r="X81" i="69"/>
  <c r="I99" i="4" s="1"/>
  <c r="X82" i="69"/>
  <c r="I100" i="4" s="1"/>
  <c r="X83" i="69"/>
  <c r="I101" i="4" s="1"/>
  <c r="X84" i="69"/>
  <c r="I102" i="4" s="1"/>
  <c r="X85" i="69"/>
  <c r="I103" i="4" s="1"/>
  <c r="X86" i="69"/>
  <c r="I104" i="4" s="1"/>
  <c r="X87" i="69"/>
  <c r="I105" i="4" s="1"/>
  <c r="X88" i="69"/>
  <c r="I106" i="4" s="1"/>
  <c r="X89" i="69"/>
  <c r="X90" i="69"/>
  <c r="X91" i="69"/>
  <c r="X92" i="69"/>
  <c r="X93" i="69"/>
  <c r="X94" i="69"/>
  <c r="X34" i="69"/>
  <c r="AG171" i="69" l="1"/>
  <c r="AL170" i="69"/>
  <c r="AF170" i="69"/>
  <c r="AK170" i="69"/>
  <c r="AO88" i="69"/>
  <c r="L93" i="30" s="1"/>
  <c r="AO80" i="69"/>
  <c r="L85" i="30" s="1"/>
  <c r="AO72" i="69"/>
  <c r="L77" i="30" s="1"/>
  <c r="AO64" i="69"/>
  <c r="L69" i="30" s="1"/>
  <c r="AO54" i="69"/>
  <c r="L59" i="30" s="1"/>
  <c r="AO46" i="69"/>
  <c r="L51" i="30" s="1"/>
  <c r="AO38" i="69"/>
  <c r="L43" i="30" s="1"/>
  <c r="AO30" i="69"/>
  <c r="L35" i="30" s="1"/>
  <c r="AO26" i="69"/>
  <c r="L31" i="30" s="1"/>
  <c r="AO22" i="69"/>
  <c r="L27" i="30" s="1"/>
  <c r="AO18" i="69"/>
  <c r="L23" i="30" s="1"/>
  <c r="AO14" i="69"/>
  <c r="L19" i="30" s="1"/>
  <c r="AO10" i="69"/>
  <c r="L15" i="30" s="1"/>
  <c r="AO6" i="69"/>
  <c r="L11" i="30" s="1"/>
  <c r="X170" i="69"/>
  <c r="J38" i="32" s="1"/>
  <c r="AO19" i="69"/>
  <c r="L24" i="30" s="1"/>
  <c r="AO13" i="69"/>
  <c r="L18" i="30" s="1"/>
  <c r="AO5" i="69"/>
  <c r="L10" i="30" s="1"/>
  <c r="AK198" i="69"/>
  <c r="AK58" i="69" s="1"/>
  <c r="G63" i="30" s="1"/>
  <c r="AO75" i="69"/>
  <c r="L80" i="30" s="1"/>
  <c r="AO71" i="69"/>
  <c r="L76" i="30" s="1"/>
  <c r="AO63" i="69"/>
  <c r="L68" i="30" s="1"/>
  <c r="AO57" i="69"/>
  <c r="L62" i="30" s="1"/>
  <c r="AO51" i="69"/>
  <c r="L56" i="30" s="1"/>
  <c r="AO9" i="69"/>
  <c r="L14" i="30" s="1"/>
  <c r="L99" i="30"/>
  <c r="AO86" i="69"/>
  <c r="L91" i="30" s="1"/>
  <c r="AO78" i="69"/>
  <c r="L83" i="30" s="1"/>
  <c r="AO70" i="69"/>
  <c r="L75" i="30" s="1"/>
  <c r="AO62" i="69"/>
  <c r="L67" i="30" s="1"/>
  <c r="AO52" i="69"/>
  <c r="L57" i="30" s="1"/>
  <c r="AO44" i="69"/>
  <c r="L49" i="30" s="1"/>
  <c r="AO36" i="69"/>
  <c r="L41" i="30" s="1"/>
  <c r="AO28" i="69"/>
  <c r="L33" i="30" s="1"/>
  <c r="AO20" i="69"/>
  <c r="L25" i="30" s="1"/>
  <c r="AO12" i="69"/>
  <c r="L17" i="30" s="1"/>
  <c r="AO84" i="69"/>
  <c r="L89" i="30" s="1"/>
  <c r="AO76" i="69"/>
  <c r="L81" i="30" s="1"/>
  <c r="AO68" i="69"/>
  <c r="L73" i="30" s="1"/>
  <c r="AO60" i="69"/>
  <c r="L65" i="30" s="1"/>
  <c r="AO50" i="69"/>
  <c r="L55" i="30" s="1"/>
  <c r="AO42" i="69"/>
  <c r="L47" i="30" s="1"/>
  <c r="AO34" i="69"/>
  <c r="L39" i="30" s="1"/>
  <c r="AO93" i="69"/>
  <c r="L98" i="30" s="1"/>
  <c r="AO92" i="69"/>
  <c r="L97" i="30" s="1"/>
  <c r="AO91" i="69"/>
  <c r="L96" i="30" s="1"/>
  <c r="AO85" i="69"/>
  <c r="L90" i="30" s="1"/>
  <c r="AO77" i="69"/>
  <c r="L82" i="30" s="1"/>
  <c r="AO61" i="69"/>
  <c r="L66" i="30" s="1"/>
  <c r="AO53" i="69"/>
  <c r="AO45" i="69"/>
  <c r="AO37" i="69"/>
  <c r="I111" i="4"/>
  <c r="L111" i="4" s="1"/>
  <c r="X169" i="69"/>
  <c r="I38" i="32" s="1"/>
  <c r="I95" i="4"/>
  <c r="I12" i="4" s="1"/>
  <c r="L12" i="4" s="1"/>
  <c r="C95" i="30"/>
  <c r="C87" i="30"/>
  <c r="C173" i="30" s="1"/>
  <c r="C71" i="30"/>
  <c r="C45" i="30"/>
  <c r="C21" i="30"/>
  <c r="X167" i="69"/>
  <c r="G38" i="32" s="1"/>
  <c r="I71" i="4"/>
  <c r="I10" i="4" s="1"/>
  <c r="L10" i="4" s="1"/>
  <c r="C79" i="30"/>
  <c r="C61" i="30"/>
  <c r="C53" i="30"/>
  <c r="C37" i="30"/>
  <c r="C29" i="30"/>
  <c r="C13" i="30"/>
  <c r="AF171" i="69"/>
  <c r="AF194" i="69" s="1"/>
  <c r="AF198" i="69" s="1"/>
  <c r="AF58" i="69" s="1"/>
  <c r="AN87" i="69"/>
  <c r="I92" i="30" s="1"/>
  <c r="AN79" i="69"/>
  <c r="I84" i="30" s="1"/>
  <c r="AN69" i="69"/>
  <c r="I74" i="30" s="1"/>
  <c r="AN55" i="69"/>
  <c r="I60" i="30" s="1"/>
  <c r="AN43" i="69"/>
  <c r="I48" i="30" s="1"/>
  <c r="AN35" i="69"/>
  <c r="I40" i="30" s="1"/>
  <c r="AN31" i="69"/>
  <c r="I36" i="30" s="1"/>
  <c r="AN29" i="69"/>
  <c r="I34" i="30" s="1"/>
  <c r="AN27" i="69"/>
  <c r="I32" i="30" s="1"/>
  <c r="AN25" i="69"/>
  <c r="I30" i="30" s="1"/>
  <c r="AN23" i="69"/>
  <c r="I28" i="30" s="1"/>
  <c r="AN21" i="69"/>
  <c r="I26" i="30" s="1"/>
  <c r="AN11" i="69"/>
  <c r="I16" i="30" s="1"/>
  <c r="AN7" i="69"/>
  <c r="I12" i="30" s="1"/>
  <c r="AO87" i="69"/>
  <c r="AO79" i="69"/>
  <c r="AO29" i="69"/>
  <c r="AO21" i="69"/>
  <c r="AP30" i="69"/>
  <c r="AN83" i="69"/>
  <c r="I88" i="30" s="1"/>
  <c r="AN67" i="69"/>
  <c r="I72" i="30" s="1"/>
  <c r="AN49" i="69"/>
  <c r="I54" i="30" s="1"/>
  <c r="AN37" i="69"/>
  <c r="I42" i="30" s="1"/>
  <c r="AN15" i="69"/>
  <c r="I20" i="30" s="1"/>
  <c r="I109" i="4"/>
  <c r="L109" i="4" s="1"/>
  <c r="AC170" i="69"/>
  <c r="AD170" i="69"/>
  <c r="AG170" i="69"/>
  <c r="AO69" i="69"/>
  <c r="L74" i="30" s="1"/>
  <c r="AO43" i="69"/>
  <c r="L48" i="30" s="1"/>
  <c r="AO35" i="69"/>
  <c r="L40" i="30" s="1"/>
  <c r="AO27" i="69"/>
  <c r="L32" i="30" s="1"/>
  <c r="AO11" i="69"/>
  <c r="L16" i="30" s="1"/>
  <c r="AP62" i="69"/>
  <c r="AN89" i="69"/>
  <c r="I94" i="30" s="1"/>
  <c r="AN77" i="69"/>
  <c r="I82" i="30" s="1"/>
  <c r="AN63" i="69"/>
  <c r="I68" i="30" s="1"/>
  <c r="AN51" i="69"/>
  <c r="I56" i="30" s="1"/>
  <c r="AN41" i="69"/>
  <c r="I46" i="30" s="1"/>
  <c r="AN33" i="69"/>
  <c r="I38" i="30" s="1"/>
  <c r="AN19" i="69"/>
  <c r="I24" i="30" s="1"/>
  <c r="I107" i="4"/>
  <c r="X168" i="69"/>
  <c r="H38" i="32" s="1"/>
  <c r="I83" i="4"/>
  <c r="I11" i="4" s="1"/>
  <c r="L11" i="4" s="1"/>
  <c r="AC171" i="69"/>
  <c r="AP19" i="69"/>
  <c r="AN93" i="69"/>
  <c r="I98" i="30" s="1"/>
  <c r="AN81" i="69"/>
  <c r="I86" i="30" s="1"/>
  <c r="I78" i="30"/>
  <c r="AN65" i="69"/>
  <c r="I70" i="30" s="1"/>
  <c r="AN53" i="69"/>
  <c r="I58" i="30" s="1"/>
  <c r="AN39" i="69"/>
  <c r="I44" i="30" s="1"/>
  <c r="AN17" i="69"/>
  <c r="I22" i="30" s="1"/>
  <c r="X166" i="69"/>
  <c r="F38" i="32" s="1"/>
  <c r="I59" i="4"/>
  <c r="I9" i="4" s="1"/>
  <c r="L9" i="4" s="1"/>
  <c r="I99" i="30"/>
  <c r="AN92" i="69"/>
  <c r="I97" i="30" s="1"/>
  <c r="AN90" i="69"/>
  <c r="I95" i="30" s="1"/>
  <c r="AN88" i="69"/>
  <c r="I93" i="30" s="1"/>
  <c r="AN86" i="69"/>
  <c r="I91" i="30" s="1"/>
  <c r="AN84" i="69"/>
  <c r="I89" i="30" s="1"/>
  <c r="AN82" i="69"/>
  <c r="I87" i="30" s="1"/>
  <c r="AN80" i="69"/>
  <c r="I85" i="30" s="1"/>
  <c r="AN78" i="69"/>
  <c r="I83" i="30" s="1"/>
  <c r="AN76" i="69"/>
  <c r="I81" i="30" s="1"/>
  <c r="AN74" i="69"/>
  <c r="I79" i="30" s="1"/>
  <c r="AN72" i="69"/>
  <c r="I77" i="30" s="1"/>
  <c r="AN70" i="69"/>
  <c r="I75" i="30" s="1"/>
  <c r="AN68" i="69"/>
  <c r="I73" i="30" s="1"/>
  <c r="AN66" i="69"/>
  <c r="I71" i="30" s="1"/>
  <c r="AN64" i="69"/>
  <c r="I69" i="30" s="1"/>
  <c r="AN62" i="69"/>
  <c r="I67" i="30" s="1"/>
  <c r="AN60" i="69"/>
  <c r="I65" i="30" s="1"/>
  <c r="AN56" i="69"/>
  <c r="I61" i="30" s="1"/>
  <c r="AN54" i="69"/>
  <c r="I59" i="30" s="1"/>
  <c r="AN52" i="69"/>
  <c r="I57" i="30" s="1"/>
  <c r="AN50" i="69"/>
  <c r="I55" i="30" s="1"/>
  <c r="AN48" i="69"/>
  <c r="I53" i="30" s="1"/>
  <c r="AN46" i="69"/>
  <c r="I51" i="30" s="1"/>
  <c r="AN44" i="69"/>
  <c r="I49" i="30" s="1"/>
  <c r="AN42" i="69"/>
  <c r="I47" i="30" s="1"/>
  <c r="AN40" i="69"/>
  <c r="I45" i="30" s="1"/>
  <c r="AN38" i="69"/>
  <c r="I43" i="30" s="1"/>
  <c r="AN36" i="69"/>
  <c r="I41" i="30" s="1"/>
  <c r="AN34" i="69"/>
  <c r="I39" i="30" s="1"/>
  <c r="AN32" i="69"/>
  <c r="I37" i="30" s="1"/>
  <c r="AN30" i="69"/>
  <c r="I35" i="30" s="1"/>
  <c r="AN28" i="69"/>
  <c r="I33" i="30" s="1"/>
  <c r="AN26" i="69"/>
  <c r="I31" i="30" s="1"/>
  <c r="AN24" i="69"/>
  <c r="I29" i="30" s="1"/>
  <c r="AN22" i="69"/>
  <c r="I27" i="30" s="1"/>
  <c r="AN20" i="69"/>
  <c r="I25" i="30" s="1"/>
  <c r="AN18" i="69"/>
  <c r="I23" i="30" s="1"/>
  <c r="AN16" i="69"/>
  <c r="I21" i="30" s="1"/>
  <c r="AN14" i="69"/>
  <c r="I19" i="30" s="1"/>
  <c r="AN12" i="69"/>
  <c r="I17" i="30" s="1"/>
  <c r="AE170" i="69"/>
  <c r="AN10" i="69"/>
  <c r="I15" i="30" s="1"/>
  <c r="AN8" i="69"/>
  <c r="I13" i="30" s="1"/>
  <c r="AN6" i="69"/>
  <c r="I11" i="30" s="1"/>
  <c r="AO83" i="69"/>
  <c r="L88" i="30" s="1"/>
  <c r="AO67" i="69"/>
  <c r="L72" i="30" s="1"/>
  <c r="AO49" i="69"/>
  <c r="L54" i="30" s="1"/>
  <c r="AO41" i="69"/>
  <c r="L46" i="30" s="1"/>
  <c r="AO33" i="69"/>
  <c r="L38" i="30" s="1"/>
  <c r="AO25" i="69"/>
  <c r="L30" i="30" s="1"/>
  <c r="AO17" i="69"/>
  <c r="L22" i="30" s="1"/>
  <c r="AP76" i="69"/>
  <c r="AP68" i="69"/>
  <c r="AP60" i="69"/>
  <c r="AP50" i="69"/>
  <c r="AP26" i="69"/>
  <c r="I110" i="4"/>
  <c r="L110" i="4" s="1"/>
  <c r="AN5" i="69"/>
  <c r="I10" i="30" s="1"/>
  <c r="AN85" i="69"/>
  <c r="I90" i="30" s="1"/>
  <c r="AN71" i="69"/>
  <c r="I76" i="30" s="1"/>
  <c r="AN57" i="69"/>
  <c r="I62" i="30" s="1"/>
  <c r="AN45" i="69"/>
  <c r="I50" i="30" s="1"/>
  <c r="AN9" i="69"/>
  <c r="I14" i="30" s="1"/>
  <c r="AH170" i="69"/>
  <c r="AH194" i="69" s="1"/>
  <c r="AH198" i="69" s="1"/>
  <c r="AH58" i="69" s="1"/>
  <c r="I108" i="4"/>
  <c r="L108" i="4" s="1"/>
  <c r="X165" i="69"/>
  <c r="E38" i="32" s="1"/>
  <c r="I52" i="4"/>
  <c r="I8" i="4" s="1"/>
  <c r="L8" i="4" s="1"/>
  <c r="AE171" i="69"/>
  <c r="AO90" i="69"/>
  <c r="L95" i="30" s="1"/>
  <c r="AO82" i="69"/>
  <c r="L87" i="30" s="1"/>
  <c r="AO74" i="69"/>
  <c r="L79" i="30" s="1"/>
  <c r="AO66" i="69"/>
  <c r="L71" i="30" s="1"/>
  <c r="AO56" i="69"/>
  <c r="L61" i="30" s="1"/>
  <c r="AO48" i="69"/>
  <c r="L53" i="30" s="1"/>
  <c r="AO40" i="69"/>
  <c r="L45" i="30" s="1"/>
  <c r="AO32" i="69"/>
  <c r="L37" i="30" s="1"/>
  <c r="AO24" i="69"/>
  <c r="L29" i="30" s="1"/>
  <c r="AO16" i="69"/>
  <c r="L21" i="30" s="1"/>
  <c r="AO8" i="69"/>
  <c r="L13" i="30" s="1"/>
  <c r="AP91" i="69"/>
  <c r="AP57" i="69"/>
  <c r="AP33" i="69"/>
  <c r="AP9" i="69"/>
  <c r="AN91" i="69"/>
  <c r="I96" i="30" s="1"/>
  <c r="AN75" i="69"/>
  <c r="I80" i="30" s="1"/>
  <c r="AN61" i="69"/>
  <c r="I66" i="30" s="1"/>
  <c r="AN47" i="69"/>
  <c r="I52" i="30" s="1"/>
  <c r="AN13" i="69"/>
  <c r="I18" i="30" s="1"/>
  <c r="I112" i="4"/>
  <c r="L112" i="4" s="1"/>
  <c r="AD171" i="69"/>
  <c r="AO89" i="69"/>
  <c r="L94" i="30" s="1"/>
  <c r="AO81" i="69"/>
  <c r="L86" i="30" s="1"/>
  <c r="AO73" i="69"/>
  <c r="L78" i="30" s="1"/>
  <c r="AO65" i="69"/>
  <c r="L70" i="30" s="1"/>
  <c r="AO55" i="69"/>
  <c r="AO47" i="69"/>
  <c r="AO39" i="69"/>
  <c r="AO31" i="69"/>
  <c r="AO23" i="69"/>
  <c r="AO15" i="69"/>
  <c r="AO7" i="69"/>
  <c r="AF173" i="70"/>
  <c r="AN36" i="70"/>
  <c r="AN40" i="70"/>
  <c r="AN48" i="70"/>
  <c r="AN56" i="70"/>
  <c r="AN93" i="70"/>
  <c r="AF172" i="70"/>
  <c r="AL172" i="70"/>
  <c r="AN8" i="70"/>
  <c r="AN12" i="70"/>
  <c r="AN14" i="70"/>
  <c r="AN19" i="70"/>
  <c r="AN21" i="70"/>
  <c r="AN25" i="70"/>
  <c r="AN29" i="70"/>
  <c r="AN32" i="70"/>
  <c r="AN33" i="70"/>
  <c r="AN45" i="70"/>
  <c r="AN53" i="70"/>
  <c r="AN64" i="70"/>
  <c r="AO64" i="70" s="1"/>
  <c r="AN68" i="70"/>
  <c r="AH173" i="70"/>
  <c r="AN5" i="70"/>
  <c r="AN9" i="70"/>
  <c r="AN16" i="70"/>
  <c r="AN17" i="70"/>
  <c r="AN18" i="70"/>
  <c r="AN20" i="70"/>
  <c r="AN24" i="70"/>
  <c r="AN26" i="70"/>
  <c r="AN28" i="70"/>
  <c r="AN37" i="70"/>
  <c r="AN41" i="70"/>
  <c r="AN49" i="70"/>
  <c r="AN57" i="70"/>
  <c r="AG172" i="70"/>
  <c r="AG173" i="70"/>
  <c r="AN42" i="70"/>
  <c r="AN47" i="70"/>
  <c r="AN75" i="70"/>
  <c r="AN83" i="70"/>
  <c r="AN91" i="70"/>
  <c r="AN38" i="70"/>
  <c r="AN46" i="70"/>
  <c r="AN54" i="70"/>
  <c r="AN65" i="70"/>
  <c r="AN74" i="70"/>
  <c r="AN78" i="70"/>
  <c r="AN82" i="70"/>
  <c r="AN86" i="70"/>
  <c r="AN90" i="70"/>
  <c r="AN72" i="70"/>
  <c r="AN76" i="70"/>
  <c r="AN80" i="70"/>
  <c r="AN84" i="70"/>
  <c r="AN88" i="70"/>
  <c r="AN92" i="70"/>
  <c r="AN35" i="70"/>
  <c r="AN43" i="70"/>
  <c r="AN51" i="70"/>
  <c r="AN62" i="70"/>
  <c r="AN7" i="70"/>
  <c r="AN13" i="70"/>
  <c r="AN15" i="70"/>
  <c r="AN31" i="70"/>
  <c r="AN67" i="70"/>
  <c r="AN71" i="70"/>
  <c r="AN73" i="70"/>
  <c r="AN77" i="70"/>
  <c r="AN79" i="70"/>
  <c r="AN81" i="70"/>
  <c r="AN85" i="70"/>
  <c r="AN87" i="70"/>
  <c r="AN89" i="70"/>
  <c r="AD173" i="70"/>
  <c r="AC172" i="70"/>
  <c r="AN23" i="70"/>
  <c r="AC173" i="70"/>
  <c r="AN10" i="70"/>
  <c r="AE173" i="70"/>
  <c r="AN11" i="70"/>
  <c r="AK173" i="70"/>
  <c r="AN22" i="70"/>
  <c r="AN34" i="70"/>
  <c r="AN66" i="70"/>
  <c r="AD172" i="70"/>
  <c r="AH172" i="70"/>
  <c r="AL173" i="70"/>
  <c r="AN30" i="70"/>
  <c r="AN50" i="70"/>
  <c r="AN55" i="70"/>
  <c r="AN6" i="70"/>
  <c r="AO6" i="70" s="1"/>
  <c r="AN27" i="70"/>
  <c r="AN39" i="70"/>
  <c r="AN61" i="70"/>
  <c r="AN63" i="70"/>
  <c r="AN70" i="70"/>
  <c r="AN44" i="70"/>
  <c r="AN52" i="70"/>
  <c r="AN60" i="70"/>
  <c r="AE172" i="70"/>
  <c r="AK172" i="70"/>
  <c r="AN69" i="70"/>
  <c r="AN94" i="70"/>
  <c r="AK178" i="70"/>
  <c r="AK58" i="70" s="1"/>
  <c r="H63" i="30" s="1"/>
  <c r="AL171" i="69"/>
  <c r="AL194" i="69" s="1"/>
  <c r="AK171" i="69"/>
  <c r="AK194" i="69" s="1"/>
  <c r="AP18" i="69" l="1"/>
  <c r="AP52" i="69"/>
  <c r="AP72" i="69"/>
  <c r="AP85" i="69"/>
  <c r="AH199" i="69"/>
  <c r="AH59" i="69" s="1"/>
  <c r="AP63" i="69"/>
  <c r="AP88" i="69"/>
  <c r="AP13" i="69"/>
  <c r="AP36" i="69"/>
  <c r="AP84" i="69"/>
  <c r="AP20" i="69"/>
  <c r="C11" i="29"/>
  <c r="L11" i="29" s="1"/>
  <c r="AB52" i="4"/>
  <c r="AB66" i="4" s="1"/>
  <c r="C15" i="29"/>
  <c r="L15" i="29" s="1"/>
  <c r="AB56" i="4"/>
  <c r="AB70" i="4" s="1"/>
  <c r="C14" i="29"/>
  <c r="L14" i="29" s="1"/>
  <c r="AB55" i="4"/>
  <c r="AB69" i="4" s="1"/>
  <c r="C13" i="29"/>
  <c r="L13" i="29" s="1"/>
  <c r="AB54" i="4"/>
  <c r="AB68" i="4" s="1"/>
  <c r="C12" i="29"/>
  <c r="L12" i="29" s="1"/>
  <c r="AB53" i="4"/>
  <c r="AB67" i="4" s="1"/>
  <c r="L107" i="4"/>
  <c r="I13" i="4"/>
  <c r="L13" i="4" s="1"/>
  <c r="AP43" i="69"/>
  <c r="AG194" i="69"/>
  <c r="AG199" i="69" s="1"/>
  <c r="AG59" i="69" s="1"/>
  <c r="AP61" i="69"/>
  <c r="AP6" i="69"/>
  <c r="AP67" i="69"/>
  <c r="AP78" i="69"/>
  <c r="AP14" i="69"/>
  <c r="AP5" i="69"/>
  <c r="AP64" i="69"/>
  <c r="AP86" i="69"/>
  <c r="AF199" i="69"/>
  <c r="AF59" i="69" s="1"/>
  <c r="AP10" i="69"/>
  <c r="AP51" i="69"/>
  <c r="AP22" i="69"/>
  <c r="AP77" i="69"/>
  <c r="AP54" i="69"/>
  <c r="AP34" i="69"/>
  <c r="AP44" i="69"/>
  <c r="AP49" i="69"/>
  <c r="AP80" i="69"/>
  <c r="AP42" i="69"/>
  <c r="AP12" i="69"/>
  <c r="AP75" i="69"/>
  <c r="AP93" i="69"/>
  <c r="AP28" i="69"/>
  <c r="AP46" i="69"/>
  <c r="AP27" i="69"/>
  <c r="AP41" i="69"/>
  <c r="AP35" i="69"/>
  <c r="AP92" i="69"/>
  <c r="AP38" i="69"/>
  <c r="AP71" i="69"/>
  <c r="AP70" i="69"/>
  <c r="AP17" i="69"/>
  <c r="AP11" i="69"/>
  <c r="K99" i="30"/>
  <c r="V99" i="30" s="1"/>
  <c r="G59" i="52" s="1"/>
  <c r="P112" i="4" s="1"/>
  <c r="N99" i="30"/>
  <c r="AF174" i="70"/>
  <c r="AF179" i="70" s="1"/>
  <c r="AF59" i="70" s="1"/>
  <c r="K98" i="30"/>
  <c r="V98" i="30" s="1"/>
  <c r="F59" i="52" s="1"/>
  <c r="P111" i="4" s="1"/>
  <c r="N98" i="30"/>
  <c r="K95" i="30"/>
  <c r="V95" i="30" s="1"/>
  <c r="C59" i="52" s="1"/>
  <c r="P108" i="4" s="1"/>
  <c r="N95" i="30"/>
  <c r="N96" i="30"/>
  <c r="K96" i="30"/>
  <c r="V96" i="30" s="1"/>
  <c r="D59" i="52" s="1"/>
  <c r="P109" i="4" s="1"/>
  <c r="N97" i="30"/>
  <c r="K97" i="30"/>
  <c r="V97" i="30" s="1"/>
  <c r="E59" i="52" s="1"/>
  <c r="P110" i="4" s="1"/>
  <c r="AP82" i="69"/>
  <c r="AP69" i="69"/>
  <c r="AP83" i="69"/>
  <c r="AP89" i="69"/>
  <c r="AO86" i="70"/>
  <c r="N91" i="30"/>
  <c r="K91" i="30"/>
  <c r="AO30" i="70"/>
  <c r="N35" i="30"/>
  <c r="K35" i="30"/>
  <c r="AO82" i="70"/>
  <c r="N87" i="30"/>
  <c r="K87" i="30"/>
  <c r="AO36" i="70"/>
  <c r="N41" i="30"/>
  <c r="K41" i="30"/>
  <c r="AO52" i="70"/>
  <c r="N57" i="30"/>
  <c r="K57" i="30"/>
  <c r="AO55" i="70"/>
  <c r="N60" i="30"/>
  <c r="K60" i="30"/>
  <c r="AO22" i="70"/>
  <c r="N27" i="30"/>
  <c r="K27" i="30"/>
  <c r="AO71" i="70"/>
  <c r="N76" i="30"/>
  <c r="K76" i="30"/>
  <c r="AO43" i="70"/>
  <c r="N48" i="30"/>
  <c r="K48" i="30"/>
  <c r="AO90" i="70"/>
  <c r="AO38" i="70"/>
  <c r="N43" i="30"/>
  <c r="K43" i="30"/>
  <c r="AO57" i="70"/>
  <c r="N62" i="30"/>
  <c r="K62" i="30"/>
  <c r="AO18" i="70"/>
  <c r="N23" i="30"/>
  <c r="K23" i="30"/>
  <c r="AO53" i="70"/>
  <c r="N58" i="30"/>
  <c r="K58" i="30"/>
  <c r="AO14" i="70"/>
  <c r="N19" i="30"/>
  <c r="K19" i="30"/>
  <c r="AO48" i="70"/>
  <c r="N53" i="30"/>
  <c r="K53" i="30"/>
  <c r="L28" i="30"/>
  <c r="AP23" i="69"/>
  <c r="L92" i="30"/>
  <c r="AP87" i="69"/>
  <c r="AP66" i="69"/>
  <c r="L58" i="30"/>
  <c r="AP53" i="69"/>
  <c r="AO17" i="70"/>
  <c r="N22" i="30"/>
  <c r="K22" i="30"/>
  <c r="AO45" i="70"/>
  <c r="N50" i="30"/>
  <c r="K50" i="30"/>
  <c r="AO12" i="70"/>
  <c r="N17" i="30"/>
  <c r="K17" i="30"/>
  <c r="AO40" i="70"/>
  <c r="N45" i="30"/>
  <c r="K45" i="30"/>
  <c r="L36" i="30"/>
  <c r="AP31" i="69"/>
  <c r="AD194" i="69"/>
  <c r="AP81" i="69"/>
  <c r="AP48" i="69"/>
  <c r="AO50" i="70"/>
  <c r="N55" i="30"/>
  <c r="K55" i="30"/>
  <c r="AO67" i="70"/>
  <c r="N72" i="30"/>
  <c r="K72" i="30"/>
  <c r="AO70" i="70"/>
  <c r="N75" i="30"/>
  <c r="K75" i="30"/>
  <c r="AO41" i="70"/>
  <c r="N46" i="30"/>
  <c r="K46" i="30"/>
  <c r="AO94" i="70"/>
  <c r="AO63" i="70"/>
  <c r="N68" i="30"/>
  <c r="K68" i="30"/>
  <c r="AO85" i="70"/>
  <c r="N90" i="30"/>
  <c r="K90" i="30"/>
  <c r="AO15" i="70"/>
  <c r="N20" i="30"/>
  <c r="K20" i="30"/>
  <c r="AO88" i="70"/>
  <c r="N93" i="30"/>
  <c r="K93" i="30"/>
  <c r="AO78" i="70"/>
  <c r="N83" i="30"/>
  <c r="K83" i="30"/>
  <c r="AO75" i="70"/>
  <c r="N80" i="30"/>
  <c r="K80" i="30"/>
  <c r="AO37" i="70"/>
  <c r="N42" i="30"/>
  <c r="K42" i="30"/>
  <c r="AO9" i="70"/>
  <c r="N14" i="30"/>
  <c r="K14" i="30"/>
  <c r="AO32" i="70"/>
  <c r="N37" i="30"/>
  <c r="K37" i="30"/>
  <c r="L52" i="30"/>
  <c r="AP47" i="69"/>
  <c r="AP25" i="69"/>
  <c r="L172" i="30"/>
  <c r="B15" i="46" s="1"/>
  <c r="D15" i="46" s="1"/>
  <c r="AE194" i="69"/>
  <c r="AP8" i="69"/>
  <c r="AP56" i="69"/>
  <c r="L174" i="30"/>
  <c r="AP65" i="69"/>
  <c r="AO44" i="70"/>
  <c r="N49" i="30"/>
  <c r="K49" i="30"/>
  <c r="AO91" i="70"/>
  <c r="AO11" i="70"/>
  <c r="N16" i="30"/>
  <c r="K16" i="30"/>
  <c r="AO83" i="70"/>
  <c r="N88" i="30"/>
  <c r="K88" i="30"/>
  <c r="L44" i="30"/>
  <c r="AP39" i="69"/>
  <c r="AC194" i="69"/>
  <c r="AO10" i="70"/>
  <c r="N15" i="30"/>
  <c r="K15" i="30"/>
  <c r="AO81" i="70"/>
  <c r="N86" i="30"/>
  <c r="K86" i="30"/>
  <c r="AO13" i="70"/>
  <c r="N18" i="30"/>
  <c r="K18" i="30"/>
  <c r="AO84" i="70"/>
  <c r="N89" i="30"/>
  <c r="K89" i="30"/>
  <c r="AO74" i="70"/>
  <c r="N79" i="30"/>
  <c r="K79" i="30"/>
  <c r="AO47" i="70"/>
  <c r="N52" i="30"/>
  <c r="K52" i="30"/>
  <c r="AO28" i="70"/>
  <c r="N33" i="30"/>
  <c r="K33" i="30"/>
  <c r="AO5" i="70"/>
  <c r="N10" i="30"/>
  <c r="K10" i="30"/>
  <c r="AO29" i="70"/>
  <c r="N34" i="30"/>
  <c r="K34" i="30"/>
  <c r="L60" i="30"/>
  <c r="AP55" i="69"/>
  <c r="AP16" i="69"/>
  <c r="AP90" i="69"/>
  <c r="AO49" i="70"/>
  <c r="N54" i="30"/>
  <c r="K54" i="30"/>
  <c r="AO31" i="70"/>
  <c r="N36" i="30"/>
  <c r="K36" i="30"/>
  <c r="AO33" i="70"/>
  <c r="N38" i="30"/>
  <c r="K38" i="30"/>
  <c r="AO39" i="70"/>
  <c r="N44" i="30"/>
  <c r="K44" i="30"/>
  <c r="AO79" i="70"/>
  <c r="N84" i="30"/>
  <c r="K84" i="30"/>
  <c r="AO7" i="70"/>
  <c r="N12" i="30"/>
  <c r="K12" i="30"/>
  <c r="AO80" i="70"/>
  <c r="N85" i="30"/>
  <c r="K85" i="30"/>
  <c r="AO65" i="70"/>
  <c r="N70" i="30"/>
  <c r="K70" i="30"/>
  <c r="AO42" i="70"/>
  <c r="N47" i="30"/>
  <c r="K47" i="30"/>
  <c r="AO26" i="70"/>
  <c r="N31" i="30"/>
  <c r="K31" i="30"/>
  <c r="AO25" i="70"/>
  <c r="N30" i="30"/>
  <c r="K30" i="30"/>
  <c r="L26" i="30"/>
  <c r="AP21" i="69"/>
  <c r="AP24" i="69"/>
  <c r="AP74" i="69"/>
  <c r="AO35" i="70"/>
  <c r="N40" i="30"/>
  <c r="K40" i="30"/>
  <c r="AO87" i="70"/>
  <c r="N92" i="30"/>
  <c r="K92" i="30"/>
  <c r="AO16" i="70"/>
  <c r="N21" i="30"/>
  <c r="K21" i="30"/>
  <c r="AO61" i="70"/>
  <c r="N66" i="30"/>
  <c r="K66" i="30"/>
  <c r="AO27" i="70"/>
  <c r="N32" i="30"/>
  <c r="K32" i="30"/>
  <c r="AO23" i="70"/>
  <c r="N28" i="30"/>
  <c r="K28" i="30"/>
  <c r="AO62" i="70"/>
  <c r="N67" i="30"/>
  <c r="K67" i="30"/>
  <c r="AO76" i="70"/>
  <c r="N81" i="30"/>
  <c r="K81" i="30"/>
  <c r="AO24" i="70"/>
  <c r="N29" i="30"/>
  <c r="K29" i="30"/>
  <c r="AO68" i="70"/>
  <c r="N73" i="30"/>
  <c r="K73" i="30"/>
  <c r="AO21" i="70"/>
  <c r="N26" i="30"/>
  <c r="K26" i="30"/>
  <c r="AO93" i="70"/>
  <c r="L12" i="30"/>
  <c r="AP7" i="69"/>
  <c r="L34" i="30"/>
  <c r="AP29" i="69"/>
  <c r="AP40" i="69"/>
  <c r="L42" i="30"/>
  <c r="AP37" i="69"/>
  <c r="AO89" i="70"/>
  <c r="N94" i="30"/>
  <c r="K94" i="30"/>
  <c r="AO92" i="70"/>
  <c r="AO8" i="70"/>
  <c r="N13" i="30"/>
  <c r="K13" i="30"/>
  <c r="AO69" i="70"/>
  <c r="N74" i="30"/>
  <c r="K74" i="30"/>
  <c r="AO66" i="70"/>
  <c r="N71" i="30"/>
  <c r="K71" i="30"/>
  <c r="AO77" i="70"/>
  <c r="N82" i="30"/>
  <c r="K82" i="30"/>
  <c r="AO54" i="70"/>
  <c r="N59" i="30"/>
  <c r="K59" i="30"/>
  <c r="AO60" i="70"/>
  <c r="N65" i="30"/>
  <c r="K65" i="30"/>
  <c r="N11" i="30"/>
  <c r="K11" i="30"/>
  <c r="AO34" i="70"/>
  <c r="N39" i="30"/>
  <c r="K39" i="30"/>
  <c r="AO73" i="70"/>
  <c r="N78" i="30"/>
  <c r="K78" i="30"/>
  <c r="AO51" i="70"/>
  <c r="N56" i="30"/>
  <c r="K56" i="30"/>
  <c r="AO72" i="70"/>
  <c r="N77" i="30"/>
  <c r="K77" i="30"/>
  <c r="AO46" i="70"/>
  <c r="N51" i="30"/>
  <c r="K51" i="30"/>
  <c r="AO20" i="70"/>
  <c r="N25" i="30"/>
  <c r="K25" i="30"/>
  <c r="N69" i="30"/>
  <c r="K69" i="30"/>
  <c r="AO19" i="70"/>
  <c r="N24" i="30"/>
  <c r="K24" i="30"/>
  <c r="AO56" i="70"/>
  <c r="N61" i="30"/>
  <c r="K61" i="30"/>
  <c r="L20" i="30"/>
  <c r="AP15" i="69"/>
  <c r="L84" i="30"/>
  <c r="AP79" i="69"/>
  <c r="AP73" i="69"/>
  <c r="AP32" i="69"/>
  <c r="L50" i="30"/>
  <c r="AP45" i="69"/>
  <c r="AG174" i="70"/>
  <c r="AG179" i="70" s="1"/>
  <c r="AG59" i="70" s="1"/>
  <c r="AC174" i="70"/>
  <c r="AK174" i="70"/>
  <c r="AD174" i="70"/>
  <c r="AD179" i="70" s="1"/>
  <c r="AD59" i="70" s="1"/>
  <c r="F64" i="30" s="1"/>
  <c r="AE174" i="70"/>
  <c r="AE178" i="70" s="1"/>
  <c r="AE58" i="70" s="1"/>
  <c r="AH174" i="70"/>
  <c r="AH179" i="70" s="1"/>
  <c r="AH59" i="70" s="1"/>
  <c r="AL174" i="70"/>
  <c r="AL178" i="70" s="1"/>
  <c r="AL58" i="70" s="1"/>
  <c r="Q63" i="30" s="1"/>
  <c r="AL198" i="69"/>
  <c r="AL58" i="69" s="1"/>
  <c r="AL199" i="69"/>
  <c r="AL59" i="69" s="1"/>
  <c r="AF178" i="70" l="1"/>
  <c r="AF58" i="70" s="1"/>
  <c r="B17" i="46"/>
  <c r="D17" i="46" s="1"/>
  <c r="J17" i="32" s="1"/>
  <c r="I15" i="46"/>
  <c r="C16" i="29"/>
  <c r="L16" i="29" s="1"/>
  <c r="AB57" i="4"/>
  <c r="AB71" i="4" s="1"/>
  <c r="AG198" i="69"/>
  <c r="AG58" i="69" s="1"/>
  <c r="L170" i="30"/>
  <c r="B13" i="46" s="1"/>
  <c r="D13" i="46" s="1"/>
  <c r="L173" i="30"/>
  <c r="B16" i="46" s="1"/>
  <c r="D16" i="46" s="1"/>
  <c r="V94" i="30"/>
  <c r="B59" i="52" s="1"/>
  <c r="P107" i="4" s="1"/>
  <c r="AC198" i="69"/>
  <c r="L168" i="30"/>
  <c r="B11" i="46" s="1"/>
  <c r="D11" i="46" s="1"/>
  <c r="L169" i="30"/>
  <c r="B12" i="46" s="1"/>
  <c r="D12" i="46" s="1"/>
  <c r="AC178" i="70"/>
  <c r="L167" i="30"/>
  <c r="B10" i="46" s="1"/>
  <c r="AG178" i="70"/>
  <c r="AG58" i="70" s="1"/>
  <c r="N169" i="30"/>
  <c r="N173" i="30"/>
  <c r="AC199" i="69"/>
  <c r="N167" i="30"/>
  <c r="N170" i="30"/>
  <c r="N174" i="30"/>
  <c r="AD198" i="69"/>
  <c r="AD58" i="69" s="1"/>
  <c r="E63" i="30" s="1"/>
  <c r="AD199" i="69"/>
  <c r="AD59" i="69" s="1"/>
  <c r="E64" i="30" s="1"/>
  <c r="N172" i="30"/>
  <c r="AE198" i="69"/>
  <c r="AE58" i="69" s="1"/>
  <c r="AE199" i="69"/>
  <c r="AE59" i="69" s="1"/>
  <c r="N168" i="30"/>
  <c r="O63" i="30"/>
  <c r="O64" i="30"/>
  <c r="AC179" i="70"/>
  <c r="AE179" i="70"/>
  <c r="AE59" i="70" s="1"/>
  <c r="AN59" i="70" s="1"/>
  <c r="AH178" i="70"/>
  <c r="AH58" i="70" s="1"/>
  <c r="AL179" i="70"/>
  <c r="AL59" i="70" s="1"/>
  <c r="Q64" i="30" s="1"/>
  <c r="AD178" i="70"/>
  <c r="AD58" i="70" s="1"/>
  <c r="I11" i="46" l="1"/>
  <c r="I17" i="46"/>
  <c r="I16" i="46"/>
  <c r="J15" i="51"/>
  <c r="I12" i="46"/>
  <c r="I13" i="46"/>
  <c r="AC58" i="4"/>
  <c r="AC58" i="69"/>
  <c r="C63" i="30" s="1"/>
  <c r="AC59" i="69"/>
  <c r="C64" i="30" s="1"/>
  <c r="AN58" i="70"/>
  <c r="N63" i="30" s="1"/>
  <c r="AC59" i="70"/>
  <c r="D64" i="30" s="1"/>
  <c r="AC58" i="70"/>
  <c r="D63" i="30" s="1"/>
  <c r="N64" i="30"/>
  <c r="K64" i="30"/>
  <c r="AO58" i="69"/>
  <c r="L63" i="30" s="1"/>
  <c r="AN58" i="69"/>
  <c r="I63" i="30" s="1"/>
  <c r="AO59" i="69"/>
  <c r="AN59" i="69"/>
  <c r="I64" i="30" s="1"/>
  <c r="F63" i="30"/>
  <c r="AO59" i="70" l="1"/>
  <c r="AO58" i="70"/>
  <c r="K63" i="30"/>
  <c r="N171" i="30"/>
  <c r="AP58" i="69"/>
  <c r="L64" i="30"/>
  <c r="L171" i="30" s="1"/>
  <c r="B14" i="46" s="1"/>
  <c r="D14" i="46" s="1"/>
  <c r="AP59" i="69"/>
  <c r="I14" i="46" l="1"/>
  <c r="C7" i="68"/>
  <c r="D7" i="68"/>
  <c r="E7" i="68"/>
  <c r="F7" i="68"/>
  <c r="G7" i="68"/>
  <c r="H7" i="68"/>
  <c r="I7" i="68"/>
  <c r="J7" i="68"/>
  <c r="K7" i="68"/>
  <c r="L7" i="68"/>
  <c r="M7" i="68"/>
  <c r="B7" i="68"/>
  <c r="G9" i="68"/>
  <c r="C9" i="68"/>
  <c r="C79" i="68"/>
  <c r="D79" i="68"/>
  <c r="E79" i="68"/>
  <c r="F79" i="68"/>
  <c r="G79" i="68"/>
  <c r="C81" i="68"/>
  <c r="D81" i="68"/>
  <c r="E81" i="68"/>
  <c r="F81" i="68"/>
  <c r="G81" i="68"/>
  <c r="H81" i="68"/>
  <c r="I81" i="68"/>
  <c r="J81" i="68"/>
  <c r="K81" i="68"/>
  <c r="L81" i="68"/>
  <c r="M81" i="68"/>
  <c r="C83" i="68"/>
  <c r="D83" i="68"/>
  <c r="E83" i="68"/>
  <c r="F83" i="68"/>
  <c r="G83" i="68"/>
  <c r="H83" i="68"/>
  <c r="I83" i="68"/>
  <c r="J83" i="68"/>
  <c r="K83" i="68"/>
  <c r="B81" i="68"/>
  <c r="B83" i="68"/>
  <c r="B79" i="68"/>
  <c r="C32" i="68"/>
  <c r="C40" i="68" s="1"/>
  <c r="D32" i="68"/>
  <c r="D40" i="68" s="1"/>
  <c r="E32" i="68"/>
  <c r="E40" i="68" s="1"/>
  <c r="F32" i="68"/>
  <c r="F40" i="68" s="1"/>
  <c r="F49" i="68" s="1"/>
  <c r="G32" i="68"/>
  <c r="G40" i="68" s="1"/>
  <c r="G49" i="68" s="1"/>
  <c r="H32" i="68"/>
  <c r="H40" i="68" s="1"/>
  <c r="I32" i="68"/>
  <c r="I40" i="68" s="1"/>
  <c r="J32" i="68"/>
  <c r="J40" i="68" s="1"/>
  <c r="K32" i="68"/>
  <c r="K40" i="68" s="1"/>
  <c r="L32" i="68"/>
  <c r="L40" i="68" s="1"/>
  <c r="M32" i="68"/>
  <c r="M40" i="68" s="1"/>
  <c r="B32" i="68"/>
  <c r="G34" i="68"/>
  <c r="H34" i="68" s="1"/>
  <c r="I34" i="68" s="1"/>
  <c r="J34" i="68" s="1"/>
  <c r="K34" i="68" s="1"/>
  <c r="L34" i="68" s="1"/>
  <c r="M34" i="68" s="1"/>
  <c r="C34" i="68"/>
  <c r="D34" i="68" s="1"/>
  <c r="E34" i="68" s="1"/>
  <c r="N97" i="68"/>
  <c r="G76" i="68"/>
  <c r="H76" i="68" s="1"/>
  <c r="I76" i="68" s="1"/>
  <c r="J76" i="68" s="1"/>
  <c r="K76" i="68" s="1"/>
  <c r="L76" i="68" s="1"/>
  <c r="M76" i="68" s="1"/>
  <c r="C76" i="68"/>
  <c r="D76" i="68" s="1"/>
  <c r="E76" i="68" s="1"/>
  <c r="N66" i="68"/>
  <c r="N65" i="68"/>
  <c r="N99" i="68"/>
  <c r="N95" i="68"/>
  <c r="N94" i="68"/>
  <c r="N64" i="68"/>
  <c r="G61" i="68"/>
  <c r="H61" i="68" s="1"/>
  <c r="I61" i="68" s="1"/>
  <c r="J61" i="68" s="1"/>
  <c r="K61" i="68" s="1"/>
  <c r="L61" i="68" s="1"/>
  <c r="M61" i="68" s="1"/>
  <c r="C61" i="68"/>
  <c r="D61" i="68" s="1"/>
  <c r="E61" i="68" s="1"/>
  <c r="N93" i="68"/>
  <c r="G90" i="68"/>
  <c r="H90" i="68" s="1"/>
  <c r="I90" i="68" s="1"/>
  <c r="J90" i="68" s="1"/>
  <c r="K90" i="68" s="1"/>
  <c r="L90" i="68" s="1"/>
  <c r="M90" i="68" s="1"/>
  <c r="C90" i="68"/>
  <c r="D90" i="68" s="1"/>
  <c r="E90" i="68" s="1"/>
  <c r="C88" i="68"/>
  <c r="D88" i="68"/>
  <c r="E88" i="68"/>
  <c r="F88" i="68"/>
  <c r="G88" i="68"/>
  <c r="H88" i="68"/>
  <c r="I88" i="68"/>
  <c r="J88" i="68"/>
  <c r="K88" i="68"/>
  <c r="L88" i="68"/>
  <c r="M88" i="68"/>
  <c r="B88" i="68"/>
  <c r="B89" i="68"/>
  <c r="B8" i="45"/>
  <c r="M89" i="68"/>
  <c r="A1" i="68"/>
  <c r="H49" i="68" l="1"/>
  <c r="L49" i="68"/>
  <c r="D49" i="68"/>
  <c r="B40" i="68"/>
  <c r="O40" i="68"/>
  <c r="D9" i="68"/>
  <c r="D24" i="68" s="1"/>
  <c r="C24" i="68"/>
  <c r="E49" i="68"/>
  <c r="K49" i="68"/>
  <c r="C49" i="68"/>
  <c r="M49" i="68"/>
  <c r="J49" i="68"/>
  <c r="H9" i="68"/>
  <c r="H24" i="68" s="1"/>
  <c r="G24" i="68"/>
  <c r="I49" i="68"/>
  <c r="C89" i="68"/>
  <c r="M41" i="68"/>
  <c r="M16" i="68" s="1"/>
  <c r="M39" i="68"/>
  <c r="M48" i="68" s="1"/>
  <c r="M38" i="68"/>
  <c r="M13" i="68" s="1"/>
  <c r="M43" i="68"/>
  <c r="M52" i="68" s="1"/>
  <c r="M55" i="68" s="1"/>
  <c r="M48" i="67" s="1"/>
  <c r="M37" i="68"/>
  <c r="I41" i="68"/>
  <c r="I50" i="68" s="1"/>
  <c r="I39" i="68"/>
  <c r="I38" i="68"/>
  <c r="I13" i="68" s="1"/>
  <c r="I43" i="68"/>
  <c r="I52" i="68" s="1"/>
  <c r="I55" i="68" s="1"/>
  <c r="I48" i="67" s="1"/>
  <c r="I37" i="68"/>
  <c r="I12" i="68" s="1"/>
  <c r="L39" i="68"/>
  <c r="L48" i="68" s="1"/>
  <c r="L38" i="68"/>
  <c r="L13" i="68" s="1"/>
  <c r="L43" i="68"/>
  <c r="L52" i="68" s="1"/>
  <c r="L55" i="68" s="1"/>
  <c r="L48" i="67" s="1"/>
  <c r="L37" i="68"/>
  <c r="L12" i="68" s="1"/>
  <c r="L41" i="68"/>
  <c r="L16" i="68" s="1"/>
  <c r="H39" i="68"/>
  <c r="H48" i="68" s="1"/>
  <c r="H38" i="68"/>
  <c r="H13" i="68" s="1"/>
  <c r="H43" i="68"/>
  <c r="H52" i="68" s="1"/>
  <c r="H55" i="68" s="1"/>
  <c r="H48" i="67" s="1"/>
  <c r="H37" i="68"/>
  <c r="H41" i="68"/>
  <c r="H16" i="68" s="1"/>
  <c r="D39" i="68"/>
  <c r="D38" i="68"/>
  <c r="D13" i="68" s="1"/>
  <c r="D43" i="68"/>
  <c r="D52" i="68" s="1"/>
  <c r="D55" i="68" s="1"/>
  <c r="D48" i="67" s="1"/>
  <c r="D37" i="68"/>
  <c r="D41" i="68"/>
  <c r="D16" i="68" s="1"/>
  <c r="D25" i="68" s="1"/>
  <c r="K38" i="68"/>
  <c r="K13" i="68" s="1"/>
  <c r="K43" i="68"/>
  <c r="K52" i="68" s="1"/>
  <c r="K55" i="68" s="1"/>
  <c r="K48" i="67" s="1"/>
  <c r="K37" i="68"/>
  <c r="K41" i="68"/>
  <c r="K50" i="68" s="1"/>
  <c r="K39" i="68"/>
  <c r="G38" i="68"/>
  <c r="G13" i="68" s="1"/>
  <c r="G43" i="68"/>
  <c r="G52" i="68" s="1"/>
  <c r="G55" i="68" s="1"/>
  <c r="G48" i="67" s="1"/>
  <c r="G37" i="68"/>
  <c r="G41" i="68"/>
  <c r="G16" i="68" s="1"/>
  <c r="G25" i="68" s="1"/>
  <c r="G39" i="68"/>
  <c r="C38" i="68"/>
  <c r="C13" i="68" s="1"/>
  <c r="C43" i="68"/>
  <c r="C52" i="68" s="1"/>
  <c r="C55" i="68" s="1"/>
  <c r="C48" i="67" s="1"/>
  <c r="C37" i="68"/>
  <c r="C41" i="68"/>
  <c r="C39" i="68"/>
  <c r="B43" i="68"/>
  <c r="B37" i="68"/>
  <c r="B46" i="68" s="1"/>
  <c r="B41" i="68"/>
  <c r="B50" i="68" s="1"/>
  <c r="B38" i="68"/>
  <c r="B13" i="68" s="1"/>
  <c r="B39" i="68"/>
  <c r="B48" i="68" s="1"/>
  <c r="J43" i="68"/>
  <c r="J52" i="68" s="1"/>
  <c r="J55" i="68" s="1"/>
  <c r="J48" i="67" s="1"/>
  <c r="J37" i="68"/>
  <c r="J12" i="68" s="1"/>
  <c r="J41" i="68"/>
  <c r="J50" i="68" s="1"/>
  <c r="J39" i="68"/>
  <c r="J14" i="68" s="1"/>
  <c r="J38" i="68"/>
  <c r="J13" i="68" s="1"/>
  <c r="F43" i="68"/>
  <c r="F52" i="68" s="1"/>
  <c r="F55" i="68" s="1"/>
  <c r="F37" i="68"/>
  <c r="F41" i="68"/>
  <c r="F50" i="68" s="1"/>
  <c r="F39" i="68"/>
  <c r="F48" i="68" s="1"/>
  <c r="F38" i="68"/>
  <c r="F13" i="68" s="1"/>
  <c r="E41" i="68"/>
  <c r="E16" i="68" s="1"/>
  <c r="E39" i="68"/>
  <c r="E48" i="68" s="1"/>
  <c r="E38" i="68"/>
  <c r="E13" i="68" s="1"/>
  <c r="E43" i="68"/>
  <c r="E52" i="68" s="1"/>
  <c r="E55" i="68" s="1"/>
  <c r="E48" i="67" s="1"/>
  <c r="E37" i="68"/>
  <c r="G89" i="68"/>
  <c r="B33" i="68"/>
  <c r="K89" i="68"/>
  <c r="N83" i="68"/>
  <c r="J89" i="68"/>
  <c r="F89" i="68"/>
  <c r="I89" i="68"/>
  <c r="E89" i="68"/>
  <c r="L89" i="68"/>
  <c r="H89" i="68"/>
  <c r="D89" i="68"/>
  <c r="E9" i="68"/>
  <c r="E24" i="68" s="1"/>
  <c r="N80" i="68"/>
  <c r="N79" i="68"/>
  <c r="N81" i="68"/>
  <c r="C27" i="67"/>
  <c r="D27" i="67" s="1"/>
  <c r="E27" i="67" s="1"/>
  <c r="F27" i="67" s="1"/>
  <c r="G27" i="67" s="1"/>
  <c r="H27" i="67" s="1"/>
  <c r="I27" i="67" s="1"/>
  <c r="J27" i="67" s="1"/>
  <c r="K27" i="67" s="1"/>
  <c r="L27" i="67" s="1"/>
  <c r="M27" i="67" s="1"/>
  <c r="N27" i="67" s="1"/>
  <c r="O27" i="67" s="1"/>
  <c r="P27" i="67" s="1"/>
  <c r="Q27" i="67" s="1"/>
  <c r="R27" i="67" s="1"/>
  <c r="S27" i="67" s="1"/>
  <c r="T27" i="67" s="1"/>
  <c r="U27" i="67" s="1"/>
  <c r="V27" i="67" s="1"/>
  <c r="W27" i="67" s="1"/>
  <c r="X27" i="67" s="1"/>
  <c r="Y27" i="67" s="1"/>
  <c r="H25" i="68" l="1"/>
  <c r="I9" i="68"/>
  <c r="I24" i="68" s="1"/>
  <c r="D12" i="68"/>
  <c r="D21" i="68" s="1"/>
  <c r="M46" i="68"/>
  <c r="M12" i="68"/>
  <c r="E46" i="68"/>
  <c r="E12" i="68"/>
  <c r="E21" i="68" s="1"/>
  <c r="H46" i="68"/>
  <c r="H12" i="68"/>
  <c r="H21" i="68" s="1"/>
  <c r="B49" i="68"/>
  <c r="N40" i="68"/>
  <c r="C46" i="68"/>
  <c r="C12" i="68"/>
  <c r="F12" i="68"/>
  <c r="F21" i="68" s="1"/>
  <c r="K46" i="68"/>
  <c r="K12" i="68"/>
  <c r="G46" i="68"/>
  <c r="G12" i="68"/>
  <c r="G21" i="68" s="1"/>
  <c r="B47" i="68"/>
  <c r="K16" i="68"/>
  <c r="H50" i="68"/>
  <c r="F16" i="68"/>
  <c r="F25" i="68" s="1"/>
  <c r="M50" i="68"/>
  <c r="M14" i="68"/>
  <c r="J48" i="68"/>
  <c r="I46" i="68"/>
  <c r="L46" i="68"/>
  <c r="J46" i="68"/>
  <c r="D46" i="68"/>
  <c r="D50" i="68"/>
  <c r="E14" i="68"/>
  <c r="E23" i="68" s="1"/>
  <c r="J16" i="68"/>
  <c r="N41" i="68"/>
  <c r="F14" i="68"/>
  <c r="F23" i="68" s="1"/>
  <c r="I16" i="68"/>
  <c r="I25" i="68" s="1"/>
  <c r="B14" i="68"/>
  <c r="B23" i="68" s="1"/>
  <c r="B16" i="68"/>
  <c r="B60" i="68"/>
  <c r="B75" i="68" s="1"/>
  <c r="O37" i="68"/>
  <c r="E50" i="68"/>
  <c r="G50" i="68"/>
  <c r="L50" i="68"/>
  <c r="O39" i="68"/>
  <c r="F46" i="68"/>
  <c r="F48" i="67"/>
  <c r="C21" i="68"/>
  <c r="H14" i="68"/>
  <c r="H23" i="68" s="1"/>
  <c r="L14" i="68"/>
  <c r="N39" i="68"/>
  <c r="B22" i="68"/>
  <c r="B52" i="68"/>
  <c r="N37" i="68"/>
  <c r="B12" i="68"/>
  <c r="C14" i="68"/>
  <c r="C23" i="68" s="1"/>
  <c r="C48" i="68"/>
  <c r="G14" i="68"/>
  <c r="G23" i="68" s="1"/>
  <c r="G48" i="68"/>
  <c r="D14" i="68"/>
  <c r="D23" i="68" s="1"/>
  <c r="D48" i="68"/>
  <c r="E25" i="68"/>
  <c r="I21" i="68"/>
  <c r="I48" i="68"/>
  <c r="I14" i="68"/>
  <c r="I23" i="68" s="1"/>
  <c r="K14" i="68"/>
  <c r="K48" i="68"/>
  <c r="C16" i="68"/>
  <c r="C50" i="68"/>
  <c r="O41" i="68"/>
  <c r="N85" i="68"/>
  <c r="J9" i="68"/>
  <c r="J24" i="68" s="1"/>
  <c r="O33" i="67"/>
  <c r="P33" i="67"/>
  <c r="Q33" i="67"/>
  <c r="R33" i="67"/>
  <c r="N33" i="67"/>
  <c r="O64" i="63"/>
  <c r="B54" i="68" l="1"/>
  <c r="B45" i="67" s="1"/>
  <c r="B25" i="68"/>
  <c r="N16" i="68"/>
  <c r="N49" i="68"/>
  <c r="O49" i="68"/>
  <c r="O52" i="68"/>
  <c r="B55" i="68"/>
  <c r="J25" i="68"/>
  <c r="N12" i="68"/>
  <c r="N46" i="68"/>
  <c r="O46" i="68"/>
  <c r="B21" i="68"/>
  <c r="B29" i="68" s="1"/>
  <c r="O43" i="68"/>
  <c r="N43" i="68"/>
  <c r="N52" i="68"/>
  <c r="N48" i="68"/>
  <c r="J23" i="68"/>
  <c r="O48" i="68"/>
  <c r="J21" i="68"/>
  <c r="N50" i="68"/>
  <c r="O50" i="68"/>
  <c r="C25" i="68"/>
  <c r="K9" i="68"/>
  <c r="K24" i="68" s="1"/>
  <c r="B5" i="67"/>
  <c r="A1" i="67"/>
  <c r="B48" i="67" l="1"/>
  <c r="N55" i="68"/>
  <c r="O55" i="68"/>
  <c r="K21" i="68"/>
  <c r="K25" i="68"/>
  <c r="K23" i="68"/>
  <c r="L9" i="68"/>
  <c r="L24" i="68" s="1"/>
  <c r="L21" i="68" l="1"/>
  <c r="L25" i="68"/>
  <c r="L23" i="68"/>
  <c r="M9" i="68"/>
  <c r="M24" i="68" s="1"/>
  <c r="N24" i="68" s="1"/>
  <c r="S33" i="67"/>
  <c r="N14" i="68" l="1"/>
  <c r="M21" i="68"/>
  <c r="M23" i="68"/>
  <c r="N23" i="68" s="1"/>
  <c r="M25" i="68"/>
  <c r="N25" i="68" s="1"/>
  <c r="T33" i="67" l="1"/>
  <c r="N21" i="68"/>
  <c r="O24" i="64"/>
  <c r="U33" i="67" l="1"/>
  <c r="V33" i="67" l="1"/>
  <c r="W33" i="67" l="1"/>
  <c r="X33" i="67" l="1"/>
  <c r="Y33" i="67" l="1"/>
  <c r="O48" i="64"/>
  <c r="L27" i="6" s="1"/>
  <c r="G32" i="63" l="1"/>
  <c r="F32" i="63"/>
  <c r="M25" i="64"/>
  <c r="N25" i="64"/>
  <c r="L25" i="64"/>
  <c r="K25" i="64"/>
  <c r="J25" i="64"/>
  <c r="A15" i="64"/>
  <c r="A61" i="64" s="1"/>
  <c r="B8" i="64"/>
  <c r="B28" i="64" s="1"/>
  <c r="A1" i="64"/>
  <c r="M52" i="63"/>
  <c r="L52" i="63"/>
  <c r="K52" i="63"/>
  <c r="J52" i="63"/>
  <c r="I52" i="63"/>
  <c r="H52" i="63"/>
  <c r="G52" i="63"/>
  <c r="F52" i="63"/>
  <c r="E52" i="63"/>
  <c r="D52" i="63"/>
  <c r="C52" i="63"/>
  <c r="B52" i="63"/>
  <c r="L19" i="63"/>
  <c r="K19" i="63"/>
  <c r="H19" i="63"/>
  <c r="E32" i="63"/>
  <c r="D32" i="63"/>
  <c r="C32" i="63"/>
  <c r="A12" i="63"/>
  <c r="A41" i="63" s="1"/>
  <c r="B8" i="63"/>
  <c r="G7" i="63"/>
  <c r="F7" i="63"/>
  <c r="E7" i="63"/>
  <c r="D7" i="63"/>
  <c r="C7" i="63"/>
  <c r="B7" i="63"/>
  <c r="A1" i="63"/>
  <c r="Q19" i="64" l="1"/>
  <c r="L32" i="63"/>
  <c r="M32" i="63"/>
  <c r="H32" i="63"/>
  <c r="I32" i="63"/>
  <c r="J32" i="63"/>
  <c r="K32" i="63"/>
  <c r="D19" i="63"/>
  <c r="C19" i="63"/>
  <c r="G19" i="63"/>
  <c r="N16" i="63"/>
  <c r="B18" i="64"/>
  <c r="D14" i="64"/>
  <c r="C33" i="67" s="1"/>
  <c r="H14" i="64"/>
  <c r="G33" i="67" s="1"/>
  <c r="E14" i="64"/>
  <c r="D33" i="67" s="1"/>
  <c r="F14" i="64"/>
  <c r="E33" i="67" s="1"/>
  <c r="Q24" i="64"/>
  <c r="C14" i="64"/>
  <c r="B33" i="67" s="1"/>
  <c r="G14" i="64"/>
  <c r="F33" i="67" s="1"/>
  <c r="B37" i="63"/>
  <c r="B44" i="63"/>
  <c r="N18" i="63"/>
  <c r="C18" i="64"/>
  <c r="A25" i="64"/>
  <c r="A49" i="64"/>
  <c r="A35" i="64"/>
  <c r="B15" i="63"/>
  <c r="B22" i="63" s="1"/>
  <c r="B29" i="63" s="1"/>
  <c r="E19" i="63"/>
  <c r="I19" i="63"/>
  <c r="M19" i="63"/>
  <c r="A64" i="63"/>
  <c r="A57" i="63"/>
  <c r="A19" i="63"/>
  <c r="B19" i="63"/>
  <c r="F19" i="63"/>
  <c r="J19" i="63"/>
  <c r="N17" i="63"/>
  <c r="B32" i="63" l="1"/>
  <c r="N25" i="63"/>
  <c r="N32" i="63" s="1"/>
  <c r="A48" i="63"/>
  <c r="A26" i="63"/>
  <c r="N19" i="63"/>
  <c r="C63" i="62" l="1"/>
  <c r="D63" i="62"/>
  <c r="E63" i="62"/>
  <c r="F63" i="62"/>
  <c r="G63" i="62"/>
  <c r="H63" i="62"/>
  <c r="I63" i="62"/>
  <c r="J63" i="62"/>
  <c r="K63" i="62"/>
  <c r="L63" i="62"/>
  <c r="M63" i="62"/>
  <c r="B63" i="62"/>
  <c r="P7" i="4"/>
  <c r="P8" i="4"/>
  <c r="P9" i="4"/>
  <c r="P10" i="4"/>
  <c r="P11" i="4"/>
  <c r="P12" i="4"/>
  <c r="P13" i="4"/>
  <c r="P14" i="4"/>
  <c r="P15" i="4"/>
  <c r="P16" i="4"/>
  <c r="P17" i="4"/>
  <c r="P6" i="4"/>
  <c r="M24" i="63"/>
  <c r="M31" i="63" s="1"/>
  <c r="L24" i="63"/>
  <c r="L31" i="63" s="1"/>
  <c r="K24" i="63"/>
  <c r="K31" i="63" s="1"/>
  <c r="J24" i="63"/>
  <c r="J31" i="63" s="1"/>
  <c r="I24" i="63"/>
  <c r="I31" i="63" s="1"/>
  <c r="H24" i="63"/>
  <c r="H31" i="63" s="1"/>
  <c r="G24" i="63"/>
  <c r="G31" i="63" s="1"/>
  <c r="F24" i="63"/>
  <c r="F31" i="63" s="1"/>
  <c r="E24" i="63"/>
  <c r="E31" i="63" s="1"/>
  <c r="D24" i="63"/>
  <c r="D31" i="63" s="1"/>
  <c r="C24" i="63"/>
  <c r="C31" i="63" s="1"/>
  <c r="M23" i="63"/>
  <c r="L23" i="63"/>
  <c r="K23" i="63"/>
  <c r="J23" i="63"/>
  <c r="I23" i="63"/>
  <c r="H23" i="63"/>
  <c r="G23" i="63"/>
  <c r="F23" i="63"/>
  <c r="E23" i="63"/>
  <c r="D23" i="63"/>
  <c r="C23" i="63"/>
  <c r="B24" i="63"/>
  <c r="B23" i="63"/>
  <c r="A15" i="62"/>
  <c r="C7" i="62"/>
  <c r="D7" i="62"/>
  <c r="E7" i="62"/>
  <c r="F7" i="62"/>
  <c r="G7" i="62"/>
  <c r="K7" i="62"/>
  <c r="L7" i="62"/>
  <c r="M7" i="62"/>
  <c r="B7" i="62"/>
  <c r="B8" i="62"/>
  <c r="A25" i="62" l="1"/>
  <c r="A45" i="62" s="1"/>
  <c r="A81" i="62"/>
  <c r="B18" i="62"/>
  <c r="B107" i="62"/>
  <c r="B116" i="62" s="1"/>
  <c r="J26" i="63"/>
  <c r="J30" i="63"/>
  <c r="L30" i="63"/>
  <c r="L26" i="63"/>
  <c r="C30" i="63"/>
  <c r="C26" i="63"/>
  <c r="K26" i="63"/>
  <c r="K30" i="63"/>
  <c r="D30" i="63"/>
  <c r="D26" i="63"/>
  <c r="B30" i="63"/>
  <c r="N23" i="63"/>
  <c r="B26" i="63"/>
  <c r="E30" i="63"/>
  <c r="E26" i="63"/>
  <c r="M30" i="63"/>
  <c r="M26" i="63"/>
  <c r="N24" i="63"/>
  <c r="N31" i="63" s="1"/>
  <c r="B31" i="63"/>
  <c r="F30" i="63"/>
  <c r="F26" i="63"/>
  <c r="G30" i="63"/>
  <c r="G26" i="63"/>
  <c r="H30" i="63"/>
  <c r="H26" i="63"/>
  <c r="I30" i="63"/>
  <c r="I26" i="63"/>
  <c r="C8" i="62"/>
  <c r="C38" i="62" s="1"/>
  <c r="C33" i="68"/>
  <c r="C60" i="68"/>
  <c r="C75" i="68" s="1"/>
  <c r="C5" i="67"/>
  <c r="C8" i="63"/>
  <c r="A90" i="62"/>
  <c r="A71" i="62"/>
  <c r="A104" i="62"/>
  <c r="B28" i="62"/>
  <c r="A35" i="62"/>
  <c r="B38" i="62"/>
  <c r="B48" i="62"/>
  <c r="G25" i="62"/>
  <c r="B25" i="62"/>
  <c r="L25" i="62"/>
  <c r="E25" i="62"/>
  <c r="M25" i="62"/>
  <c r="A59" i="62"/>
  <c r="N23" i="62"/>
  <c r="C25" i="62"/>
  <c r="H25" i="62"/>
  <c r="F25" i="62"/>
  <c r="K25" i="62"/>
  <c r="D25" i="62"/>
  <c r="N21" i="62"/>
  <c r="N22" i="62"/>
  <c r="N20" i="62"/>
  <c r="N19" i="62"/>
  <c r="A1" i="62"/>
  <c r="A1" i="51"/>
  <c r="A1" i="53"/>
  <c r="A1" i="42"/>
  <c r="C48" i="62" l="1"/>
  <c r="C107" i="62"/>
  <c r="C116" i="62" s="1"/>
  <c r="N30" i="63"/>
  <c r="N26" i="63"/>
  <c r="C18" i="62"/>
  <c r="C28" i="62"/>
  <c r="D33" i="68"/>
  <c r="D60" i="68"/>
  <c r="D75" i="68" s="1"/>
  <c r="C47" i="68"/>
  <c r="C54" i="68" s="1"/>
  <c r="D18" i="64"/>
  <c r="C15" i="63"/>
  <c r="C22" i="63" s="1"/>
  <c r="C29" i="63" s="1"/>
  <c r="C37" i="63"/>
  <c r="C44" i="63"/>
  <c r="D5" i="67"/>
  <c r="D8" i="63"/>
  <c r="D8" i="62"/>
  <c r="D107" i="62" s="1"/>
  <c r="D116" i="62" s="1"/>
  <c r="N25" i="62"/>
  <c r="C22" i="68" l="1"/>
  <c r="C29" i="68" s="1"/>
  <c r="E33" i="68"/>
  <c r="E60" i="68"/>
  <c r="E75" i="68" s="1"/>
  <c r="D22" i="68"/>
  <c r="D29" i="68" s="1"/>
  <c r="D47" i="68"/>
  <c r="D48" i="62"/>
  <c r="D38" i="62"/>
  <c r="D28" i="62"/>
  <c r="D18" i="62"/>
  <c r="D44" i="63"/>
  <c r="D37" i="63"/>
  <c r="D15" i="63"/>
  <c r="D22" i="63" s="1"/>
  <c r="D29" i="63" s="1"/>
  <c r="E5" i="67"/>
  <c r="E8" i="63"/>
  <c r="E8" i="62"/>
  <c r="E107" i="62" s="1"/>
  <c r="E116" i="62" s="1"/>
  <c r="E18" i="64"/>
  <c r="A1" i="46"/>
  <c r="J26" i="29"/>
  <c r="A26" i="29"/>
  <c r="A1" i="29"/>
  <c r="R21" i="4"/>
  <c r="Q21" i="4"/>
  <c r="P21" i="4"/>
  <c r="O21" i="4"/>
  <c r="N21" i="4"/>
  <c r="M21" i="4"/>
  <c r="H33" i="64"/>
  <c r="C33" i="64"/>
  <c r="H32" i="64"/>
  <c r="C32" i="64"/>
  <c r="H30" i="64"/>
  <c r="H29" i="64"/>
  <c r="G29" i="64"/>
  <c r="F29" i="64"/>
  <c r="E29" i="64"/>
  <c r="D29" i="64"/>
  <c r="AC100" i="30"/>
  <c r="AC99" i="30"/>
  <c r="AC98" i="30"/>
  <c r="AC97" i="30"/>
  <c r="AC96" i="30"/>
  <c r="E31" i="64" s="1"/>
  <c r="AC95" i="30"/>
  <c r="D31" i="64" s="1"/>
  <c r="AC94" i="30"/>
  <c r="A1" i="30"/>
  <c r="A1" i="44"/>
  <c r="A1" i="6"/>
  <c r="B11" i="45"/>
  <c r="D54" i="68" l="1"/>
  <c r="D45" i="67" s="1"/>
  <c r="G13" i="64"/>
  <c r="F28" i="67" s="1"/>
  <c r="G33" i="64"/>
  <c r="I13" i="64"/>
  <c r="H28" i="67" s="1"/>
  <c r="F13" i="64"/>
  <c r="E28" i="67" s="1"/>
  <c r="F33" i="64"/>
  <c r="D13" i="64"/>
  <c r="C28" i="67" s="1"/>
  <c r="D33" i="64"/>
  <c r="E13" i="64"/>
  <c r="D28" i="67" s="1"/>
  <c r="E33" i="64"/>
  <c r="G10" i="64"/>
  <c r="F12" i="67" s="1"/>
  <c r="G30" i="64"/>
  <c r="D12" i="64"/>
  <c r="C22" i="67" s="1"/>
  <c r="D32" i="64"/>
  <c r="I12" i="64"/>
  <c r="H22" i="67" s="1"/>
  <c r="D10" i="64"/>
  <c r="C12" i="67" s="1"/>
  <c r="D30" i="64"/>
  <c r="E12" i="64"/>
  <c r="D22" i="67" s="1"/>
  <c r="E32" i="64"/>
  <c r="E10" i="64"/>
  <c r="D12" i="67" s="1"/>
  <c r="E30" i="64"/>
  <c r="F12" i="64"/>
  <c r="E22" i="67" s="1"/>
  <c r="F32" i="64"/>
  <c r="F10" i="64"/>
  <c r="E12" i="67" s="1"/>
  <c r="F30" i="64"/>
  <c r="G12" i="64"/>
  <c r="F22" i="67" s="1"/>
  <c r="G32" i="64"/>
  <c r="F31" i="64"/>
  <c r="G31" i="64"/>
  <c r="E11" i="64"/>
  <c r="D17" i="67" s="1"/>
  <c r="I11" i="64"/>
  <c r="H17" i="67" s="1"/>
  <c r="C31" i="64"/>
  <c r="C11" i="64"/>
  <c r="B17" i="67" s="1"/>
  <c r="D11" i="64"/>
  <c r="C17" i="67" s="1"/>
  <c r="H11" i="64"/>
  <c r="G17" i="67" s="1"/>
  <c r="D25" i="64"/>
  <c r="D9" i="64"/>
  <c r="C7" i="67" s="1"/>
  <c r="F9" i="64"/>
  <c r="E7" i="67" s="1"/>
  <c r="C30" i="64"/>
  <c r="O20" i="64"/>
  <c r="Q20" i="64"/>
  <c r="C10" i="64"/>
  <c r="B12" i="67" s="1"/>
  <c r="H12" i="64"/>
  <c r="G22" i="67" s="1"/>
  <c r="O19" i="64"/>
  <c r="C29" i="64"/>
  <c r="C25" i="64"/>
  <c r="C9" i="64"/>
  <c r="B7" i="67" s="1"/>
  <c r="G9" i="64"/>
  <c r="F7" i="67" s="1"/>
  <c r="O23" i="64"/>
  <c r="Q23" i="64"/>
  <c r="C13" i="64"/>
  <c r="B28" i="67" s="1"/>
  <c r="C45" i="67"/>
  <c r="E22" i="68"/>
  <c r="E29" i="68" s="1"/>
  <c r="E47" i="68"/>
  <c r="E54" i="68" s="1"/>
  <c r="H25" i="64"/>
  <c r="E25" i="64"/>
  <c r="E9" i="64"/>
  <c r="D7" i="67" s="1"/>
  <c r="I25" i="64"/>
  <c r="O22" i="64"/>
  <c r="Q22" i="64"/>
  <c r="C12" i="64"/>
  <c r="H13" i="64"/>
  <c r="G28" i="67" s="1"/>
  <c r="F33" i="68"/>
  <c r="F60" i="68"/>
  <c r="F75" i="68" s="1"/>
  <c r="F18" i="64"/>
  <c r="F5" i="67"/>
  <c r="F8" i="63"/>
  <c r="F8" i="62"/>
  <c r="F107" i="62" s="1"/>
  <c r="F116" i="62" s="1"/>
  <c r="E15" i="63"/>
  <c r="E22" i="63" s="1"/>
  <c r="E29" i="63" s="1"/>
  <c r="E44" i="63"/>
  <c r="E37" i="63"/>
  <c r="E18" i="62"/>
  <c r="E28" i="62"/>
  <c r="E38" i="62"/>
  <c r="E48" i="62"/>
  <c r="A3" i="42"/>
  <c r="R8" i="4"/>
  <c r="R12" i="4"/>
  <c r="R16" i="4"/>
  <c r="R15" i="4"/>
  <c r="R9" i="4"/>
  <c r="R13" i="4"/>
  <c r="R17" i="4"/>
  <c r="R10" i="4"/>
  <c r="R14" i="4"/>
  <c r="R6" i="4"/>
  <c r="R7" i="4"/>
  <c r="R11" i="4"/>
  <c r="I25" i="53"/>
  <c r="J17" i="53"/>
  <c r="H4" i="61"/>
  <c r="I6" i="61" s="1"/>
  <c r="G6" i="61" s="1"/>
  <c r="C11" i="61" s="1"/>
  <c r="C10" i="61" s="1"/>
  <c r="C3" i="61"/>
  <c r="F25" i="64" l="1"/>
  <c r="A3" i="6"/>
  <c r="A3" i="52" s="1"/>
  <c r="J13" i="64"/>
  <c r="I28" i="67" s="1"/>
  <c r="G25" i="64"/>
  <c r="G11" i="64"/>
  <c r="F17" i="67" s="1"/>
  <c r="O21" i="64"/>
  <c r="O25" i="64" s="1"/>
  <c r="F11" i="64"/>
  <c r="E17" i="67" s="1"/>
  <c r="Q21" i="64"/>
  <c r="Q25" i="64" s="1"/>
  <c r="J12" i="64"/>
  <c r="I22" i="67" s="1"/>
  <c r="A3" i="44"/>
  <c r="B22" i="67"/>
  <c r="I5" i="61"/>
  <c r="G5" i="61" s="1"/>
  <c r="C23" i="61" s="1"/>
  <c r="F47" i="68"/>
  <c r="F54" i="68" s="1"/>
  <c r="I7" i="61"/>
  <c r="G7" i="61" s="1"/>
  <c r="C19" i="61" s="1"/>
  <c r="C15" i="61" s="1"/>
  <c r="G33" i="68"/>
  <c r="O38" i="68" s="1"/>
  <c r="G60" i="68"/>
  <c r="G75" i="68" s="1"/>
  <c r="C37" i="64"/>
  <c r="J11" i="64"/>
  <c r="I17" i="67" s="1"/>
  <c r="F18" i="62"/>
  <c r="F28" i="62"/>
  <c r="F48" i="62"/>
  <c r="F38" i="62"/>
  <c r="G18" i="64"/>
  <c r="G5" i="67"/>
  <c r="G8" i="63"/>
  <c r="G8" i="62"/>
  <c r="G107" i="62" s="1"/>
  <c r="G116" i="62" s="1"/>
  <c r="F44" i="63"/>
  <c r="F37" i="63"/>
  <c r="F15" i="63"/>
  <c r="F22" i="63" s="1"/>
  <c r="F29" i="63" s="1"/>
  <c r="A3" i="68"/>
  <c r="A3" i="67"/>
  <c r="A3" i="64"/>
  <c r="A3" i="63"/>
  <c r="A3" i="30"/>
  <c r="A3" i="51"/>
  <c r="A3" i="29"/>
  <c r="A3" i="53"/>
  <c r="A3" i="46"/>
  <c r="A3" i="62"/>
  <c r="C25" i="61" l="1"/>
  <c r="D10" i="61" s="1"/>
  <c r="G10" i="53" s="1"/>
  <c r="F45" i="67"/>
  <c r="K13" i="64"/>
  <c r="J28" i="67" s="1"/>
  <c r="K12" i="64"/>
  <c r="D44" i="64"/>
  <c r="E44" i="64" s="1"/>
  <c r="F44" i="64" s="1"/>
  <c r="G44" i="64" s="1"/>
  <c r="H44" i="64" s="1"/>
  <c r="I44" i="64" s="1"/>
  <c r="J44" i="64" s="1"/>
  <c r="K44" i="64" s="1"/>
  <c r="L44" i="64" s="1"/>
  <c r="M44" i="64" s="1"/>
  <c r="N44" i="64" s="1"/>
  <c r="C56" i="64" s="1"/>
  <c r="H10" i="64"/>
  <c r="G12" i="67" s="1"/>
  <c r="E37" i="64"/>
  <c r="H33" i="68"/>
  <c r="H60" i="68"/>
  <c r="H75" i="68" s="1"/>
  <c r="K11" i="64"/>
  <c r="J17" i="67" s="1"/>
  <c r="E45" i="67"/>
  <c r="F22" i="68"/>
  <c r="F29" i="68" s="1"/>
  <c r="G22" i="68"/>
  <c r="G29" i="68" s="1"/>
  <c r="G47" i="68"/>
  <c r="G54" i="68" s="1"/>
  <c r="D37" i="64"/>
  <c r="H18" i="64"/>
  <c r="G48" i="62"/>
  <c r="G18" i="62"/>
  <c r="G28" i="62"/>
  <c r="G38" i="62"/>
  <c r="G44" i="63"/>
  <c r="G15" i="63"/>
  <c r="G22" i="63" s="1"/>
  <c r="G29" i="63" s="1"/>
  <c r="G37" i="63"/>
  <c r="H5" i="67"/>
  <c r="H8" i="63"/>
  <c r="H8" i="62"/>
  <c r="H107" i="62" s="1"/>
  <c r="H116" i="62" s="1"/>
  <c r="D15" i="61"/>
  <c r="G13" i="53" s="1"/>
  <c r="D3" i="61"/>
  <c r="G7" i="53" s="1"/>
  <c r="D56" i="64" l="1"/>
  <c r="E56" i="64" s="1"/>
  <c r="F56" i="64" s="1"/>
  <c r="G56" i="64" s="1"/>
  <c r="H56" i="64" s="1"/>
  <c r="I56" i="64" s="1"/>
  <c r="J56" i="64" s="1"/>
  <c r="K56" i="64" s="1"/>
  <c r="L56" i="64" s="1"/>
  <c r="M56" i="64" s="1"/>
  <c r="N56" i="64" s="1"/>
  <c r="D23" i="61"/>
  <c r="S45" i="67"/>
  <c r="L13" i="64"/>
  <c r="K28" i="67" s="1"/>
  <c r="L12" i="64"/>
  <c r="K22" i="67" s="1"/>
  <c r="J22" i="67"/>
  <c r="N12" i="67"/>
  <c r="I33" i="68"/>
  <c r="I60" i="68"/>
  <c r="I75" i="68" s="1"/>
  <c r="O12" i="67"/>
  <c r="H47" i="68"/>
  <c r="H54" i="68" s="1"/>
  <c r="R45" i="67"/>
  <c r="L11" i="64"/>
  <c r="K17" i="67" s="1"/>
  <c r="F37" i="64"/>
  <c r="H37" i="63"/>
  <c r="H15" i="63"/>
  <c r="H22" i="63" s="1"/>
  <c r="H29" i="63" s="1"/>
  <c r="H44" i="63"/>
  <c r="I5" i="67"/>
  <c r="I8" i="63"/>
  <c r="I15" i="63" s="1"/>
  <c r="I8" i="62"/>
  <c r="I107" i="62" s="1"/>
  <c r="I116" i="62" s="1"/>
  <c r="I18" i="64"/>
  <c r="H48" i="62"/>
  <c r="H38" i="62"/>
  <c r="H18" i="62"/>
  <c r="H28" i="62"/>
  <c r="Q26" i="46"/>
  <c r="R26" i="46"/>
  <c r="O56" i="64" l="1"/>
  <c r="D28" i="6" s="1"/>
  <c r="P23" i="29" s="1"/>
  <c r="O12" i="32" s="1"/>
  <c r="H45" i="67"/>
  <c r="M13" i="64"/>
  <c r="L28" i="67" s="1"/>
  <c r="M12" i="64"/>
  <c r="J33" i="68"/>
  <c r="J60" i="68"/>
  <c r="J75" i="68" s="1"/>
  <c r="H9" i="64"/>
  <c r="G7" i="67" s="1"/>
  <c r="G37" i="64"/>
  <c r="M11" i="64"/>
  <c r="L17" i="67" s="1"/>
  <c r="H22" i="68"/>
  <c r="H29" i="68" s="1"/>
  <c r="G45" i="67"/>
  <c r="P12" i="67"/>
  <c r="I22" i="68"/>
  <c r="I29" i="68" s="1"/>
  <c r="I47" i="68"/>
  <c r="I54" i="68" s="1"/>
  <c r="I37" i="63"/>
  <c r="I22" i="63"/>
  <c r="I29" i="63" s="1"/>
  <c r="I44" i="63"/>
  <c r="I18" i="62"/>
  <c r="I38" i="62"/>
  <c r="I48" i="62"/>
  <c r="I28" i="62"/>
  <c r="J18" i="64"/>
  <c r="J5" i="67"/>
  <c r="J8" i="63"/>
  <c r="J15" i="63" s="1"/>
  <c r="J8" i="62"/>
  <c r="J107" i="62" s="1"/>
  <c r="J116" i="62" s="1"/>
  <c r="M32" i="46"/>
  <c r="N32" i="46" s="1"/>
  <c r="M33" i="46"/>
  <c r="N33" i="46" s="1"/>
  <c r="P33" i="46"/>
  <c r="Q33" i="46" s="1"/>
  <c r="S33" i="46" s="1"/>
  <c r="N30" i="32" s="1"/>
  <c r="P32" i="46"/>
  <c r="Q32" i="46" s="1"/>
  <c r="U45" i="67" l="1"/>
  <c r="N13" i="64"/>
  <c r="M28" i="67" s="1"/>
  <c r="O33" i="64"/>
  <c r="L22" i="67"/>
  <c r="N12" i="64"/>
  <c r="M22" i="67" s="1"/>
  <c r="O32" i="64"/>
  <c r="T45" i="67"/>
  <c r="H37" i="64"/>
  <c r="K33" i="68"/>
  <c r="K60" i="68"/>
  <c r="K75" i="68" s="1"/>
  <c r="Q12" i="67"/>
  <c r="N11" i="64"/>
  <c r="M17" i="67" s="1"/>
  <c r="O31" i="64"/>
  <c r="J22" i="68"/>
  <c r="J29" i="68" s="1"/>
  <c r="J47" i="68"/>
  <c r="J54" i="68" s="1"/>
  <c r="K18" i="64"/>
  <c r="K5" i="67"/>
  <c r="K8" i="63"/>
  <c r="K8" i="62"/>
  <c r="K107" i="62" s="1"/>
  <c r="K116" i="62" s="1"/>
  <c r="J22" i="63"/>
  <c r="J29" i="63" s="1"/>
  <c r="J37" i="63"/>
  <c r="J44" i="63"/>
  <c r="J48" i="62"/>
  <c r="J18" i="62"/>
  <c r="J38" i="62"/>
  <c r="J28" i="62"/>
  <c r="M17" i="53"/>
  <c r="M11" i="53"/>
  <c r="M8" i="53"/>
  <c r="A26" i="51"/>
  <c r="A22" i="51"/>
  <c r="A18" i="51"/>
  <c r="A14" i="51"/>
  <c r="A10" i="51"/>
  <c r="A6" i="51"/>
  <c r="I45" i="67" l="1"/>
  <c r="V45" i="67"/>
  <c r="O12" i="64"/>
  <c r="F18" i="6" s="1"/>
  <c r="P52" i="46" s="1"/>
  <c r="N28" i="67"/>
  <c r="N22" i="67"/>
  <c r="A12" i="64"/>
  <c r="A58" i="64" s="1"/>
  <c r="A12" i="62"/>
  <c r="A78" i="62" s="1"/>
  <c r="A10" i="64"/>
  <c r="A56" i="64" s="1"/>
  <c r="A10" i="62"/>
  <c r="A76" i="62" s="1"/>
  <c r="A14" i="64"/>
  <c r="A60" i="64" s="1"/>
  <c r="A11" i="63"/>
  <c r="A14" i="62"/>
  <c r="A80" i="62" s="1"/>
  <c r="A9" i="63"/>
  <c r="A11" i="64"/>
  <c r="A57" i="64" s="1"/>
  <c r="A11" i="62"/>
  <c r="A77" i="62" s="1"/>
  <c r="L33" i="68"/>
  <c r="L60" i="68"/>
  <c r="L75" i="68" s="1"/>
  <c r="J45" i="67"/>
  <c r="N17" i="67"/>
  <c r="K22" i="68"/>
  <c r="K29" i="68" s="1"/>
  <c r="K47" i="68"/>
  <c r="K54" i="68" s="1"/>
  <c r="A9" i="64"/>
  <c r="A55" i="64" s="1"/>
  <c r="A9" i="62"/>
  <c r="A75" i="62" s="1"/>
  <c r="A13" i="64"/>
  <c r="A59" i="64" s="1"/>
  <c r="A10" i="63"/>
  <c r="A13" i="62"/>
  <c r="A79" i="62" s="1"/>
  <c r="R12" i="67"/>
  <c r="I37" i="64"/>
  <c r="L18" i="64"/>
  <c r="K18" i="62"/>
  <c r="K28" i="62"/>
  <c r="K38" i="62"/>
  <c r="K48" i="62"/>
  <c r="K44" i="63"/>
  <c r="K37" i="63"/>
  <c r="K15" i="63"/>
  <c r="K22" i="63" s="1"/>
  <c r="K29" i="63" s="1"/>
  <c r="L5" i="67"/>
  <c r="L8" i="63"/>
  <c r="L8" i="62"/>
  <c r="L107" i="62" s="1"/>
  <c r="L116" i="62" s="1"/>
  <c r="L25" i="53"/>
  <c r="H37" i="42"/>
  <c r="H35" i="42"/>
  <c r="A22" i="53"/>
  <c r="A19" i="53"/>
  <c r="A16" i="53"/>
  <c r="A13" i="53"/>
  <c r="A10" i="53"/>
  <c r="A7" i="53"/>
  <c r="C66" i="42"/>
  <c r="D66" i="42" s="1"/>
  <c r="M20" i="32" l="1"/>
  <c r="M18" i="51" s="1"/>
  <c r="L52" i="46"/>
  <c r="F38" i="6"/>
  <c r="G18" i="6"/>
  <c r="F74" i="42"/>
  <c r="F68" i="42"/>
  <c r="E68" i="42"/>
  <c r="E70" i="42" s="1"/>
  <c r="H40" i="42"/>
  <c r="G68" i="42"/>
  <c r="G70" i="42" s="1"/>
  <c r="K45" i="67"/>
  <c r="W45" i="67"/>
  <c r="O28" i="67"/>
  <c r="O22" i="67"/>
  <c r="A57" i="62"/>
  <c r="A88" i="62"/>
  <c r="A23" i="62"/>
  <c r="A43" i="62" s="1"/>
  <c r="A102" i="62"/>
  <c r="A69" i="62"/>
  <c r="A33" i="62"/>
  <c r="A53" i="62"/>
  <c r="A98" i="62"/>
  <c r="A65" i="62"/>
  <c r="A29" i="62"/>
  <c r="A84" i="62"/>
  <c r="A19" i="62"/>
  <c r="A39" i="62" s="1"/>
  <c r="A18" i="63"/>
  <c r="A40" i="63"/>
  <c r="A56" i="63"/>
  <c r="A20" i="64"/>
  <c r="A44" i="64"/>
  <c r="A30" i="64"/>
  <c r="M33" i="68"/>
  <c r="M60" i="68"/>
  <c r="M75" i="68" s="1"/>
  <c r="J37" i="64"/>
  <c r="A62" i="63"/>
  <c r="A17" i="63"/>
  <c r="A55" i="63"/>
  <c r="A39" i="63"/>
  <c r="A19" i="64"/>
  <c r="A43" i="64"/>
  <c r="A29" i="64"/>
  <c r="L22" i="68"/>
  <c r="L29" i="68" s="1"/>
  <c r="L47" i="68"/>
  <c r="L54" i="68" s="1"/>
  <c r="A61" i="63"/>
  <c r="A54" i="63"/>
  <c r="A16" i="63"/>
  <c r="A38" i="63"/>
  <c r="A24" i="64"/>
  <c r="A48" i="64"/>
  <c r="A34" i="64"/>
  <c r="A22" i="62"/>
  <c r="A42" i="62" s="1"/>
  <c r="A68" i="62"/>
  <c r="A101" i="62"/>
  <c r="A87" i="62"/>
  <c r="A32" i="62"/>
  <c r="A56" i="62"/>
  <c r="A23" i="64"/>
  <c r="A33" i="64"/>
  <c r="A47" i="64"/>
  <c r="A21" i="62"/>
  <c r="A41" i="62" s="1"/>
  <c r="A31" i="62"/>
  <c r="A55" i="62"/>
  <c r="A86" i="62"/>
  <c r="A67" i="62"/>
  <c r="A100" i="62"/>
  <c r="A58" i="62"/>
  <c r="A103" i="62"/>
  <c r="A70" i="62"/>
  <c r="A89" i="62"/>
  <c r="A34" i="62"/>
  <c r="A24" i="62"/>
  <c r="A44" i="62" s="1"/>
  <c r="A54" i="62"/>
  <c r="A99" i="62"/>
  <c r="A66" i="62"/>
  <c r="A85" i="62"/>
  <c r="A30" i="62"/>
  <c r="A20" i="62"/>
  <c r="A40" i="62" s="1"/>
  <c r="A46" i="64"/>
  <c r="A32" i="64"/>
  <c r="A22" i="64"/>
  <c r="S12" i="67"/>
  <c r="O17" i="67"/>
  <c r="A31" i="64"/>
  <c r="A21" i="64"/>
  <c r="A45" i="64"/>
  <c r="M18" i="64"/>
  <c r="L48" i="62"/>
  <c r="L28" i="62"/>
  <c r="L18" i="62"/>
  <c r="L38" i="62"/>
  <c r="L15" i="63"/>
  <c r="L22" i="63" s="1"/>
  <c r="L29" i="63" s="1"/>
  <c r="L44" i="63"/>
  <c r="L37" i="63"/>
  <c r="M5" i="67"/>
  <c r="M8" i="63"/>
  <c r="M8" i="62"/>
  <c r="M107" i="62" s="1"/>
  <c r="M116" i="62" s="1"/>
  <c r="B8" i="68"/>
  <c r="H36" i="42"/>
  <c r="F70" i="42"/>
  <c r="H39" i="42" l="1"/>
  <c r="H38" i="42"/>
  <c r="E74" i="42"/>
  <c r="H74" i="42" s="1"/>
  <c r="H25" i="53" s="1"/>
  <c r="O27" i="53" s="1"/>
  <c r="X45" i="67"/>
  <c r="L45" i="67"/>
  <c r="P28" i="67"/>
  <c r="P22" i="67"/>
  <c r="A23" i="63"/>
  <c r="A30" i="63" s="1"/>
  <c r="A45" i="63"/>
  <c r="K37" i="64"/>
  <c r="A25" i="63"/>
  <c r="A32" i="63" s="1"/>
  <c r="A47" i="63"/>
  <c r="A46" i="63"/>
  <c r="A24" i="63"/>
  <c r="A31" i="63" s="1"/>
  <c r="P17" i="67"/>
  <c r="T12" i="67"/>
  <c r="M47" i="68"/>
  <c r="M54" i="68" s="1"/>
  <c r="O54" i="68" s="1"/>
  <c r="N38" i="68"/>
  <c r="N18" i="64"/>
  <c r="N5" i="67"/>
  <c r="B53" i="63"/>
  <c r="B60" i="63" s="1"/>
  <c r="B64" i="62"/>
  <c r="B74" i="62" s="1"/>
  <c r="C8" i="68"/>
  <c r="M15" i="63"/>
  <c r="M22" i="63" s="1"/>
  <c r="M29" i="63" s="1"/>
  <c r="M44" i="63"/>
  <c r="M37" i="63"/>
  <c r="M18" i="62"/>
  <c r="M48" i="62"/>
  <c r="M38" i="62"/>
  <c r="M28" i="62"/>
  <c r="H41" i="42" l="1"/>
  <c r="B27" i="42" s="1"/>
  <c r="B33" i="42" s="1"/>
  <c r="H13" i="53"/>
  <c r="H7" i="53"/>
  <c r="H19" i="53"/>
  <c r="P43" i="62" s="1"/>
  <c r="H10" i="53"/>
  <c r="P40" i="62" s="1"/>
  <c r="H16" i="53"/>
  <c r="P42" i="62" s="1"/>
  <c r="H22" i="53"/>
  <c r="Q28" i="67"/>
  <c r="Q22" i="67"/>
  <c r="P41" i="62"/>
  <c r="P39" i="62"/>
  <c r="O47" i="68"/>
  <c r="N47" i="68"/>
  <c r="L37" i="64"/>
  <c r="M22" i="68"/>
  <c r="M29" i="68" s="1"/>
  <c r="N13" i="68"/>
  <c r="U12" i="67"/>
  <c r="Q17" i="67"/>
  <c r="D8" i="68"/>
  <c r="O5" i="67"/>
  <c r="C53" i="63"/>
  <c r="C60" i="63" s="1"/>
  <c r="C64" i="62"/>
  <c r="C74" i="62" s="1"/>
  <c r="B93" i="62"/>
  <c r="B83" i="62"/>
  <c r="E27" i="42" l="1"/>
  <c r="F30" i="42"/>
  <c r="E30" i="42"/>
  <c r="D29" i="42"/>
  <c r="G29" i="42"/>
  <c r="D28" i="42"/>
  <c r="D33" i="42" s="1"/>
  <c r="F27" i="42"/>
  <c r="C28" i="42"/>
  <c r="C33" i="42" s="1"/>
  <c r="F28" i="42"/>
  <c r="G28" i="42"/>
  <c r="D27" i="42"/>
  <c r="C27" i="42"/>
  <c r="F29" i="42"/>
  <c r="E29" i="42"/>
  <c r="F31" i="42"/>
  <c r="G32" i="42"/>
  <c r="G31" i="42"/>
  <c r="E28" i="42"/>
  <c r="G27" i="42"/>
  <c r="G30" i="42"/>
  <c r="P44" i="62"/>
  <c r="L44" i="62" s="1"/>
  <c r="R28" i="67"/>
  <c r="R22" i="67"/>
  <c r="E43" i="62"/>
  <c r="K43" i="62"/>
  <c r="J43" i="62"/>
  <c r="D43" i="62"/>
  <c r="B43" i="62"/>
  <c r="G43" i="62"/>
  <c r="F43" i="62"/>
  <c r="L43" i="62"/>
  <c r="C43" i="62"/>
  <c r="M43" i="62"/>
  <c r="H43" i="62"/>
  <c r="I43" i="62"/>
  <c r="F40" i="62"/>
  <c r="B40" i="62"/>
  <c r="J40" i="62"/>
  <c r="M40" i="62"/>
  <c r="L40" i="62"/>
  <c r="H40" i="62"/>
  <c r="K40" i="62"/>
  <c r="D40" i="62"/>
  <c r="E40" i="62"/>
  <c r="I40" i="62"/>
  <c r="G40" i="62"/>
  <c r="C40" i="62"/>
  <c r="R17" i="67"/>
  <c r="E39" i="62"/>
  <c r="B39" i="62"/>
  <c r="J39" i="62"/>
  <c r="H39" i="62"/>
  <c r="K39" i="62"/>
  <c r="F39" i="62"/>
  <c r="M39" i="62"/>
  <c r="D39" i="62"/>
  <c r="G39" i="62"/>
  <c r="I39" i="62"/>
  <c r="L39" i="62"/>
  <c r="C39" i="62"/>
  <c r="C41" i="62"/>
  <c r="H41" i="62"/>
  <c r="F41" i="62"/>
  <c r="J41" i="62"/>
  <c r="I41" i="62"/>
  <c r="B41" i="62"/>
  <c r="E41" i="62"/>
  <c r="D41" i="62"/>
  <c r="K41" i="62"/>
  <c r="M41" i="62"/>
  <c r="L41" i="62"/>
  <c r="G41" i="62"/>
  <c r="M45" i="67"/>
  <c r="N54" i="68"/>
  <c r="V12" i="67"/>
  <c r="Y45" i="67"/>
  <c r="N22" i="68"/>
  <c r="C43" i="64"/>
  <c r="D43" i="64" s="1"/>
  <c r="E43" i="64" s="1"/>
  <c r="F43" i="64" s="1"/>
  <c r="G43" i="64" s="1"/>
  <c r="H43" i="64" s="1"/>
  <c r="I43" i="64" s="1"/>
  <c r="J43" i="64" s="1"/>
  <c r="K43" i="64" s="1"/>
  <c r="L43" i="64" s="1"/>
  <c r="M43" i="64" s="1"/>
  <c r="N43" i="64" s="1"/>
  <c r="C55" i="64" s="1"/>
  <c r="D55" i="64" s="1"/>
  <c r="E55" i="64" s="1"/>
  <c r="F55" i="64" s="1"/>
  <c r="G55" i="64" s="1"/>
  <c r="H55" i="64" s="1"/>
  <c r="I55" i="64" s="1"/>
  <c r="J55" i="64" s="1"/>
  <c r="K55" i="64" s="1"/>
  <c r="L55" i="64" s="1"/>
  <c r="M55" i="64" s="1"/>
  <c r="N55" i="64" s="1"/>
  <c r="O55" i="64" s="1"/>
  <c r="B28" i="6" s="1"/>
  <c r="G23" i="29" s="1"/>
  <c r="O8" i="32" s="1"/>
  <c r="M37" i="64"/>
  <c r="F44" i="62"/>
  <c r="D42" i="62"/>
  <c r="K42" i="62"/>
  <c r="F42" i="62"/>
  <c r="E42" i="62"/>
  <c r="L42" i="62"/>
  <c r="G42" i="62"/>
  <c r="H42" i="62"/>
  <c r="C42" i="62"/>
  <c r="M42" i="62"/>
  <c r="B42" i="62"/>
  <c r="J42" i="62"/>
  <c r="I42" i="62"/>
  <c r="C83" i="62"/>
  <c r="C93" i="62"/>
  <c r="E8" i="68"/>
  <c r="P5" i="67"/>
  <c r="D53" i="63"/>
  <c r="D60" i="63" s="1"/>
  <c r="D64" i="62"/>
  <c r="D74" i="62" s="1"/>
  <c r="T175" i="30"/>
  <c r="S175" i="30"/>
  <c r="O18" i="46" s="1"/>
  <c r="R175" i="30"/>
  <c r="L18" i="46" s="1"/>
  <c r="N18" i="46" s="1"/>
  <c r="T174" i="30"/>
  <c r="S174" i="30"/>
  <c r="O17" i="46" s="1"/>
  <c r="R174" i="30"/>
  <c r="T173" i="30"/>
  <c r="S173" i="30"/>
  <c r="O16" i="46" s="1"/>
  <c r="R173" i="30"/>
  <c r="L16" i="46" s="1"/>
  <c r="N16" i="46" s="1"/>
  <c r="T172" i="30"/>
  <c r="S172" i="30"/>
  <c r="O15" i="46" s="1"/>
  <c r="R172" i="30"/>
  <c r="L15" i="46" s="1"/>
  <c r="N15" i="46" s="1"/>
  <c r="T171" i="30"/>
  <c r="S171" i="30"/>
  <c r="O14" i="46" s="1"/>
  <c r="R171" i="30"/>
  <c r="L14" i="46" s="1"/>
  <c r="N14" i="46" s="1"/>
  <c r="T170" i="30"/>
  <c r="S170" i="30"/>
  <c r="O13" i="46" s="1"/>
  <c r="R170" i="30"/>
  <c r="L13" i="46" s="1"/>
  <c r="N13" i="46" s="1"/>
  <c r="T169" i="30"/>
  <c r="S169" i="30"/>
  <c r="O12" i="46" s="1"/>
  <c r="R169" i="30"/>
  <c r="L12" i="46" s="1"/>
  <c r="N12" i="46" s="1"/>
  <c r="T168" i="30"/>
  <c r="S168" i="30"/>
  <c r="O11" i="46" s="1"/>
  <c r="R168" i="30"/>
  <c r="L11" i="46" s="1"/>
  <c r="N11" i="46" s="1"/>
  <c r="T167" i="30"/>
  <c r="S167" i="30"/>
  <c r="O10" i="46" s="1"/>
  <c r="R167" i="30"/>
  <c r="L10" i="46" s="1"/>
  <c r="N10" i="46" s="1"/>
  <c r="Q175" i="30"/>
  <c r="P175" i="30"/>
  <c r="E48" i="46" s="1"/>
  <c r="O175" i="30"/>
  <c r="Q174" i="30"/>
  <c r="P174" i="30"/>
  <c r="E47" i="46" s="1"/>
  <c r="O174" i="30"/>
  <c r="J175" i="30"/>
  <c r="J174" i="30"/>
  <c r="K175" i="30"/>
  <c r="K174" i="30"/>
  <c r="I175" i="30"/>
  <c r="I174" i="30"/>
  <c r="H175" i="30"/>
  <c r="G175" i="30"/>
  <c r="L48" i="46" s="1"/>
  <c r="N48" i="46" s="1"/>
  <c r="H174" i="30"/>
  <c r="G174" i="30"/>
  <c r="L47" i="46" s="1"/>
  <c r="N47" i="46" s="1"/>
  <c r="F175" i="30"/>
  <c r="E175" i="30"/>
  <c r="K17" i="29" s="1"/>
  <c r="N17" i="29" s="1"/>
  <c r="F174" i="30"/>
  <c r="E174" i="30"/>
  <c r="K16" i="29" s="1"/>
  <c r="N16" i="29" s="1"/>
  <c r="D174" i="30"/>
  <c r="D175" i="30"/>
  <c r="C175" i="30"/>
  <c r="C174" i="30"/>
  <c r="B16" i="29" s="1"/>
  <c r="B44" i="62" l="1"/>
  <c r="M44" i="62"/>
  <c r="H44" i="62"/>
  <c r="J44" i="62"/>
  <c r="G44" i="62"/>
  <c r="D44" i="62"/>
  <c r="I44" i="62"/>
  <c r="I45" i="62" s="1"/>
  <c r="F33" i="42"/>
  <c r="E33" i="42"/>
  <c r="V174" i="30"/>
  <c r="B17" i="29"/>
  <c r="V175" i="30"/>
  <c r="G17" i="29"/>
  <c r="K8" i="32" s="1"/>
  <c r="K6" i="51" s="1"/>
  <c r="B16" i="6"/>
  <c r="B47" i="46"/>
  <c r="D47" i="46" s="1"/>
  <c r="J25" i="32" s="1"/>
  <c r="P10" i="46"/>
  <c r="L8" i="6"/>
  <c r="R13" i="46"/>
  <c r="S13" i="46"/>
  <c r="Q13" i="46"/>
  <c r="P18" i="46"/>
  <c r="K28" i="32" s="1"/>
  <c r="K26" i="51" s="1"/>
  <c r="L16" i="6"/>
  <c r="P48" i="46"/>
  <c r="Q48" i="46" s="1"/>
  <c r="F16" i="6"/>
  <c r="L11" i="6"/>
  <c r="P13" i="46"/>
  <c r="Q16" i="46"/>
  <c r="R16" i="46"/>
  <c r="S16" i="46"/>
  <c r="J15" i="6"/>
  <c r="F47" i="46"/>
  <c r="H47" i="46" s="1"/>
  <c r="H56" i="46" s="1"/>
  <c r="F64" i="46" s="1"/>
  <c r="G64" i="46" s="1"/>
  <c r="Q11" i="46"/>
  <c r="R11" i="46"/>
  <c r="S11" i="46"/>
  <c r="P16" i="46"/>
  <c r="L14" i="6"/>
  <c r="M15" i="6" s="1"/>
  <c r="G16" i="29"/>
  <c r="J8" i="32" s="1"/>
  <c r="J6" i="51" s="1"/>
  <c r="B15" i="6"/>
  <c r="P16" i="29"/>
  <c r="J12" i="32" s="1"/>
  <c r="J10" i="51" s="1"/>
  <c r="D15" i="6"/>
  <c r="B48" i="46"/>
  <c r="D48" i="46" s="1"/>
  <c r="K25" i="32" s="1"/>
  <c r="P11" i="46"/>
  <c r="L9" i="6"/>
  <c r="Q14" i="46"/>
  <c r="S14" i="46"/>
  <c r="R14" i="46"/>
  <c r="L17" i="46"/>
  <c r="N17" i="46" s="1"/>
  <c r="J29" i="32" s="1"/>
  <c r="J27" i="51" s="1"/>
  <c r="H15" i="6"/>
  <c r="F17" i="46"/>
  <c r="J16" i="32" s="1"/>
  <c r="J14" i="51" s="1"/>
  <c r="P14" i="46"/>
  <c r="L12" i="6"/>
  <c r="H16" i="6"/>
  <c r="F18" i="46"/>
  <c r="K16" i="32" s="1"/>
  <c r="K14" i="51" s="1"/>
  <c r="F48" i="46"/>
  <c r="J16" i="6"/>
  <c r="Q12" i="46"/>
  <c r="R12" i="46"/>
  <c r="S12" i="46"/>
  <c r="L15" i="6"/>
  <c r="L35" i="6" s="1"/>
  <c r="P17" i="46"/>
  <c r="R17" i="46" s="1"/>
  <c r="P12" i="46"/>
  <c r="L10" i="6"/>
  <c r="R15" i="46"/>
  <c r="Q15" i="46"/>
  <c r="S15" i="46"/>
  <c r="D16" i="6"/>
  <c r="P17" i="29"/>
  <c r="K12" i="32" s="1"/>
  <c r="K10" i="51" s="1"/>
  <c r="F15" i="6"/>
  <c r="P47" i="46"/>
  <c r="J20" i="32" s="1"/>
  <c r="J18" i="51" s="1"/>
  <c r="R10" i="46"/>
  <c r="Q10" i="46"/>
  <c r="S10" i="46"/>
  <c r="P15" i="46"/>
  <c r="L13" i="6"/>
  <c r="S18" i="46"/>
  <c r="K30" i="32"/>
  <c r="K28" i="51" s="1"/>
  <c r="E17" i="29"/>
  <c r="K9" i="32"/>
  <c r="K21" i="32"/>
  <c r="K13" i="32"/>
  <c r="K26" i="32"/>
  <c r="K29" i="32"/>
  <c r="K27" i="51" s="1"/>
  <c r="C44" i="62"/>
  <c r="C45" i="62" s="1"/>
  <c r="E44" i="62"/>
  <c r="E45" i="62" s="1"/>
  <c r="P45" i="62"/>
  <c r="K44" i="62"/>
  <c r="K45" i="62" s="1"/>
  <c r="J26" i="32"/>
  <c r="J13" i="32"/>
  <c r="J30" i="32"/>
  <c r="J28" i="51" s="1"/>
  <c r="J9" i="32"/>
  <c r="E16" i="29"/>
  <c r="J21" i="32"/>
  <c r="S28" i="67"/>
  <c r="S22" i="67"/>
  <c r="N42" i="62"/>
  <c r="D45" i="62"/>
  <c r="H45" i="62"/>
  <c r="F45" i="62"/>
  <c r="B45" i="62"/>
  <c r="N39" i="62"/>
  <c r="N37" i="64"/>
  <c r="W12" i="67"/>
  <c r="G45" i="62"/>
  <c r="L45" i="62"/>
  <c r="N40" i="62"/>
  <c r="N41" i="62"/>
  <c r="M45" i="62"/>
  <c r="J45" i="62"/>
  <c r="S17" i="67"/>
  <c r="N43" i="62"/>
  <c r="D93" i="62"/>
  <c r="D83" i="62"/>
  <c r="F8" i="68"/>
  <c r="Q5" i="67"/>
  <c r="E53" i="63"/>
  <c r="E60" i="63" s="1"/>
  <c r="E64" i="62"/>
  <c r="E74" i="62" s="1"/>
  <c r="K11" i="51" l="1"/>
  <c r="K19" i="51"/>
  <c r="J23" i="51"/>
  <c r="J11" i="51"/>
  <c r="J19" i="51"/>
  <c r="K23" i="51"/>
  <c r="N44" i="62"/>
  <c r="N45" i="62" s="1"/>
  <c r="G17" i="6"/>
  <c r="F36" i="6"/>
  <c r="F37" i="6"/>
  <c r="K17" i="6"/>
  <c r="J36" i="6"/>
  <c r="J37" i="6"/>
  <c r="M17" i="6"/>
  <c r="L36" i="6"/>
  <c r="L37" i="6"/>
  <c r="B36" i="6"/>
  <c r="B37" i="6"/>
  <c r="G16" i="6"/>
  <c r="I17" i="6"/>
  <c r="H36" i="6"/>
  <c r="H37" i="6"/>
  <c r="E17" i="6"/>
  <c r="D36" i="6"/>
  <c r="D37" i="6"/>
  <c r="I47" i="46"/>
  <c r="I48" i="46"/>
  <c r="R18" i="46"/>
  <c r="Q18" i="46"/>
  <c r="M16" i="6"/>
  <c r="G48" i="46"/>
  <c r="K24" i="32"/>
  <c r="K22" i="51" s="1"/>
  <c r="K20" i="32"/>
  <c r="K18" i="51" s="1"/>
  <c r="Q47" i="46"/>
  <c r="C16" i="6"/>
  <c r="O15" i="6"/>
  <c r="K16" i="6"/>
  <c r="G47" i="46"/>
  <c r="H48" i="46"/>
  <c r="J24" i="32"/>
  <c r="J22" i="51" s="1"/>
  <c r="H18" i="46"/>
  <c r="G18" i="46"/>
  <c r="J28" i="32"/>
  <c r="J26" i="51" s="1"/>
  <c r="H17" i="46"/>
  <c r="G17" i="46"/>
  <c r="S17" i="46"/>
  <c r="S26" i="46" s="1"/>
  <c r="I16" i="6"/>
  <c r="Q17" i="46"/>
  <c r="E16" i="6"/>
  <c r="O16" i="6"/>
  <c r="C17" i="6"/>
  <c r="U16" i="29"/>
  <c r="K24" i="51"/>
  <c r="K32" i="51" s="1"/>
  <c r="K43" i="32"/>
  <c r="K34" i="32"/>
  <c r="J7" i="51"/>
  <c r="J42" i="32"/>
  <c r="K42" i="32"/>
  <c r="K7" i="51"/>
  <c r="K33" i="32"/>
  <c r="K45" i="32" s="1"/>
  <c r="J24" i="51"/>
  <c r="J32" i="51" s="1"/>
  <c r="J43" i="32"/>
  <c r="U17" i="29"/>
  <c r="J33" i="32"/>
  <c r="J45" i="32" s="1"/>
  <c r="J34" i="32"/>
  <c r="T28" i="67"/>
  <c r="T22" i="67"/>
  <c r="T17" i="67"/>
  <c r="C51" i="64"/>
  <c r="Y155" i="4" s="1"/>
  <c r="P155" i="4" s="1"/>
  <c r="N7" i="67"/>
  <c r="X12" i="67"/>
  <c r="E93" i="62"/>
  <c r="E83" i="62"/>
  <c r="G8" i="68"/>
  <c r="R5" i="67"/>
  <c r="F53" i="63"/>
  <c r="F60" i="63" s="1"/>
  <c r="F64" i="62"/>
  <c r="F74" i="62" s="1"/>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R94" i="4"/>
  <c r="R93" i="4"/>
  <c r="R92" i="4"/>
  <c r="R91" i="4"/>
  <c r="R90" i="4"/>
  <c r="R89" i="4"/>
  <c r="R88" i="4"/>
  <c r="R87" i="4"/>
  <c r="R86" i="4"/>
  <c r="R85" i="4"/>
  <c r="R84" i="4"/>
  <c r="R83" i="4"/>
  <c r="R105" i="4"/>
  <c r="R104" i="4"/>
  <c r="R103" i="4"/>
  <c r="R102" i="4"/>
  <c r="R101" i="4"/>
  <c r="R100" i="4"/>
  <c r="R99" i="4"/>
  <c r="R98" i="4"/>
  <c r="R97" i="4"/>
  <c r="R96" i="4"/>
  <c r="R95" i="4"/>
  <c r="R106" i="4"/>
  <c r="R82" i="4"/>
  <c r="R81" i="4"/>
  <c r="R80" i="4"/>
  <c r="R79" i="4"/>
  <c r="R78" i="4"/>
  <c r="R77" i="4"/>
  <c r="R76" i="4"/>
  <c r="R75" i="4"/>
  <c r="R74" i="4"/>
  <c r="R73" i="4"/>
  <c r="R72" i="4"/>
  <c r="R71" i="4"/>
  <c r="R70" i="4"/>
  <c r="R69" i="4"/>
  <c r="R68" i="4"/>
  <c r="R67" i="4"/>
  <c r="R66" i="4"/>
  <c r="R65" i="4"/>
  <c r="R64" i="4"/>
  <c r="R63" i="4"/>
  <c r="R62" i="4"/>
  <c r="R61" i="4"/>
  <c r="R60" i="4"/>
  <c r="R59" i="4"/>
  <c r="R58" i="4"/>
  <c r="R57" i="4"/>
  <c r="R56" i="4"/>
  <c r="R55" i="4"/>
  <c r="R54" i="4"/>
  <c r="R53" i="4"/>
  <c r="R52" i="4"/>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Q106" i="4"/>
  <c r="Q105" i="4"/>
  <c r="Q104" i="4"/>
  <c r="Q103" i="4"/>
  <c r="Q102" i="4"/>
  <c r="Q101" i="4"/>
  <c r="Q100" i="4"/>
  <c r="Q99" i="4"/>
  <c r="Q98" i="4"/>
  <c r="Q97" i="4"/>
  <c r="Q96" i="4"/>
  <c r="Q95" i="4"/>
  <c r="Q94" i="4"/>
  <c r="Q93" i="4"/>
  <c r="Q92" i="4"/>
  <c r="Q91" i="4"/>
  <c r="Q90" i="4"/>
  <c r="Q89" i="4"/>
  <c r="Q88" i="4"/>
  <c r="Q87" i="4"/>
  <c r="Q86" i="4"/>
  <c r="Q85" i="4"/>
  <c r="Q84" i="4"/>
  <c r="Q83" i="4"/>
  <c r="Q82" i="4"/>
  <c r="Q81" i="4"/>
  <c r="Q80" i="4"/>
  <c r="Q79" i="4"/>
  <c r="Q78" i="4"/>
  <c r="Q77" i="4"/>
  <c r="Q76" i="4"/>
  <c r="Q75" i="4"/>
  <c r="Q74" i="4"/>
  <c r="Q73" i="4"/>
  <c r="Q72" i="4"/>
  <c r="Q71" i="4"/>
  <c r="Q70" i="4"/>
  <c r="Q69" i="4"/>
  <c r="Q68" i="4"/>
  <c r="Q67" i="4"/>
  <c r="Q66" i="4"/>
  <c r="Q65" i="4"/>
  <c r="Q64" i="4"/>
  <c r="Q63" i="4"/>
  <c r="Q62" i="4"/>
  <c r="Q61" i="4"/>
  <c r="Q60" i="4"/>
  <c r="Q59" i="4"/>
  <c r="Q58" i="4"/>
  <c r="Q57" i="4"/>
  <c r="Q56" i="4"/>
  <c r="Q55" i="4"/>
  <c r="Q54" i="4"/>
  <c r="Q53" i="4"/>
  <c r="Q52" i="4"/>
  <c r="Q51" i="4"/>
  <c r="Q50" i="4"/>
  <c r="Q49" i="4"/>
  <c r="Q48" i="4"/>
  <c r="Q47" i="4"/>
  <c r="Q46" i="4"/>
  <c r="Q45" i="4"/>
  <c r="Q44" i="4"/>
  <c r="Q43" i="4"/>
  <c r="Q42" i="4"/>
  <c r="Q41" i="4"/>
  <c r="Q40" i="4"/>
  <c r="Q39" i="4"/>
  <c r="Q38" i="4"/>
  <c r="Q37" i="4"/>
  <c r="Q36" i="4"/>
  <c r="Q35" i="4"/>
  <c r="Q34" i="4"/>
  <c r="Q33" i="4"/>
  <c r="Q32" i="4"/>
  <c r="Q31" i="4"/>
  <c r="Q30" i="4"/>
  <c r="Q29" i="4"/>
  <c r="Q28" i="4"/>
  <c r="Q27" i="4"/>
  <c r="Q26" i="4"/>
  <c r="Q25" i="4"/>
  <c r="Q24" i="4"/>
  <c r="Q23" i="4"/>
  <c r="O106" i="4"/>
  <c r="O105" i="4"/>
  <c r="O104"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S21" i="4"/>
  <c r="K50" i="32" l="1"/>
  <c r="K49" i="32"/>
  <c r="K46" i="32"/>
  <c r="K47" i="32"/>
  <c r="K48" i="32"/>
  <c r="J46" i="32"/>
  <c r="J50" i="32"/>
  <c r="J49" i="32"/>
  <c r="J47" i="32"/>
  <c r="J48" i="32"/>
  <c r="K30" i="51"/>
  <c r="J41" i="32"/>
  <c r="K32" i="32"/>
  <c r="K41" i="32"/>
  <c r="J32" i="32"/>
  <c r="J30" i="51"/>
  <c r="K31" i="51"/>
  <c r="K34" i="51"/>
  <c r="L22" i="46"/>
  <c r="J31" i="51"/>
  <c r="J34" i="51"/>
  <c r="P16" i="6"/>
  <c r="P17" i="6"/>
  <c r="O144" i="4"/>
  <c r="O156" i="4" s="1"/>
  <c r="O145" i="4"/>
  <c r="O157" i="4" s="1"/>
  <c r="O146" i="4"/>
  <c r="O158" i="4" s="1"/>
  <c r="O148" i="4"/>
  <c r="O160" i="4" s="1"/>
  <c r="O149" i="4"/>
  <c r="O161" i="4" s="1"/>
  <c r="O150" i="4"/>
  <c r="O162" i="4" s="1"/>
  <c r="O140" i="4"/>
  <c r="O152" i="4" s="1"/>
  <c r="O139" i="4"/>
  <c r="O151" i="4" s="1"/>
  <c r="O141" i="4"/>
  <c r="O153" i="4" s="1"/>
  <c r="O142" i="4"/>
  <c r="O154" i="4" s="1"/>
  <c r="O143" i="4"/>
  <c r="O155" i="4" s="1"/>
  <c r="O147" i="4"/>
  <c r="O159" i="4" s="1"/>
  <c r="U28" i="67"/>
  <c r="U22" i="67"/>
  <c r="D51" i="64"/>
  <c r="Y156" i="4" s="1"/>
  <c r="O7" i="67"/>
  <c r="Y12" i="67"/>
  <c r="O44" i="64"/>
  <c r="D27" i="6" s="1"/>
  <c r="U17" i="67"/>
  <c r="F83" i="62"/>
  <c r="F93" i="62"/>
  <c r="H8" i="68"/>
  <c r="S5" i="67"/>
  <c r="G53" i="63"/>
  <c r="G60" i="63" s="1"/>
  <c r="G64" i="62"/>
  <c r="G74" i="62" s="1"/>
  <c r="R108" i="4"/>
  <c r="R116" i="4"/>
  <c r="R110" i="4"/>
  <c r="R114" i="4"/>
  <c r="R118" i="4"/>
  <c r="R112" i="4"/>
  <c r="R107" i="4"/>
  <c r="R111" i="4"/>
  <c r="R115" i="4"/>
  <c r="R109" i="4"/>
  <c r="R113" i="4"/>
  <c r="R117" i="4"/>
  <c r="N106" i="4"/>
  <c r="N105" i="4"/>
  <c r="N104" i="4"/>
  <c r="N103" i="4"/>
  <c r="N102" i="4"/>
  <c r="N101" i="4"/>
  <c r="N100" i="4"/>
  <c r="N99" i="4"/>
  <c r="N98" i="4"/>
  <c r="N97" i="4"/>
  <c r="N96" i="4"/>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161" i="4" l="1"/>
  <c r="N157" i="4"/>
  <c r="N165" i="4"/>
  <c r="M162" i="4"/>
  <c r="M174" i="4" s="1"/>
  <c r="N158" i="4"/>
  <c r="N166" i="4"/>
  <c r="M163" i="4"/>
  <c r="M175" i="4" s="1"/>
  <c r="M156" i="4"/>
  <c r="M168" i="4" s="1"/>
  <c r="M164" i="4"/>
  <c r="M176" i="4" s="1"/>
  <c r="N160" i="4"/>
  <c r="N172" i="4" s="1"/>
  <c r="M155" i="4"/>
  <c r="M167" i="4" s="1"/>
  <c r="N159" i="4"/>
  <c r="N171" i="4" s="1"/>
  <c r="M160" i="4"/>
  <c r="M172" i="4" s="1"/>
  <c r="N156" i="4"/>
  <c r="N168" i="4" s="1"/>
  <c r="N164" i="4"/>
  <c r="N176" i="4" s="1"/>
  <c r="P22" i="29"/>
  <c r="N12" i="32" s="1"/>
  <c r="M158" i="4"/>
  <c r="M170" i="4" s="1"/>
  <c r="N162" i="4"/>
  <c r="M157" i="4"/>
  <c r="M165" i="4"/>
  <c r="M177" i="4" s="1"/>
  <c r="N161" i="4"/>
  <c r="N173" i="4" s="1"/>
  <c r="M166" i="4"/>
  <c r="M178" i="4" s="1"/>
  <c r="M159" i="4"/>
  <c r="M171" i="4" s="1"/>
  <c r="N155" i="4"/>
  <c r="N167" i="4" s="1"/>
  <c r="N163" i="4"/>
  <c r="N175" i="4" s="1"/>
  <c r="N174" i="4"/>
  <c r="M169" i="4"/>
  <c r="N169" i="4"/>
  <c r="N170" i="4"/>
  <c r="N178" i="4"/>
  <c r="M173" i="4"/>
  <c r="N177" i="4"/>
  <c r="O165" i="4"/>
  <c r="R125" i="4"/>
  <c r="R122" i="4"/>
  <c r="R121" i="4"/>
  <c r="R128" i="4"/>
  <c r="O166" i="4"/>
  <c r="R127" i="4"/>
  <c r="R120" i="4"/>
  <c r="R123" i="4"/>
  <c r="R119" i="4"/>
  <c r="R124" i="4"/>
  <c r="R130" i="4"/>
  <c r="R129" i="4"/>
  <c r="R126" i="4"/>
  <c r="O164" i="4"/>
  <c r="O163" i="4"/>
  <c r="N22" i="29"/>
  <c r="U21" i="29"/>
  <c r="V28" i="67"/>
  <c r="V22" i="67"/>
  <c r="E51" i="64"/>
  <c r="Y157" i="4" s="1"/>
  <c r="P7" i="67"/>
  <c r="V17" i="67"/>
  <c r="G83" i="62"/>
  <c r="G93" i="62"/>
  <c r="I8" i="68"/>
  <c r="T5" i="67"/>
  <c r="H53" i="63"/>
  <c r="H60" i="63" s="1"/>
  <c r="H64" i="62"/>
  <c r="H74" i="62" s="1"/>
  <c r="U22" i="29" l="1"/>
  <c r="N23" i="29"/>
  <c r="R138" i="4"/>
  <c r="R135" i="4"/>
  <c r="R139" i="4"/>
  <c r="R141" i="4"/>
  <c r="R142" i="4"/>
  <c r="R136" i="4"/>
  <c r="R140" i="4"/>
  <c r="U140" i="4" s="1"/>
  <c r="R134" i="4"/>
  <c r="U134" i="4" s="1"/>
  <c r="W134" i="4" s="1"/>
  <c r="X134" i="4" s="1"/>
  <c r="R131" i="4"/>
  <c r="R132" i="4"/>
  <c r="R133" i="4"/>
  <c r="R137" i="4"/>
  <c r="U135" i="4"/>
  <c r="W135" i="4" s="1"/>
  <c r="X135" i="4" s="1"/>
  <c r="U133" i="4"/>
  <c r="W133" i="4" s="1"/>
  <c r="X133" i="4" s="1"/>
  <c r="W28" i="67"/>
  <c r="W22" i="67"/>
  <c r="W17" i="67"/>
  <c r="F51" i="64"/>
  <c r="Y158" i="4" s="1"/>
  <c r="Q7" i="67"/>
  <c r="H93" i="62"/>
  <c r="H83" i="62"/>
  <c r="J8" i="68"/>
  <c r="U5" i="67"/>
  <c r="I53" i="63"/>
  <c r="I60" i="63" s="1"/>
  <c r="I64" i="62"/>
  <c r="I74" i="62" s="1"/>
  <c r="U139" i="4" l="1"/>
  <c r="U23" i="29"/>
  <c r="U132" i="4"/>
  <c r="W132" i="4" s="1"/>
  <c r="X132" i="4" s="1"/>
  <c r="U136" i="4"/>
  <c r="W136" i="4" s="1"/>
  <c r="X136" i="4" s="1"/>
  <c r="U137" i="4"/>
  <c r="W137" i="4" s="1"/>
  <c r="X137" i="4" s="1"/>
  <c r="U131" i="4"/>
  <c r="W131" i="4" s="1"/>
  <c r="X131" i="4" s="1"/>
  <c r="U138" i="4"/>
  <c r="W138" i="4" s="1"/>
  <c r="X138" i="4" s="1"/>
  <c r="R146" i="4"/>
  <c r="R153" i="4"/>
  <c r="R145" i="4"/>
  <c r="R152" i="4"/>
  <c r="R151" i="4"/>
  <c r="U141" i="4"/>
  <c r="R144" i="4"/>
  <c r="R148" i="4"/>
  <c r="R147" i="4"/>
  <c r="R149" i="4"/>
  <c r="R143" i="4"/>
  <c r="R154" i="4"/>
  <c r="R150" i="4"/>
  <c r="X28" i="67"/>
  <c r="X22" i="67"/>
  <c r="G51" i="64"/>
  <c r="Y159" i="4" s="1"/>
  <c r="R7" i="67"/>
  <c r="X17" i="67"/>
  <c r="I83" i="62"/>
  <c r="I93" i="62"/>
  <c r="K8" i="68"/>
  <c r="V5" i="67"/>
  <c r="J53" i="63"/>
  <c r="J60" i="63" s="1"/>
  <c r="J64" i="62"/>
  <c r="J74" i="62" s="1"/>
  <c r="R163" i="4" l="1"/>
  <c r="R175" i="4" s="1"/>
  <c r="R166" i="4"/>
  <c r="R178" i="4" s="1"/>
  <c r="R162" i="4"/>
  <c r="R174" i="4" s="1"/>
  <c r="R164" i="4"/>
  <c r="R176" i="4" s="1"/>
  <c r="R165" i="4"/>
  <c r="R177" i="4" s="1"/>
  <c r="O58" i="64"/>
  <c r="F28" i="6" s="1"/>
  <c r="P54" i="46" s="1"/>
  <c r="L54" i="46" s="1"/>
  <c r="C61" i="64"/>
  <c r="C63" i="64"/>
  <c r="Y167" i="4" s="1"/>
  <c r="P167" i="4" s="1"/>
  <c r="R157" i="4"/>
  <c r="R169" i="4" s="1"/>
  <c r="U145" i="4"/>
  <c r="R159" i="4"/>
  <c r="R171" i="4" s="1"/>
  <c r="U147" i="4"/>
  <c r="R160" i="4"/>
  <c r="R172" i="4" s="1"/>
  <c r="U148" i="4"/>
  <c r="R156" i="4"/>
  <c r="R168" i="4" s="1"/>
  <c r="U144" i="4"/>
  <c r="R161" i="4"/>
  <c r="R173" i="4" s="1"/>
  <c r="U149" i="4"/>
  <c r="R155" i="4"/>
  <c r="R167" i="4" s="1"/>
  <c r="U143" i="4"/>
  <c r="R158" i="4"/>
  <c r="R170" i="4" s="1"/>
  <c r="U146" i="4"/>
  <c r="Y28" i="67"/>
  <c r="O47" i="64"/>
  <c r="J27" i="6" s="1"/>
  <c r="Y22" i="67"/>
  <c r="O46" i="64"/>
  <c r="Y17" i="67"/>
  <c r="O45" i="64"/>
  <c r="S7" i="67"/>
  <c r="H51" i="64"/>
  <c r="Y160" i="4" s="1"/>
  <c r="J93" i="62"/>
  <c r="J83" i="62"/>
  <c r="L8" i="68"/>
  <c r="W5" i="67"/>
  <c r="K53" i="63"/>
  <c r="K60" i="63" s="1"/>
  <c r="K64" i="62"/>
  <c r="K74" i="62" s="1"/>
  <c r="K167" i="30"/>
  <c r="H8" i="6" s="1"/>
  <c r="V92" i="30"/>
  <c r="X92" i="30" s="1"/>
  <c r="V90" i="30"/>
  <c r="J58" i="52" s="1"/>
  <c r="P103" i="4" s="1"/>
  <c r="V88" i="30"/>
  <c r="X88" i="30" s="1"/>
  <c r="V86" i="30"/>
  <c r="X86" i="30" s="1"/>
  <c r="V84" i="30"/>
  <c r="X84" i="30" s="1"/>
  <c r="V80" i="30"/>
  <c r="L57" i="52" s="1"/>
  <c r="P93" i="4" s="1"/>
  <c r="V78" i="30"/>
  <c r="X78" i="30" s="1"/>
  <c r="V76" i="30"/>
  <c r="H57" i="52" s="1"/>
  <c r="P89" i="4" s="1"/>
  <c r="V74" i="30"/>
  <c r="X74" i="30" s="1"/>
  <c r="V72" i="30"/>
  <c r="D57" i="52" s="1"/>
  <c r="P85" i="4" s="1"/>
  <c r="V68" i="30"/>
  <c r="L56" i="52" s="1"/>
  <c r="P81" i="4" s="1"/>
  <c r="V66" i="30"/>
  <c r="J56" i="52" s="1"/>
  <c r="P79" i="4" s="1"/>
  <c r="V64" i="30"/>
  <c r="X64" i="30" s="1"/>
  <c r="V62" i="30"/>
  <c r="F56" i="52" s="1"/>
  <c r="P75" i="4" s="1"/>
  <c r="V60" i="30"/>
  <c r="D56" i="52" s="1"/>
  <c r="P73" i="4" s="1"/>
  <c r="V56" i="30"/>
  <c r="L55" i="52" s="1"/>
  <c r="P69" i="4" s="1"/>
  <c r="V54" i="30"/>
  <c r="J55" i="52" s="1"/>
  <c r="P67" i="4" s="1"/>
  <c r="V52" i="30"/>
  <c r="X52" i="30" s="1"/>
  <c r="V50" i="30"/>
  <c r="F55" i="52" s="1"/>
  <c r="P63" i="4" s="1"/>
  <c r="V48" i="30"/>
  <c r="X48" i="30" s="1"/>
  <c r="V44" i="30"/>
  <c r="L54" i="52" s="1"/>
  <c r="P57" i="4" s="1"/>
  <c r="V42" i="30"/>
  <c r="X42" i="30" s="1"/>
  <c r="V40" i="30"/>
  <c r="H54" i="52" s="1"/>
  <c r="P53" i="4" s="1"/>
  <c r="V38" i="30"/>
  <c r="X38" i="30" s="1"/>
  <c r="V36" i="30"/>
  <c r="D54" i="52" s="1"/>
  <c r="P49" i="4" s="1"/>
  <c r="V32" i="30"/>
  <c r="X32" i="30" s="1"/>
  <c r="V30" i="30"/>
  <c r="X30" i="30" s="1"/>
  <c r="V28" i="30"/>
  <c r="X28" i="30" s="1"/>
  <c r="V26" i="30"/>
  <c r="F53" i="52" s="1"/>
  <c r="P39" i="4" s="1"/>
  <c r="V24" i="30"/>
  <c r="X24" i="30" s="1"/>
  <c r="V20" i="30"/>
  <c r="X20" i="30" s="1"/>
  <c r="V18" i="30"/>
  <c r="X18" i="30" s="1"/>
  <c r="V16" i="30"/>
  <c r="H52" i="52" s="1"/>
  <c r="P29" i="4" s="1"/>
  <c r="V14" i="30"/>
  <c r="X14" i="30" s="1"/>
  <c r="V12" i="30"/>
  <c r="D52" i="52" s="1"/>
  <c r="P25" i="4" s="1"/>
  <c r="M9" i="6"/>
  <c r="M13" i="6"/>
  <c r="M10" i="6"/>
  <c r="M14" i="6"/>
  <c r="M12" i="6"/>
  <c r="M11" i="6"/>
  <c r="C167" i="30"/>
  <c r="E167" i="30"/>
  <c r="I167" i="30"/>
  <c r="O167" i="30"/>
  <c r="G171" i="30"/>
  <c r="L44" i="46" s="1"/>
  <c r="N44" i="46" s="1"/>
  <c r="V82" i="30"/>
  <c r="B58" i="52" s="1"/>
  <c r="P95" i="4" s="1"/>
  <c r="D173" i="30"/>
  <c r="B14" i="6" s="1"/>
  <c r="V70" i="30"/>
  <c r="B57" i="52" s="1"/>
  <c r="P83" i="4" s="1"/>
  <c r="D172" i="30"/>
  <c r="B13" i="6" s="1"/>
  <c r="V58" i="30"/>
  <c r="B56" i="52" s="1"/>
  <c r="P71" i="4" s="1"/>
  <c r="D171" i="30"/>
  <c r="B12" i="6" s="1"/>
  <c r="V22" i="30"/>
  <c r="X22" i="30" s="1"/>
  <c r="D168" i="30"/>
  <c r="B9" i="6" s="1"/>
  <c r="H173" i="30"/>
  <c r="H172" i="30"/>
  <c r="H169" i="30"/>
  <c r="K173" i="30"/>
  <c r="K171" i="30"/>
  <c r="Q172" i="30"/>
  <c r="Q170" i="30"/>
  <c r="Q169" i="30"/>
  <c r="Q168" i="30"/>
  <c r="C172" i="30"/>
  <c r="C171" i="30"/>
  <c r="C170" i="30"/>
  <c r="C168" i="30"/>
  <c r="F167" i="30"/>
  <c r="D8" i="6" s="1"/>
  <c r="G173" i="30"/>
  <c r="L46" i="46" s="1"/>
  <c r="N46" i="46" s="1"/>
  <c r="G172" i="30"/>
  <c r="L45" i="46" s="1"/>
  <c r="N45" i="46" s="1"/>
  <c r="G170" i="30"/>
  <c r="L43" i="46" s="1"/>
  <c r="N43" i="46" s="1"/>
  <c r="J173" i="30"/>
  <c r="J172" i="30"/>
  <c r="J168" i="30"/>
  <c r="P172" i="30"/>
  <c r="E45" i="46" s="1"/>
  <c r="P171" i="30"/>
  <c r="E44" i="46" s="1"/>
  <c r="G167" i="30"/>
  <c r="F173" i="30"/>
  <c r="F172" i="30"/>
  <c r="F171" i="30"/>
  <c r="F170" i="30"/>
  <c r="F169" i="30"/>
  <c r="F168" i="30"/>
  <c r="I173" i="30"/>
  <c r="I172" i="30"/>
  <c r="I171" i="30"/>
  <c r="I170" i="30"/>
  <c r="I169" i="30"/>
  <c r="I168" i="30"/>
  <c r="Q167" i="30"/>
  <c r="J8" i="6" s="1"/>
  <c r="O173" i="30"/>
  <c r="B46" i="46" s="1"/>
  <c r="D46" i="46" s="1"/>
  <c r="O172" i="30"/>
  <c r="B45" i="46" s="1"/>
  <c r="D45" i="46" s="1"/>
  <c r="O171" i="30"/>
  <c r="B44" i="46" s="1"/>
  <c r="D44" i="46" s="1"/>
  <c r="O170" i="30"/>
  <c r="B43" i="46" s="1"/>
  <c r="D43" i="46" s="1"/>
  <c r="O169" i="30"/>
  <c r="B42" i="46" s="1"/>
  <c r="D42" i="46" s="1"/>
  <c r="O168" i="30"/>
  <c r="B41" i="46" s="1"/>
  <c r="D41" i="46" s="1"/>
  <c r="V46" i="30"/>
  <c r="X46" i="30" s="1"/>
  <c r="D170" i="30"/>
  <c r="B11" i="6" s="1"/>
  <c r="C12" i="6" s="1"/>
  <c r="V34" i="30"/>
  <c r="X34" i="30" s="1"/>
  <c r="D169" i="30"/>
  <c r="B10" i="6" s="1"/>
  <c r="H171" i="30"/>
  <c r="H170" i="30"/>
  <c r="H168" i="30"/>
  <c r="K172" i="30"/>
  <c r="K170" i="30"/>
  <c r="K169" i="30"/>
  <c r="K168" i="30"/>
  <c r="Q173" i="30"/>
  <c r="Q171" i="30"/>
  <c r="V10" i="30"/>
  <c r="D167" i="30"/>
  <c r="B8" i="6" s="1"/>
  <c r="C169" i="30"/>
  <c r="V169" i="30" s="1"/>
  <c r="G169" i="30"/>
  <c r="L42" i="46" s="1"/>
  <c r="N42" i="46" s="1"/>
  <c r="G168" i="30"/>
  <c r="L41" i="46" s="1"/>
  <c r="N41" i="46" s="1"/>
  <c r="J167" i="30"/>
  <c r="J171" i="30"/>
  <c r="J170" i="30"/>
  <c r="J169" i="30"/>
  <c r="P167" i="30"/>
  <c r="P173" i="30"/>
  <c r="E46" i="46" s="1"/>
  <c r="P170" i="30"/>
  <c r="E43" i="46" s="1"/>
  <c r="P169" i="30"/>
  <c r="E42" i="46" s="1"/>
  <c r="P168" i="30"/>
  <c r="E41" i="46" s="1"/>
  <c r="H167" i="30"/>
  <c r="F8" i="6" s="1"/>
  <c r="E173" i="30"/>
  <c r="K15" i="29" s="1"/>
  <c r="N15" i="29" s="1"/>
  <c r="E172" i="30"/>
  <c r="K14" i="29" s="1"/>
  <c r="N14" i="29" s="1"/>
  <c r="E171" i="30"/>
  <c r="K13" i="29" s="1"/>
  <c r="N13" i="29" s="1"/>
  <c r="E170" i="30"/>
  <c r="K12" i="29" s="1"/>
  <c r="N12" i="29" s="1"/>
  <c r="E169" i="30"/>
  <c r="K11" i="29" s="1"/>
  <c r="N11" i="29" s="1"/>
  <c r="E168" i="30"/>
  <c r="K10" i="29" s="1"/>
  <c r="N10" i="29" s="1"/>
  <c r="V93" i="30"/>
  <c r="V91" i="30"/>
  <c r="V89" i="30"/>
  <c r="V87" i="30"/>
  <c r="V85" i="30"/>
  <c r="V83" i="30"/>
  <c r="V81" i="30"/>
  <c r="V79" i="30"/>
  <c r="V77" i="30"/>
  <c r="V75" i="30"/>
  <c r="V73" i="30"/>
  <c r="V71" i="30"/>
  <c r="V69" i="30"/>
  <c r="V67" i="30"/>
  <c r="V65" i="30"/>
  <c r="V63" i="30"/>
  <c r="V61" i="30"/>
  <c r="V59" i="30"/>
  <c r="V57" i="30"/>
  <c r="V55" i="30"/>
  <c r="V53" i="30"/>
  <c r="V51" i="30"/>
  <c r="V49" i="30"/>
  <c r="V47" i="30"/>
  <c r="V45" i="30"/>
  <c r="V43" i="30"/>
  <c r="V41" i="30"/>
  <c r="V39" i="30"/>
  <c r="V37" i="30"/>
  <c r="V35" i="30"/>
  <c r="V33" i="30"/>
  <c r="V31" i="30"/>
  <c r="V29" i="30"/>
  <c r="V27" i="30"/>
  <c r="V25" i="30"/>
  <c r="V23" i="30"/>
  <c r="V21" i="30"/>
  <c r="V19" i="30"/>
  <c r="V17" i="30"/>
  <c r="V15" i="30"/>
  <c r="V13" i="30"/>
  <c r="V11" i="30"/>
  <c r="B41" i="42"/>
  <c r="A40" i="42"/>
  <c r="A39" i="42"/>
  <c r="A38" i="42"/>
  <c r="A37" i="42"/>
  <c r="A36" i="42"/>
  <c r="A35" i="42"/>
  <c r="C15" i="6" l="1"/>
  <c r="B35" i="6"/>
  <c r="V168" i="30"/>
  <c r="U167" i="4"/>
  <c r="V170" i="30"/>
  <c r="V167" i="30"/>
  <c r="V171" i="30"/>
  <c r="V172" i="30"/>
  <c r="V173" i="30"/>
  <c r="F53" i="46"/>
  <c r="N24" i="32" s="1"/>
  <c r="O20" i="32"/>
  <c r="N54" i="46"/>
  <c r="O59" i="64"/>
  <c r="J28" i="6" s="1"/>
  <c r="H27" i="6"/>
  <c r="D61" i="64"/>
  <c r="D63" i="64"/>
  <c r="Y168" i="4" s="1"/>
  <c r="P168" i="4" s="1"/>
  <c r="U168" i="4" s="1"/>
  <c r="F27" i="6"/>
  <c r="C11" i="6"/>
  <c r="F9" i="6"/>
  <c r="G9" i="6" s="1"/>
  <c r="P41" i="46"/>
  <c r="Q41" i="46" s="1"/>
  <c r="P14" i="29"/>
  <c r="D13" i="6"/>
  <c r="J9" i="6"/>
  <c r="F41" i="46"/>
  <c r="G41" i="46" s="1"/>
  <c r="F13" i="6"/>
  <c r="P45" i="46"/>
  <c r="Q45" i="46" s="1"/>
  <c r="C14" i="6"/>
  <c r="P44" i="46"/>
  <c r="Q44" i="46" s="1"/>
  <c r="F12" i="6"/>
  <c r="J12" i="6"/>
  <c r="F44" i="46"/>
  <c r="G44" i="46" s="1"/>
  <c r="P43" i="46"/>
  <c r="Q43" i="46" s="1"/>
  <c r="F11" i="6"/>
  <c r="P15" i="29"/>
  <c r="D14" i="6"/>
  <c r="J10" i="6"/>
  <c r="F42" i="46"/>
  <c r="G42" i="46" s="1"/>
  <c r="F14" i="6"/>
  <c r="P46" i="46"/>
  <c r="Q46" i="46" s="1"/>
  <c r="J11" i="6"/>
  <c r="F43" i="46"/>
  <c r="H43" i="46" s="1"/>
  <c r="F45" i="46"/>
  <c r="G45" i="46" s="1"/>
  <c r="J13" i="6"/>
  <c r="H9" i="6"/>
  <c r="I9" i="6" s="1"/>
  <c r="F11" i="46"/>
  <c r="D9" i="6"/>
  <c r="E9" i="6" s="1"/>
  <c r="P10" i="29"/>
  <c r="F14" i="46"/>
  <c r="H12" i="6"/>
  <c r="C10" i="6"/>
  <c r="F12" i="46"/>
  <c r="H10" i="6"/>
  <c r="D10" i="6"/>
  <c r="P11" i="29"/>
  <c r="F16" i="46"/>
  <c r="I16" i="32" s="1"/>
  <c r="H14" i="6"/>
  <c r="H11" i="6"/>
  <c r="F13" i="46"/>
  <c r="D11" i="6"/>
  <c r="P12" i="29"/>
  <c r="C13" i="6"/>
  <c r="F46" i="46"/>
  <c r="G46" i="46" s="1"/>
  <c r="J14" i="6"/>
  <c r="F15" i="46"/>
  <c r="H13" i="6"/>
  <c r="P13" i="29"/>
  <c r="D12" i="6"/>
  <c r="E12" i="6" s="1"/>
  <c r="P42" i="46"/>
  <c r="Q42" i="46" s="1"/>
  <c r="F10" i="6"/>
  <c r="H44" i="46"/>
  <c r="H42" i="46"/>
  <c r="M20" i="6"/>
  <c r="L22" i="6" s="1"/>
  <c r="L58" i="52"/>
  <c r="P105" i="4" s="1"/>
  <c r="X10" i="30"/>
  <c r="U29" i="4"/>
  <c r="U39" i="4"/>
  <c r="U49" i="4"/>
  <c r="U57" i="4"/>
  <c r="U67" i="4"/>
  <c r="U83" i="4"/>
  <c r="U69" i="4"/>
  <c r="U79" i="4"/>
  <c r="U89" i="4"/>
  <c r="U25" i="4"/>
  <c r="U53" i="4"/>
  <c r="U63" i="4"/>
  <c r="U73" i="4"/>
  <c r="U81" i="4"/>
  <c r="X16" i="30"/>
  <c r="U71" i="4"/>
  <c r="U95" i="4"/>
  <c r="U75" i="4"/>
  <c r="U85" i="4"/>
  <c r="U93" i="4"/>
  <c r="U103" i="4"/>
  <c r="I51" i="64"/>
  <c r="Y161" i="4" s="1"/>
  <c r="T7" i="67"/>
  <c r="X54" i="30"/>
  <c r="K93" i="62"/>
  <c r="K83" i="62"/>
  <c r="M8" i="68"/>
  <c r="X5" i="67"/>
  <c r="L53" i="63"/>
  <c r="L60" i="63" s="1"/>
  <c r="L64" i="62"/>
  <c r="L74" i="62" s="1"/>
  <c r="F57" i="52"/>
  <c r="P87" i="4" s="1"/>
  <c r="X36" i="30"/>
  <c r="X44" i="30"/>
  <c r="D58" i="52"/>
  <c r="P97" i="4" s="1"/>
  <c r="X26" i="30"/>
  <c r="H56" i="52"/>
  <c r="P77" i="4" s="1"/>
  <c r="F54" i="52"/>
  <c r="P51" i="4" s="1"/>
  <c r="X76" i="30"/>
  <c r="D55" i="52"/>
  <c r="P61" i="4" s="1"/>
  <c r="F58" i="52"/>
  <c r="P99" i="4" s="1"/>
  <c r="X56" i="30"/>
  <c r="H58" i="52"/>
  <c r="P101" i="4" s="1"/>
  <c r="L52" i="52"/>
  <c r="P33" i="4" s="1"/>
  <c r="X12" i="30"/>
  <c r="J52" i="52"/>
  <c r="P31" i="4" s="1"/>
  <c r="H53" i="52"/>
  <c r="P41" i="4" s="1"/>
  <c r="X66" i="30"/>
  <c r="X50" i="30"/>
  <c r="X60" i="30"/>
  <c r="X68" i="30"/>
  <c r="X40" i="30"/>
  <c r="J57" i="52"/>
  <c r="P91" i="4" s="1"/>
  <c r="J53" i="52"/>
  <c r="P43" i="4" s="1"/>
  <c r="F52" i="52"/>
  <c r="P27" i="4" s="1"/>
  <c r="D53" i="52"/>
  <c r="P37" i="4" s="1"/>
  <c r="L53" i="52"/>
  <c r="P45" i="4" s="1"/>
  <c r="J54" i="52"/>
  <c r="P55" i="4" s="1"/>
  <c r="H55" i="52"/>
  <c r="P65" i="4" s="1"/>
  <c r="X62" i="30"/>
  <c r="X72" i="30"/>
  <c r="X80" i="30"/>
  <c r="X90" i="30"/>
  <c r="B55" i="52"/>
  <c r="P59" i="4" s="1"/>
  <c r="X58" i="30"/>
  <c r="D13" i="32"/>
  <c r="H13" i="32"/>
  <c r="G9" i="29"/>
  <c r="G12" i="29"/>
  <c r="F40" i="46"/>
  <c r="B14" i="29"/>
  <c r="H9" i="32" s="1"/>
  <c r="X82" i="30"/>
  <c r="E13" i="32"/>
  <c r="I13" i="32"/>
  <c r="L40" i="46"/>
  <c r="B10" i="29"/>
  <c r="D9" i="32" s="1"/>
  <c r="G10" i="29"/>
  <c r="G14" i="29"/>
  <c r="B52" i="52"/>
  <c r="P23" i="4" s="1"/>
  <c r="F13" i="32"/>
  <c r="P40" i="46"/>
  <c r="B11" i="29"/>
  <c r="E9" i="32" s="1"/>
  <c r="G11" i="29"/>
  <c r="B12" i="29"/>
  <c r="F9" i="32" s="1"/>
  <c r="K9" i="29"/>
  <c r="C13" i="32" s="1"/>
  <c r="G13" i="32"/>
  <c r="E40" i="46"/>
  <c r="B15" i="29"/>
  <c r="I9" i="32" s="1"/>
  <c r="F10" i="46"/>
  <c r="P9" i="29"/>
  <c r="B13" i="29"/>
  <c r="G9" i="32" s="1"/>
  <c r="G13" i="29"/>
  <c r="G15" i="29"/>
  <c r="B40" i="46"/>
  <c r="B9" i="29"/>
  <c r="C9" i="32" s="1"/>
  <c r="B53" i="52"/>
  <c r="P35" i="4" s="1"/>
  <c r="B54" i="52"/>
  <c r="P47" i="4" s="1"/>
  <c r="X70" i="30"/>
  <c r="X15" i="30"/>
  <c r="G52" i="52"/>
  <c r="P28" i="4" s="1"/>
  <c r="X23" i="30"/>
  <c r="C53" i="52"/>
  <c r="P36" i="4" s="1"/>
  <c r="X31" i="30"/>
  <c r="K53" i="52"/>
  <c r="P44" i="4" s="1"/>
  <c r="G54" i="52"/>
  <c r="P52" i="4" s="1"/>
  <c r="X39" i="30"/>
  <c r="C55" i="52"/>
  <c r="P60" i="4" s="1"/>
  <c r="X47" i="30"/>
  <c r="K55" i="52"/>
  <c r="P68" i="4" s="1"/>
  <c r="X55" i="30"/>
  <c r="G56" i="52"/>
  <c r="P76" i="4" s="1"/>
  <c r="X63" i="30"/>
  <c r="C57" i="52"/>
  <c r="P84" i="4" s="1"/>
  <c r="X71" i="30"/>
  <c r="K57" i="52"/>
  <c r="P92" i="4" s="1"/>
  <c r="X79" i="30"/>
  <c r="G58" i="52"/>
  <c r="P100" i="4" s="1"/>
  <c r="X87" i="30"/>
  <c r="X17" i="30"/>
  <c r="I52" i="52"/>
  <c r="P30" i="4" s="1"/>
  <c r="X25" i="30"/>
  <c r="E53" i="52"/>
  <c r="P38" i="4" s="1"/>
  <c r="M53" i="52"/>
  <c r="P46" i="4" s="1"/>
  <c r="X33" i="30"/>
  <c r="I54" i="52"/>
  <c r="P54" i="4" s="1"/>
  <c r="X41" i="30"/>
  <c r="E55" i="52"/>
  <c r="P62" i="4" s="1"/>
  <c r="X49" i="30"/>
  <c r="M55" i="52"/>
  <c r="P70" i="4" s="1"/>
  <c r="X57" i="30"/>
  <c r="I56" i="52"/>
  <c r="P78" i="4" s="1"/>
  <c r="X65" i="30"/>
  <c r="E57" i="52"/>
  <c r="P86" i="4" s="1"/>
  <c r="X73" i="30"/>
  <c r="M57" i="52"/>
  <c r="P94" i="4" s="1"/>
  <c r="X81" i="30"/>
  <c r="I58" i="52"/>
  <c r="P102" i="4" s="1"/>
  <c r="X89" i="30"/>
  <c r="O8" i="6"/>
  <c r="C9" i="6"/>
  <c r="X11" i="30"/>
  <c r="C52" i="52"/>
  <c r="P24" i="4" s="1"/>
  <c r="X19" i="30"/>
  <c r="K52" i="52"/>
  <c r="P32" i="4" s="1"/>
  <c r="X27" i="30"/>
  <c r="G53" i="52"/>
  <c r="P40" i="4" s="1"/>
  <c r="C54" i="52"/>
  <c r="P48" i="4" s="1"/>
  <c r="X35" i="30"/>
  <c r="K54" i="52"/>
  <c r="P56" i="4" s="1"/>
  <c r="X43" i="30"/>
  <c r="G55" i="52"/>
  <c r="P64" i="4" s="1"/>
  <c r="X51" i="30"/>
  <c r="C56" i="52"/>
  <c r="P72" i="4" s="1"/>
  <c r="X59" i="30"/>
  <c r="K56" i="52"/>
  <c r="P80" i="4" s="1"/>
  <c r="X67" i="30"/>
  <c r="G57" i="52"/>
  <c r="P88" i="4" s="1"/>
  <c r="X75" i="30"/>
  <c r="C58" i="52"/>
  <c r="P96" i="4" s="1"/>
  <c r="X83" i="30"/>
  <c r="K58" i="52"/>
  <c r="P104" i="4" s="1"/>
  <c r="X91" i="30"/>
  <c r="X13" i="30"/>
  <c r="E52" i="52"/>
  <c r="P26" i="4" s="1"/>
  <c r="X21" i="30"/>
  <c r="M52" i="52"/>
  <c r="P34" i="4" s="1"/>
  <c r="X29" i="30"/>
  <c r="I53" i="52"/>
  <c r="P42" i="4" s="1"/>
  <c r="E54" i="52"/>
  <c r="P50" i="4" s="1"/>
  <c r="X37" i="30"/>
  <c r="M54" i="52"/>
  <c r="P58" i="4" s="1"/>
  <c r="X45" i="30"/>
  <c r="I55" i="52"/>
  <c r="P66" i="4" s="1"/>
  <c r="X53" i="30"/>
  <c r="E56" i="52"/>
  <c r="P74" i="4" s="1"/>
  <c r="X61" i="30"/>
  <c r="M56" i="52"/>
  <c r="P82" i="4" s="1"/>
  <c r="X69" i="30"/>
  <c r="I57" i="52"/>
  <c r="P90" i="4" s="1"/>
  <c r="X77" i="30"/>
  <c r="E58" i="52"/>
  <c r="P98" i="4" s="1"/>
  <c r="X85" i="30"/>
  <c r="M58" i="52"/>
  <c r="P106" i="4" s="1"/>
  <c r="X93" i="30"/>
  <c r="H28" i="42"/>
  <c r="H27" i="42"/>
  <c r="K15" i="6" l="1"/>
  <c r="J35" i="6"/>
  <c r="G15" i="6"/>
  <c r="F35" i="6"/>
  <c r="F23" i="46"/>
  <c r="N16" i="32" s="1"/>
  <c r="E15" i="6"/>
  <c r="D35" i="6"/>
  <c r="G12" i="6"/>
  <c r="P53" i="46"/>
  <c r="G27" i="6"/>
  <c r="I15" i="6"/>
  <c r="H35" i="6"/>
  <c r="K28" i="6"/>
  <c r="F54" i="46"/>
  <c r="Q54" i="46"/>
  <c r="R64" i="46"/>
  <c r="E61" i="64"/>
  <c r="E63" i="64"/>
  <c r="Y169" i="4" s="1"/>
  <c r="P169" i="4" s="1"/>
  <c r="U169" i="4" s="1"/>
  <c r="H45" i="46"/>
  <c r="K11" i="6"/>
  <c r="G10" i="6"/>
  <c r="K13" i="6"/>
  <c r="E14" i="6"/>
  <c r="G14" i="6"/>
  <c r="K10" i="6"/>
  <c r="I10" i="6"/>
  <c r="O9" i="6"/>
  <c r="I13" i="6"/>
  <c r="E13" i="6"/>
  <c r="K9" i="6"/>
  <c r="O14" i="6"/>
  <c r="P15" i="6" s="1"/>
  <c r="K14" i="6"/>
  <c r="I14" i="6"/>
  <c r="E11" i="6"/>
  <c r="H46" i="46"/>
  <c r="I12" i="6"/>
  <c r="O10" i="6"/>
  <c r="O11" i="6"/>
  <c r="G43" i="46"/>
  <c r="O13" i="6"/>
  <c r="G11" i="6"/>
  <c r="O12" i="6"/>
  <c r="H13" i="46"/>
  <c r="G13" i="46"/>
  <c r="H15" i="46"/>
  <c r="G15" i="46"/>
  <c r="E10" i="6"/>
  <c r="H41" i="46"/>
  <c r="H16" i="46"/>
  <c r="G16" i="46"/>
  <c r="K12" i="6"/>
  <c r="I11" i="6"/>
  <c r="G13" i="6"/>
  <c r="H14" i="46"/>
  <c r="G14" i="46"/>
  <c r="H11" i="46"/>
  <c r="G11" i="46"/>
  <c r="H12" i="46"/>
  <c r="G12" i="46"/>
  <c r="U23" i="4"/>
  <c r="U105" i="4"/>
  <c r="U50" i="4"/>
  <c r="U40" i="4"/>
  <c r="U44" i="4"/>
  <c r="U43" i="4"/>
  <c r="U77" i="4"/>
  <c r="U26" i="4"/>
  <c r="U104" i="4"/>
  <c r="U88" i="4"/>
  <c r="U72" i="4"/>
  <c r="U56" i="4"/>
  <c r="U94" i="4"/>
  <c r="U78" i="4"/>
  <c r="U62" i="4"/>
  <c r="U46" i="4"/>
  <c r="U92" i="4"/>
  <c r="U76" i="4"/>
  <c r="U60" i="4"/>
  <c r="U45" i="4"/>
  <c r="U91" i="4"/>
  <c r="U31" i="4"/>
  <c r="U51" i="4"/>
  <c r="U87" i="4"/>
  <c r="U82" i="4"/>
  <c r="U24" i="4"/>
  <c r="U55" i="4"/>
  <c r="U41" i="4"/>
  <c r="U106" i="4"/>
  <c r="U90" i="4"/>
  <c r="U74" i="4"/>
  <c r="U58" i="4"/>
  <c r="U32" i="4"/>
  <c r="U38" i="4"/>
  <c r="U36" i="4"/>
  <c r="U47" i="4"/>
  <c r="U59" i="4"/>
  <c r="U37" i="4"/>
  <c r="U99" i="4"/>
  <c r="U97" i="4"/>
  <c r="U98" i="4"/>
  <c r="U66" i="4"/>
  <c r="U30" i="4"/>
  <c r="U28" i="4"/>
  <c r="U101" i="4"/>
  <c r="U42" i="4"/>
  <c r="U34" i="4"/>
  <c r="U96" i="4"/>
  <c r="U80" i="4"/>
  <c r="U64" i="4"/>
  <c r="U48" i="4"/>
  <c r="U102" i="4"/>
  <c r="U86" i="4"/>
  <c r="U70" i="4"/>
  <c r="U54" i="4"/>
  <c r="U100" i="4"/>
  <c r="U84" i="4"/>
  <c r="U68" i="4"/>
  <c r="U52" i="4"/>
  <c r="U35" i="4"/>
  <c r="U65" i="4"/>
  <c r="U27" i="4"/>
  <c r="U33" i="4"/>
  <c r="U61" i="4"/>
  <c r="U7" i="67"/>
  <c r="J51" i="64"/>
  <c r="Y162" i="4" s="1"/>
  <c r="L93" i="62"/>
  <c r="L83" i="62"/>
  <c r="M64" i="62"/>
  <c r="M74" i="62" s="1"/>
  <c r="Y5" i="67"/>
  <c r="M53" i="63"/>
  <c r="M60" i="63" s="1"/>
  <c r="C16" i="32"/>
  <c r="G20" i="32"/>
  <c r="I24" i="32"/>
  <c r="G8" i="32"/>
  <c r="E24" i="32"/>
  <c r="C12" i="32"/>
  <c r="H26" i="32"/>
  <c r="H43" i="32" s="1"/>
  <c r="F12" i="32"/>
  <c r="D20" i="32"/>
  <c r="D16" i="32"/>
  <c r="C26" i="32"/>
  <c r="C43" i="32" s="1"/>
  <c r="G26" i="32"/>
  <c r="G43" i="32" s="1"/>
  <c r="H8" i="32"/>
  <c r="I20" i="32"/>
  <c r="G16" i="32"/>
  <c r="D24" i="32"/>
  <c r="D12" i="32"/>
  <c r="F20" i="32"/>
  <c r="E16" i="32"/>
  <c r="F26" i="32"/>
  <c r="F43" i="32" s="1"/>
  <c r="I8" i="32"/>
  <c r="H24" i="32"/>
  <c r="H12" i="32"/>
  <c r="F16" i="32"/>
  <c r="E20" i="32"/>
  <c r="E8" i="32"/>
  <c r="C20" i="32"/>
  <c r="I12" i="32"/>
  <c r="C24" i="32"/>
  <c r="F8" i="32"/>
  <c r="E26" i="32"/>
  <c r="E43" i="32" s="1"/>
  <c r="H20" i="32"/>
  <c r="G24" i="32"/>
  <c r="D26" i="32"/>
  <c r="D43" i="32" s="1"/>
  <c r="D8" i="32"/>
  <c r="F24" i="32"/>
  <c r="G12" i="32"/>
  <c r="H16" i="32"/>
  <c r="E12" i="32"/>
  <c r="I26" i="32"/>
  <c r="I43" i="32" s="1"/>
  <c r="C8" i="32"/>
  <c r="C41" i="42"/>
  <c r="O21" i="32" l="1"/>
  <c r="P101" i="62"/>
  <c r="C41" i="32"/>
  <c r="N20" i="32"/>
  <c r="L53" i="46"/>
  <c r="O24" i="32"/>
  <c r="D54" i="46"/>
  <c r="F61" i="64"/>
  <c r="F63" i="64"/>
  <c r="Y170" i="4" s="1"/>
  <c r="P170" i="4" s="1"/>
  <c r="U170" i="4" s="1"/>
  <c r="P14" i="6"/>
  <c r="G20" i="6"/>
  <c r="F22" i="6" s="1"/>
  <c r="U10" i="4"/>
  <c r="U6" i="4"/>
  <c r="U11" i="4"/>
  <c r="U12" i="4"/>
  <c r="U8" i="4"/>
  <c r="U9" i="4"/>
  <c r="U7" i="4"/>
  <c r="F41" i="32"/>
  <c r="D41" i="32"/>
  <c r="E41" i="32"/>
  <c r="I41" i="32"/>
  <c r="H41" i="32"/>
  <c r="G41" i="32"/>
  <c r="K51" i="64"/>
  <c r="Y163" i="4" s="1"/>
  <c r="V7" i="67"/>
  <c r="M83" i="62"/>
  <c r="M93" i="62"/>
  <c r="D41" i="42"/>
  <c r="H29" i="42"/>
  <c r="D11" i="29" l="1"/>
  <c r="M11" i="29" s="1"/>
  <c r="O11" i="29" s="1"/>
  <c r="V8" i="4"/>
  <c r="W8" i="4" s="1"/>
  <c r="D15" i="29"/>
  <c r="M15" i="29" s="1"/>
  <c r="O15" i="29" s="1"/>
  <c r="V12" i="4"/>
  <c r="W12" i="4" s="1"/>
  <c r="D9" i="29"/>
  <c r="V6" i="4"/>
  <c r="W6" i="4" s="1"/>
  <c r="D13" i="29"/>
  <c r="M13" i="29" s="1"/>
  <c r="O13" i="29" s="1"/>
  <c r="V10" i="4"/>
  <c r="W10" i="4" s="1"/>
  <c r="D10" i="29"/>
  <c r="M10" i="29" s="1"/>
  <c r="O10" i="29" s="1"/>
  <c r="V7" i="4"/>
  <c r="W7" i="4" s="1"/>
  <c r="D14" i="29"/>
  <c r="M14" i="29" s="1"/>
  <c r="O14" i="29" s="1"/>
  <c r="V11" i="4"/>
  <c r="W11" i="4" s="1"/>
  <c r="D12" i="29"/>
  <c r="M12" i="29" s="1"/>
  <c r="O12" i="29" s="1"/>
  <c r="V9" i="4"/>
  <c r="W9" i="4" s="1"/>
  <c r="E54" i="46"/>
  <c r="H64" i="46"/>
  <c r="G61" i="64"/>
  <c r="G63" i="64"/>
  <c r="Y171" i="4" s="1"/>
  <c r="P171" i="4" s="1"/>
  <c r="U171" i="4" s="1"/>
  <c r="U150" i="4"/>
  <c r="P162" i="4"/>
  <c r="P158" i="4"/>
  <c r="P161" i="4"/>
  <c r="P156" i="4"/>
  <c r="P157" i="4"/>
  <c r="P159" i="4"/>
  <c r="P163" i="4"/>
  <c r="P160" i="4"/>
  <c r="W7" i="67"/>
  <c r="L51" i="64"/>
  <c r="Y164" i="4" s="1"/>
  <c r="H30" i="42"/>
  <c r="E41" i="42"/>
  <c r="O25" i="32" l="1"/>
  <c r="P102" i="62"/>
  <c r="H54" i="46"/>
  <c r="I64" i="46"/>
  <c r="H61" i="64"/>
  <c r="H63" i="64"/>
  <c r="Y172" i="4" s="1"/>
  <c r="P172" i="4" s="1"/>
  <c r="U172" i="4" s="1"/>
  <c r="P164" i="4"/>
  <c r="U151" i="4"/>
  <c r="U155" i="4"/>
  <c r="Q6" i="4" s="1"/>
  <c r="B49" i="62" s="1"/>
  <c r="U160" i="4"/>
  <c r="U158" i="4"/>
  <c r="U159" i="4"/>
  <c r="U162" i="4"/>
  <c r="U161" i="4"/>
  <c r="U163" i="4"/>
  <c r="U157" i="4"/>
  <c r="U156" i="4"/>
  <c r="U152" i="4"/>
  <c r="M51" i="64"/>
  <c r="Y165" i="4" s="1"/>
  <c r="X7" i="67"/>
  <c r="F41" i="42"/>
  <c r="H66" i="42"/>
  <c r="I61" i="64" l="1"/>
  <c r="I63" i="64"/>
  <c r="Y173" i="4" s="1"/>
  <c r="P173" i="4" s="1"/>
  <c r="U173" i="4" s="1"/>
  <c r="U164" i="4"/>
  <c r="P165" i="4"/>
  <c r="O43" i="64"/>
  <c r="B27" i="6" s="1"/>
  <c r="Y7" i="67"/>
  <c r="N51" i="64"/>
  <c r="H68" i="42"/>
  <c r="H31" i="42"/>
  <c r="G22" i="29" l="1"/>
  <c r="N8" i="32" s="1"/>
  <c r="J61" i="64"/>
  <c r="J63" i="64"/>
  <c r="Y174" i="4" s="1"/>
  <c r="P174" i="4" s="1"/>
  <c r="U174" i="4" s="1"/>
  <c r="Y166" i="4"/>
  <c r="P166" i="4" s="1"/>
  <c r="U153" i="4"/>
  <c r="U165" i="4"/>
  <c r="O49" i="64"/>
  <c r="G41" i="42"/>
  <c r="H70" i="42"/>
  <c r="K25" i="53" s="1"/>
  <c r="K61" i="64" l="1"/>
  <c r="K63" i="64"/>
  <c r="Y175" i="4" s="1"/>
  <c r="P175" i="4" s="1"/>
  <c r="U175" i="4" s="1"/>
  <c r="U166" i="4"/>
  <c r="U17" i="4" s="1"/>
  <c r="D22" i="29" s="1"/>
  <c r="U154" i="4"/>
  <c r="U16" i="4" s="1"/>
  <c r="K16" i="53"/>
  <c r="K10" i="53"/>
  <c r="K13" i="53"/>
  <c r="K19" i="53"/>
  <c r="K7" i="53"/>
  <c r="K22" i="53"/>
  <c r="H32" i="42"/>
  <c r="H33" i="42" s="1"/>
  <c r="G42" i="42"/>
  <c r="D21" i="29" l="1"/>
  <c r="V16" i="4"/>
  <c r="W16" i="4" s="1"/>
  <c r="AD60" i="4"/>
  <c r="D19" i="29"/>
  <c r="L61" i="64"/>
  <c r="L63" i="64"/>
  <c r="Y176" i="4" s="1"/>
  <c r="P176" i="4" s="1"/>
  <c r="U176" i="4" s="1"/>
  <c r="V166" i="4"/>
  <c r="AC76" i="4" s="1"/>
  <c r="V154" i="4"/>
  <c r="AC75" i="4" s="1"/>
  <c r="P81" i="62"/>
  <c r="G33" i="42"/>
  <c r="M19" i="29" l="1"/>
  <c r="O19" i="29" s="1"/>
  <c r="Q19" i="29" s="1"/>
  <c r="F19" i="29"/>
  <c r="H19" i="29" s="1"/>
  <c r="AC74" i="4"/>
  <c r="AF60" i="4"/>
  <c r="M61" i="64"/>
  <c r="M63" i="64"/>
  <c r="Y177" i="4" s="1"/>
  <c r="P177" i="4" s="1"/>
  <c r="U177" i="4" s="1"/>
  <c r="N78" i="62"/>
  <c r="AB86" i="4"/>
  <c r="M22" i="29" s="1"/>
  <c r="O22" i="29" s="1"/>
  <c r="Q22" i="29" s="1"/>
  <c r="N80" i="62"/>
  <c r="N79" i="62"/>
  <c r="M87" i="62"/>
  <c r="B87" i="62"/>
  <c r="I87" i="62"/>
  <c r="E87" i="62"/>
  <c r="J87" i="62"/>
  <c r="C87" i="62"/>
  <c r="G87" i="62"/>
  <c r="L87" i="62"/>
  <c r="H87" i="62"/>
  <c r="F87" i="62"/>
  <c r="D87" i="62"/>
  <c r="K87" i="62"/>
  <c r="K85" i="62"/>
  <c r="M85" i="62"/>
  <c r="F85" i="62"/>
  <c r="D85" i="62"/>
  <c r="E85" i="62"/>
  <c r="B85" i="62"/>
  <c r="G85" i="62"/>
  <c r="C85" i="62"/>
  <c r="L85" i="62"/>
  <c r="H85" i="62"/>
  <c r="I85" i="62"/>
  <c r="J85" i="62"/>
  <c r="J86" i="62"/>
  <c r="E86" i="62"/>
  <c r="L86" i="62"/>
  <c r="I86" i="62"/>
  <c r="D86" i="62"/>
  <c r="M86" i="62"/>
  <c r="G86" i="62"/>
  <c r="C86" i="62"/>
  <c r="K86" i="62"/>
  <c r="F86" i="62"/>
  <c r="B86" i="62"/>
  <c r="H86" i="62"/>
  <c r="J84" i="62"/>
  <c r="D84" i="62"/>
  <c r="E84" i="62"/>
  <c r="L84" i="62"/>
  <c r="F84" i="62"/>
  <c r="C84" i="62"/>
  <c r="M84" i="62"/>
  <c r="K84" i="62"/>
  <c r="B84" i="62"/>
  <c r="H84" i="62"/>
  <c r="I84" i="62"/>
  <c r="G84" i="62"/>
  <c r="H89" i="62"/>
  <c r="D89" i="62"/>
  <c r="M89" i="62"/>
  <c r="C89" i="62"/>
  <c r="I89" i="62"/>
  <c r="F89" i="62"/>
  <c r="K89" i="62"/>
  <c r="B89" i="62"/>
  <c r="G89" i="62"/>
  <c r="J89" i="62"/>
  <c r="E89" i="62"/>
  <c r="L89" i="62"/>
  <c r="L88" i="62"/>
  <c r="D88" i="62"/>
  <c r="C88" i="62"/>
  <c r="J88" i="62"/>
  <c r="M88" i="62"/>
  <c r="F88" i="62"/>
  <c r="G88" i="62"/>
  <c r="B88" i="62"/>
  <c r="I88" i="62"/>
  <c r="K88" i="62"/>
  <c r="H88" i="62"/>
  <c r="E88" i="62"/>
  <c r="F30" i="32"/>
  <c r="D30" i="32"/>
  <c r="I30" i="32"/>
  <c r="C30" i="32"/>
  <c r="H30" i="32"/>
  <c r="E30" i="32"/>
  <c r="G30" i="32"/>
  <c r="O26" i="53"/>
  <c r="N40" i="46"/>
  <c r="D40" i="46"/>
  <c r="H17" i="32"/>
  <c r="G17" i="32"/>
  <c r="F17" i="32"/>
  <c r="E17" i="32"/>
  <c r="D17" i="32"/>
  <c r="D10" i="46"/>
  <c r="C17" i="32" s="1"/>
  <c r="E6" i="53"/>
  <c r="D6" i="53" s="1"/>
  <c r="H6" i="53" s="1"/>
  <c r="T19" i="29" l="1"/>
  <c r="AD74" i="4"/>
  <c r="AE74" i="4" s="1"/>
  <c r="B22" i="46"/>
  <c r="N61" i="64"/>
  <c r="N63" i="64"/>
  <c r="Y178" i="4" s="1"/>
  <c r="P178" i="4" s="1"/>
  <c r="U178" i="4" s="1"/>
  <c r="O57" i="64"/>
  <c r="L90" i="62"/>
  <c r="I90" i="62"/>
  <c r="M90" i="62"/>
  <c r="N86" i="62"/>
  <c r="J90" i="62"/>
  <c r="H90" i="62"/>
  <c r="C90" i="62"/>
  <c r="E90" i="62"/>
  <c r="N88" i="62"/>
  <c r="B90" i="62"/>
  <c r="N84" i="62"/>
  <c r="F90" i="62"/>
  <c r="D90" i="62"/>
  <c r="N85" i="62"/>
  <c r="N87" i="62"/>
  <c r="N89" i="62"/>
  <c r="G90" i="62"/>
  <c r="K90" i="62"/>
  <c r="E34" i="32"/>
  <c r="C34" i="32"/>
  <c r="D34" i="32"/>
  <c r="G34" i="32"/>
  <c r="H34" i="32"/>
  <c r="I34" i="32"/>
  <c r="F34" i="32"/>
  <c r="E25" i="32"/>
  <c r="E29" i="32"/>
  <c r="F25" i="32"/>
  <c r="F29" i="32"/>
  <c r="C25" i="32"/>
  <c r="G25" i="32"/>
  <c r="C29" i="32"/>
  <c r="G29" i="32"/>
  <c r="D25" i="32"/>
  <c r="H25" i="32"/>
  <c r="D29" i="32"/>
  <c r="H29" i="32"/>
  <c r="Q40" i="46"/>
  <c r="C21" i="32"/>
  <c r="G21" i="32"/>
  <c r="D21" i="32"/>
  <c r="H21" i="32"/>
  <c r="E21" i="32"/>
  <c r="F21" i="32"/>
  <c r="G25" i="53"/>
  <c r="A24" i="4"/>
  <c r="I17" i="32"/>
  <c r="U18" i="4" l="1"/>
  <c r="D23" i="29" s="1"/>
  <c r="V178" i="4"/>
  <c r="H28" i="6"/>
  <c r="F24" i="46" s="1"/>
  <c r="O61" i="64"/>
  <c r="D42" i="32"/>
  <c r="C42" i="32"/>
  <c r="E42" i="32"/>
  <c r="H42" i="32"/>
  <c r="G42" i="32"/>
  <c r="F42" i="32"/>
  <c r="N90" i="62"/>
  <c r="G33" i="32"/>
  <c r="G45" i="32" s="1"/>
  <c r="C33" i="32"/>
  <c r="C45" i="32" s="1"/>
  <c r="D33" i="32"/>
  <c r="D45" i="32" s="1"/>
  <c r="I25" i="32"/>
  <c r="E33" i="32"/>
  <c r="E45" i="32" s="1"/>
  <c r="I29" i="32"/>
  <c r="F33" i="32"/>
  <c r="F45" i="32" s="1"/>
  <c r="H33" i="32"/>
  <c r="H45" i="32" s="1"/>
  <c r="I21" i="32"/>
  <c r="A25" i="4"/>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D49" i="32" l="1"/>
  <c r="D46" i="32"/>
  <c r="D47" i="32"/>
  <c r="D50" i="32"/>
  <c r="D48" i="32"/>
  <c r="G46" i="32"/>
  <c r="G50" i="32"/>
  <c r="G49" i="32"/>
  <c r="G47" i="32"/>
  <c r="G48" i="32"/>
  <c r="C49" i="32"/>
  <c r="C50" i="32"/>
  <c r="H46" i="32"/>
  <c r="H50" i="32"/>
  <c r="H47" i="32"/>
  <c r="H49" i="32"/>
  <c r="H48" i="32"/>
  <c r="E46" i="32"/>
  <c r="E50" i="32"/>
  <c r="E49" i="32"/>
  <c r="E47" i="32"/>
  <c r="E48" i="32"/>
  <c r="F46" i="32"/>
  <c r="F50" i="32"/>
  <c r="F49" i="32"/>
  <c r="F47" i="32"/>
  <c r="F48" i="32"/>
  <c r="C47" i="32"/>
  <c r="C46" i="32"/>
  <c r="C48" i="32"/>
  <c r="D24" i="46"/>
  <c r="H34" i="46" s="1"/>
  <c r="O16" i="32"/>
  <c r="M23" i="29"/>
  <c r="O23" i="29" s="1"/>
  <c r="F23" i="29"/>
  <c r="I42" i="32"/>
  <c r="E199" i="4"/>
  <c r="F199" i="4"/>
  <c r="I33" i="32"/>
  <c r="I45" i="32" s="1"/>
  <c r="A108" i="4"/>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O17" i="32" l="1"/>
  <c r="P100" i="62"/>
  <c r="I46" i="32"/>
  <c r="I50" i="32"/>
  <c r="I47" i="32"/>
  <c r="I49" i="32"/>
  <c r="I48" i="32"/>
  <c r="L51" i="32"/>
  <c r="G51" i="32"/>
  <c r="I51" i="32"/>
  <c r="E51" i="32"/>
  <c r="D51" i="32"/>
  <c r="H51" i="32"/>
  <c r="J51" i="32"/>
  <c r="K51" i="32"/>
  <c r="F51" i="32"/>
  <c r="C51" i="32"/>
  <c r="H23" i="29"/>
  <c r="H30" i="29"/>
  <c r="Q30" i="29"/>
  <c r="T23" i="29"/>
  <c r="Q23" i="29"/>
  <c r="D23" i="46"/>
  <c r="S41" i="46"/>
  <c r="S40" i="46"/>
  <c r="K30" i="46"/>
  <c r="K60" i="46"/>
  <c r="A60" i="46"/>
  <c r="A30" i="46"/>
  <c r="O9" i="32" l="1"/>
  <c r="P98" i="62"/>
  <c r="O13" i="32"/>
  <c r="P99" i="62"/>
  <c r="D23" i="51"/>
  <c r="F19" i="51"/>
  <c r="D19" i="51"/>
  <c r="C27" i="51"/>
  <c r="C23" i="51"/>
  <c r="E19" i="51"/>
  <c r="C19" i="51"/>
  <c r="F27" i="51"/>
  <c r="E27" i="51"/>
  <c r="D27" i="51"/>
  <c r="F23" i="51"/>
  <c r="E23" i="51"/>
  <c r="C28" i="51"/>
  <c r="E28" i="51"/>
  <c r="D28" i="51"/>
  <c r="F28" i="51"/>
  <c r="S46" i="46"/>
  <c r="S44" i="46"/>
  <c r="S45" i="46"/>
  <c r="S42" i="46"/>
  <c r="S43" i="46"/>
  <c r="F16" i="51"/>
  <c r="E16" i="51"/>
  <c r="D16" i="51"/>
  <c r="C16" i="51"/>
  <c r="G28" i="6"/>
  <c r="R46" i="46"/>
  <c r="R42" i="46"/>
  <c r="L6" i="6"/>
  <c r="J6" i="6"/>
  <c r="U142" i="4" l="1"/>
  <c r="U15" i="4" s="1"/>
  <c r="S56" i="46"/>
  <c r="F24" i="51"/>
  <c r="D24" i="51"/>
  <c r="D32" i="51" s="1"/>
  <c r="H24" i="51"/>
  <c r="G24" i="51"/>
  <c r="E24" i="51"/>
  <c r="C24" i="51"/>
  <c r="R40" i="46"/>
  <c r="R41" i="46"/>
  <c r="R44" i="46"/>
  <c r="R45" i="46"/>
  <c r="R43" i="46"/>
  <c r="H16" i="51"/>
  <c r="H28" i="51"/>
  <c r="G28" i="51"/>
  <c r="H23" i="51"/>
  <c r="I23" i="51"/>
  <c r="G16" i="51"/>
  <c r="I28" i="51"/>
  <c r="I27" i="51"/>
  <c r="G19" i="51"/>
  <c r="G23" i="51"/>
  <c r="H27" i="51"/>
  <c r="I16" i="51"/>
  <c r="I19" i="51"/>
  <c r="G27" i="51"/>
  <c r="H19" i="51"/>
  <c r="I45" i="46"/>
  <c r="I46" i="46"/>
  <c r="I40" i="46"/>
  <c r="G40" i="46"/>
  <c r="H40" i="46"/>
  <c r="I41" i="46"/>
  <c r="I42" i="46"/>
  <c r="I43" i="46"/>
  <c r="I44" i="46"/>
  <c r="I10" i="46"/>
  <c r="H10" i="46"/>
  <c r="H26" i="46" s="1"/>
  <c r="G10" i="46"/>
  <c r="G26" i="46" s="1"/>
  <c r="R5" i="30"/>
  <c r="O5" i="30"/>
  <c r="I5" i="30"/>
  <c r="L5" i="30" s="1"/>
  <c r="G5" i="30"/>
  <c r="D18" i="29" l="1"/>
  <c r="V15" i="4"/>
  <c r="W15" i="4" s="1"/>
  <c r="I26" i="46"/>
  <c r="P54" i="63" s="1"/>
  <c r="F32" i="46"/>
  <c r="G32" i="46" s="1"/>
  <c r="F18" i="29"/>
  <c r="M18" i="29"/>
  <c r="O18" i="29" s="1"/>
  <c r="V142" i="4"/>
  <c r="AD59" i="4" s="1"/>
  <c r="AE60" i="4" s="1"/>
  <c r="G32" i="51"/>
  <c r="H32" i="51"/>
  <c r="F32" i="51"/>
  <c r="C32" i="51"/>
  <c r="E32" i="51"/>
  <c r="R56" i="46"/>
  <c r="P31" i="63"/>
  <c r="I24" i="51"/>
  <c r="M62" i="46"/>
  <c r="N62" i="46" s="1"/>
  <c r="H18" i="29" l="1"/>
  <c r="P62" i="46"/>
  <c r="Q62" i="46" s="1"/>
  <c r="P64" i="46"/>
  <c r="AC73" i="4"/>
  <c r="AD73" i="4" s="1"/>
  <c r="AE73" i="4" s="1"/>
  <c r="P30" i="63"/>
  <c r="E23" i="46"/>
  <c r="H23" i="46" s="1"/>
  <c r="E24" i="46"/>
  <c r="AF59" i="4"/>
  <c r="T18" i="29"/>
  <c r="Q18" i="29"/>
  <c r="AB85" i="4"/>
  <c r="N23" i="46"/>
  <c r="R33" i="46" s="1"/>
  <c r="N29" i="32" s="1"/>
  <c r="I32" i="51"/>
  <c r="P63" i="46"/>
  <c r="Q63" i="46" s="1"/>
  <c r="M63" i="46"/>
  <c r="N63" i="46" s="1"/>
  <c r="F62" i="46"/>
  <c r="G62" i="46" s="1"/>
  <c r="F63" i="46"/>
  <c r="G63" i="46" s="1"/>
  <c r="F33" i="46"/>
  <c r="G33" i="46" s="1"/>
  <c r="Q64" i="46" l="1"/>
  <c r="S64" i="46" s="1"/>
  <c r="H24" i="46"/>
  <c r="I34" i="46"/>
  <c r="O18" i="32" s="1"/>
  <c r="F21" i="29"/>
  <c r="M21" i="29"/>
  <c r="C33" i="46"/>
  <c r="D33" i="46" s="1"/>
  <c r="C32" i="46"/>
  <c r="D32" i="46" s="1"/>
  <c r="O21" i="29" l="1"/>
  <c r="J33" i="6"/>
  <c r="D53" i="46"/>
  <c r="O28" i="6"/>
  <c r="T21" i="29" l="1"/>
  <c r="U130" i="4" l="1"/>
  <c r="W130" i="4" s="1"/>
  <c r="X130" i="4" s="1"/>
  <c r="U118" i="4"/>
  <c r="W118" i="4" s="1"/>
  <c r="X118" i="4" s="1"/>
  <c r="U121" i="4"/>
  <c r="W121" i="4" s="1"/>
  <c r="X121" i="4" s="1"/>
  <c r="U109" i="4"/>
  <c r="W109" i="4" s="1"/>
  <c r="X109" i="4" s="1"/>
  <c r="U126" i="4"/>
  <c r="W126" i="4" s="1"/>
  <c r="X126" i="4" s="1"/>
  <c r="U114" i="4"/>
  <c r="W114" i="4" s="1"/>
  <c r="X114" i="4" s="1"/>
  <c r="U127" i="4"/>
  <c r="W127" i="4" s="1"/>
  <c r="X127" i="4" s="1"/>
  <c r="U115" i="4"/>
  <c r="W115" i="4" s="1"/>
  <c r="X115" i="4" s="1"/>
  <c r="U125" i="4"/>
  <c r="W125" i="4" s="1"/>
  <c r="X125" i="4" s="1"/>
  <c r="U113" i="4"/>
  <c r="W113" i="4" s="1"/>
  <c r="X113" i="4" s="1"/>
  <c r="U120" i="4"/>
  <c r="W120" i="4" s="1"/>
  <c r="X120" i="4" s="1"/>
  <c r="U108" i="4"/>
  <c r="W108" i="4" s="1"/>
  <c r="X108" i="4" s="1"/>
  <c r="U129" i="4"/>
  <c r="W129" i="4" s="1"/>
  <c r="X129" i="4" s="1"/>
  <c r="U117" i="4"/>
  <c r="W117" i="4" s="1"/>
  <c r="X117" i="4" s="1"/>
  <c r="U119" i="4"/>
  <c r="U107" i="4"/>
  <c r="U124" i="4"/>
  <c r="W124" i="4" s="1"/>
  <c r="X124" i="4" s="1"/>
  <c r="U112" i="4"/>
  <c r="W112" i="4" s="1"/>
  <c r="X112" i="4" s="1"/>
  <c r="U122" i="4"/>
  <c r="W122" i="4" s="1"/>
  <c r="X122" i="4" s="1"/>
  <c r="U110" i="4"/>
  <c r="W110" i="4" s="1"/>
  <c r="X110" i="4" s="1"/>
  <c r="U123" i="4"/>
  <c r="W123" i="4" s="1"/>
  <c r="X123" i="4" s="1"/>
  <c r="U111" i="4"/>
  <c r="W111" i="4" s="1"/>
  <c r="X111" i="4" s="1"/>
  <c r="U128" i="4"/>
  <c r="W128" i="4" s="1"/>
  <c r="X128" i="4" s="1"/>
  <c r="U116" i="4"/>
  <c r="W116" i="4" s="1"/>
  <c r="X116" i="4" s="1"/>
  <c r="L86" i="4"/>
  <c r="W86" i="4" l="1"/>
  <c r="X86" i="4" s="1"/>
  <c r="U14" i="4"/>
  <c r="U13" i="4"/>
  <c r="W107" i="4"/>
  <c r="X107" i="4" s="1"/>
  <c r="W119" i="4"/>
  <c r="X119" i="4" s="1"/>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7" i="4"/>
  <c r="L88" i="4"/>
  <c r="L89" i="4"/>
  <c r="L90" i="4"/>
  <c r="L91" i="4"/>
  <c r="L92" i="4"/>
  <c r="L93" i="4"/>
  <c r="L94" i="4"/>
  <c r="L95" i="4"/>
  <c r="L96" i="4"/>
  <c r="L97" i="4"/>
  <c r="L98" i="4"/>
  <c r="L99" i="4"/>
  <c r="L100" i="4"/>
  <c r="L101" i="4"/>
  <c r="L102" i="4"/>
  <c r="L103" i="4"/>
  <c r="L104" i="4"/>
  <c r="L105" i="4"/>
  <c r="L106" i="4"/>
  <c r="Y7" i="52"/>
  <c r="Y8" i="52"/>
  <c r="D16" i="29" l="1"/>
  <c r="V13" i="4"/>
  <c r="W13" i="4" s="1"/>
  <c r="D17" i="29"/>
  <c r="V14" i="4"/>
  <c r="W14" i="4" s="1"/>
  <c r="W105" i="4"/>
  <c r="X105" i="4" s="1"/>
  <c r="W97" i="4"/>
  <c r="X97" i="4" s="1"/>
  <c r="W89" i="4"/>
  <c r="X89" i="4" s="1"/>
  <c r="W80" i="4"/>
  <c r="X80" i="4" s="1"/>
  <c r="W72" i="4"/>
  <c r="X72" i="4" s="1"/>
  <c r="W64" i="4"/>
  <c r="X64" i="4" s="1"/>
  <c r="W56" i="4"/>
  <c r="X56" i="4" s="1"/>
  <c r="W48" i="4"/>
  <c r="X48" i="4" s="1"/>
  <c r="W40" i="4"/>
  <c r="X40" i="4" s="1"/>
  <c r="W32" i="4"/>
  <c r="X32" i="4" s="1"/>
  <c r="W24" i="4"/>
  <c r="X24" i="4" s="1"/>
  <c r="W88" i="4"/>
  <c r="X88" i="4" s="1"/>
  <c r="W47" i="4"/>
  <c r="X47" i="4" s="1"/>
  <c r="W39" i="4"/>
  <c r="X39" i="4" s="1"/>
  <c r="W31" i="4"/>
  <c r="X31" i="4" s="1"/>
  <c r="W23" i="4"/>
  <c r="X23" i="4" s="1"/>
  <c r="W71" i="4"/>
  <c r="X71" i="4" s="1"/>
  <c r="W78" i="4"/>
  <c r="X78" i="4" s="1"/>
  <c r="W70" i="4"/>
  <c r="X70" i="4" s="1"/>
  <c r="W62" i="4"/>
  <c r="X62" i="4" s="1"/>
  <c r="W54" i="4"/>
  <c r="X54" i="4" s="1"/>
  <c r="W46" i="4"/>
  <c r="X46" i="4" s="1"/>
  <c r="W38" i="4"/>
  <c r="X38" i="4" s="1"/>
  <c r="W30" i="4"/>
  <c r="X30" i="4" s="1"/>
  <c r="W63" i="4"/>
  <c r="X63" i="4" s="1"/>
  <c r="W102" i="4"/>
  <c r="X102" i="4" s="1"/>
  <c r="W85" i="4"/>
  <c r="X85" i="4" s="1"/>
  <c r="W77" i="4"/>
  <c r="X77" i="4" s="1"/>
  <c r="W69" i="4"/>
  <c r="X69" i="4" s="1"/>
  <c r="W61" i="4"/>
  <c r="X61" i="4" s="1"/>
  <c r="W53" i="4"/>
  <c r="X53" i="4" s="1"/>
  <c r="W45" i="4"/>
  <c r="X45" i="4" s="1"/>
  <c r="W37" i="4"/>
  <c r="X37" i="4" s="1"/>
  <c r="W29" i="4"/>
  <c r="X29" i="4" s="1"/>
  <c r="W104" i="4"/>
  <c r="X104" i="4" s="1"/>
  <c r="W95" i="4"/>
  <c r="X95" i="4" s="1"/>
  <c r="W68" i="4"/>
  <c r="X68" i="4" s="1"/>
  <c r="W52" i="4"/>
  <c r="X52" i="4" s="1"/>
  <c r="W44" i="4"/>
  <c r="X44" i="4" s="1"/>
  <c r="W36" i="4"/>
  <c r="X36" i="4" s="1"/>
  <c r="W28" i="4"/>
  <c r="X28" i="4" s="1"/>
  <c r="W96" i="4"/>
  <c r="X96" i="4" s="1"/>
  <c r="W103" i="4"/>
  <c r="X103" i="4" s="1"/>
  <c r="W94" i="4"/>
  <c r="X94" i="4" s="1"/>
  <c r="W84" i="4"/>
  <c r="X84" i="4" s="1"/>
  <c r="W92" i="4"/>
  <c r="X92" i="4" s="1"/>
  <c r="W75" i="4"/>
  <c r="X75" i="4" s="1"/>
  <c r="W67" i="4"/>
  <c r="X67" i="4" s="1"/>
  <c r="W59" i="4"/>
  <c r="X59" i="4" s="1"/>
  <c r="W51" i="4"/>
  <c r="X51" i="4" s="1"/>
  <c r="W43" i="4"/>
  <c r="X43" i="4" s="1"/>
  <c r="W35" i="4"/>
  <c r="X35" i="4" s="1"/>
  <c r="W27" i="4"/>
  <c r="X27" i="4" s="1"/>
  <c r="W79" i="4"/>
  <c r="X79" i="4" s="1"/>
  <c r="W87" i="4"/>
  <c r="X87" i="4" s="1"/>
  <c r="W93" i="4"/>
  <c r="X93" i="4" s="1"/>
  <c r="W76" i="4"/>
  <c r="X76" i="4" s="1"/>
  <c r="W100" i="4"/>
  <c r="X100" i="4" s="1"/>
  <c r="W99" i="4"/>
  <c r="X99" i="4" s="1"/>
  <c r="W82" i="4"/>
  <c r="X82" i="4" s="1"/>
  <c r="W74" i="4"/>
  <c r="X74" i="4" s="1"/>
  <c r="W66" i="4"/>
  <c r="X66" i="4" s="1"/>
  <c r="W58" i="4"/>
  <c r="X58" i="4" s="1"/>
  <c r="W50" i="4"/>
  <c r="X50" i="4" s="1"/>
  <c r="W42" i="4"/>
  <c r="X42" i="4" s="1"/>
  <c r="W34" i="4"/>
  <c r="X34" i="4" s="1"/>
  <c r="W26" i="4"/>
  <c r="X26" i="4" s="1"/>
  <c r="W55" i="4"/>
  <c r="X55" i="4" s="1"/>
  <c r="W101" i="4"/>
  <c r="X101" i="4" s="1"/>
  <c r="W60" i="4"/>
  <c r="X60" i="4" s="1"/>
  <c r="W83" i="4"/>
  <c r="X83" i="4" s="1"/>
  <c r="W91" i="4"/>
  <c r="X91" i="4" s="1"/>
  <c r="W106" i="4"/>
  <c r="X106" i="4" s="1"/>
  <c r="W98" i="4"/>
  <c r="X98" i="4" s="1"/>
  <c r="W90" i="4"/>
  <c r="X90" i="4" s="1"/>
  <c r="W81" i="4"/>
  <c r="X81" i="4" s="1"/>
  <c r="W73" i="4"/>
  <c r="X73" i="4" s="1"/>
  <c r="W65" i="4"/>
  <c r="X65" i="4" s="1"/>
  <c r="W57" i="4"/>
  <c r="X57" i="4" s="1"/>
  <c r="W49" i="4"/>
  <c r="X49" i="4" s="1"/>
  <c r="W41" i="4"/>
  <c r="X41" i="4" s="1"/>
  <c r="W33" i="4"/>
  <c r="X33" i="4" s="1"/>
  <c r="W25" i="4"/>
  <c r="X25" i="4" s="1"/>
  <c r="F16" i="29"/>
  <c r="M16" i="29"/>
  <c r="O16" i="29" s="1"/>
  <c r="F17" i="29"/>
  <c r="M17" i="29"/>
  <c r="O17" i="29" s="1"/>
  <c r="AC57" i="4"/>
  <c r="C63" i="46"/>
  <c r="D63" i="46" s="1"/>
  <c r="C62" i="46"/>
  <c r="D62" i="46" s="1"/>
  <c r="H16" i="29" l="1"/>
  <c r="T17" i="29"/>
  <c r="T16" i="29"/>
  <c r="Q16" i="29"/>
  <c r="AC52" i="4"/>
  <c r="AC54" i="4"/>
  <c r="AC56" i="4"/>
  <c r="AC51" i="4"/>
  <c r="AC53" i="4"/>
  <c r="AC55" i="4"/>
  <c r="AC50" i="4"/>
  <c r="AB64" i="4"/>
  <c r="B6" i="6"/>
  <c r="D6" i="6"/>
  <c r="F6" i="6"/>
  <c r="H6" i="6"/>
  <c r="AA50" i="4"/>
  <c r="AA64" i="4" s="1"/>
  <c r="AA52" i="4"/>
  <c r="AA66" i="4" s="1"/>
  <c r="AA53" i="4"/>
  <c r="AA67" i="4" s="1"/>
  <c r="AA54" i="4"/>
  <c r="AA68" i="4" s="1"/>
  <c r="AA56" i="4"/>
  <c r="AA70" i="4" s="1"/>
  <c r="A22" i="6"/>
  <c r="A23" i="6"/>
  <c r="A27" i="6"/>
  <c r="A32" i="6" s="1"/>
  <c r="A28" i="6"/>
  <c r="A33" i="6" s="1"/>
  <c r="C5" i="30"/>
  <c r="E5" i="30"/>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S13" i="4" l="1"/>
  <c r="I94" i="62" s="1"/>
  <c r="S8" i="4"/>
  <c r="D94" i="62" s="1"/>
  <c r="S14" i="4"/>
  <c r="J94" i="62" s="1"/>
  <c r="S9" i="4"/>
  <c r="E94" i="62" s="1"/>
  <c r="S10" i="4"/>
  <c r="F94" i="62" s="1"/>
  <c r="S17" i="4"/>
  <c r="M94" i="62" s="1"/>
  <c r="S15" i="4"/>
  <c r="K94" i="62" s="1"/>
  <c r="S11" i="4"/>
  <c r="G94" i="62" s="1"/>
  <c r="S7" i="4"/>
  <c r="C94" i="62" s="1"/>
  <c r="S16" i="4"/>
  <c r="L94" i="62" s="1"/>
  <c r="S6" i="4"/>
  <c r="B94" i="62" s="1"/>
  <c r="S12" i="4"/>
  <c r="H94" i="62" s="1"/>
  <c r="Q10" i="4"/>
  <c r="F49" i="62" s="1"/>
  <c r="Q9" i="4"/>
  <c r="E49" i="62" s="1"/>
  <c r="Q7" i="4"/>
  <c r="C49" i="62" s="1"/>
  <c r="Q11" i="4"/>
  <c r="Q13" i="4"/>
  <c r="I49" i="62" s="1"/>
  <c r="Q8" i="4"/>
  <c r="D49" i="62" s="1"/>
  <c r="Q12" i="4"/>
  <c r="H49" i="62" s="1"/>
  <c r="Q14" i="4"/>
  <c r="J49" i="62" s="1"/>
  <c r="Q15" i="4"/>
  <c r="Q16" i="4"/>
  <c r="Q17" i="4"/>
  <c r="AA55" i="4"/>
  <c r="AA69" i="4" s="1"/>
  <c r="J10" i="29"/>
  <c r="AA51" i="4"/>
  <c r="AA65" i="4" s="1"/>
  <c r="I28" i="32"/>
  <c r="D28" i="32"/>
  <c r="C28" i="32"/>
  <c r="G28" i="32"/>
  <c r="H28" i="32"/>
  <c r="F28" i="32"/>
  <c r="G7" i="32"/>
  <c r="G6" i="51"/>
  <c r="H6" i="51"/>
  <c r="C6" i="51"/>
  <c r="D6" i="51"/>
  <c r="E6" i="51"/>
  <c r="F6" i="51"/>
  <c r="I6" i="51"/>
  <c r="C18" i="51"/>
  <c r="D22" i="51"/>
  <c r="F10" i="51"/>
  <c r="G14" i="51"/>
  <c r="F18" i="51"/>
  <c r="F22" i="51"/>
  <c r="E10" i="51"/>
  <c r="D14" i="51"/>
  <c r="F14" i="51"/>
  <c r="E14" i="51"/>
  <c r="I10" i="51"/>
  <c r="G10" i="51"/>
  <c r="H14" i="51"/>
  <c r="C14" i="51"/>
  <c r="D10" i="51"/>
  <c r="I14" i="51"/>
  <c r="H18" i="51"/>
  <c r="H22" i="51"/>
  <c r="E22" i="51"/>
  <c r="G22" i="51"/>
  <c r="D18" i="51"/>
  <c r="E18" i="51"/>
  <c r="I22" i="51"/>
  <c r="H10" i="51"/>
  <c r="G18" i="51"/>
  <c r="I18" i="51"/>
  <c r="C10" i="51"/>
  <c r="C22" i="51"/>
  <c r="E5" i="51"/>
  <c r="E7" i="32"/>
  <c r="I7" i="32"/>
  <c r="F5" i="51"/>
  <c r="F7" i="32"/>
  <c r="O5" i="51"/>
  <c r="O7" i="32"/>
  <c r="K23" i="46"/>
  <c r="N5" i="51"/>
  <c r="K22" i="46"/>
  <c r="N7" i="32"/>
  <c r="G5" i="51"/>
  <c r="C5" i="51"/>
  <c r="C7" i="32"/>
  <c r="K10" i="46"/>
  <c r="E15" i="29"/>
  <c r="F15" i="29" s="1"/>
  <c r="L9" i="29"/>
  <c r="H5" i="51"/>
  <c r="H7" i="32"/>
  <c r="D5" i="51"/>
  <c r="D7" i="32"/>
  <c r="T15" i="29" l="1"/>
  <c r="K49" i="62"/>
  <c r="M49" i="62"/>
  <c r="G49" i="62"/>
  <c r="L49" i="62"/>
  <c r="S18" i="4"/>
  <c r="Q18" i="4"/>
  <c r="H32" i="32"/>
  <c r="C32" i="32"/>
  <c r="I32" i="32"/>
  <c r="F32" i="32"/>
  <c r="G32" i="32"/>
  <c r="D32" i="32"/>
  <c r="C26" i="51"/>
  <c r="F26" i="51"/>
  <c r="G26" i="51"/>
  <c r="D26" i="51"/>
  <c r="D30" i="51" s="1"/>
  <c r="H26" i="51"/>
  <c r="I26" i="51"/>
  <c r="I30" i="51" s="1"/>
  <c r="E28" i="32"/>
  <c r="P11" i="6"/>
  <c r="A32" i="46"/>
  <c r="K32" i="46"/>
  <c r="A33" i="46"/>
  <c r="K33" i="46"/>
  <c r="P13" i="6"/>
  <c r="P12" i="6"/>
  <c r="P9" i="6"/>
  <c r="P10" i="6"/>
  <c r="N9" i="29"/>
  <c r="E10" i="29"/>
  <c r="F10" i="29" s="1"/>
  <c r="T10" i="29" s="1"/>
  <c r="E9" i="29"/>
  <c r="G32" i="6"/>
  <c r="E11" i="29"/>
  <c r="F11" i="29" s="1"/>
  <c r="E12" i="29"/>
  <c r="J13" i="29"/>
  <c r="K52" i="46"/>
  <c r="K62" i="46" s="1"/>
  <c r="A52" i="46"/>
  <c r="A62" i="46" s="1"/>
  <c r="U15" i="29"/>
  <c r="A40" i="46"/>
  <c r="K40" i="46"/>
  <c r="J12" i="29"/>
  <c r="J9" i="29"/>
  <c r="J17" i="29"/>
  <c r="E14" i="29"/>
  <c r="K53" i="46"/>
  <c r="K63" i="46" s="1"/>
  <c r="A53" i="46"/>
  <c r="A63" i="46" s="1"/>
  <c r="J11" i="29"/>
  <c r="E13" i="29"/>
  <c r="F13" i="29" s="1"/>
  <c r="J14" i="29"/>
  <c r="J15" i="29"/>
  <c r="V82" i="4"/>
  <c r="AD54" i="4" s="1"/>
  <c r="AC68" i="4" s="1"/>
  <c r="AD68" i="4" s="1"/>
  <c r="AE68" i="4" s="1"/>
  <c r="V34" i="4"/>
  <c r="AD50" i="4" s="1"/>
  <c r="M9" i="29"/>
  <c r="V46" i="4"/>
  <c r="AD51" i="4" s="1"/>
  <c r="AC65" i="4" s="1"/>
  <c r="AD65" i="4" s="1"/>
  <c r="AE65" i="4" s="1"/>
  <c r="V70" i="4"/>
  <c r="AD53" i="4" s="1"/>
  <c r="AC67" i="4" s="1"/>
  <c r="AD67" i="4" s="1"/>
  <c r="AE67" i="4" s="1"/>
  <c r="V58" i="4"/>
  <c r="AD52" i="4" s="1"/>
  <c r="AC66" i="4" s="1"/>
  <c r="AD66" i="4" s="1"/>
  <c r="AE66" i="4" s="1"/>
  <c r="E15" i="51"/>
  <c r="V94" i="4"/>
  <c r="AD55" i="4" s="1"/>
  <c r="AC69" i="4" s="1"/>
  <c r="AD69" i="4" s="1"/>
  <c r="AE69" i="4" s="1"/>
  <c r="V106" i="4"/>
  <c r="T11" i="29" l="1"/>
  <c r="T13" i="29"/>
  <c r="P20" i="6"/>
  <c r="U14" i="29"/>
  <c r="F14" i="29"/>
  <c r="U12" i="29"/>
  <c r="F12" i="29"/>
  <c r="U11" i="29"/>
  <c r="U9" i="29"/>
  <c r="N49" i="62"/>
  <c r="N94" i="62"/>
  <c r="E32" i="32"/>
  <c r="F30" i="51"/>
  <c r="C30" i="51"/>
  <c r="G30" i="51"/>
  <c r="H30" i="51"/>
  <c r="AD56" i="4"/>
  <c r="H15" i="29"/>
  <c r="E26" i="51"/>
  <c r="AE53" i="4"/>
  <c r="AF53" i="4"/>
  <c r="AE52" i="4"/>
  <c r="AF52" i="4"/>
  <c r="AE50" i="4"/>
  <c r="AC64" i="4"/>
  <c r="AD64" i="4" s="1"/>
  <c r="AE64" i="4" s="1"/>
  <c r="AF50" i="4"/>
  <c r="AE51" i="4"/>
  <c r="AF51" i="4"/>
  <c r="G33" i="6"/>
  <c r="U10" i="29"/>
  <c r="J28" i="29"/>
  <c r="J29" i="29"/>
  <c r="U13" i="29"/>
  <c r="F9" i="29"/>
  <c r="O9" i="29"/>
  <c r="T14" i="29" l="1"/>
  <c r="T12" i="29"/>
  <c r="AF56" i="4"/>
  <c r="AC70" i="4"/>
  <c r="AD70" i="4" s="1"/>
  <c r="AE70" i="4" s="1"/>
  <c r="T9" i="29"/>
  <c r="Q9" i="29"/>
  <c r="Q11" i="29"/>
  <c r="H13" i="29"/>
  <c r="E30" i="51"/>
  <c r="H11" i="29"/>
  <c r="H10" i="29"/>
  <c r="H12" i="29"/>
  <c r="Q12" i="29"/>
  <c r="H9" i="29"/>
  <c r="H14" i="29"/>
  <c r="L23" i="6"/>
  <c r="L33" i="6" s="1"/>
  <c r="F23" i="6"/>
  <c r="F33" i="6" s="1"/>
  <c r="F32" i="6"/>
  <c r="O22" i="51"/>
  <c r="D7" i="51"/>
  <c r="D34" i="51" s="1"/>
  <c r="E11" i="51"/>
  <c r="C11" i="51"/>
  <c r="F7" i="51"/>
  <c r="F34" i="51" s="1"/>
  <c r="E7" i="51"/>
  <c r="E34" i="51" s="1"/>
  <c r="I7" i="51"/>
  <c r="I34" i="51" s="1"/>
  <c r="C7" i="51"/>
  <c r="C34" i="51" s="1"/>
  <c r="F11" i="51"/>
  <c r="Q56" i="64" l="1"/>
  <c r="R56" i="64" s="1"/>
  <c r="F40" i="6"/>
  <c r="F39" i="6"/>
  <c r="Q47" i="64"/>
  <c r="R47" i="64" s="1"/>
  <c r="P22" i="51"/>
  <c r="R23" i="46"/>
  <c r="Q23" i="46"/>
  <c r="O14" i="51"/>
  <c r="Q10" i="29"/>
  <c r="Q14" i="29"/>
  <c r="Q13" i="29"/>
  <c r="Q15" i="29"/>
  <c r="E31" i="51"/>
  <c r="B33" i="6"/>
  <c r="O10" i="51"/>
  <c r="D15" i="51"/>
  <c r="C15" i="51"/>
  <c r="C31" i="51" s="1"/>
  <c r="F15" i="51"/>
  <c r="H7" i="51"/>
  <c r="H34" i="51" s="1"/>
  <c r="G7" i="51"/>
  <c r="G34" i="51" s="1"/>
  <c r="D11" i="51"/>
  <c r="Q45" i="64" l="1"/>
  <c r="R45" i="64" s="1"/>
  <c r="S23" i="46"/>
  <c r="Q44" i="64"/>
  <c r="R44" i="64" s="1"/>
  <c r="N18" i="51"/>
  <c r="D31" i="51"/>
  <c r="F31" i="51"/>
  <c r="O41" i="32"/>
  <c r="O6" i="51"/>
  <c r="H15" i="51"/>
  <c r="G11" i="51"/>
  <c r="I11" i="51"/>
  <c r="H11" i="51"/>
  <c r="Q43" i="64" l="1"/>
  <c r="R43" i="64" s="1"/>
  <c r="Q32" i="64"/>
  <c r="R32" i="64" s="1"/>
  <c r="O18" i="51"/>
  <c r="H31" i="51"/>
  <c r="O32" i="32"/>
  <c r="O26" i="51"/>
  <c r="G15" i="51"/>
  <c r="I15" i="51"/>
  <c r="Q55" i="64" l="1"/>
  <c r="R55" i="64" s="1"/>
  <c r="Q57" i="64"/>
  <c r="R57" i="64" s="1"/>
  <c r="Q48" i="64"/>
  <c r="R48" i="64" s="1"/>
  <c r="Q46" i="64"/>
  <c r="R46" i="64" s="1"/>
  <c r="I31" i="51"/>
  <c r="G31" i="51"/>
  <c r="O30" i="51"/>
  <c r="Q58" i="64" l="1"/>
  <c r="R58" i="64" s="1"/>
  <c r="Q49" i="64"/>
  <c r="V118" i="4"/>
  <c r="H17" i="29"/>
  <c r="R32" i="46" l="1"/>
  <c r="M29" i="32" s="1"/>
  <c r="M27" i="51" s="1"/>
  <c r="AD57" i="4"/>
  <c r="AC71" i="4" s="1"/>
  <c r="AD71" i="4" s="1"/>
  <c r="AE71" i="4" s="1"/>
  <c r="S32" i="46"/>
  <c r="M30" i="32" s="1"/>
  <c r="M28" i="51" s="1"/>
  <c r="AF54" i="4"/>
  <c r="AE54" i="4"/>
  <c r="N52" i="46"/>
  <c r="R62" i="46" s="1"/>
  <c r="M21" i="32" s="1"/>
  <c r="M19" i="51" l="1"/>
  <c r="AF57" i="4"/>
  <c r="AE57" i="4"/>
  <c r="R22" i="46"/>
  <c r="Q22" i="46"/>
  <c r="Q52" i="46"/>
  <c r="D22" i="53"/>
  <c r="J22" i="53" s="1"/>
  <c r="N27" i="51" s="1"/>
  <c r="S22" i="46" l="1"/>
  <c r="J14" i="64"/>
  <c r="I33" i="67" s="1"/>
  <c r="L14" i="64"/>
  <c r="K33" i="67" s="1"/>
  <c r="N14" i="64"/>
  <c r="M33" i="67" s="1"/>
  <c r="K14" i="64"/>
  <c r="J33" i="67" s="1"/>
  <c r="M14" i="64"/>
  <c r="L33" i="67" s="1"/>
  <c r="I14" i="64"/>
  <c r="H33" i="67" s="1"/>
  <c r="P34" i="62"/>
  <c r="S52" i="46"/>
  <c r="S62" i="46"/>
  <c r="R52" i="46"/>
  <c r="D23" i="53"/>
  <c r="J23" i="53" s="1"/>
  <c r="N28" i="51" s="1"/>
  <c r="O14" i="64" l="1"/>
  <c r="M27" i="6" s="1"/>
  <c r="M32" i="6" s="1"/>
  <c r="N26" i="51" l="1"/>
  <c r="M28" i="6"/>
  <c r="M33" i="6" s="1"/>
  <c r="L32" i="6"/>
  <c r="O34" i="64"/>
  <c r="K9" i="64"/>
  <c r="J7" i="67" s="1"/>
  <c r="L9" i="64"/>
  <c r="K7" i="67" s="1"/>
  <c r="O11" i="64"/>
  <c r="H18" i="6" s="1"/>
  <c r="I9" i="64"/>
  <c r="H7" i="67" s="1"/>
  <c r="N9" i="64"/>
  <c r="M7" i="67" s="1"/>
  <c r="M9" i="64"/>
  <c r="L7" i="67" s="1"/>
  <c r="J9" i="64"/>
  <c r="I7" i="67" s="1"/>
  <c r="F22" i="46" l="1"/>
  <c r="M16" i="32" s="1"/>
  <c r="M14" i="51" s="1"/>
  <c r="I27" i="6"/>
  <c r="H38" i="6"/>
  <c r="I18" i="6"/>
  <c r="I20" i="6" s="1"/>
  <c r="H22" i="6" s="1"/>
  <c r="H23" i="6" s="1"/>
  <c r="H33" i="6" s="1"/>
  <c r="L40" i="6"/>
  <c r="L39" i="6"/>
  <c r="Q34" i="64"/>
  <c r="R34" i="64" s="1"/>
  <c r="I28" i="6"/>
  <c r="I33" i="6" s="1"/>
  <c r="H32" i="6"/>
  <c r="I32" i="6"/>
  <c r="O29" i="64"/>
  <c r="O9" i="64"/>
  <c r="O13" i="64"/>
  <c r="J18" i="6" s="1"/>
  <c r="F52" i="46" l="1"/>
  <c r="M24" i="32" s="1"/>
  <c r="M22" i="51" s="1"/>
  <c r="K27" i="6"/>
  <c r="B18" i="6"/>
  <c r="J38" i="6"/>
  <c r="K18" i="6"/>
  <c r="K20" i="6" s="1"/>
  <c r="J22" i="6" s="1"/>
  <c r="J23" i="6" s="1"/>
  <c r="H39" i="6"/>
  <c r="H40" i="6"/>
  <c r="C28" i="6"/>
  <c r="C33" i="6" s="1"/>
  <c r="B32" i="6"/>
  <c r="K32" i="6"/>
  <c r="D52" i="46"/>
  <c r="J32" i="6"/>
  <c r="K33" i="6"/>
  <c r="N14" i="51"/>
  <c r="K34" i="62"/>
  <c r="F34" i="62"/>
  <c r="F14" i="62" s="1"/>
  <c r="L34" i="62"/>
  <c r="E34" i="62"/>
  <c r="E14" i="62" s="1"/>
  <c r="I34" i="62"/>
  <c r="M34" i="62"/>
  <c r="H34" i="62"/>
  <c r="H113" i="62" s="1"/>
  <c r="H122" i="62" s="1"/>
  <c r="G34" i="62"/>
  <c r="G14" i="62" s="1"/>
  <c r="C34" i="62"/>
  <c r="C14" i="62" s="1"/>
  <c r="D34" i="62"/>
  <c r="D14" i="62" s="1"/>
  <c r="J34" i="62"/>
  <c r="G21" i="29" l="1"/>
  <c r="C27" i="6"/>
  <c r="C32" i="6" s="1"/>
  <c r="B38" i="6"/>
  <c r="C18" i="6"/>
  <c r="C20" i="6" s="1"/>
  <c r="B22" i="6" s="1"/>
  <c r="B23" i="6" s="1"/>
  <c r="B40" i="6"/>
  <c r="B39" i="6"/>
  <c r="J40" i="6"/>
  <c r="J39" i="6"/>
  <c r="J14" i="62"/>
  <c r="I14" i="62"/>
  <c r="Q31" i="64"/>
  <c r="R31" i="64" s="1"/>
  <c r="C40" i="63"/>
  <c r="C47" i="63" s="1"/>
  <c r="C11" i="63" s="1"/>
  <c r="C35" i="67" s="1"/>
  <c r="C113" i="62"/>
  <c r="C122" i="62" s="1"/>
  <c r="G40" i="63"/>
  <c r="G47" i="63" s="1"/>
  <c r="G11" i="63" s="1"/>
  <c r="G35" i="67" s="1"/>
  <c r="G113" i="62"/>
  <c r="G122" i="62" s="1"/>
  <c r="E40" i="63"/>
  <c r="E47" i="63" s="1"/>
  <c r="E11" i="63" s="1"/>
  <c r="E35" i="67" s="1"/>
  <c r="E113" i="62"/>
  <c r="E122" i="62" s="1"/>
  <c r="D40" i="63"/>
  <c r="D47" i="63" s="1"/>
  <c r="D11" i="63" s="1"/>
  <c r="D35" i="67" s="1"/>
  <c r="D113" i="62"/>
  <c r="D122" i="62" s="1"/>
  <c r="F40" i="63"/>
  <c r="F47" i="63" s="1"/>
  <c r="F11" i="63" s="1"/>
  <c r="F35" i="67" s="1"/>
  <c r="F113" i="62"/>
  <c r="F122" i="62" s="1"/>
  <c r="J40" i="63"/>
  <c r="J47" i="63" s="1"/>
  <c r="J11" i="63" s="1"/>
  <c r="J35" i="67" s="1"/>
  <c r="L40" i="63"/>
  <c r="L47" i="63" s="1"/>
  <c r="L11" i="63" s="1"/>
  <c r="L35" i="67" s="1"/>
  <c r="L14" i="62"/>
  <c r="K40" i="63"/>
  <c r="K47" i="63" s="1"/>
  <c r="K11" i="63" s="1"/>
  <c r="K35" i="67" s="1"/>
  <c r="K14" i="62"/>
  <c r="H40" i="63"/>
  <c r="H47" i="63" s="1"/>
  <c r="H11" i="63" s="1"/>
  <c r="H35" i="67" s="1"/>
  <c r="H14" i="62"/>
  <c r="M40" i="63"/>
  <c r="M47" i="63" s="1"/>
  <c r="M11" i="63" s="1"/>
  <c r="M35" i="67" s="1"/>
  <c r="M14" i="62"/>
  <c r="I40" i="63"/>
  <c r="I47" i="63" s="1"/>
  <c r="I11" i="63" s="1"/>
  <c r="N22" i="51"/>
  <c r="E28" i="29"/>
  <c r="H28" i="29" s="1"/>
  <c r="M9" i="32" s="1"/>
  <c r="B34" i="62"/>
  <c r="N58" i="62"/>
  <c r="M10" i="64"/>
  <c r="L12" i="67" s="1"/>
  <c r="I10" i="64"/>
  <c r="H12" i="67" s="1"/>
  <c r="K10" i="64"/>
  <c r="J12" i="67" s="1"/>
  <c r="L10" i="64"/>
  <c r="K12" i="67" s="1"/>
  <c r="N10" i="64"/>
  <c r="M12" i="67" s="1"/>
  <c r="J10" i="64"/>
  <c r="I12" i="67" s="1"/>
  <c r="V130" i="4"/>
  <c r="AD58" i="4" s="1"/>
  <c r="AC72" i="4" s="1"/>
  <c r="AD72" i="4" s="1"/>
  <c r="AE72" i="4" s="1"/>
  <c r="M7" i="51" l="1"/>
  <c r="M8" i="32"/>
  <c r="M6" i="51" s="1"/>
  <c r="H21" i="29"/>
  <c r="B113" i="62"/>
  <c r="B122" i="62" s="1"/>
  <c r="B14" i="62"/>
  <c r="AE59" i="4"/>
  <c r="I35" i="67"/>
  <c r="AF58" i="4"/>
  <c r="AE58" i="4"/>
  <c r="Q33" i="64"/>
  <c r="R33" i="64" s="1"/>
  <c r="AC85" i="4"/>
  <c r="N34" i="62"/>
  <c r="Q34" i="62" s="1"/>
  <c r="B40" i="63"/>
  <c r="N6" i="51"/>
  <c r="O10" i="64"/>
  <c r="O30" i="64"/>
  <c r="O35" i="64" s="1"/>
  <c r="J35" i="64"/>
  <c r="M35" i="64"/>
  <c r="F35" i="64"/>
  <c r="E35" i="64"/>
  <c r="D35" i="64"/>
  <c r="K35" i="64"/>
  <c r="N35" i="64"/>
  <c r="L35" i="64"/>
  <c r="I35" i="64"/>
  <c r="C35" i="64"/>
  <c r="H35" i="64"/>
  <c r="G35" i="64"/>
  <c r="AF55" i="4"/>
  <c r="AE56" i="4"/>
  <c r="H33" i="46"/>
  <c r="N53" i="46"/>
  <c r="R63" i="46" s="1"/>
  <c r="H63" i="46"/>
  <c r="F22" i="29"/>
  <c r="N21" i="32" l="1"/>
  <c r="P56" i="62"/>
  <c r="N25" i="32"/>
  <c r="P57" i="62"/>
  <c r="N17" i="32"/>
  <c r="P55" i="62"/>
  <c r="D16" i="53"/>
  <c r="J16" i="53" s="1"/>
  <c r="N19" i="51" s="1"/>
  <c r="P32" i="62" s="1"/>
  <c r="M34" i="51"/>
  <c r="D18" i="6"/>
  <c r="T22" i="29"/>
  <c r="H22" i="29"/>
  <c r="N41" i="32"/>
  <c r="N40" i="63"/>
  <c r="B47" i="63"/>
  <c r="AC86" i="4"/>
  <c r="Q29" i="64"/>
  <c r="E28" i="6"/>
  <c r="E33" i="6" s="1"/>
  <c r="D32" i="6"/>
  <c r="O27" i="6"/>
  <c r="L15" i="64"/>
  <c r="H15" i="64"/>
  <c r="D15" i="64"/>
  <c r="AD78" i="4"/>
  <c r="E53" i="46"/>
  <c r="I63" i="46" s="1"/>
  <c r="Q53" i="46"/>
  <c r="AE55" i="4"/>
  <c r="I33" i="46"/>
  <c r="N18" i="32" s="1"/>
  <c r="M56" i="62" l="1"/>
  <c r="D56" i="62"/>
  <c r="L56" i="62"/>
  <c r="B56" i="62"/>
  <c r="K56" i="62"/>
  <c r="J56" i="62"/>
  <c r="C56" i="62"/>
  <c r="I56" i="62"/>
  <c r="H56" i="62"/>
  <c r="F56" i="62"/>
  <c r="E56" i="62"/>
  <c r="G56" i="62"/>
  <c r="P21" i="29"/>
  <c r="M12" i="32" s="1"/>
  <c r="M32" i="32" s="1"/>
  <c r="E27" i="6"/>
  <c r="E32" i="6" s="1"/>
  <c r="Q21" i="29"/>
  <c r="N47" i="63"/>
  <c r="B11" i="63"/>
  <c r="D38" i="6"/>
  <c r="E18" i="6"/>
  <c r="E20" i="6" s="1"/>
  <c r="D22" i="6" s="1"/>
  <c r="O32" i="6"/>
  <c r="D39" i="6"/>
  <c r="Q17" i="29"/>
  <c r="N28" i="29" s="1"/>
  <c r="Q28" i="29" s="1"/>
  <c r="M13" i="32" s="1"/>
  <c r="R29" i="64"/>
  <c r="P28" i="6"/>
  <c r="P33" i="6" s="1"/>
  <c r="P27" i="6"/>
  <c r="P32" i="6" s="1"/>
  <c r="D101" i="62"/>
  <c r="G101" i="62"/>
  <c r="I101" i="62"/>
  <c r="M101" i="62"/>
  <c r="C101" i="62"/>
  <c r="B101" i="62"/>
  <c r="B68" i="62" s="1"/>
  <c r="L101" i="62"/>
  <c r="H101" i="62"/>
  <c r="K101" i="62"/>
  <c r="J101" i="62"/>
  <c r="F101" i="62"/>
  <c r="E101" i="62"/>
  <c r="I15" i="64"/>
  <c r="J15" i="64"/>
  <c r="F15" i="64"/>
  <c r="K15" i="64"/>
  <c r="E15" i="64"/>
  <c r="G15" i="64"/>
  <c r="N15" i="64"/>
  <c r="M15" i="64"/>
  <c r="S53" i="46"/>
  <c r="S63" i="46"/>
  <c r="E29" i="29"/>
  <c r="H29" i="29" s="1"/>
  <c r="AD79" i="4"/>
  <c r="N29" i="29"/>
  <c r="Q29" i="29" s="1"/>
  <c r="E16" i="53"/>
  <c r="M16" i="53" s="1"/>
  <c r="E22" i="53"/>
  <c r="M22" i="53" s="1"/>
  <c r="H53" i="46"/>
  <c r="O26" i="32"/>
  <c r="R53" i="46"/>
  <c r="I50" i="62" l="1"/>
  <c r="I32" i="62"/>
  <c r="I12" i="62" s="1"/>
  <c r="G50" i="62"/>
  <c r="G32" i="62"/>
  <c r="H32" i="62"/>
  <c r="H50" i="62"/>
  <c r="K50" i="62"/>
  <c r="K32" i="62"/>
  <c r="K12" i="62" s="1"/>
  <c r="E32" i="62"/>
  <c r="E50" i="62"/>
  <c r="J50" i="62"/>
  <c r="J32" i="62"/>
  <c r="J12" i="62" s="1"/>
  <c r="D50" i="62"/>
  <c r="D32" i="62"/>
  <c r="F32" i="62"/>
  <c r="F50" i="62"/>
  <c r="C32" i="62"/>
  <c r="C50" i="62"/>
  <c r="L32" i="62"/>
  <c r="L12" i="62" s="1"/>
  <c r="L50" i="62"/>
  <c r="M32" i="62"/>
  <c r="M12" i="62" s="1"/>
  <c r="M50" i="62"/>
  <c r="N56" i="62"/>
  <c r="B32" i="62"/>
  <c r="B50" i="62"/>
  <c r="N13" i="32"/>
  <c r="P54" i="62"/>
  <c r="N9" i="32"/>
  <c r="P53" i="62"/>
  <c r="M11" i="51"/>
  <c r="D7" i="53"/>
  <c r="J7" i="53" s="1"/>
  <c r="N7" i="51" s="1"/>
  <c r="M41" i="32"/>
  <c r="M10" i="51"/>
  <c r="B35" i="67"/>
  <c r="N11" i="63"/>
  <c r="D23" i="6"/>
  <c r="O22" i="6"/>
  <c r="O43" i="32"/>
  <c r="H95" i="62"/>
  <c r="H68" i="62"/>
  <c r="T23" i="67" s="1"/>
  <c r="K95" i="62"/>
  <c r="K68" i="62"/>
  <c r="W23" i="67" s="1"/>
  <c r="C95" i="62"/>
  <c r="C68" i="62"/>
  <c r="O23" i="67" s="1"/>
  <c r="E95" i="62"/>
  <c r="E68" i="62"/>
  <c r="Q23" i="67" s="1"/>
  <c r="F95" i="62"/>
  <c r="F68" i="62"/>
  <c r="R23" i="67" s="1"/>
  <c r="I95" i="62"/>
  <c r="I68" i="62"/>
  <c r="U23" i="67" s="1"/>
  <c r="D95" i="62"/>
  <c r="D68" i="62"/>
  <c r="P23" i="67" s="1"/>
  <c r="L95" i="62"/>
  <c r="L68" i="62"/>
  <c r="X23" i="67" s="1"/>
  <c r="M95" i="62"/>
  <c r="M68" i="62"/>
  <c r="Y23" i="67" s="1"/>
  <c r="J95" i="62"/>
  <c r="J68" i="62"/>
  <c r="V23" i="67" s="1"/>
  <c r="G95" i="62"/>
  <c r="G68" i="62"/>
  <c r="S23" i="67" s="1"/>
  <c r="B95" i="62"/>
  <c r="N23" i="67"/>
  <c r="E103" i="62"/>
  <c r="E70" i="62" s="1"/>
  <c r="I103" i="62"/>
  <c r="I70" i="62" s="1"/>
  <c r="M103" i="62"/>
  <c r="M70" i="62" s="1"/>
  <c r="F103" i="62"/>
  <c r="F70" i="62" s="1"/>
  <c r="J103" i="62"/>
  <c r="J70" i="62" s="1"/>
  <c r="B103" i="62"/>
  <c r="C103" i="62"/>
  <c r="C70" i="62" s="1"/>
  <c r="G103" i="62"/>
  <c r="G70" i="62" s="1"/>
  <c r="K103" i="62"/>
  <c r="K70" i="62" s="1"/>
  <c r="D103" i="62"/>
  <c r="D70" i="62" s="1"/>
  <c r="H103" i="62"/>
  <c r="H70" i="62" s="1"/>
  <c r="L103" i="62"/>
  <c r="L70" i="62" s="1"/>
  <c r="N10" i="51"/>
  <c r="N32" i="32"/>
  <c r="N101" i="62"/>
  <c r="O15" i="64"/>
  <c r="C15" i="64"/>
  <c r="E23" i="53"/>
  <c r="M23" i="53" s="1"/>
  <c r="O28" i="51" s="1"/>
  <c r="E20" i="53"/>
  <c r="M20" i="53" s="1"/>
  <c r="O24" i="51" s="1"/>
  <c r="E19" i="53"/>
  <c r="M19" i="53" s="1"/>
  <c r="E14" i="53"/>
  <c r="O34" i="32"/>
  <c r="F111" i="62" l="1"/>
  <c r="F120" i="62" s="1"/>
  <c r="F12" i="62"/>
  <c r="D12" i="62"/>
  <c r="D111" i="62"/>
  <c r="D120" i="62" s="1"/>
  <c r="N32" i="62"/>
  <c r="Q32" i="62" s="1"/>
  <c r="B12" i="62"/>
  <c r="B111" i="62"/>
  <c r="B120" i="62" s="1"/>
  <c r="E111" i="62"/>
  <c r="E120" i="62" s="1"/>
  <c r="E12" i="62"/>
  <c r="H111" i="62"/>
  <c r="H120" i="62" s="1"/>
  <c r="H12" i="62"/>
  <c r="G111" i="62"/>
  <c r="G120" i="62" s="1"/>
  <c r="G12" i="62"/>
  <c r="N50" i="62"/>
  <c r="Q53" i="62"/>
  <c r="K53" i="62" s="1"/>
  <c r="K29" i="62" s="1"/>
  <c r="K9" i="62" s="1"/>
  <c r="K8" i="67" s="1"/>
  <c r="C111" i="62"/>
  <c r="C120" i="62" s="1"/>
  <c r="C12" i="62"/>
  <c r="M30" i="51"/>
  <c r="N34" i="51"/>
  <c r="D33" i="6"/>
  <c r="O23" i="6"/>
  <c r="T34" i="67"/>
  <c r="H56" i="63"/>
  <c r="H63" i="63" s="1"/>
  <c r="O34" i="67"/>
  <c r="C56" i="63"/>
  <c r="C63" i="63" s="1"/>
  <c r="O35" i="67" s="1"/>
  <c r="R34" i="67"/>
  <c r="F56" i="63"/>
  <c r="F63" i="63" s="1"/>
  <c r="V34" i="67"/>
  <c r="J56" i="63"/>
  <c r="J63" i="63" s="1"/>
  <c r="U34" i="67"/>
  <c r="I56" i="63"/>
  <c r="I63" i="63" s="1"/>
  <c r="Q34" i="67"/>
  <c r="E56" i="63"/>
  <c r="E63" i="63" s="1"/>
  <c r="Q35" i="67" s="1"/>
  <c r="S34" i="67"/>
  <c r="G56" i="63"/>
  <c r="G63" i="63" s="1"/>
  <c r="Y34" i="67"/>
  <c r="M56" i="63"/>
  <c r="M63" i="63" s="1"/>
  <c r="W34" i="67"/>
  <c r="K56" i="63"/>
  <c r="K63" i="63" s="1"/>
  <c r="X34" i="67"/>
  <c r="L56" i="63"/>
  <c r="L63" i="63" s="1"/>
  <c r="P34" i="67"/>
  <c r="D56" i="63"/>
  <c r="D63" i="63" s="1"/>
  <c r="P35" i="67" s="1"/>
  <c r="N30" i="51"/>
  <c r="Q30" i="64"/>
  <c r="D10" i="53"/>
  <c r="P29" i="62"/>
  <c r="N95" i="62"/>
  <c r="N68" i="62"/>
  <c r="C27" i="68"/>
  <c r="E27" i="68"/>
  <c r="D27" i="68"/>
  <c r="P104" i="62"/>
  <c r="P24" i="51"/>
  <c r="E26" i="53"/>
  <c r="O42" i="32"/>
  <c r="E13" i="53"/>
  <c r="K26" i="53" s="1"/>
  <c r="K14" i="53" s="1"/>
  <c r="M14" i="53" s="1"/>
  <c r="O16" i="51" s="1"/>
  <c r="E53" i="62" l="1"/>
  <c r="E29" i="62" s="1"/>
  <c r="F53" i="62"/>
  <c r="F29" i="62" s="1"/>
  <c r="Q58" i="62"/>
  <c r="Q56" i="62"/>
  <c r="R56" i="62" s="1"/>
  <c r="S56" i="62" s="1"/>
  <c r="Q54" i="62"/>
  <c r="M53" i="62"/>
  <c r="M29" i="62" s="1"/>
  <c r="M9" i="62" s="1"/>
  <c r="M8" i="67" s="1"/>
  <c r="L53" i="62"/>
  <c r="L29" i="62" s="1"/>
  <c r="L9" i="62" s="1"/>
  <c r="L8" i="67" s="1"/>
  <c r="C53" i="62"/>
  <c r="C29" i="62" s="1"/>
  <c r="C9" i="62" s="1"/>
  <c r="C8" i="67" s="1"/>
  <c r="I53" i="62"/>
  <c r="I29" i="62" s="1"/>
  <c r="I9" i="62" s="1"/>
  <c r="I8" i="67" s="1"/>
  <c r="J53" i="62"/>
  <c r="J29" i="62" s="1"/>
  <c r="J9" i="62" s="1"/>
  <c r="J8" i="67" s="1"/>
  <c r="B53" i="62"/>
  <c r="B29" i="62" s="1"/>
  <c r="G53" i="62"/>
  <c r="G29" i="62" s="1"/>
  <c r="G108" i="62" s="1"/>
  <c r="G117" i="62" s="1"/>
  <c r="D53" i="62"/>
  <c r="D29" i="62" s="1"/>
  <c r="D108" i="62" s="1"/>
  <c r="D117" i="62" s="1"/>
  <c r="H53" i="62"/>
  <c r="H29" i="62" s="1"/>
  <c r="H108" i="62" s="1"/>
  <c r="H117" i="62" s="1"/>
  <c r="R53" i="62"/>
  <c r="S53" i="62" s="1"/>
  <c r="C108" i="62"/>
  <c r="C117" i="62" s="1"/>
  <c r="E108" i="62"/>
  <c r="E117" i="62" s="1"/>
  <c r="E9" i="62"/>
  <c r="E8" i="67" s="1"/>
  <c r="F9" i="62"/>
  <c r="F8" i="67" s="1"/>
  <c r="F108" i="62"/>
  <c r="F117" i="62" s="1"/>
  <c r="O33" i="6"/>
  <c r="D40" i="6"/>
  <c r="Q45" i="67"/>
  <c r="E30" i="68"/>
  <c r="Q48" i="67" s="1"/>
  <c r="O45" i="67"/>
  <c r="C30" i="68"/>
  <c r="O48" i="67" s="1"/>
  <c r="P45" i="67"/>
  <c r="D30" i="68"/>
  <c r="P48" i="67" s="1"/>
  <c r="R30" i="64"/>
  <c r="Q35" i="64"/>
  <c r="Q103" i="62"/>
  <c r="Q101" i="62"/>
  <c r="Q98" i="62"/>
  <c r="Q100" i="62"/>
  <c r="Q102" i="62"/>
  <c r="Q99" i="62"/>
  <c r="G27" i="68"/>
  <c r="K27" i="68"/>
  <c r="H27" i="68"/>
  <c r="F27" i="68"/>
  <c r="F30" i="68" s="1"/>
  <c r="M27" i="68"/>
  <c r="J27" i="68"/>
  <c r="I27" i="68"/>
  <c r="B27" i="68"/>
  <c r="B30" i="68" s="1"/>
  <c r="N48" i="67" s="1"/>
  <c r="L27" i="68"/>
  <c r="J10" i="53"/>
  <c r="K49" i="64"/>
  <c r="H26" i="53"/>
  <c r="H14" i="53" s="1"/>
  <c r="P16" i="51"/>
  <c r="O33" i="32"/>
  <c r="O45" i="32" s="1"/>
  <c r="E10" i="53"/>
  <c r="M10" i="53" s="1"/>
  <c r="M13" i="53"/>
  <c r="G9" i="62" l="1"/>
  <c r="G8" i="67" s="1"/>
  <c r="N53" i="62"/>
  <c r="H9" i="62"/>
  <c r="H8" i="67" s="1"/>
  <c r="F54" i="62"/>
  <c r="F30" i="62" s="1"/>
  <c r="D54" i="62"/>
  <c r="D30" i="62" s="1"/>
  <c r="D10" i="62" s="1"/>
  <c r="D13" i="67" s="1"/>
  <c r="E54" i="62"/>
  <c r="E30" i="62" s="1"/>
  <c r="M54" i="62"/>
  <c r="M30" i="62" s="1"/>
  <c r="M10" i="62" s="1"/>
  <c r="R54" i="62"/>
  <c r="S54" i="62" s="1"/>
  <c r="G54" i="62"/>
  <c r="G30" i="62" s="1"/>
  <c r="K54" i="62"/>
  <c r="K30" i="62" s="1"/>
  <c r="K10" i="62" s="1"/>
  <c r="C54" i="62"/>
  <c r="C30" i="62" s="1"/>
  <c r="C109" i="62" s="1"/>
  <c r="C118" i="62" s="1"/>
  <c r="H54" i="62"/>
  <c r="H30" i="62" s="1"/>
  <c r="H10" i="62" s="1"/>
  <c r="B54" i="62"/>
  <c r="I54" i="62"/>
  <c r="I30" i="62" s="1"/>
  <c r="I10" i="62" s="1"/>
  <c r="I13" i="67" s="1"/>
  <c r="L54" i="62"/>
  <c r="L30" i="62" s="1"/>
  <c r="L10" i="62" s="1"/>
  <c r="J54" i="62"/>
  <c r="J30" i="62" s="1"/>
  <c r="J10" i="62" s="1"/>
  <c r="D9" i="62"/>
  <c r="D8" i="67" s="1"/>
  <c r="B9" i="62"/>
  <c r="B108" i="62"/>
  <c r="B117" i="62" s="1"/>
  <c r="N29" i="62"/>
  <c r="Q29" i="62" s="1"/>
  <c r="O48" i="32"/>
  <c r="O50" i="32"/>
  <c r="O49" i="32"/>
  <c r="O47" i="32"/>
  <c r="O46" i="32"/>
  <c r="G109" i="62"/>
  <c r="G118" i="62" s="1"/>
  <c r="G10" i="62"/>
  <c r="G13" i="67" s="1"/>
  <c r="F109" i="62"/>
  <c r="F118" i="62" s="1"/>
  <c r="F10" i="62"/>
  <c r="F13" i="67" s="1"/>
  <c r="E109" i="62"/>
  <c r="E118" i="62" s="1"/>
  <c r="E10" i="62"/>
  <c r="E13" i="67" s="1"/>
  <c r="D109" i="62"/>
  <c r="D118" i="62" s="1"/>
  <c r="Q104" i="62"/>
  <c r="I30" i="68"/>
  <c r="U48" i="67" s="1"/>
  <c r="J30" i="68"/>
  <c r="V48" i="67" s="1"/>
  <c r="M30" i="68"/>
  <c r="Y48" i="67" s="1"/>
  <c r="G30" i="68"/>
  <c r="S48" i="67" s="1"/>
  <c r="L30" i="68"/>
  <c r="X48" i="67" s="1"/>
  <c r="H30" i="68"/>
  <c r="T48" i="67" s="1"/>
  <c r="K30" i="68"/>
  <c r="W48" i="67" s="1"/>
  <c r="F100" i="62"/>
  <c r="F67" i="62" s="1"/>
  <c r="J100" i="62"/>
  <c r="J67" i="62" s="1"/>
  <c r="B100" i="62"/>
  <c r="B67" i="62" s="1"/>
  <c r="C100" i="62"/>
  <c r="C67" i="62" s="1"/>
  <c r="G100" i="62"/>
  <c r="G67" i="62" s="1"/>
  <c r="K100" i="62"/>
  <c r="K67" i="62" s="1"/>
  <c r="D100" i="62"/>
  <c r="D67" i="62" s="1"/>
  <c r="H100" i="62"/>
  <c r="H67" i="62" s="1"/>
  <c r="L100" i="62"/>
  <c r="L67" i="62" s="1"/>
  <c r="E100" i="62"/>
  <c r="E67" i="62" s="1"/>
  <c r="I100" i="62"/>
  <c r="I67" i="62" s="1"/>
  <c r="M100" i="62"/>
  <c r="M67" i="62" s="1"/>
  <c r="F98" i="62"/>
  <c r="J98" i="62"/>
  <c r="B98" i="62"/>
  <c r="C98" i="62"/>
  <c r="G98" i="62"/>
  <c r="K98" i="62"/>
  <c r="D98" i="62"/>
  <c r="H98" i="62"/>
  <c r="H65" i="62" s="1"/>
  <c r="L98" i="62"/>
  <c r="E98" i="62"/>
  <c r="I98" i="62"/>
  <c r="M98" i="62"/>
  <c r="F99" i="62"/>
  <c r="F66" i="62" s="1"/>
  <c r="J99" i="62"/>
  <c r="J66" i="62" s="1"/>
  <c r="B99" i="62"/>
  <c r="B66" i="62" s="1"/>
  <c r="C99" i="62"/>
  <c r="C66" i="62" s="1"/>
  <c r="G99" i="62"/>
  <c r="G66" i="62" s="1"/>
  <c r="K99" i="62"/>
  <c r="K66" i="62" s="1"/>
  <c r="D99" i="62"/>
  <c r="D66" i="62" s="1"/>
  <c r="H99" i="62"/>
  <c r="H66" i="62" s="1"/>
  <c r="L99" i="62"/>
  <c r="L66" i="62" s="1"/>
  <c r="E99" i="62"/>
  <c r="E66" i="62" s="1"/>
  <c r="I99" i="62"/>
  <c r="I66" i="62" s="1"/>
  <c r="M99" i="62"/>
  <c r="M66" i="62" s="1"/>
  <c r="F102" i="62"/>
  <c r="F69" i="62" s="1"/>
  <c r="J102" i="62"/>
  <c r="J69" i="62" s="1"/>
  <c r="B102" i="62"/>
  <c r="C102" i="62"/>
  <c r="C69" i="62" s="1"/>
  <c r="G102" i="62"/>
  <c r="G69" i="62" s="1"/>
  <c r="K102" i="62"/>
  <c r="K69" i="62" s="1"/>
  <c r="D102" i="62"/>
  <c r="D69" i="62" s="1"/>
  <c r="H102" i="62"/>
  <c r="H69" i="62" s="1"/>
  <c r="L102" i="62"/>
  <c r="L69" i="62" s="1"/>
  <c r="E102" i="62"/>
  <c r="E69" i="62" s="1"/>
  <c r="I102" i="62"/>
  <c r="I69" i="62" s="1"/>
  <c r="M102" i="62"/>
  <c r="M69" i="62" s="1"/>
  <c r="N27" i="68"/>
  <c r="R35" i="67"/>
  <c r="W35" i="67"/>
  <c r="X35" i="67"/>
  <c r="V35" i="67"/>
  <c r="R48" i="67"/>
  <c r="Y35" i="67"/>
  <c r="T35" i="67"/>
  <c r="S35" i="67"/>
  <c r="N18" i="68"/>
  <c r="U35" i="67"/>
  <c r="N11" i="51"/>
  <c r="D49" i="64"/>
  <c r="E49" i="64"/>
  <c r="G49" i="64"/>
  <c r="N49" i="64"/>
  <c r="L49" i="64"/>
  <c r="I49" i="64"/>
  <c r="J49" i="64"/>
  <c r="H49" i="64"/>
  <c r="M49" i="64"/>
  <c r="F49" i="64"/>
  <c r="C49" i="64"/>
  <c r="E7" i="53"/>
  <c r="H109" i="62" l="1"/>
  <c r="H118" i="62" s="1"/>
  <c r="C10" i="62"/>
  <c r="C13" i="67" s="1"/>
  <c r="N54" i="62"/>
  <c r="B30" i="62"/>
  <c r="O51" i="32"/>
  <c r="B8" i="67"/>
  <c r="N9" i="62"/>
  <c r="G65" i="62"/>
  <c r="S8" i="67" s="1"/>
  <c r="M65" i="62"/>
  <c r="Y8" i="67" s="1"/>
  <c r="C65" i="62"/>
  <c r="O8" i="67" s="1"/>
  <c r="I65" i="62"/>
  <c r="U8" i="67" s="1"/>
  <c r="E65" i="62"/>
  <c r="Q8" i="67" s="1"/>
  <c r="J65" i="62"/>
  <c r="V8" i="67" s="1"/>
  <c r="L65" i="62"/>
  <c r="X8" i="67" s="1"/>
  <c r="F65" i="62"/>
  <c r="R8" i="67" s="1"/>
  <c r="D65" i="62"/>
  <c r="P8" i="67" s="1"/>
  <c r="K65" i="62"/>
  <c r="W8" i="67" s="1"/>
  <c r="J13" i="67"/>
  <c r="L13" i="67"/>
  <c r="K13" i="67"/>
  <c r="N30" i="68"/>
  <c r="Y29" i="67"/>
  <c r="M55" i="63"/>
  <c r="M62" i="63" s="1"/>
  <c r="Y30" i="67" s="1"/>
  <c r="T29" i="67"/>
  <c r="H55" i="63"/>
  <c r="H62" i="63" s="1"/>
  <c r="T30" i="67" s="1"/>
  <c r="U29" i="67"/>
  <c r="I55" i="63"/>
  <c r="I62" i="63" s="1"/>
  <c r="U30" i="67" s="1"/>
  <c r="X29" i="67"/>
  <c r="L55" i="63"/>
  <c r="L62" i="63" s="1"/>
  <c r="X30" i="67" s="1"/>
  <c r="W29" i="67"/>
  <c r="K55" i="63"/>
  <c r="K62" i="63" s="1"/>
  <c r="W30" i="67" s="1"/>
  <c r="H13" i="67"/>
  <c r="P29" i="67"/>
  <c r="D55" i="63"/>
  <c r="D62" i="63" s="1"/>
  <c r="P30" i="67" s="1"/>
  <c r="V29" i="67"/>
  <c r="J55" i="63"/>
  <c r="J62" i="63" s="1"/>
  <c r="V30" i="67" s="1"/>
  <c r="O29" i="67"/>
  <c r="C55" i="63"/>
  <c r="C62" i="63" s="1"/>
  <c r="O30" i="67" s="1"/>
  <c r="R29" i="67"/>
  <c r="F55" i="63"/>
  <c r="F62" i="63" s="1"/>
  <c r="R30" i="67" s="1"/>
  <c r="Q29" i="67"/>
  <c r="E55" i="63"/>
  <c r="E62" i="63" s="1"/>
  <c r="Q30" i="67" s="1"/>
  <c r="S29" i="67"/>
  <c r="G55" i="63"/>
  <c r="G62" i="63" s="1"/>
  <c r="S30" i="67" s="1"/>
  <c r="D104" i="62"/>
  <c r="N99" i="62"/>
  <c r="F104" i="62"/>
  <c r="C104" i="62"/>
  <c r="J104" i="62"/>
  <c r="E104" i="62"/>
  <c r="G104" i="62"/>
  <c r="K104" i="62"/>
  <c r="B65" i="62"/>
  <c r="N98" i="62"/>
  <c r="N100" i="62"/>
  <c r="I104" i="62"/>
  <c r="L104" i="62"/>
  <c r="H104" i="62"/>
  <c r="B69" i="62"/>
  <c r="B55" i="63" s="1"/>
  <c r="B62" i="63" s="1"/>
  <c r="N102" i="62"/>
  <c r="M104" i="62"/>
  <c r="N29" i="68"/>
  <c r="N45" i="67"/>
  <c r="B23" i="67"/>
  <c r="P30" i="62"/>
  <c r="E25" i="53"/>
  <c r="M7" i="53"/>
  <c r="M25" i="53" s="1"/>
  <c r="B109" i="62" l="1"/>
  <c r="B118" i="62" s="1"/>
  <c r="B10" i="62"/>
  <c r="B13" i="67" s="1"/>
  <c r="N30" i="62"/>
  <c r="Q30" i="62" s="1"/>
  <c r="N30" i="67"/>
  <c r="N62" i="63"/>
  <c r="N55" i="63"/>
  <c r="C34" i="67"/>
  <c r="C23" i="67"/>
  <c r="I23" i="67"/>
  <c r="F34" i="67"/>
  <c r="F23" i="67"/>
  <c r="G34" i="67"/>
  <c r="G23" i="67"/>
  <c r="M34" i="67"/>
  <c r="M23" i="67"/>
  <c r="D34" i="67"/>
  <c r="D23" i="67"/>
  <c r="J34" i="67"/>
  <c r="J23" i="67"/>
  <c r="K34" i="67"/>
  <c r="K23" i="67"/>
  <c r="L34" i="67"/>
  <c r="L23" i="67"/>
  <c r="E34" i="67"/>
  <c r="E23" i="67"/>
  <c r="H23" i="67"/>
  <c r="N69" i="62"/>
  <c r="N29" i="67"/>
  <c r="T8" i="67"/>
  <c r="N8" i="67"/>
  <c r="N65" i="62"/>
  <c r="N12" i="62"/>
  <c r="B34" i="67"/>
  <c r="O7" i="51"/>
  <c r="O19" i="51"/>
  <c r="O27" i="51"/>
  <c r="O11" i="51"/>
  <c r="O15" i="51"/>
  <c r="O23" i="51"/>
  <c r="P69" i="62" l="1"/>
  <c r="P67" i="62"/>
  <c r="P68" i="62"/>
  <c r="Q68" i="62" s="1"/>
  <c r="P70" i="62"/>
  <c r="P66" i="62"/>
  <c r="O34" i="51"/>
  <c r="Q59" i="64" s="1"/>
  <c r="R59" i="64" s="1"/>
  <c r="M13" i="67"/>
  <c r="N10" i="62"/>
  <c r="Q69" i="62"/>
  <c r="H34" i="67"/>
  <c r="I34" i="67"/>
  <c r="P65" i="62"/>
  <c r="N14" i="62"/>
  <c r="P27" i="51"/>
  <c r="P15" i="51"/>
  <c r="P23" i="51"/>
  <c r="P19" i="51"/>
  <c r="P7" i="51"/>
  <c r="P11" i="51"/>
  <c r="O31" i="51"/>
  <c r="P71" i="62" l="1"/>
  <c r="Q61" i="64"/>
  <c r="Q65" i="62"/>
  <c r="O32" i="51"/>
  <c r="B104" i="62" l="1"/>
  <c r="N103" i="62"/>
  <c r="N104" i="62" s="1"/>
  <c r="B70" i="62"/>
  <c r="B56" i="63" s="1"/>
  <c r="B63" i="63" s="1"/>
  <c r="N35" i="67" l="1"/>
  <c r="N63" i="63"/>
  <c r="N56" i="63"/>
  <c r="N70" i="62"/>
  <c r="Q70" i="62" s="1"/>
  <c r="N34" i="67"/>
  <c r="N13" i="67" l="1"/>
  <c r="N66" i="62"/>
  <c r="Q13" i="67"/>
  <c r="W13" i="67"/>
  <c r="V13" i="67"/>
  <c r="O13" i="67"/>
  <c r="P13" i="67"/>
  <c r="X13" i="67"/>
  <c r="R13" i="67"/>
  <c r="S13" i="67"/>
  <c r="T13" i="67"/>
  <c r="Y13" i="67"/>
  <c r="U13" i="67"/>
  <c r="Q66" i="62" l="1"/>
  <c r="I81" i="62" l="1"/>
  <c r="K81" i="62"/>
  <c r="N77" i="62"/>
  <c r="N81" i="62" s="1"/>
  <c r="B81" i="62"/>
  <c r="G81" i="62"/>
  <c r="H81" i="62"/>
  <c r="M81" i="62"/>
  <c r="D81" i="62"/>
  <c r="J81" i="62"/>
  <c r="F81" i="62"/>
  <c r="E81" i="62"/>
  <c r="L81" i="62"/>
  <c r="C81" i="62"/>
  <c r="P18" i="67" l="1"/>
  <c r="D54" i="63"/>
  <c r="D61" i="63" s="1"/>
  <c r="D71" i="62"/>
  <c r="S18" i="67"/>
  <c r="G54" i="63"/>
  <c r="G61" i="63" s="1"/>
  <c r="G71" i="62"/>
  <c r="N18" i="67"/>
  <c r="N67" i="62"/>
  <c r="B54" i="63"/>
  <c r="B71" i="62"/>
  <c r="O18" i="67"/>
  <c r="C54" i="63"/>
  <c r="C61" i="63" s="1"/>
  <c r="C71" i="62"/>
  <c r="X18" i="67"/>
  <c r="L54" i="63"/>
  <c r="L61" i="63" s="1"/>
  <c r="L71" i="62"/>
  <c r="E54" i="63"/>
  <c r="E61" i="63" s="1"/>
  <c r="Q18" i="67"/>
  <c r="E71" i="62"/>
  <c r="W18" i="67"/>
  <c r="K54" i="63"/>
  <c r="K61" i="63" s="1"/>
  <c r="K71" i="62"/>
  <c r="F54" i="63"/>
  <c r="F61" i="63" s="1"/>
  <c r="R18" i="67"/>
  <c r="F71" i="62"/>
  <c r="V18" i="67"/>
  <c r="J54" i="63"/>
  <c r="J61" i="63" s="1"/>
  <c r="J71" i="62"/>
  <c r="Y18" i="67"/>
  <c r="M54" i="63"/>
  <c r="M61" i="63" s="1"/>
  <c r="M71" i="62"/>
  <c r="H54" i="63"/>
  <c r="H61" i="63" s="1"/>
  <c r="T18" i="67"/>
  <c r="H71" i="62"/>
  <c r="U18" i="67"/>
  <c r="I54" i="63"/>
  <c r="I61" i="63" s="1"/>
  <c r="I71" i="62"/>
  <c r="Q67" i="62" l="1"/>
  <c r="N71" i="62"/>
  <c r="F57" i="63"/>
  <c r="L57" i="63"/>
  <c r="K57" i="63"/>
  <c r="G57" i="63"/>
  <c r="H57" i="63"/>
  <c r="M57" i="63"/>
  <c r="I57" i="63"/>
  <c r="C57" i="63"/>
  <c r="J57" i="63"/>
  <c r="D57" i="63"/>
  <c r="E57" i="63"/>
  <c r="N54" i="63"/>
  <c r="N57" i="63" s="1"/>
  <c r="B57" i="63"/>
  <c r="B61" i="63"/>
  <c r="Y19" i="67" l="1"/>
  <c r="M64" i="63"/>
  <c r="L64" i="63"/>
  <c r="X19" i="67"/>
  <c r="U19" i="67"/>
  <c r="I64" i="63"/>
  <c r="E64" i="63"/>
  <c r="Q19" i="67"/>
  <c r="V19" i="67"/>
  <c r="J64" i="63"/>
  <c r="H64" i="63"/>
  <c r="T19" i="67"/>
  <c r="F64" i="63"/>
  <c r="R19" i="67"/>
  <c r="N19" i="67"/>
  <c r="B64" i="63"/>
  <c r="N61" i="63"/>
  <c r="N64" i="63" s="1"/>
  <c r="G64" i="63"/>
  <c r="S19" i="67"/>
  <c r="K64" i="63"/>
  <c r="W19" i="67"/>
  <c r="P19" i="67"/>
  <c r="D64" i="63"/>
  <c r="C64" i="63"/>
  <c r="O19" i="67"/>
  <c r="H62" i="46" l="1"/>
  <c r="M25" i="32" s="1"/>
  <c r="E52" i="46"/>
  <c r="I62" i="46" s="1"/>
  <c r="N26" i="32" s="1"/>
  <c r="M23" i="51" l="1"/>
  <c r="H52" i="46"/>
  <c r="D19" i="53"/>
  <c r="D20" i="53"/>
  <c r="Q57" i="62"/>
  <c r="J57" i="62" l="1"/>
  <c r="K57" i="62"/>
  <c r="M57" i="62"/>
  <c r="D57" i="62"/>
  <c r="B57" i="62"/>
  <c r="C57" i="62"/>
  <c r="G57" i="62"/>
  <c r="L57" i="62"/>
  <c r="I57" i="62"/>
  <c r="R57" i="62"/>
  <c r="H57" i="62"/>
  <c r="F57" i="62"/>
  <c r="E57" i="62"/>
  <c r="J20" i="53"/>
  <c r="N24" i="51" s="1"/>
  <c r="J19" i="53"/>
  <c r="L33" i="62" l="1"/>
  <c r="F33" i="62"/>
  <c r="F13" i="62" s="1"/>
  <c r="F29" i="67" s="1"/>
  <c r="G33" i="62"/>
  <c r="G13" i="62" s="1"/>
  <c r="G29" i="67" s="1"/>
  <c r="H33" i="62"/>
  <c r="H13" i="62" s="1"/>
  <c r="H29" i="67" s="1"/>
  <c r="C33" i="62"/>
  <c r="C13" i="62" s="1"/>
  <c r="C29" i="67" s="1"/>
  <c r="E33" i="62"/>
  <c r="E13" i="62" s="1"/>
  <c r="E29" i="67" s="1"/>
  <c r="N57" i="62"/>
  <c r="B33" i="62"/>
  <c r="B13" i="62" s="1"/>
  <c r="B29" i="67" s="1"/>
  <c r="D33" i="62"/>
  <c r="D13" i="62" s="1"/>
  <c r="D29" i="67" s="1"/>
  <c r="M33" i="62"/>
  <c r="S57" i="62"/>
  <c r="K33" i="62"/>
  <c r="N23" i="51"/>
  <c r="I33" i="62"/>
  <c r="I13" i="62" s="1"/>
  <c r="J33" i="62"/>
  <c r="J13" i="62" s="1"/>
  <c r="I29" i="67" l="1"/>
  <c r="J29" i="67"/>
  <c r="K39" i="63"/>
  <c r="K13" i="62"/>
  <c r="H39" i="63"/>
  <c r="H112" i="62"/>
  <c r="H121" i="62" s="1"/>
  <c r="G112" i="62"/>
  <c r="G121" i="62" s="1"/>
  <c r="G39" i="63"/>
  <c r="E112" i="62"/>
  <c r="E121" i="62" s="1"/>
  <c r="E39" i="63"/>
  <c r="F112" i="62"/>
  <c r="F121" i="62" s="1"/>
  <c r="F39" i="63"/>
  <c r="I39" i="63"/>
  <c r="P33" i="62"/>
  <c r="B39" i="63"/>
  <c r="B46" i="63" s="1"/>
  <c r="B10" i="63" s="1"/>
  <c r="B30" i="67" s="1"/>
  <c r="N33" i="62"/>
  <c r="B112" i="62"/>
  <c r="B121" i="62" s="1"/>
  <c r="M39" i="63"/>
  <c r="M13" i="62"/>
  <c r="C112" i="62"/>
  <c r="C121" i="62" s="1"/>
  <c r="C39" i="63"/>
  <c r="L39" i="63"/>
  <c r="L13" i="62"/>
  <c r="D112" i="62"/>
  <c r="D121" i="62" s="1"/>
  <c r="D39" i="63"/>
  <c r="J39" i="63"/>
  <c r="J46" i="63" l="1"/>
  <c r="I46" i="63"/>
  <c r="C46" i="63"/>
  <c r="C10" i="63" s="1"/>
  <c r="C30" i="67" s="1"/>
  <c r="M46" i="63"/>
  <c r="G46" i="63"/>
  <c r="G10" i="63" s="1"/>
  <c r="G30" i="67" s="1"/>
  <c r="K46" i="63"/>
  <c r="D46" i="63"/>
  <c r="D10" i="63" s="1"/>
  <c r="D30" i="67" s="1"/>
  <c r="H46" i="63"/>
  <c r="H10" i="63" s="1"/>
  <c r="H30" i="67" s="1"/>
  <c r="E46" i="63"/>
  <c r="E10" i="63" s="1"/>
  <c r="E30" i="67" s="1"/>
  <c r="L46" i="63"/>
  <c r="F46" i="63"/>
  <c r="F10" i="63" s="1"/>
  <c r="F30" i="67" s="1"/>
  <c r="N39" i="63"/>
  <c r="Q33" i="62"/>
  <c r="M29" i="67"/>
  <c r="K29" i="67"/>
  <c r="N13" i="62"/>
  <c r="L29" i="67"/>
  <c r="I10" i="63" l="1"/>
  <c r="L10" i="63"/>
  <c r="J10" i="63"/>
  <c r="M10" i="63"/>
  <c r="K10" i="63"/>
  <c r="N46" i="63"/>
  <c r="I30" i="67" l="1"/>
  <c r="K30" i="67"/>
  <c r="J30" i="67"/>
  <c r="N10" i="63"/>
  <c r="M30" i="67"/>
  <c r="L30" i="67"/>
  <c r="D22" i="46" l="1"/>
  <c r="H32" i="46" s="1"/>
  <c r="M17" i="32" s="1"/>
  <c r="E22" i="46" l="1"/>
  <c r="I32" i="46" s="1"/>
  <c r="M18" i="32" s="1"/>
  <c r="M16" i="51" s="1"/>
  <c r="M42" i="32"/>
  <c r="M15" i="51"/>
  <c r="M33" i="32"/>
  <c r="M45" i="32" s="1"/>
  <c r="D14" i="53"/>
  <c r="N43" i="32"/>
  <c r="N34" i="32"/>
  <c r="Q55" i="62"/>
  <c r="M50" i="32" l="1"/>
  <c r="M49" i="32"/>
  <c r="M48" i="32"/>
  <c r="M46" i="32"/>
  <c r="M47" i="32"/>
  <c r="M31" i="51"/>
  <c r="M32" i="51"/>
  <c r="H22" i="46"/>
  <c r="M34" i="32"/>
  <c r="M43" i="32"/>
  <c r="D26" i="53"/>
  <c r="J14" i="53"/>
  <c r="N16" i="51" s="1"/>
  <c r="L55" i="62"/>
  <c r="D55" i="62"/>
  <c r="I55" i="62"/>
  <c r="F55" i="62"/>
  <c r="K55" i="62"/>
  <c r="R55" i="62"/>
  <c r="J55" i="62"/>
  <c r="M55" i="62"/>
  <c r="C55" i="62"/>
  <c r="H55" i="62"/>
  <c r="E55" i="62"/>
  <c r="G55" i="62"/>
  <c r="B55" i="62"/>
  <c r="D13" i="53"/>
  <c r="N33" i="32"/>
  <c r="N45" i="32" s="1"/>
  <c r="N42" i="32"/>
  <c r="N48" i="32" l="1"/>
  <c r="N49" i="32"/>
  <c r="N50" i="32"/>
  <c r="N46" i="32"/>
  <c r="N47" i="32"/>
  <c r="M51" i="32"/>
  <c r="N32" i="51"/>
  <c r="B59" i="62"/>
  <c r="N55" i="62"/>
  <c r="N59" i="62" s="1"/>
  <c r="N60" i="62" s="1"/>
  <c r="B31" i="62"/>
  <c r="B11" i="62" s="1"/>
  <c r="K31" i="62"/>
  <c r="K11" i="62" s="1"/>
  <c r="K59" i="62"/>
  <c r="M59" i="62"/>
  <c r="M31" i="62"/>
  <c r="J13" i="53"/>
  <c r="D25" i="53"/>
  <c r="G59" i="62"/>
  <c r="G31" i="62"/>
  <c r="G11" i="62" s="1"/>
  <c r="J59" i="62"/>
  <c r="J31" i="62"/>
  <c r="J11" i="62" s="1"/>
  <c r="R59" i="62"/>
  <c r="S55" i="62"/>
  <c r="S59" i="62" s="1"/>
  <c r="F31" i="62"/>
  <c r="F11" i="62" s="1"/>
  <c r="F59" i="62"/>
  <c r="E59" i="62"/>
  <c r="E31" i="62"/>
  <c r="E11" i="62" s="1"/>
  <c r="I31" i="62"/>
  <c r="I11" i="62" s="1"/>
  <c r="I59" i="62"/>
  <c r="H59" i="62"/>
  <c r="H31" i="62"/>
  <c r="H11" i="62" s="1"/>
  <c r="D31" i="62"/>
  <c r="D11" i="62" s="1"/>
  <c r="D59" i="62"/>
  <c r="C31" i="62"/>
  <c r="C11" i="62" s="1"/>
  <c r="C59" i="62"/>
  <c r="L31" i="62"/>
  <c r="L59" i="62"/>
  <c r="N51" i="32" l="1"/>
  <c r="K18" i="67"/>
  <c r="K15" i="62"/>
  <c r="J18" i="67"/>
  <c r="J15" i="62"/>
  <c r="I18" i="67"/>
  <c r="I15" i="62"/>
  <c r="H18" i="67"/>
  <c r="H15" i="62"/>
  <c r="G18" i="67"/>
  <c r="G15" i="62"/>
  <c r="F18" i="67"/>
  <c r="F15" i="62"/>
  <c r="E18" i="67"/>
  <c r="E15" i="62"/>
  <c r="D18" i="67"/>
  <c r="D15" i="62"/>
  <c r="C18" i="67"/>
  <c r="C15" i="62"/>
  <c r="B18" i="67"/>
  <c r="B15" i="62"/>
  <c r="F35" i="62"/>
  <c r="F38" i="63"/>
  <c r="F110" i="62"/>
  <c r="F119" i="62" s="1"/>
  <c r="H110" i="62"/>
  <c r="H119" i="62" s="1"/>
  <c r="H35" i="62"/>
  <c r="H38" i="63"/>
  <c r="J25" i="53"/>
  <c r="N15" i="51"/>
  <c r="J35" i="62"/>
  <c r="J38" i="63"/>
  <c r="D35" i="62"/>
  <c r="D38" i="63"/>
  <c r="D110" i="62"/>
  <c r="D119" i="62" s="1"/>
  <c r="M11" i="62"/>
  <c r="M35" i="62"/>
  <c r="M38" i="63"/>
  <c r="L35" i="62"/>
  <c r="L38" i="63"/>
  <c r="L11" i="62"/>
  <c r="E110" i="62"/>
  <c r="E119" i="62" s="1"/>
  <c r="E35" i="62"/>
  <c r="E38" i="63"/>
  <c r="G38" i="63"/>
  <c r="G110" i="62"/>
  <c r="G119" i="62" s="1"/>
  <c r="G35" i="62"/>
  <c r="B38" i="63"/>
  <c r="B110" i="62"/>
  <c r="B119" i="62" s="1"/>
  <c r="N31" i="62"/>
  <c r="N35" i="62" s="1"/>
  <c r="B35" i="62"/>
  <c r="I35" i="62"/>
  <c r="I38" i="63"/>
  <c r="K38" i="63"/>
  <c r="K35" i="62"/>
  <c r="C110" i="62"/>
  <c r="C119" i="62" s="1"/>
  <c r="C35" i="62"/>
  <c r="C38" i="63"/>
  <c r="K41" i="63" l="1"/>
  <c r="K45" i="63"/>
  <c r="I41" i="63"/>
  <c r="I45" i="63"/>
  <c r="E41" i="63"/>
  <c r="E45" i="63"/>
  <c r="M18" i="67"/>
  <c r="M15" i="62"/>
  <c r="H41" i="63"/>
  <c r="H45" i="63"/>
  <c r="M45" i="63"/>
  <c r="M41" i="63"/>
  <c r="N31" i="51"/>
  <c r="P31" i="62"/>
  <c r="G45" i="63"/>
  <c r="G41" i="63"/>
  <c r="C45" i="63"/>
  <c r="C41" i="63"/>
  <c r="D41" i="63"/>
  <c r="D45" i="63"/>
  <c r="N11" i="62"/>
  <c r="N15" i="62" s="1"/>
  <c r="L18" i="67"/>
  <c r="L15" i="62"/>
  <c r="B45" i="63"/>
  <c r="B9" i="63" s="1"/>
  <c r="N38" i="63"/>
  <c r="N41" i="63" s="1"/>
  <c r="B41" i="63"/>
  <c r="L41" i="63"/>
  <c r="L45" i="63"/>
  <c r="J41" i="63"/>
  <c r="J45" i="63"/>
  <c r="F45" i="63"/>
  <c r="F41" i="63"/>
  <c r="K48" i="63" l="1"/>
  <c r="K9" i="63"/>
  <c r="J48" i="63"/>
  <c r="J9" i="63"/>
  <c r="I48" i="63"/>
  <c r="I9" i="63"/>
  <c r="H48" i="63"/>
  <c r="H9" i="63"/>
  <c r="G48" i="63"/>
  <c r="G9" i="63"/>
  <c r="F48" i="63"/>
  <c r="F9" i="63"/>
  <c r="E48" i="63"/>
  <c r="E9" i="63"/>
  <c r="D48" i="63"/>
  <c r="D9" i="63"/>
  <c r="C48" i="63"/>
  <c r="C9" i="63"/>
  <c r="B19" i="67"/>
  <c r="B12" i="63"/>
  <c r="Q31" i="62"/>
  <c r="P35" i="62"/>
  <c r="N45" i="63"/>
  <c r="N48" i="63" s="1"/>
  <c r="B48" i="63"/>
  <c r="L48" i="63"/>
  <c r="L9" i="63"/>
  <c r="M9" i="63"/>
  <c r="M48" i="63"/>
  <c r="K19" i="67" l="1"/>
  <c r="K12" i="63"/>
  <c r="J19" i="67"/>
  <c r="J12" i="63"/>
  <c r="I19" i="67"/>
  <c r="I12" i="63"/>
  <c r="H19" i="67"/>
  <c r="H12" i="63"/>
  <c r="G19" i="67"/>
  <c r="G12" i="63"/>
  <c r="F19" i="67"/>
  <c r="F12" i="63"/>
  <c r="E19" i="67"/>
  <c r="E12" i="63"/>
  <c r="D19" i="67"/>
  <c r="D12" i="63"/>
  <c r="C19" i="67"/>
  <c r="C12" i="63"/>
  <c r="L12" i="63"/>
  <c r="L19" i="67"/>
  <c r="N9" i="63"/>
  <c r="N12" i="63" s="1"/>
  <c r="M19" i="67"/>
  <c r="M12" i="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M155" authorId="0" shapeId="0" xr:uid="{5C41248A-D0F4-4B09-A4AE-D4B6AF83DDF6}">
      <text>
        <r>
          <rPr>
            <b/>
            <sz val="9"/>
            <color indexed="81"/>
            <rFont val="Tahoma"/>
            <family val="2"/>
          </rPr>
          <t>Jeff Klassen:</t>
        </r>
        <r>
          <rPr>
            <sz val="9"/>
            <color indexed="81"/>
            <rFont val="Tahoma"/>
            <family val="2"/>
          </rPr>
          <t xml:space="preserve">
Prior 10 year average
</t>
        </r>
      </text>
    </comment>
    <comment ref="N155" authorId="0" shapeId="0" xr:uid="{D84F054C-C709-4B3A-966D-C331D1F08E2F}">
      <text>
        <r>
          <rPr>
            <b/>
            <sz val="9"/>
            <color indexed="81"/>
            <rFont val="Tahoma"/>
            <family val="2"/>
          </rPr>
          <t>Jeff Klassen:</t>
        </r>
        <r>
          <rPr>
            <sz val="9"/>
            <color indexed="81"/>
            <rFont val="Tahoma"/>
            <family val="2"/>
          </rPr>
          <t xml:space="preserve">
Prior 10 year average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G56" authorId="0" shapeId="0" xr:uid="{00000000-0006-0000-0800-000001000000}">
      <text>
        <r>
          <rPr>
            <b/>
            <sz val="9"/>
            <color indexed="81"/>
            <rFont val="Tahoma"/>
            <family val="2"/>
          </rPr>
          <t>Jeff Klassen:</t>
        </r>
        <r>
          <rPr>
            <sz val="9"/>
            <color indexed="81"/>
            <rFont val="Tahoma"/>
            <family val="2"/>
          </rPr>
          <t xml:space="preserve">
use 2018 actual due to LED upgrades
</t>
        </r>
      </text>
    </comment>
    <comment ref="Q56" authorId="0" shapeId="0" xr:uid="{4F0909CB-7223-48B5-A710-81A3B650BBD8}">
      <text>
        <r>
          <rPr>
            <b/>
            <sz val="9"/>
            <color indexed="81"/>
            <rFont val="Tahoma"/>
            <family val="2"/>
          </rPr>
          <t>Jeff Klassen:</t>
        </r>
        <r>
          <rPr>
            <sz val="9"/>
            <color indexed="81"/>
            <rFont val="Tahoma"/>
            <family val="2"/>
          </rPr>
          <t xml:space="preserve">
use 2018 actual due to LED upgrades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4" authorId="0" shapeId="0" xr:uid="{00000000-0006-0000-0B00-000001000000}">
      <text>
        <r>
          <rPr>
            <b/>
            <sz val="9"/>
            <color indexed="81"/>
            <rFont val="Tahoma"/>
            <family val="2"/>
          </rPr>
          <t xml:space="preserve">OEB staff:
</t>
        </r>
        <r>
          <rPr>
            <sz val="9"/>
            <color indexed="81"/>
            <rFont val="Tahoma"/>
            <family val="2"/>
          </rPr>
          <t>The utility should input its 2015-2020 CDM target.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A113" authorId="0" shapeId="0" xr:uid="{FE36248C-9A88-4942-9271-26CAD259C60A}">
      <text>
        <r>
          <rPr>
            <b/>
            <sz val="9"/>
            <color indexed="81"/>
            <rFont val="Tahoma"/>
            <family val="2"/>
          </rPr>
          <t>Jeff Klassen:</t>
        </r>
        <r>
          <rPr>
            <sz val="9"/>
            <color indexed="81"/>
            <rFont val="Tahoma"/>
            <family val="2"/>
          </rPr>
          <t xml:space="preserve">
Januuary 2021 through December 2022 as of Feb 7, 2023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G22" authorId="0" shapeId="0" xr:uid="{9D192FDD-9691-48EE-84A0-91510FC46383}">
      <text>
        <r>
          <rPr>
            <b/>
            <sz val="9"/>
            <color indexed="81"/>
            <rFont val="Tahoma"/>
            <family val="2"/>
          </rPr>
          <t>Jeff Klassen:</t>
        </r>
        <r>
          <rPr>
            <sz val="9"/>
            <color indexed="81"/>
            <rFont val="Tahoma"/>
            <family val="2"/>
          </rPr>
          <t xml:space="preserve">
ECJ 3202-3218 processed in June 2022 as a correction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G22" authorId="0" shapeId="0" xr:uid="{1D43AC16-390A-487C-B3A4-F5EB67BF1A52}">
      <text>
        <r>
          <rPr>
            <b/>
            <sz val="9"/>
            <color indexed="81"/>
            <rFont val="Tahoma"/>
            <family val="2"/>
          </rPr>
          <t>Jeff Klassen:</t>
        </r>
        <r>
          <rPr>
            <sz val="9"/>
            <color indexed="81"/>
            <rFont val="Tahoma"/>
            <family val="2"/>
          </rPr>
          <t xml:space="preserve">
ECJ 3202-3218 processed in June 2022 as a correction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Jeff Klassen</author>
  </authors>
  <commentList>
    <comment ref="P126" authorId="0" shapeId="0" xr:uid="{11D32BD9-EFD6-4BD1-913F-8A560EB53AB0}">
      <text>
        <r>
          <rPr>
            <b/>
            <sz val="9"/>
            <color indexed="81"/>
            <rFont val="Tahoma"/>
            <family val="2"/>
          </rPr>
          <t>Jeff Klassen:</t>
        </r>
        <r>
          <rPr>
            <sz val="9"/>
            <color indexed="81"/>
            <rFont val="Tahoma"/>
            <family val="2"/>
          </rPr>
          <t xml:space="preserve">
adjust for crypto class A qualification
acc 27877 &amp; 27878</t>
        </r>
      </text>
    </comment>
    <comment ref="P127" authorId="0" shapeId="0" xr:uid="{95E8CF9B-3F19-499B-9D5F-81ACA11A41AF}">
      <text>
        <r>
          <rPr>
            <b/>
            <sz val="9"/>
            <color indexed="81"/>
            <rFont val="Tahoma"/>
            <family val="2"/>
          </rPr>
          <t>Jeff Klassen:</t>
        </r>
        <r>
          <rPr>
            <sz val="9"/>
            <color indexed="81"/>
            <rFont val="Tahoma"/>
            <family val="2"/>
          </rPr>
          <t xml:space="preserve">
Jeff Klassen:
adjust for crypto class A qualification
acc 27877 &amp; 27878</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<sst xmlns="http://schemas.openxmlformats.org/spreadsheetml/2006/main" count="2004" uniqueCount="493">
  <si>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</si>
  <si>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</si>
  <si>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</si>
  <si>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</si>
  <si>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</si>
  <si>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</si>
  <si>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</si>
  <si>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</si>
  <si>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</si>
  <si>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</si>
  <si>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</si>
  <si>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</si>
  <si>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</si>
  <si>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</si>
  <si>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</si>
  <si>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</si>
  <si>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</si>
  <si>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</si>
  <si>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</si>
  <si>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</si>
  <si>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</si>
  <si>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</si>
  <si>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</si>
  <si>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</si>
  <si>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</si>
  <si>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</si>
  <si>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</si>
  <si>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</si>
  <si>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</si>
  <si>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</si>
  <si>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</si>
  <si>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</si>
  <si>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</si>
  <si>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kWh</t>
  </si>
  <si>
    <t>kW</t>
  </si>
  <si>
    <t>Per customer</t>
  </si>
  <si>
    <t>Added Load</t>
  </si>
  <si>
    <t>New Customer</t>
  </si>
  <si>
    <t>KW/kWh Ratio</t>
  </si>
  <si>
    <t>Non-Weather Sensitive</t>
  </si>
  <si>
    <t>kWh Purchased</t>
  </si>
  <si>
    <t>year over year</t>
  </si>
  <si>
    <t>Purch. VS Adj.</t>
  </si>
  <si>
    <t>Mean Average Percentage Error (Mape) :</t>
  </si>
  <si>
    <t>Total in Year</t>
  </si>
  <si>
    <t>Share</t>
  </si>
  <si>
    <t>Median</t>
  </si>
  <si>
    <t>Customer Class Name</t>
  </si>
  <si>
    <t>General Service &lt; 50 kW</t>
  </si>
  <si>
    <t>kW and Non-Weather Sensitive Load</t>
  </si>
  <si>
    <t>Weather Adjusted Load Forecast Results</t>
  </si>
  <si>
    <t>Streetlighting</t>
  </si>
  <si>
    <t>Unmetered Scattered Load</t>
  </si>
  <si>
    <t>other</t>
  </si>
  <si>
    <t>December</t>
  </si>
  <si>
    <t>September</t>
  </si>
  <si>
    <t>October</t>
  </si>
  <si>
    <t>November</t>
  </si>
  <si>
    <t>January</t>
  </si>
  <si>
    <t>February</t>
  </si>
  <si>
    <t>March</t>
  </si>
  <si>
    <t>April</t>
  </si>
  <si>
    <t>May</t>
  </si>
  <si>
    <t>June</t>
  </si>
  <si>
    <t>July</t>
  </si>
  <si>
    <t>August</t>
  </si>
  <si>
    <t>Unadjusted</t>
  </si>
  <si>
    <t>Unadjusted Wholesale Purchases kWh</t>
  </si>
  <si>
    <t>Revised Wholesale Purchases</t>
  </si>
  <si>
    <t>Variables Used</t>
  </si>
  <si>
    <t>Note: Statistically, MAPE is defined as the average of percentage errors</t>
  </si>
  <si>
    <t>Weather-Sensitive</t>
  </si>
  <si>
    <t>n/a</t>
  </si>
  <si>
    <t>Cust/Conn</t>
  </si>
  <si>
    <t>Customer Count</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</si>
  <si>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</si>
  <si>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</si>
  <si>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</si>
  <si>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</si>
  <si>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</si>
  <si>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</si>
  <si>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</si>
  <si>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</si>
  <si>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</si>
  <si>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</si>
  <si>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</si>
  <si>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</si>
  <si>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</si>
  <si>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</si>
  <si>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</si>
  <si>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</si>
  <si>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</si>
  <si>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</si>
  <si>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</si>
  <si>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SUMMARY OUTPUT</t>
  </si>
  <si>
    <t>FINAL ADJUSTED NUMBERS</t>
  </si>
  <si>
    <t>Per Customer Weather Normalized (based on 2014 cust count)</t>
  </si>
  <si>
    <t>Avg - Years =</t>
  </si>
  <si>
    <t>Total Customers</t>
  </si>
  <si>
    <t>kWh Predicted Vs. Actual</t>
  </si>
  <si>
    <t>Note: the median is the numerical value separating the higher half of a data sample, from the lower half</t>
  </si>
  <si>
    <t xml:space="preserve">Average </t>
  </si>
  <si>
    <t>Utility Adjusted Customer Growth %</t>
  </si>
  <si>
    <t>Forecasting Calculation Methodology</t>
  </si>
  <si>
    <t>Customers &amp; Connections</t>
  </si>
  <si>
    <t>kWh per connection</t>
  </si>
  <si>
    <t>KW per connection</t>
  </si>
  <si>
    <t>Customer/ Connection</t>
  </si>
  <si>
    <t>Average kWh</t>
  </si>
  <si>
    <t>Average kW</t>
  </si>
  <si>
    <t>Total kWh</t>
  </si>
  <si>
    <t>Total kW</t>
  </si>
  <si>
    <t>6 Year (2015-2020) kWh Target:</t>
  </si>
  <si>
    <t>%</t>
  </si>
  <si>
    <t>2015 CDM Programs</t>
  </si>
  <si>
    <t>2016 CDM Programs</t>
  </si>
  <si>
    <t>2017 CDM Programs</t>
  </si>
  <si>
    <t>2018 CDM Programs</t>
  </si>
  <si>
    <t>2019 CDM Programs</t>
  </si>
  <si>
    <t>2020 CDM Programs</t>
  </si>
  <si>
    <t>Distributor can select "0", "0.5", or "1" from drop-down list</t>
  </si>
  <si>
    <t>CDM Allocation</t>
  </si>
  <si>
    <t>Manual Reallocation</t>
  </si>
  <si>
    <t>Final Adjusted (kWh)</t>
  </si>
  <si>
    <t xml:space="preserve"> S/b Zero</t>
  </si>
  <si>
    <t>Adjusted kWh</t>
  </si>
  <si>
    <t>Linear Trending</t>
  </si>
  <si>
    <t>Linear Trending Calculation ( y=mx+b)</t>
  </si>
  <si>
    <t>Slope (m)</t>
  </si>
  <si>
    <t>Intercept (b)</t>
  </si>
  <si>
    <t>kWH Forecasted Purchases</t>
  </si>
  <si>
    <t>Adjustment</t>
  </si>
  <si>
    <t>General Service &gt; 50 kW - 4999 kW</t>
  </si>
  <si>
    <t>Appendix 2-I</t>
  </si>
  <si>
    <t>Load Forecast CDM Adjustment Work Form (2018)</t>
  </si>
  <si>
    <t>The new six year (2015-2020) CDM program works in a slightly different manner to the previous 2011-2014 CDM program. Distributors will offer programs each year that, over the six years (from January 1, 2015 to December 31, 2020) will strive to achieve savings equal to the new six year CDM target with the full target in place (i.e., persisting) on December 31, 2020. In other words, distributors will be able to offer and execute programs on a basis so that, as long as savings equal to the full target are in place at the end the period, the distributor's 2015-2020 CDM target will have been met.</t>
  </si>
  <si>
    <r>
      <t xml:space="preserve">Note: </t>
    </r>
    <r>
      <rPr>
        <sz val="10"/>
        <rFont val="Arial"/>
        <family val="2"/>
      </rPr>
      <t>The default formulae in the above table assume that the 2015-2020 kWh CDM target is achieved through persistence of CDM savings to the end of 2020. The distributor should enter measured CDM savings for 2015, and persistence of 2015 programs for 2016-2020 in row 34. When available, (preliminary/final) CDM savings for 2016 can be entered into row 35. The distributor can also input estimates or forecasts of the 2017 CDM programs if it believes that these are more realistic and can be supported; such information would typically be derived from the CDM plans that the distributor has filed with the IESO. Similarly, CDM savings and persistence into future years can be estimated for 2018, 2019 and 2020 CDM programs. However, the distributor will have to support its proposals for estimated or forecasted savings, particularly beyond the 2017 bridge year. The sum of persistent savings to the end of 2020, should equal the target entered into cell A23.</t>
    </r>
  </si>
  <si>
    <t>Weight Factor for Inclusion in CDM Adjustment to 2018 Load Forecast</t>
  </si>
  <si>
    <t>2015-2020 LRAMVA and 2018 CDM adjustment to Load Forecast</t>
  </si>
  <si>
    <t>One manual adjustment for CDM impacts to the 2018 load forecast is made.  There is a different but related threshold amount that is used for the 2018 LRAMVA amount for Account 1568.</t>
  </si>
  <si>
    <t>The amount used for the CDM threshold of the LRAMVA is the kWh that will be used to determine the base amount for the LRAMVA balance for 2018, for assessing performance against the six-year target.</t>
  </si>
  <si>
    <t>If used to determine the manual CDM adjustment for the system purchased kWh, the proposed loss factor should correspond with the proposed total loss factor calculated in Appendix 2-R .</t>
  </si>
  <si>
    <t>The Manual Adjustment for the 2018 Load Forecast is the amount manually subtracted from the system-wide load forecast (either based on a purchased or billed basis) derived from the base forecast from historical data. If the distributor has developed their load forecast on a system purchased basis, then the manual adjustment should be on a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</si>
  <si>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IESO-measured impacts were directed at specific customer classes), for both the LRAMVA and for the load forecast adjustment.</t>
  </si>
  <si>
    <t>Manual adjustment uses "gross" versus "net" (i.e. numbers multiplied by (1 + g).  The Weight factor is also used to calculate the impact of each year's program on the CDM adjustment to the 2018 load forecast.</t>
  </si>
  <si>
    <t>2019</t>
  </si>
  <si>
    <t>Month</t>
  </si>
  <si>
    <t>Large User</t>
  </si>
  <si>
    <t>Daylight Hours</t>
  </si>
  <si>
    <t># Customers</t>
  </si>
  <si>
    <t>Spring/Fall Flag</t>
  </si>
  <si>
    <t>Blended Rate</t>
  </si>
  <si>
    <t>MicroFit</t>
  </si>
  <si>
    <t>FIT</t>
  </si>
  <si>
    <t>SOP</t>
  </si>
  <si>
    <t>Most Recent</t>
  </si>
  <si>
    <t>Period</t>
  </si>
  <si>
    <t>Linear Trending Adjusted</t>
  </si>
  <si>
    <t>Customer Adjustment</t>
  </si>
  <si>
    <t>Customer Growth</t>
  </si>
  <si>
    <t>2018 Growth Adjust</t>
  </si>
  <si>
    <t>2019 Growth Adjust</t>
  </si>
  <si>
    <t>Average # Customers</t>
  </si>
  <si>
    <t>Street Lights</t>
  </si>
  <si>
    <t>Amount used for CDM threshold for LRAMVA</t>
  </si>
  <si>
    <t>Amount used for CDM threshold for LRAMVA (2019)</t>
  </si>
  <si>
    <t>Total KW</t>
  </si>
  <si>
    <t>Niagara-on-the-Lake Hydro Inc.</t>
  </si>
  <si>
    <t>2015-2020 CDM Program - 2018 fifth year of the current CDM plan</t>
  </si>
  <si>
    <t>kWh Purchased (Actual)</t>
  </si>
  <si>
    <t>Forecast</t>
  </si>
  <si>
    <t>Ave/Cust/Month</t>
  </si>
  <si>
    <t>GS&lt;50</t>
  </si>
  <si>
    <t>GS&gt;50</t>
  </si>
  <si>
    <t>Unmetered</t>
  </si>
  <si>
    <t>CDM Results | 2017</t>
  </si>
  <si>
    <t>% by 
Rate Category</t>
  </si>
  <si>
    <t>NET</t>
  </si>
  <si>
    <t>Gross</t>
  </si>
  <si>
    <t>Gross %</t>
  </si>
  <si>
    <t>Coupons</t>
  </si>
  <si>
    <t>Retrofit Actual</t>
  </si>
  <si>
    <t>BiAnnual Retailer</t>
  </si>
  <si>
    <t>Street Light</t>
  </si>
  <si>
    <t>Appliance Retirement</t>
  </si>
  <si>
    <t>GS Under 50</t>
  </si>
  <si>
    <t>Home Assistance</t>
  </si>
  <si>
    <t>GS Over 50</t>
  </si>
  <si>
    <t>HVAC</t>
  </si>
  <si>
    <t>Retrofit</t>
  </si>
  <si>
    <t>Small Business Lighting</t>
  </si>
  <si>
    <t>HPNC</t>
  </si>
  <si>
    <t>Audit</t>
  </si>
  <si>
    <t>Energy Manager</t>
  </si>
  <si>
    <t>Enabled Savings</t>
  </si>
  <si>
    <t>Street Lighting</t>
  </si>
  <si>
    <t>TOTAL</t>
  </si>
  <si>
    <t>Total Manual Forecast to Load Forecast - Reforecast</t>
  </si>
  <si>
    <t>Total Manual Forecast to Load Forecast - Budget</t>
  </si>
  <si>
    <t>Budget</t>
  </si>
  <si>
    <t>Reforecast</t>
  </si>
  <si>
    <t>Load Forecast Assumptions</t>
  </si>
  <si>
    <t>Energy (kWh)
Weather Sensitive / Non-weather sensitive</t>
  </si>
  <si>
    <t>Demand (kW)
Weather Sensitive / Non-weather sensitive</t>
  </si>
  <si>
    <t>Volumetric Distrubtion
kWh / kW</t>
  </si>
  <si>
    <t>Average #</t>
  </si>
  <si>
    <t>Customers /
 Connections</t>
  </si>
  <si>
    <t>Formula</t>
  </si>
  <si>
    <t>Value</t>
  </si>
  <si>
    <t>Check</t>
  </si>
  <si>
    <t>Regression Input</t>
  </si>
  <si>
    <t>Customer Counts (End of Month Northstar Report)</t>
  </si>
  <si>
    <t>Historical Data by Rate Class</t>
  </si>
  <si>
    <t>Weather Sensitive</t>
  </si>
  <si>
    <t>* this model uses metered per class to determine the wholesale per class</t>
  </si>
  <si>
    <t>Per Customer Weather Normalized</t>
  </si>
  <si>
    <t>Added Load kWh</t>
  </si>
  <si>
    <t>Added Load kW</t>
  </si>
  <si>
    <t>Appendix 2-I was initially developed to help determine what would be the amount of CDM savings needed in each year to cumulatively achieve the four year 2011-2014 CDM target.  This then determined the amount of kWh (and with translation, kW of demand) savings that were converted into dollar balances for the LRAMVA, and also to determine the related adjustment to the load forecast to account for OPA-reported savings.  Beginning in the 2015 year, it has been adjusted because the persistence of 2011-2014 CDM programs will be an adjustment to the load forecast in addition to the estimated savings for the first year (2015) for the new 2015-2020 CDM plan.</t>
  </si>
  <si>
    <t xml:space="preserve">2018 is the fourth year of the six-year (2015-2020) Conservation First program. Final results for the 2011-14 program were issued in the fall of 2015, and the program is completed, although in some instances disposition of the amounts has been deferred. For the purposes of the 2015-2020 LRAMVA, and the impact of CDM on the load forecast, CDM programs in 2014 and earlier are implicit in the historical data on which the base load forecast is developed. Only actual and forecasted impacts of 2015 to 2018 CDM programs need to be reflected in the manual load forecast adjustment and for the LRAMVA threshold amount in 2018 and carrying forward, although the full year impact of 2015 CDM programs and half-year impact of 2016 CDM programs on 2016 historical data is also assumed to be reflected in the base load forecast. </t>
  </si>
  <si>
    <r>
      <t>For the first year of the new 2015-2020 CDM plan, it is assumed that each year's program will achieve an equal amount of new CDM savings.  This results in each year's program being about 1/6 (1</t>
    </r>
    <r>
      <rPr>
        <b/>
        <u/>
        <sz val="10"/>
        <rFont val="Arial"/>
        <family val="2"/>
      </rPr>
      <t>6</t>
    </r>
    <r>
      <rPr>
        <sz val="10"/>
        <rFont val="Arial"/>
        <family val="2"/>
      </rPr>
      <t>.67%)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r>
  </si>
  <si>
    <t>Rate Class</t>
  </si>
  <si>
    <t>C</t>
  </si>
  <si>
    <t>Load Forecast by Month</t>
  </si>
  <si>
    <t>Actual</t>
  </si>
  <si>
    <t>Actual kWh</t>
  </si>
  <si>
    <t>Wholesale</t>
  </si>
  <si>
    <t>Wholesale less Unmetered</t>
  </si>
  <si>
    <t>Gross Forecast kWh (exluding losses)</t>
  </si>
  <si>
    <t>CDM Adjustment</t>
  </si>
  <si>
    <t>Variance</t>
  </si>
  <si>
    <t>Total CDM</t>
  </si>
  <si>
    <t>Total Forecast</t>
  </si>
  <si>
    <t>Final CDM Adjusted Load Forecast (excluding losses)</t>
  </si>
  <si>
    <t>Reforecast kWh</t>
  </si>
  <si>
    <t>Reforecast kW</t>
  </si>
  <si>
    <t>Actual kW</t>
  </si>
  <si>
    <t>kW / kWh</t>
  </si>
  <si>
    <t>Final CDM Adjusted Load Forecast (excluding losses) kWh</t>
  </si>
  <si>
    <t>Calculated kW (based on YTD kW/kWh</t>
  </si>
  <si>
    <t>Actual Customers/ Connections (average)</t>
  </si>
  <si>
    <t>Average</t>
  </si>
  <si>
    <t>YTD Average</t>
  </si>
  <si>
    <t>YTD Change</t>
  </si>
  <si>
    <t>Final Load</t>
  </si>
  <si>
    <t>Projected Number of Customers - Forecast</t>
  </si>
  <si>
    <t># Customers (Res+&lt;50+&gt;50+LU)</t>
  </si>
  <si>
    <t>For Regression</t>
  </si>
  <si>
    <t>Per month Increase</t>
  </si>
  <si>
    <t>Budget Inputs</t>
  </si>
  <si>
    <t>GS &lt;50</t>
  </si>
  <si>
    <t>Large Use</t>
  </si>
  <si>
    <t># Connections</t>
  </si>
  <si>
    <t># Retailers</t>
  </si>
  <si>
    <t>Retail Customers</t>
  </si>
  <si>
    <t>Tranformer Allowance</t>
  </si>
  <si>
    <t>Customers</t>
  </si>
  <si>
    <t>Prior Year</t>
  </si>
  <si>
    <t>Rate / kW</t>
  </si>
  <si>
    <t>Tranformer Allowance (Billed)</t>
  </si>
  <si>
    <t>Prior Year Actual</t>
  </si>
  <si>
    <t>Current Year Actual</t>
  </si>
  <si>
    <t>Current Year Forecast</t>
  </si>
  <si>
    <t>Usage</t>
  </si>
  <si>
    <t>Amount</t>
  </si>
  <si>
    <t>YTD</t>
  </si>
  <si>
    <t>Total GS&gt;50</t>
  </si>
  <si>
    <t>Total Large User</t>
  </si>
  <si>
    <t>R1</t>
  </si>
  <si>
    <t>C1</t>
  </si>
  <si>
    <t>B1</t>
  </si>
  <si>
    <t>F1</t>
  </si>
  <si>
    <t>U1</t>
  </si>
  <si>
    <t>D1</t>
  </si>
  <si>
    <t xml:space="preserve">R </t>
  </si>
  <si>
    <t>V1</t>
  </si>
  <si>
    <t>Z1</t>
  </si>
  <si>
    <t>AL</t>
  </si>
  <si>
    <t>W1</t>
  </si>
  <si>
    <t>LA</t>
  </si>
  <si>
    <t>S1</t>
  </si>
  <si>
    <t>VA</t>
  </si>
  <si>
    <t>G1</t>
  </si>
  <si>
    <t>Cateogory Codes</t>
  </si>
  <si>
    <t>No Data</t>
  </si>
  <si>
    <t>Street lights</t>
  </si>
  <si>
    <t>GS&gt;50 Interval</t>
  </si>
  <si>
    <t>Class A - complete manually</t>
  </si>
  <si>
    <t>GS&gt;50 Multi-unit</t>
  </si>
  <si>
    <t>GS&gt;50 Farms</t>
  </si>
  <si>
    <t>Description</t>
  </si>
  <si>
    <t>6444-1</t>
  </si>
  <si>
    <t>Regression Data</t>
  </si>
  <si>
    <t>June/July (correct 2016)</t>
  </si>
  <si>
    <t>June Avarege</t>
  </si>
  <si>
    <t>July Average</t>
  </si>
  <si>
    <t>2016 June + July</t>
  </si>
  <si>
    <t>2016 June Estimate</t>
  </si>
  <si>
    <t>2016 July Estimate</t>
  </si>
  <si>
    <t>Total for Regression</t>
  </si>
  <si>
    <t>Month-End Customer Counts</t>
  </si>
  <si>
    <t>Connections</t>
  </si>
  <si>
    <t>Cost of Service</t>
  </si>
  <si>
    <t>Exclude U1 &amp; S1</t>
  </si>
  <si>
    <t>22975-1</t>
  </si>
  <si>
    <t>billdate</t>
  </si>
  <si>
    <t>cat_code</t>
  </si>
  <si>
    <t>amount</t>
  </si>
  <si>
    <t>usage</t>
  </si>
  <si>
    <t>Billed</t>
  </si>
  <si>
    <t>billnumber</t>
  </si>
  <si>
    <t>prorate_from</t>
  </si>
  <si>
    <t>prorate_to</t>
  </si>
  <si>
    <t>Consumption</t>
  </si>
  <si>
    <t>Billed for</t>
  </si>
  <si>
    <t>Report 2051</t>
  </si>
  <si>
    <t>COS</t>
  </si>
  <si>
    <t>2020</t>
  </si>
  <si>
    <t>2012</t>
  </si>
  <si>
    <t>Total for 2020</t>
  </si>
  <si>
    <t>Annual Total</t>
  </si>
  <si>
    <t>2019 (Jan - Apr)</t>
  </si>
  <si>
    <t>Jan - Apr</t>
  </si>
  <si>
    <t>May - Dec</t>
  </si>
  <si>
    <t>Wholesale less Unmetered/LU</t>
  </si>
  <si>
    <t>Engineering Estimate</t>
  </si>
  <si>
    <t>New Connections</t>
  </si>
  <si>
    <t>2013</t>
  </si>
  <si>
    <t>2014</t>
  </si>
  <si>
    <t>2015</t>
  </si>
  <si>
    <t>2016</t>
  </si>
  <si>
    <t>2017</t>
  </si>
  <si>
    <t>2018</t>
  </si>
  <si>
    <t>Total for Regression (average)</t>
  </si>
  <si>
    <t>Use Northstar Stat Report 2051 from next month (i.e. use January report for December kWs) select 1-2-2</t>
  </si>
  <si>
    <t>Data for Stat_code GAVAAL - excluding class A</t>
  </si>
  <si>
    <t>Total Exclude Class A</t>
  </si>
  <si>
    <t>2021-January</t>
  </si>
  <si>
    <t>2021-February</t>
  </si>
  <si>
    <t>2021-March</t>
  </si>
  <si>
    <t>2021-April</t>
  </si>
  <si>
    <t>2021-May</t>
  </si>
  <si>
    <t>2021-June</t>
  </si>
  <si>
    <t>2021-July</t>
  </si>
  <si>
    <t>2021-August</t>
  </si>
  <si>
    <t>2021-September</t>
  </si>
  <si>
    <t>2021-October</t>
  </si>
  <si>
    <t>2021-November</t>
  </si>
  <si>
    <t>2021-December</t>
  </si>
  <si>
    <t>2021</t>
  </si>
  <si>
    <t>2022</t>
  </si>
  <si>
    <t>2023</t>
  </si>
  <si>
    <t>Actual Variance to Forecast kWh</t>
  </si>
  <si>
    <t>COVID Adjusted</t>
  </si>
  <si>
    <t>From Monthly summary including ECJ</t>
  </si>
  <si>
    <t>2022-January</t>
  </si>
  <si>
    <t>2022-February</t>
  </si>
  <si>
    <t>2022-March</t>
  </si>
  <si>
    <t>2022-April</t>
  </si>
  <si>
    <t>2022-May</t>
  </si>
  <si>
    <t>2022-June</t>
  </si>
  <si>
    <t>2022-July</t>
  </si>
  <si>
    <t>2022-August</t>
  </si>
  <si>
    <t>2022-September</t>
  </si>
  <si>
    <t>2022-October</t>
  </si>
  <si>
    <t>2022-November</t>
  </si>
  <si>
    <t>2022-December</t>
  </si>
  <si>
    <t xml:space="preserve">Reduce trend by </t>
  </si>
  <si>
    <t>Reduce trend by</t>
  </si>
  <si>
    <t>Weather Adjusted</t>
  </si>
  <si>
    <t>Reduction</t>
  </si>
  <si>
    <t>% of Forecast</t>
  </si>
  <si>
    <t>Final Adjusted Load Forecast (excluding losses)</t>
  </si>
  <si>
    <t>Final Adjusted Load Forecast (excluding losses) kWh</t>
  </si>
  <si>
    <t>LARGE USE</t>
  </si>
  <si>
    <t>June Average</t>
  </si>
  <si>
    <t>Update link annually</t>
  </si>
  <si>
    <t>2023-October</t>
  </si>
  <si>
    <t>2023-November</t>
  </si>
  <si>
    <t>2023-December</t>
  </si>
  <si>
    <t>2022 YTD</t>
  </si>
  <si>
    <t>YTD Actual Months</t>
  </si>
  <si>
    <t>YTD Months</t>
  </si>
  <si>
    <t>Rate Class - update link annually</t>
  </si>
  <si>
    <t>2023-January</t>
  </si>
  <si>
    <t>2023-February</t>
  </si>
  <si>
    <t>2023-March</t>
  </si>
  <si>
    <t>2023-April</t>
  </si>
  <si>
    <t>2023-May</t>
  </si>
  <si>
    <t>2023-June</t>
  </si>
  <si>
    <t>2023-July</t>
  </si>
  <si>
    <t>2023-August</t>
  </si>
  <si>
    <t>2023-September</t>
  </si>
  <si>
    <t>Rate Class - update links annually</t>
  </si>
  <si>
    <t>2024</t>
  </si>
  <si>
    <t>2024-January</t>
  </si>
  <si>
    <t>2024-February</t>
  </si>
  <si>
    <t>2024-March</t>
  </si>
  <si>
    <t>2024-April</t>
  </si>
  <si>
    <t>2024-May</t>
  </si>
  <si>
    <t>2024-June</t>
  </si>
  <si>
    <t>2024-July</t>
  </si>
  <si>
    <t>2024-August</t>
  </si>
  <si>
    <t>2024-September</t>
  </si>
  <si>
    <t>2024-October</t>
  </si>
  <si>
    <t>2024-November</t>
  </si>
  <si>
    <t>2024-December</t>
  </si>
  <si>
    <t>2019 - 2018</t>
  </si>
  <si>
    <t>2020 - 2019</t>
  </si>
  <si>
    <t>2021 - 2020</t>
  </si>
  <si>
    <t>2022 - 2021</t>
  </si>
  <si>
    <t>2023 - 2022</t>
  </si>
  <si>
    <t>2024 - 2023</t>
  </si>
  <si>
    <t>Excluding Large Use</t>
  </si>
  <si>
    <t>2022 (Jul - Dec)</t>
  </si>
  <si>
    <t xml:space="preserve">10R1  </t>
  </si>
  <si>
    <t xml:space="preserve">10R1T </t>
  </si>
  <si>
    <t xml:space="preserve">20U1  </t>
  </si>
  <si>
    <t xml:space="preserve">30C1  </t>
  </si>
  <si>
    <t xml:space="preserve">30C1T </t>
  </si>
  <si>
    <t xml:space="preserve">50B1  </t>
  </si>
  <si>
    <t xml:space="preserve">50F1  </t>
  </si>
  <si>
    <t xml:space="preserve">50V1  </t>
  </si>
  <si>
    <t xml:space="preserve">50V4  </t>
  </si>
  <si>
    <t xml:space="preserve">70S1  </t>
  </si>
  <si>
    <t xml:space="preserve">71S1  </t>
  </si>
  <si>
    <t>50B4</t>
  </si>
  <si>
    <t>USL</t>
  </si>
  <si>
    <t>Street</t>
  </si>
  <si>
    <t>Class A</t>
  </si>
  <si>
    <t>ECJ</t>
  </si>
  <si>
    <t>BJ&amp;AJ</t>
  </si>
  <si>
    <t>Original Data at October 2022</t>
  </si>
  <si>
    <t>Total Excluding Class A</t>
  </si>
  <si>
    <t>Projected Number of Customers - Bridge Year</t>
  </si>
  <si>
    <t>Bridge</t>
  </si>
  <si>
    <t>Test</t>
  </si>
  <si>
    <t>Actual Customer / Connections</t>
  </si>
  <si>
    <t>New Connections 2022</t>
  </si>
  <si>
    <t>Less: Public Subdivisions</t>
  </si>
  <si>
    <t>Less: Private Subdivisions</t>
  </si>
  <si>
    <t>Other Infill</t>
  </si>
  <si>
    <t>Other</t>
  </si>
  <si>
    <t>Adjustment - Add Net Metering</t>
  </si>
  <si>
    <t>Regression Variables</t>
  </si>
  <si>
    <t>Regression Analysis</t>
  </si>
  <si>
    <t>Large Use while GS&gt;50</t>
  </si>
  <si>
    <t>Final Load Forecast Results</t>
  </si>
  <si>
    <t>kWh/kW</t>
  </si>
  <si>
    <t>% of Total Excluding Large Use</t>
  </si>
  <si>
    <t>Streetlights</t>
  </si>
  <si>
    <t>IESO Delivery Point 100289 - NOTL Station</t>
  </si>
  <si>
    <t>IESO Delivery Point 108509 - York Station</t>
  </si>
  <si>
    <t>Large Use Adjustment</t>
  </si>
  <si>
    <t>Days per Month</t>
  </si>
  <si>
    <t>Variance %</t>
  </si>
  <si>
    <t>Intercept</t>
  </si>
  <si>
    <t>Day per Month</t>
  </si>
  <si>
    <t>Subdivison 1 Public</t>
  </si>
  <si>
    <t>Subdiviosn 2 Private</t>
  </si>
  <si>
    <t>Other Developments</t>
  </si>
  <si>
    <t>Subdivion 2</t>
  </si>
  <si>
    <t>Subdivison 3</t>
  </si>
  <si>
    <t>Subdivison 4</t>
  </si>
  <si>
    <t>Unadjusted (includes Large Use)</t>
  </si>
  <si>
    <t>Unadjusted (excludes Large Use)</t>
  </si>
  <si>
    <t>General Service &gt; 50 kW - 4999 kW (excluding Large Use while in GS&gt;50 class)</t>
  </si>
  <si>
    <t>Customer 1</t>
  </si>
  <si>
    <t>Customer 2</t>
  </si>
  <si>
    <t>Customer 3</t>
  </si>
  <si>
    <t>Customer 4</t>
  </si>
  <si>
    <t>Customer 5</t>
  </si>
  <si>
    <t>Customer 6</t>
  </si>
  <si>
    <t>Customer A</t>
  </si>
  <si>
    <t>Customer B</t>
  </si>
  <si>
    <t>Customer C</t>
  </si>
  <si>
    <t>Customer D</t>
  </si>
  <si>
    <t>Customer E</t>
  </si>
  <si>
    <t>Customer F</t>
  </si>
  <si>
    <t>Customer G</t>
  </si>
  <si>
    <t>Customer H</t>
  </si>
  <si>
    <t>Customer I1</t>
  </si>
  <si>
    <t>Customer I2</t>
  </si>
  <si>
    <t>Customer I3</t>
  </si>
  <si>
    <t>Total Customer  I</t>
  </si>
  <si>
    <t>Hotel Occupant 0</t>
  </si>
  <si>
    <t>Hotel Billed</t>
  </si>
  <si>
    <t>Hotel Corrected</t>
  </si>
  <si>
    <t>GS&gt;50 Correct Hotel</t>
  </si>
  <si>
    <t>Class A Customer I</t>
  </si>
  <si>
    <t>Customer I Old Account</t>
  </si>
  <si>
    <t>Total Customer I</t>
  </si>
  <si>
    <t>GS&gt;50 less Customer I Correct Hotel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</si>
</sst>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0.0000"/>
    <numFmt numFmtId="168" formatCode="#,##0.00000"/>
    <numFmt numFmtId="169" formatCode="_-* #,##0_-;\-* #,##0_-;_-* &quot;-&quot;??_-;_-@_-"/>
    <numFmt numFmtId="170" formatCode="#,##0_ ;\-#,##0\ "/>
    <numFmt numFmtId="171" formatCode="_-&quot;$&quot;* #,##0_-;\-&quot;$&quot;* #,##0_-;_-&quot;$&quot;* &quot;-&quot;??_-;_-@_-"/>
    <numFmt numFmtId="172" formatCode="_-* #,##0.00000_-;\-* #,##0.00000_-;_-* &quot;-&quot;??_-;_-@_-"/>
    <numFmt numFmtId="173" formatCode="#,##0.000000"/>
    <numFmt numFmtId="174" formatCode="#,##0.0000000"/>
    <numFmt numFmtId="175" formatCode="_-* #,##0.000_-;\-* #,##0.000_-;_-* &quot;-&quot;??_-;_-@_-"/>
    <numFmt numFmtId="176" formatCode="#,##0.0000"/>
    <numFmt numFmtId="177" formatCode="_(* #,##0.0_);_(* \(#,##0.0\);_(* &quot;-&quot;??_);_(@_)"/>
    <numFmt numFmtId="178" formatCode="#,##0.0"/>
    <numFmt numFmtId="179" formatCode="mm/dd/yyyy"/>
    <numFmt numFmtId="180" formatCode="0\-0"/>
    <numFmt numFmtId="181" formatCode="##\-#"/>
    <numFmt numFmtId="182" formatCode="_(* #,##0_);_(* \(#,##0\);_(* &quot;-&quot;??_);_(@_)"/>
    <numFmt numFmtId="183" formatCode="&quot;£ &quot;#,##0.00;[Red]\-&quot;£ &quot;#,##0.00"/>
    <numFmt numFmtId="184" formatCode="#,##0.00_ ;[Red]\-#,##0.00\ "/>
    <numFmt numFmtId="185" formatCode="0.00_ ;[Red]\-0.00\ "/>
    <numFmt numFmtId="186" formatCode="mmm\ yyyy"/>
    <numFmt numFmtId="187" formatCode="_(* #,##0.0000_);_(* \(#,##0.0000\);_(* &quot;-&quot;??_);_(@_)"/>
    <numFmt numFmtId="188" formatCode="_-* #,##0.000000_-;\-* #,##0.000000_-;_-* &quot;-&quot;??_-;_-@_-"/>
    <numFmt numFmtId="189" formatCode="_-* #,##0.0_-;\-* #,##0.0_-;_-* &quot;-&quot;??_-;_-@_-"/>
    <numFmt numFmtId="190" formatCode="0.0%;\(0.0%\)"/>
    <numFmt numFmtId="191" formatCode="0_);\(0\)"/>
    <numFmt numFmtId="192" formatCode="0.0%"/>
    <numFmt numFmtId="193" formatCode="#,##0_);\(#,##0\)"/>
    <numFmt numFmtId="194" formatCode="0.00%;\(0.0%\)"/>
  </numFmts>
  <fonts count="89"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11"/>
      <color indexed="8"/>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0"/>
      <color rgb="FF000000"/>
      <name val="Arial"/>
      <family val="2"/>
    </font>
    <font>
      <b/>
      <sz val="10"/>
      <color rgb="FF000000"/>
      <name val="Arial"/>
      <family val="2"/>
    </font>
    <font>
      <sz val="10"/>
      <name val="Arial"/>
      <family val="2"/>
    </font>
    <font>
      <sz val="10"/>
      <name val="Times New Roman"/>
      <family val="1"/>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Times New Roman"/>
      <family val="1"/>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theme="10"/>
      <name val="Arial"/>
      <family val="2"/>
    </font>
    <font>
      <b/>
      <sz val="9"/>
      <color indexed="81"/>
      <name val="Tahoma"/>
      <family val="2"/>
    </font>
    <font>
      <sz val="9"/>
      <color indexed="81"/>
      <name val="Tahoma"/>
      <family val="2"/>
    </font>
    <font>
      <sz val="10"/>
      <color indexed="63"/>
      <name val="Arial"/>
      <family val="2"/>
    </font>
    <font>
      <b/>
      <sz val="20"/>
      <color theme="1"/>
      <name val="Calibri"/>
      <family val="2"/>
      <scheme val="minor"/>
    </font>
    <font>
      <b/>
      <sz val="18"/>
      <color theme="0"/>
      <name val="Calibri"/>
      <family val="2"/>
      <scheme val="minor"/>
    </font>
    <font>
      <i/>
      <sz val="11"/>
      <color theme="1"/>
      <name val="Calibri"/>
      <family val="2"/>
      <scheme val="minor"/>
    </font>
    <font>
      <b/>
      <i/>
      <sz val="10"/>
      <name val="Arial"/>
      <family val="2"/>
    </font>
    <font>
      <b/>
      <u/>
      <sz val="10"/>
      <name val="Arial"/>
      <family val="2"/>
    </font>
    <font>
      <sz val="8"/>
      <name val="Times New Roman"/>
      <family val="1"/>
    </font>
    <font>
      <sz val="8"/>
      <name val="Times New Roman"/>
      <family val="1"/>
    </font>
  </fonts>
  <fills count="7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indexed="26"/>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BFBFBF"/>
        <bgColor rgb="FF000000"/>
      </patternFill>
    </fill>
    <fill>
      <patternFill patternType="solid">
        <fgColor rgb="FFEBF1DE"/>
        <bgColor rgb="FF000000"/>
      </patternFill>
    </fill>
    <fill>
      <patternFill patternType="solid">
        <fgColor rgb="FFF2F2F2"/>
        <bgColor rgb="FF000000"/>
      </patternFill>
    </fill>
    <fill>
      <patternFill patternType="solid">
        <fgColor rgb="FF000000"/>
        <bgColor rgb="FF000000"/>
      </patternFill>
    </fill>
    <fill>
      <patternFill patternType="solid">
        <fgColor rgb="FFDCE6F1"/>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9" tint="0.39997558519241921"/>
        <bgColor indexed="64"/>
      </patternFill>
    </fill>
    <fill>
      <patternFill patternType="solid">
        <fgColor rgb="FFFFFF00"/>
        <bgColor indexed="64"/>
      </patternFill>
    </fill>
    <fill>
      <patternFill patternType="solid">
        <fgColor theme="0" tint="-0.249977111117893"/>
        <bgColor rgb="FF000000"/>
      </patternFill>
    </fill>
    <fill>
      <patternFill patternType="solid">
        <fgColor theme="8"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92D050"/>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double">
        <color indexed="64"/>
      </bottom>
      <diagonal/>
    </border>
    <border>
      <left/>
      <right style="double">
        <color indexed="64"/>
      </right>
      <top/>
      <bottom/>
      <diagonal/>
    </border>
    <border>
      <left/>
      <right style="double">
        <color indexed="64"/>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rgb="FFFFFFFF"/>
      </top>
      <bottom/>
      <diagonal/>
    </border>
    <border>
      <left style="thin">
        <color indexed="54"/>
      </left>
      <right style="thin">
        <color indexed="54"/>
      </right>
      <top style="hair">
        <color indexed="54"/>
      </top>
      <bottom style="hair">
        <color indexed="54"/>
      </bottom>
      <diagonal/>
    </border>
    <border>
      <left/>
      <right style="thin">
        <color indexed="64"/>
      </right>
      <top style="medium">
        <color indexed="64"/>
      </top>
      <bottom/>
      <diagonal/>
    </border>
    <border>
      <left style="thin">
        <color indexed="64"/>
      </left>
      <right/>
      <top style="medium">
        <color indexed="64"/>
      </top>
      <bottom/>
      <diagonal/>
    </border>
    <border>
      <left/>
      <right/>
      <top/>
      <bottom style="thick">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s>
  <cellStyleXfs count="1448">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3" fillId="27" borderId="52"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0" fontId="24" fillId="28" borderId="53" applyNumberFormat="0" applyAlignment="0" applyProtection="0"/>
    <xf numFmtId="43" fontId="15" fillId="0" borderId="0" applyFont="0" applyFill="0" applyBorder="0" applyAlignment="0" applyProtection="0"/>
    <xf numFmtId="166" fontId="19"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44" fontId="11"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7" fillId="0" borderId="54"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8" fillId="0" borderId="55"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56"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0" fillId="30" borderId="52" applyNumberFormat="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1" fillId="0" borderId="57" applyNumberFormat="0" applyFill="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33" fillId="0" borderId="0"/>
    <xf numFmtId="0" fontId="33" fillId="0" borderId="0"/>
    <xf numFmtId="0" fontId="11" fillId="0" borderId="0"/>
    <xf numFmtId="0" fontId="14" fillId="0" borderId="0"/>
    <xf numFmtId="0" fontId="20" fillId="0" borderId="0"/>
    <xf numFmtId="0" fontId="1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13" fillId="32" borderId="58" applyNumberFormat="0" applyFon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0" fontId="34" fillId="27" borderId="59" applyNumberFormat="0" applyAlignment="0" applyProtection="0"/>
    <xf numFmtId="9" fontId="16" fillId="0" borderId="0" applyFont="0" applyFill="0" applyBorder="0" applyAlignment="0" applyProtection="0"/>
    <xf numFmtId="9" fontId="15" fillId="0" borderId="0" applyFont="0" applyFill="0" applyBorder="0" applyAlignment="0" applyProtection="0"/>
    <xf numFmtId="9" fontId="19" fillId="0" borderId="0" applyFont="0" applyFill="0" applyBorder="0" applyAlignment="0" applyProtection="0"/>
    <xf numFmtId="0" fontId="35" fillId="0" borderId="0" applyNumberFormat="0" applyFill="0" applyBorder="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6" fillId="0" borderId="60"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0" fillId="0" borderId="0"/>
    <xf numFmtId="0" fontId="10" fillId="0" borderId="0"/>
    <xf numFmtId="0" fontId="11" fillId="0" borderId="0"/>
    <xf numFmtId="166" fontId="11" fillId="0" borderId="0" applyFont="0" applyFill="0" applyBorder="0" applyAlignment="0" applyProtection="0"/>
    <xf numFmtId="166" fontId="11" fillId="0" borderId="0" applyFont="0" applyFill="0" applyBorder="0" applyAlignment="0" applyProtection="0"/>
    <xf numFmtId="166" fontId="40" fillId="0" borderId="0" applyFont="0" applyFill="0" applyBorder="0" applyAlignment="0" applyProtection="0"/>
    <xf numFmtId="166" fontId="11" fillId="0" borderId="0" applyFont="0" applyFill="0" applyBorder="0" applyAlignment="0" applyProtection="0"/>
    <xf numFmtId="43" fontId="10"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1" fillId="0" borderId="0"/>
    <xf numFmtId="0" fontId="10" fillId="0" borderId="0"/>
    <xf numFmtId="0" fontId="10" fillId="0" borderId="0"/>
    <xf numFmtId="0" fontId="11" fillId="0" borderId="0"/>
    <xf numFmtId="0" fontId="10" fillId="0" borderId="0"/>
    <xf numFmtId="0" fontId="11" fillId="0" borderId="0"/>
    <xf numFmtId="0" fontId="11" fillId="0" borderId="0"/>
    <xf numFmtId="0" fontId="40" fillId="0" borderId="0"/>
    <xf numFmtId="0" fontId="11" fillId="0" borderId="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0" fillId="35" borderId="1" applyNumberFormat="0" applyProtection="0">
      <alignment horizontal="left" vertical="center"/>
    </xf>
    <xf numFmtId="0" fontId="11" fillId="35" borderId="1" applyNumberFormat="0" applyProtection="0">
      <alignment horizontal="left" vertical="center"/>
    </xf>
    <xf numFmtId="9" fontId="10"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41" fillId="0" borderId="0"/>
    <xf numFmtId="166" fontId="15" fillId="0" borderId="0" applyFont="0" applyFill="0" applyBorder="0" applyAlignment="0" applyProtection="0"/>
    <xf numFmtId="9" fontId="15" fillId="0" borderId="0" applyFont="0" applyFill="0" applyBorder="0" applyAlignment="0" applyProtection="0"/>
    <xf numFmtId="0" fontId="15"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15" fillId="0" borderId="0"/>
    <xf numFmtId="43" fontId="15" fillId="0" borderId="0" applyFont="0" applyFill="0" applyBorder="0" applyAlignment="0" applyProtection="0"/>
    <xf numFmtId="0" fontId="6" fillId="0" borderId="0"/>
    <xf numFmtId="0" fontId="6" fillId="0" borderId="0"/>
    <xf numFmtId="9" fontId="15"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45" borderId="0" applyNumberFormat="0" applyBorder="0" applyAlignment="0" applyProtection="0"/>
    <xf numFmtId="0" fontId="62" fillId="46" borderId="0" applyNumberFormat="0" applyBorder="0" applyAlignment="0" applyProtection="0"/>
    <xf numFmtId="0" fontId="62" fillId="43" borderId="0" applyNumberFormat="0" applyBorder="0" applyAlignment="0" applyProtection="0"/>
    <xf numFmtId="0" fontId="62" fillId="44" borderId="0" applyNumberFormat="0" applyBorder="0" applyAlignment="0" applyProtection="0"/>
    <xf numFmtId="0" fontId="62" fillId="47" borderId="0" applyNumberFormat="0" applyBorder="0" applyAlignment="0" applyProtection="0"/>
    <xf numFmtId="0" fontId="62" fillId="48" borderId="0" applyNumberFormat="0" applyBorder="0" applyAlignment="0" applyProtection="0"/>
    <xf numFmtId="0" fontId="62" fillId="49" borderId="0" applyNumberFormat="0" applyBorder="0" applyAlignment="0" applyProtection="0"/>
    <xf numFmtId="0" fontId="62" fillId="50" borderId="0" applyNumberFormat="0" applyBorder="0" applyAlignment="0" applyProtection="0"/>
    <xf numFmtId="0" fontId="62" fillId="51" borderId="0" applyNumberFormat="0" applyBorder="0" applyAlignment="0" applyProtection="0"/>
    <xf numFmtId="0" fontId="62" fillId="52" borderId="0" applyNumberFormat="0" applyBorder="0" applyAlignment="0" applyProtection="0"/>
    <xf numFmtId="0" fontId="64" fillId="54" borderId="70" applyNumberFormat="0" applyAlignment="0" applyProtection="0"/>
    <xf numFmtId="0" fontId="60" fillId="0" borderId="0" applyNumberFormat="0" applyFill="0" applyBorder="0" applyAlignment="0" applyProtection="0">
      <alignment vertical="top"/>
      <protection locked="0"/>
    </xf>
    <xf numFmtId="0" fontId="73" fillId="56" borderId="0" applyNumberFormat="0" applyBorder="0" applyAlignment="0" applyProtection="0"/>
    <xf numFmtId="0" fontId="75" fillId="0" borderId="0" applyNumberFormat="0" applyFill="0" applyBorder="0" applyAlignment="0" applyProtection="0"/>
    <xf numFmtId="0" fontId="76" fillId="0" borderId="78" applyNumberFormat="0" applyFill="0" applyAlignment="0" applyProtection="0"/>
    <xf numFmtId="0" fontId="77" fillId="0" borderId="0" applyNumberFormat="0" applyFill="0" applyBorder="0" applyAlignment="0" applyProtection="0"/>
    <xf numFmtId="0" fontId="11" fillId="0" borderId="0"/>
    <xf numFmtId="0" fontId="35" fillId="0" borderId="0" applyNumberFormat="0" applyFill="0" applyBorder="0" applyAlignment="0" applyProtection="0"/>
    <xf numFmtId="0" fontId="45" fillId="0" borderId="55" applyNumberFormat="0" applyFill="0" applyAlignment="0" applyProtection="0"/>
    <xf numFmtId="0" fontId="44" fillId="0" borderId="54" applyNumberFormat="0" applyFill="0" applyAlignment="0" applyProtection="0"/>
    <xf numFmtId="0" fontId="5" fillId="0" borderId="0"/>
    <xf numFmtId="0" fontId="46" fillId="0" borderId="56" applyNumberFormat="0" applyFill="0" applyAlignment="0" applyProtection="0"/>
    <xf numFmtId="0" fontId="46" fillId="0" borderId="0" applyNumberFormat="0" applyFill="0" applyBorder="0" applyAlignment="0" applyProtection="0"/>
    <xf numFmtId="0" fontId="47" fillId="29" borderId="0" applyNumberFormat="0" applyBorder="0" applyAlignment="0" applyProtection="0"/>
    <xf numFmtId="0" fontId="48" fillId="26" borderId="0" applyNumberFormat="0" applyBorder="0" applyAlignment="0" applyProtection="0"/>
    <xf numFmtId="0" fontId="49" fillId="31" borderId="0" applyNumberFormat="0" applyBorder="0" applyAlignment="0" applyProtection="0"/>
    <xf numFmtId="0" fontId="50" fillId="30" borderId="52" applyNumberFormat="0" applyAlignment="0" applyProtection="0"/>
    <xf numFmtId="0" fontId="51" fillId="27" borderId="59" applyNumberFormat="0" applyAlignment="0" applyProtection="0"/>
    <xf numFmtId="0" fontId="52" fillId="27" borderId="52" applyNumberFormat="0" applyAlignment="0" applyProtection="0"/>
    <xf numFmtId="0" fontId="53" fillId="0" borderId="57" applyNumberFormat="0" applyFill="0" applyAlignment="0" applyProtection="0"/>
    <xf numFmtId="0" fontId="54" fillId="28" borderId="53" applyNumberFormat="0" applyAlignment="0" applyProtection="0"/>
    <xf numFmtId="0" fontId="55" fillId="0" borderId="0" applyNumberFormat="0" applyFill="0" applyBorder="0" applyAlignment="0" applyProtection="0"/>
    <xf numFmtId="0" fontId="5" fillId="32" borderId="58" applyNumberFormat="0" applyFont="0" applyAlignment="0" applyProtection="0"/>
    <xf numFmtId="0" fontId="56" fillId="0" borderId="0" applyNumberFormat="0" applyFill="0" applyBorder="0" applyAlignment="0" applyProtection="0"/>
    <xf numFmtId="0" fontId="57" fillId="0" borderId="60" applyNumberFormat="0" applyFill="0" applyAlignment="0" applyProtection="0"/>
    <xf numFmtId="0" fontId="58" fillId="20"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58" fillId="14" borderId="0" applyNumberFormat="0" applyBorder="0" applyAlignment="0" applyProtection="0"/>
    <xf numFmtId="0" fontId="58" fillId="2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8" fillId="15" borderId="0" applyNumberFormat="0" applyBorder="0" applyAlignment="0" applyProtection="0"/>
    <xf numFmtId="0" fontId="58" fillId="2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8" fillId="16" borderId="0" applyNumberFormat="0" applyBorder="0" applyAlignment="0" applyProtection="0"/>
    <xf numFmtId="0" fontId="58" fillId="23"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8" fillId="17" borderId="0" applyNumberFormat="0" applyBorder="0" applyAlignment="0" applyProtection="0"/>
    <xf numFmtId="0" fontId="58" fillId="2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8" fillId="18" borderId="0" applyNumberFormat="0" applyBorder="0" applyAlignment="0" applyProtection="0"/>
    <xf numFmtId="0" fontId="58" fillId="25"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8" fillId="19" borderId="0" applyNumberFormat="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177" fontId="11" fillId="0" borderId="0"/>
    <xf numFmtId="178" fontId="11" fillId="0" borderId="0"/>
    <xf numFmtId="177" fontId="11" fillId="0" borderId="0"/>
    <xf numFmtId="177" fontId="11" fillId="0" borderId="0"/>
    <xf numFmtId="177" fontId="11" fillId="0" borderId="0"/>
    <xf numFmtId="177" fontId="11" fillId="0" borderId="0"/>
    <xf numFmtId="179" fontId="11" fillId="0" borderId="0"/>
    <xf numFmtId="180" fontId="11" fillId="0" borderId="0"/>
    <xf numFmtId="179" fontId="11" fillId="0" borderId="0"/>
    <xf numFmtId="3" fontId="11" fillId="0" borderId="0" applyFont="0" applyFill="0" applyBorder="0" applyAlignment="0" applyProtection="0"/>
    <xf numFmtId="164"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61" fillId="58" borderId="0" applyNumberFormat="0" applyBorder="0" applyAlignment="0" applyProtection="0"/>
    <xf numFmtId="10" fontId="61" fillId="60" borderId="1" applyNumberFormat="0" applyBorder="0" applyAlignment="0" applyProtection="0"/>
    <xf numFmtId="181" fontId="11" fillId="0" borderId="0"/>
    <xf numFmtId="181" fontId="11" fillId="0" borderId="0"/>
    <xf numFmtId="181" fontId="11" fillId="0" borderId="0"/>
    <xf numFmtId="181" fontId="11" fillId="0" borderId="0"/>
    <xf numFmtId="181" fontId="11" fillId="0" borderId="0"/>
    <xf numFmtId="183" fontId="11" fillId="0" borderId="0"/>
    <xf numFmtId="10" fontId="1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11" fillId="0" borderId="0" applyFont="0" applyFill="0" applyBorder="0" applyAlignment="0" applyProtection="0"/>
    <xf numFmtId="0" fontId="5" fillId="0" borderId="0"/>
    <xf numFmtId="0" fontId="5" fillId="0" borderId="0"/>
    <xf numFmtId="182" fontId="11" fillId="0" borderId="0"/>
    <xf numFmtId="0" fontId="74" fillId="54" borderId="77" applyNumberFormat="0" applyAlignment="0" applyProtection="0"/>
    <xf numFmtId="0" fontId="65" fillId="55" borderId="71" applyNumberFormat="0" applyAlignment="0" applyProtection="0"/>
    <xf numFmtId="0" fontId="71" fillId="41" borderId="70" applyNumberFormat="0" applyAlignment="0" applyProtection="0"/>
    <xf numFmtId="0" fontId="11" fillId="57" borderId="76" applyNumberFormat="0" applyFont="0" applyAlignment="0" applyProtection="0"/>
    <xf numFmtId="0" fontId="67" fillId="38" borderId="0" applyNumberFormat="0" applyBorder="0" applyAlignment="0" applyProtection="0"/>
    <xf numFmtId="0" fontId="63" fillId="37" borderId="0" applyNumberFormat="0" applyBorder="0" applyAlignment="0" applyProtection="0"/>
    <xf numFmtId="0" fontId="70" fillId="0" borderId="74" applyNumberFormat="0" applyFill="0" applyAlignment="0" applyProtection="0"/>
    <xf numFmtId="0" fontId="69" fillId="0" borderId="73" applyNumberFormat="0" applyFill="0" applyAlignment="0" applyProtection="0"/>
    <xf numFmtId="0" fontId="66" fillId="0" borderId="0" applyNumberFormat="0" applyFill="0" applyBorder="0" applyAlignment="0" applyProtection="0"/>
    <xf numFmtId="0" fontId="68" fillId="0" borderId="72" applyNumberFormat="0" applyFill="0" applyAlignment="0" applyProtection="0"/>
    <xf numFmtId="0" fontId="59"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62" fillId="48" borderId="0" applyNumberFormat="0" applyBorder="0" applyAlignment="0" applyProtection="0"/>
    <xf numFmtId="0" fontId="5" fillId="0" borderId="0"/>
    <xf numFmtId="0" fontId="5" fillId="0" borderId="0"/>
    <xf numFmtId="0" fontId="5" fillId="0" borderId="0"/>
    <xf numFmtId="0" fontId="62" fillId="53" borderId="0" applyNumberFormat="0" applyBorder="0" applyAlignment="0" applyProtection="0"/>
    <xf numFmtId="0" fontId="62" fillId="47" borderId="0" applyNumberFormat="0" applyBorder="0" applyAlignment="0" applyProtection="0"/>
    <xf numFmtId="43"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72" fillId="0" borderId="75" applyNumberFormat="0" applyFill="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70"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71" fillId="41" borderId="70" applyNumberFormat="0" applyAlignment="0" applyProtection="0"/>
    <xf numFmtId="0" fontId="71" fillId="41" borderId="70" applyNumberFormat="0" applyAlignment="0" applyProtection="0"/>
    <xf numFmtId="0" fontId="71" fillId="41" borderId="70"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0" fontId="71" fillId="41" borderId="70" applyNumberFormat="0" applyAlignment="0" applyProtection="0"/>
    <xf numFmtId="0" fontId="11" fillId="0" borderId="0"/>
    <xf numFmtId="0" fontId="15" fillId="0" borderId="0"/>
    <xf numFmtId="0" fontId="4" fillId="0" borderId="0"/>
    <xf numFmtId="0" fontId="4" fillId="0" borderId="0"/>
    <xf numFmtId="9" fontId="1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0" fontId="11" fillId="0" borderId="0"/>
    <xf numFmtId="9" fontId="15" fillId="0" borderId="0" applyFont="0" applyFill="0" applyBorder="0" applyAlignment="0" applyProtection="0"/>
    <xf numFmtId="0" fontId="15" fillId="0" borderId="0"/>
    <xf numFmtId="9" fontId="11" fillId="0" borderId="0" applyFont="0" applyFill="0" applyBorder="0" applyAlignment="0" applyProtection="0"/>
    <xf numFmtId="0" fontId="11"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5" fontId="11" fillId="0" borderId="0" applyFont="0" applyFill="0" applyBorder="0" applyAlignment="0" applyProtection="0"/>
    <xf numFmtId="166" fontId="3" fillId="0" borderId="0" applyFont="0" applyFill="0" applyBorder="0" applyAlignment="0" applyProtection="0"/>
    <xf numFmtId="0" fontId="11" fillId="0" borderId="0"/>
    <xf numFmtId="0" fontId="3" fillId="0" borderId="0"/>
    <xf numFmtId="0" fontId="3"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75" fillId="0" borderId="0" applyNumberFormat="0" applyFill="0" applyBorder="0" applyAlignment="0" applyProtection="0"/>
    <xf numFmtId="0" fontId="3" fillId="0" borderId="0"/>
    <xf numFmtId="44"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78" fillId="0" borderId="0" applyNumberForma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15" fillId="0" borderId="0"/>
    <xf numFmtId="43" fontId="15" fillId="0" borderId="0" applyFont="0" applyFill="0" applyBorder="0" applyAlignment="0" applyProtection="0"/>
    <xf numFmtId="0" fontId="3" fillId="0" borderId="0"/>
    <xf numFmtId="0" fontId="3" fillId="0" borderId="0"/>
    <xf numFmtId="9" fontId="15"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5" fillId="0" borderId="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2" fillId="0" borderId="0"/>
    <xf numFmtId="0" fontId="1" fillId="0" borderId="0"/>
  </cellStyleXfs>
  <cellXfs count="712">
    <xf numFmtId="0" fontId="0" fillId="0" borderId="0" xfId="0"/>
    <xf numFmtId="0" fontId="11" fillId="0" borderId="0" xfId="0" applyFont="1"/>
    <xf numFmtId="49" fontId="11" fillId="0" borderId="2" xfId="0" applyNumberFormat="1" applyFont="1" applyBorder="1" applyAlignment="1">
      <alignment horizontal="center"/>
    </xf>
    <xf numFmtId="167" fontId="11" fillId="0" borderId="1" xfId="0" applyNumberFormat="1" applyFont="1" applyBorder="1" applyAlignment="1">
      <alignment horizontal="center"/>
    </xf>
    <xf numFmtId="167" fontId="11" fillId="0" borderId="8" xfId="0" applyNumberFormat="1" applyFont="1" applyBorder="1" applyAlignment="1">
      <alignment horizontal="center"/>
    </xf>
    <xf numFmtId="0" fontId="11" fillId="0" borderId="1" xfId="0" applyFont="1" applyBorder="1" applyAlignment="1">
      <alignment horizontal="center"/>
    </xf>
    <xf numFmtId="0" fontId="11" fillId="0" borderId="8" xfId="0" applyFont="1" applyBorder="1" applyAlignment="1">
      <alignment horizontal="center"/>
    </xf>
    <xf numFmtId="49" fontId="11" fillId="0" borderId="9" xfId="0" applyNumberFormat="1"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xf numFmtId="0" fontId="11" fillId="0" borderId="13" xfId="0" applyFont="1" applyBorder="1"/>
    <xf numFmtId="1" fontId="11" fillId="33" borderId="1" xfId="0" applyNumberFormat="1" applyFont="1" applyFill="1" applyBorder="1" applyAlignment="1">
      <alignment horizontal="center"/>
    </xf>
    <xf numFmtId="2" fontId="37" fillId="0" borderId="0" xfId="0" applyNumberFormat="1" applyFont="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2" xfId="0" applyFont="1" applyBorder="1" applyAlignment="1">
      <alignment horizontal="center"/>
    </xf>
    <xf numFmtId="0" fontId="11" fillId="0" borderId="16" xfId="0" applyFont="1" applyBorder="1" applyAlignment="1">
      <alignment horizontal="center"/>
    </xf>
    <xf numFmtId="0" fontId="11" fillId="0" borderId="9" xfId="0" applyFont="1" applyBorder="1" applyAlignment="1">
      <alignment horizontal="center"/>
    </xf>
    <xf numFmtId="0" fontId="11" fillId="0" borderId="17" xfId="0" applyFont="1" applyBorder="1" applyAlignment="1">
      <alignment horizontal="center"/>
    </xf>
    <xf numFmtId="17" fontId="11" fillId="0" borderId="15" xfId="0" applyNumberFormat="1" applyFont="1" applyBorder="1" applyAlignment="1">
      <alignment horizontal="center"/>
    </xf>
    <xf numFmtId="3" fontId="11" fillId="0" borderId="0" xfId="0" applyNumberFormat="1" applyFont="1" applyAlignment="1">
      <alignment horizontal="center"/>
    </xf>
    <xf numFmtId="0" fontId="11" fillId="0" borderId="0" xfId="0" applyFont="1" applyAlignment="1">
      <alignment horizontal="center"/>
    </xf>
    <xf numFmtId="17" fontId="11" fillId="0" borderId="0" xfId="0" applyNumberFormat="1" applyFont="1"/>
    <xf numFmtId="0" fontId="11" fillId="0" borderId="0" xfId="0" applyFont="1" applyAlignment="1">
      <alignment horizontal="left"/>
    </xf>
    <xf numFmtId="0" fontId="11" fillId="0" borderId="9" xfId="0" applyFont="1" applyBorder="1"/>
    <xf numFmtId="0" fontId="11" fillId="0" borderId="10" xfId="0" applyFont="1" applyBorder="1"/>
    <xf numFmtId="0" fontId="11" fillId="0" borderId="0" xfId="521" applyFont="1"/>
    <xf numFmtId="1" fontId="37" fillId="0" borderId="0" xfId="521" applyNumberFormat="1" applyFont="1" applyAlignment="1">
      <alignment horizontal="center"/>
    </xf>
    <xf numFmtId="0" fontId="11" fillId="0" borderId="0" xfId="521" applyFont="1" applyAlignment="1">
      <alignment horizontal="center"/>
    </xf>
    <xf numFmtId="0" fontId="11" fillId="0" borderId="34" xfId="0" applyFont="1" applyBorder="1" applyAlignment="1">
      <alignment horizontal="center"/>
    </xf>
    <xf numFmtId="49" fontId="11" fillId="0" borderId="15" xfId="0" applyNumberFormat="1" applyFont="1" applyBorder="1" applyAlignment="1">
      <alignment horizontal="center"/>
    </xf>
    <xf numFmtId="17" fontId="11" fillId="0" borderId="0" xfId="0" applyNumberFormat="1" applyFont="1" applyAlignment="1">
      <alignment horizontal="center"/>
    </xf>
    <xf numFmtId="0" fontId="18" fillId="0" borderId="0" xfId="0" applyFont="1"/>
    <xf numFmtId="1" fontId="11" fillId="0" borderId="0" xfId="0" applyNumberFormat="1" applyFont="1"/>
    <xf numFmtId="0" fontId="11" fillId="0" borderId="11" xfId="0" applyFont="1" applyBorder="1"/>
    <xf numFmtId="0" fontId="21" fillId="0" borderId="0" xfId="0" applyFont="1"/>
    <xf numFmtId="169" fontId="11" fillId="0" borderId="0" xfId="379" applyNumberFormat="1" applyFont="1"/>
    <xf numFmtId="167" fontId="11" fillId="0" borderId="47" xfId="0" applyNumberFormat="1" applyFont="1" applyBorder="1" applyAlignment="1">
      <alignment horizontal="center"/>
    </xf>
    <xf numFmtId="0" fontId="11" fillId="0" borderId="8" xfId="0" applyFont="1" applyBorder="1"/>
    <xf numFmtId="167" fontId="11" fillId="0" borderId="11" xfId="0" applyNumberFormat="1" applyFont="1" applyBorder="1" applyAlignment="1">
      <alignment horizontal="center"/>
    </xf>
    <xf numFmtId="0" fontId="18" fillId="0" borderId="1" xfId="0" applyFont="1" applyBorder="1" applyAlignment="1" applyProtection="1">
      <alignment horizontal="center" wrapText="1"/>
      <protection locked="0"/>
    </xf>
    <xf numFmtId="0" fontId="11" fillId="0" borderId="0" xfId="0" applyFont="1" applyProtection="1">
      <protection locked="0"/>
    </xf>
    <xf numFmtId="0" fontId="11" fillId="0" borderId="0" xfId="0" applyFont="1" applyAlignment="1" applyProtection="1">
      <alignment horizontal="center"/>
      <protection locked="0"/>
    </xf>
    <xf numFmtId="0" fontId="11" fillId="0" borderId="1" xfId="0" applyFont="1" applyBorder="1" applyAlignment="1" applyProtection="1">
      <alignment horizontal="center"/>
      <protection locked="0"/>
    </xf>
    <xf numFmtId="49" fontId="11" fillId="0" borderId="1" xfId="0" applyNumberFormat="1" applyFont="1" applyBorder="1" applyAlignment="1" applyProtection="1">
      <alignment horizontal="center"/>
      <protection locked="0"/>
    </xf>
    <xf numFmtId="17" fontId="11" fillId="0" borderId="0" xfId="0" applyNumberFormat="1" applyFont="1" applyAlignment="1" applyProtection="1">
      <alignment horizontal="center"/>
      <protection locked="0"/>
    </xf>
    <xf numFmtId="0" fontId="18" fillId="33" borderId="1" xfId="0" applyFont="1" applyFill="1" applyBorder="1" applyAlignment="1" applyProtection="1">
      <alignment horizontal="center" wrapText="1"/>
      <protection locked="0"/>
    </xf>
    <xf numFmtId="167" fontId="11" fillId="0" borderId="29" xfId="0" applyNumberFormat="1" applyFont="1" applyBorder="1" applyAlignment="1">
      <alignment horizontal="center"/>
    </xf>
    <xf numFmtId="167" fontId="11" fillId="0" borderId="28" xfId="0" applyNumberFormat="1" applyFont="1" applyBorder="1" applyAlignment="1">
      <alignment horizontal="center"/>
    </xf>
    <xf numFmtId="17" fontId="11" fillId="0" borderId="22" xfId="0" applyNumberFormat="1" applyFont="1" applyBorder="1" applyAlignment="1" applyProtection="1">
      <alignment horizontal="center"/>
      <protection locked="0"/>
    </xf>
    <xf numFmtId="169" fontId="11" fillId="0" borderId="22" xfId="379" applyNumberFormat="1" applyFont="1" applyFill="1" applyBorder="1" applyAlignment="1" applyProtection="1">
      <alignment horizontal="center"/>
      <protection locked="0"/>
    </xf>
    <xf numFmtId="43" fontId="11" fillId="0" borderId="1" xfId="379" applyFont="1" applyFill="1" applyBorder="1" applyProtection="1">
      <protection locked="0"/>
    </xf>
    <xf numFmtId="0" fontId="18" fillId="0" borderId="0" xfId="0" applyFont="1" applyProtection="1">
      <protection locked="0"/>
    </xf>
    <xf numFmtId="0" fontId="11" fillId="0" borderId="35" xfId="0" applyFont="1" applyBorder="1" applyAlignment="1">
      <alignment horizontal="left"/>
    </xf>
    <xf numFmtId="2" fontId="37" fillId="0" borderId="38" xfId="0" applyNumberFormat="1" applyFont="1" applyBorder="1" applyAlignment="1">
      <alignment horizontal="center"/>
    </xf>
    <xf numFmtId="0" fontId="11" fillId="0" borderId="61" xfId="0" applyFont="1" applyBorder="1" applyAlignment="1">
      <alignment horizontal="left"/>
    </xf>
    <xf numFmtId="0" fontId="11" fillId="0" borderId="25" xfId="0" applyFont="1" applyBorder="1" applyAlignment="1">
      <alignment horizontal="center"/>
    </xf>
    <xf numFmtId="167" fontId="11" fillId="0" borderId="10" xfId="0" applyNumberFormat="1" applyFont="1" applyBorder="1" applyAlignment="1">
      <alignment horizontal="center"/>
    </xf>
    <xf numFmtId="169" fontId="11" fillId="0" borderId="10" xfId="379" applyNumberFormat="1" applyFont="1" applyFill="1" applyBorder="1" applyAlignment="1">
      <alignment horizontal="center"/>
    </xf>
    <xf numFmtId="169" fontId="11" fillId="0" borderId="0" xfId="0" applyNumberFormat="1" applyFont="1"/>
    <xf numFmtId="0" fontId="11" fillId="0" borderId="0" xfId="0" applyFont="1" applyAlignment="1">
      <alignment horizontal="center" wrapText="1"/>
    </xf>
    <xf numFmtId="171" fontId="11" fillId="0" borderId="0" xfId="383" applyNumberFormat="1" applyFont="1" applyFill="1" applyBorder="1" applyAlignment="1"/>
    <xf numFmtId="0" fontId="11" fillId="0" borderId="51" xfId="0" applyFont="1" applyBorder="1" applyAlignment="1">
      <alignment horizontal="center"/>
    </xf>
    <xf numFmtId="172" fontId="11" fillId="0" borderId="8" xfId="379" applyNumberFormat="1" applyFont="1" applyFill="1" applyBorder="1" applyAlignment="1"/>
    <xf numFmtId="43" fontId="11" fillId="0" borderId="1" xfId="0" applyNumberFormat="1" applyFont="1" applyBorder="1" applyAlignment="1">
      <alignment horizontal="center"/>
    </xf>
    <xf numFmtId="0" fontId="11" fillId="0" borderId="18"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175" fontId="11" fillId="0" borderId="45" xfId="0" applyNumberFormat="1" applyFont="1" applyBorder="1" applyAlignment="1">
      <alignment horizontal="center"/>
    </xf>
    <xf numFmtId="169" fontId="11" fillId="0" borderId="20" xfId="379" applyNumberFormat="1" applyFont="1" applyBorder="1" applyAlignment="1">
      <alignment horizontal="center"/>
    </xf>
    <xf numFmtId="171" fontId="11" fillId="0" borderId="8" xfId="383" applyNumberFormat="1" applyFont="1" applyFill="1" applyBorder="1" applyAlignment="1"/>
    <xf numFmtId="43" fontId="11" fillId="0" borderId="10" xfId="0" applyNumberFormat="1" applyFont="1" applyBorder="1" applyAlignment="1">
      <alignment horizontal="center"/>
    </xf>
    <xf numFmtId="171" fontId="11" fillId="0" borderId="11" xfId="383" applyNumberFormat="1" applyFont="1" applyFill="1" applyBorder="1" applyAlignment="1"/>
    <xf numFmtId="169" fontId="11" fillId="0" borderId="1" xfId="379" applyNumberFormat="1" applyFont="1" applyFill="1" applyBorder="1" applyAlignment="1">
      <alignment horizontal="center"/>
    </xf>
    <xf numFmtId="169" fontId="11" fillId="0" borderId="8" xfId="379" applyNumberFormat="1" applyFont="1" applyFill="1" applyBorder="1" applyAlignment="1">
      <alignment horizontal="center"/>
    </xf>
    <xf numFmtId="169" fontId="11" fillId="0" borderId="2" xfId="379" applyNumberFormat="1" applyFont="1" applyBorder="1"/>
    <xf numFmtId="169" fontId="11" fillId="0" borderId="9" xfId="379" applyNumberFormat="1" applyFont="1" applyBorder="1"/>
    <xf numFmtId="169" fontId="11" fillId="33" borderId="1" xfId="379" applyNumberFormat="1" applyFont="1" applyFill="1" applyBorder="1"/>
    <xf numFmtId="0" fontId="11" fillId="0" borderId="26" xfId="521" applyFont="1" applyBorder="1"/>
    <xf numFmtId="0" fontId="11" fillId="0" borderId="66" xfId="521" applyFont="1" applyBorder="1"/>
    <xf numFmtId="0" fontId="11" fillId="0" borderId="27" xfId="521" applyFont="1" applyBorder="1" applyAlignment="1">
      <alignment horizontal="center"/>
    </xf>
    <xf numFmtId="169" fontId="11" fillId="0" borderId="28" xfId="379" applyNumberFormat="1" applyFont="1" applyFill="1" applyBorder="1" applyAlignment="1">
      <alignment horizontal="center"/>
    </xf>
    <xf numFmtId="3" fontId="11" fillId="0" borderId="65" xfId="379" applyNumberFormat="1" applyFont="1" applyFill="1" applyBorder="1" applyAlignment="1">
      <alignment horizontal="center"/>
    </xf>
    <xf numFmtId="3" fontId="11" fillId="0" borderId="28" xfId="379" applyNumberFormat="1" applyFont="1" applyFill="1" applyBorder="1" applyAlignment="1">
      <alignment horizontal="center"/>
    </xf>
    <xf numFmtId="0" fontId="11" fillId="0" borderId="21" xfId="0" applyFont="1" applyBorder="1"/>
    <xf numFmtId="0" fontId="11" fillId="0" borderId="21" xfId="0" applyFont="1" applyBorder="1" applyAlignment="1">
      <alignment horizontal="center"/>
    </xf>
    <xf numFmtId="17" fontId="11" fillId="61" borderId="22" xfId="0" applyNumberFormat="1" applyFont="1" applyFill="1" applyBorder="1" applyAlignment="1" applyProtection="1">
      <alignment horizontal="center"/>
      <protection locked="0"/>
    </xf>
    <xf numFmtId="3" fontId="11" fillId="33" borderId="2" xfId="0" applyNumberFormat="1" applyFont="1" applyFill="1" applyBorder="1" applyAlignment="1">
      <alignment horizontal="center"/>
    </xf>
    <xf numFmtId="43" fontId="11" fillId="33" borderId="1" xfId="379" applyFont="1" applyFill="1" applyBorder="1" applyAlignment="1">
      <alignment horizontal="center"/>
    </xf>
    <xf numFmtId="3" fontId="11" fillId="33" borderId="22" xfId="379" applyNumberFormat="1" applyFont="1" applyFill="1" applyBorder="1" applyAlignment="1">
      <alignment horizontal="center" vertical="center"/>
    </xf>
    <xf numFmtId="169" fontId="11" fillId="33" borderId="1" xfId="379" applyNumberFormat="1" applyFont="1" applyFill="1" applyBorder="1" applyAlignment="1">
      <alignment horizontal="center"/>
    </xf>
    <xf numFmtId="3" fontId="37" fillId="33" borderId="8" xfId="0" applyNumberFormat="1" applyFont="1" applyFill="1" applyBorder="1" applyAlignment="1">
      <alignment horizontal="center"/>
    </xf>
    <xf numFmtId="3" fontId="11" fillId="33" borderId="1" xfId="0" applyNumberFormat="1" applyFont="1" applyFill="1" applyBorder="1" applyAlignment="1">
      <alignment horizontal="center"/>
    </xf>
    <xf numFmtId="3" fontId="11" fillId="33" borderId="2" xfId="379" applyNumberFormat="1" applyFont="1" applyFill="1" applyBorder="1" applyAlignment="1">
      <alignment horizontal="center"/>
    </xf>
    <xf numFmtId="3" fontId="11" fillId="33" borderId="20" xfId="0" applyNumberFormat="1" applyFont="1" applyFill="1" applyBorder="1" applyAlignment="1">
      <alignment horizontal="center"/>
    </xf>
    <xf numFmtId="0" fontId="18" fillId="0" borderId="68" xfId="0" applyFont="1" applyBorder="1" applyAlignment="1" applyProtection="1">
      <alignment horizontal="center" wrapText="1"/>
      <protection locked="0"/>
    </xf>
    <xf numFmtId="17" fontId="11" fillId="0" borderId="1" xfId="0" applyNumberFormat="1" applyFont="1" applyBorder="1" applyAlignment="1" applyProtection="1">
      <alignment horizontal="center"/>
      <protection locked="0"/>
    </xf>
    <xf numFmtId="0" fontId="11" fillId="0" borderId="68" xfId="0" applyFont="1" applyBorder="1" applyAlignment="1" applyProtection="1">
      <alignment horizontal="center"/>
      <protection locked="0"/>
    </xf>
    <xf numFmtId="169" fontId="11" fillId="0" borderId="1" xfId="379" applyNumberFormat="1" applyFont="1" applyFill="1" applyBorder="1" applyAlignment="1" applyProtection="1">
      <alignment horizontal="center"/>
      <protection locked="0"/>
    </xf>
    <xf numFmtId="0" fontId="18" fillId="0" borderId="39" xfId="0" applyFont="1" applyBorder="1" applyAlignment="1" applyProtection="1">
      <alignment horizontal="center"/>
      <protection locked="0"/>
    </xf>
    <xf numFmtId="2" fontId="18" fillId="33" borderId="1" xfId="379" applyNumberFormat="1" applyFont="1" applyFill="1" applyBorder="1" applyAlignment="1" applyProtection="1">
      <alignment horizontal="center" wrapText="1"/>
      <protection locked="0"/>
    </xf>
    <xf numFmtId="0" fontId="18" fillId="0" borderId="62" xfId="0" applyFont="1" applyBorder="1" applyProtection="1">
      <protection locked="0"/>
    </xf>
    <xf numFmtId="0" fontId="18" fillId="0" borderId="0" xfId="0" applyFont="1" applyAlignment="1" applyProtection="1">
      <alignment horizontal="center"/>
      <protection locked="0"/>
    </xf>
    <xf numFmtId="1" fontId="11" fillId="33" borderId="22" xfId="634" applyNumberFormat="1" applyFont="1" applyFill="1" applyBorder="1" applyAlignment="1">
      <alignment horizontal="center"/>
    </xf>
    <xf numFmtId="43" fontId="11" fillId="61" borderId="22" xfId="379" applyFont="1" applyFill="1" applyBorder="1" applyAlignment="1" applyProtection="1">
      <alignment horizontal="center"/>
      <protection locked="0"/>
    </xf>
    <xf numFmtId="1" fontId="11" fillId="33" borderId="1" xfId="0" applyNumberFormat="1" applyFont="1" applyFill="1" applyBorder="1" applyProtection="1">
      <protection locked="0"/>
    </xf>
    <xf numFmtId="1" fontId="11" fillId="33" borderId="22" xfId="379" applyNumberFormat="1" applyFont="1" applyFill="1" applyBorder="1" applyAlignment="1" applyProtection="1">
      <alignment horizontal="center"/>
      <protection locked="0"/>
    </xf>
    <xf numFmtId="1" fontId="11" fillId="33" borderId="22" xfId="0" applyNumberFormat="1" applyFont="1" applyFill="1" applyBorder="1" applyProtection="1">
      <protection locked="0"/>
    </xf>
    <xf numFmtId="1" fontId="11" fillId="61" borderId="22" xfId="379" applyNumberFormat="1" applyFont="1" applyFill="1" applyBorder="1" applyAlignment="1" applyProtection="1">
      <alignment horizontal="center"/>
      <protection locked="0"/>
    </xf>
    <xf numFmtId="1" fontId="11" fillId="61" borderId="22" xfId="0" applyNumberFormat="1" applyFont="1" applyFill="1" applyBorder="1" applyProtection="1">
      <protection locked="0"/>
    </xf>
    <xf numFmtId="43" fontId="11" fillId="0" borderId="0" xfId="379" applyFont="1" applyAlignment="1">
      <alignment horizontal="center"/>
    </xf>
    <xf numFmtId="43" fontId="18" fillId="0" borderId="0" xfId="379" applyFont="1" applyAlignment="1" applyProtection="1">
      <alignment horizontal="center"/>
      <protection locked="0"/>
    </xf>
    <xf numFmtId="43" fontId="18" fillId="0" borderId="39" xfId="379" applyFont="1" applyBorder="1" applyAlignment="1" applyProtection="1">
      <alignment horizontal="center" wrapText="1"/>
      <protection locked="0"/>
    </xf>
    <xf numFmtId="43" fontId="18" fillId="0" borderId="68" xfId="379" applyFont="1" applyBorder="1" applyAlignment="1" applyProtection="1">
      <alignment horizontal="center" wrapText="1"/>
      <protection locked="0"/>
    </xf>
    <xf numFmtId="43" fontId="11" fillId="33" borderId="1" xfId="379" applyFont="1" applyFill="1" applyBorder="1" applyAlignment="1" applyProtection="1">
      <alignment horizontal="center"/>
      <protection locked="0"/>
    </xf>
    <xf numFmtId="43" fontId="11" fillId="0" borderId="0" xfId="379" applyFont="1" applyBorder="1"/>
    <xf numFmtId="43" fontId="43" fillId="0" borderId="17" xfId="379" applyFont="1" applyBorder="1" applyAlignment="1">
      <alignment horizontal="center"/>
    </xf>
    <xf numFmtId="43" fontId="43" fillId="0" borderId="20" xfId="379" applyFont="1" applyBorder="1" applyAlignment="1">
      <alignment horizontal="center"/>
    </xf>
    <xf numFmtId="43" fontId="43" fillId="0" borderId="50" xfId="379" applyFont="1" applyBorder="1" applyAlignment="1">
      <alignment horizontal="center"/>
    </xf>
    <xf numFmtId="43" fontId="43" fillId="0" borderId="1" xfId="379" applyFont="1" applyBorder="1" applyAlignment="1">
      <alignment horizontal="center"/>
    </xf>
    <xf numFmtId="2" fontId="11" fillId="0" borderId="22" xfId="379" applyNumberFormat="1" applyFont="1" applyFill="1" applyBorder="1" applyAlignment="1" applyProtection="1">
      <protection locked="0"/>
    </xf>
    <xf numFmtId="43" fontId="11" fillId="0" borderId="0" xfId="0" applyNumberFormat="1" applyFont="1"/>
    <xf numFmtId="43" fontId="43" fillId="0" borderId="0" xfId="379" applyFont="1" applyBorder="1" applyAlignment="1">
      <alignment horizontal="center"/>
    </xf>
    <xf numFmtId="2" fontId="11" fillId="0" borderId="1" xfId="379" applyNumberFormat="1" applyFont="1" applyBorder="1" applyAlignment="1" applyProtection="1">
      <protection locked="0"/>
    </xf>
    <xf numFmtId="0" fontId="18" fillId="62" borderId="1" xfId="0" applyFont="1" applyFill="1" applyBorder="1" applyAlignment="1">
      <alignment horizontal="center" wrapText="1"/>
    </xf>
    <xf numFmtId="0" fontId="18" fillId="62" borderId="39" xfId="0" applyFont="1" applyFill="1" applyBorder="1" applyAlignment="1">
      <alignment horizontal="center" wrapText="1"/>
    </xf>
    <xf numFmtId="2" fontId="11" fillId="62" borderId="1" xfId="379" applyNumberFormat="1" applyFont="1" applyFill="1" applyBorder="1" applyAlignment="1" applyProtection="1">
      <alignment horizontal="center"/>
      <protection locked="0"/>
    </xf>
    <xf numFmtId="0" fontId="11" fillId="0" borderId="44" xfId="0" applyFont="1" applyBorder="1" applyAlignment="1">
      <alignment horizontal="center"/>
    </xf>
    <xf numFmtId="2" fontId="11" fillId="0" borderId="8" xfId="0" applyNumberFormat="1" applyFont="1" applyBorder="1" applyAlignment="1">
      <alignment horizontal="center"/>
    </xf>
    <xf numFmtId="2" fontId="11" fillId="0" borderId="38" xfId="0" applyNumberFormat="1" applyFont="1" applyBorder="1" applyAlignment="1">
      <alignment horizontal="center"/>
    </xf>
    <xf numFmtId="3" fontId="11" fillId="33" borderId="8" xfId="0" applyNumberFormat="1" applyFont="1" applyFill="1" applyBorder="1" applyAlignment="1">
      <alignment horizontal="center"/>
    </xf>
    <xf numFmtId="1" fontId="11" fillId="0" borderId="10" xfId="0" applyNumberFormat="1" applyFont="1" applyBorder="1" applyAlignment="1">
      <alignment horizontal="center"/>
    </xf>
    <xf numFmtId="169" fontId="11" fillId="70" borderId="1" xfId="379" applyNumberFormat="1" applyFont="1" applyFill="1" applyBorder="1" applyAlignment="1">
      <alignment horizontal="center"/>
    </xf>
    <xf numFmtId="169" fontId="11" fillId="70" borderId="10" xfId="379" applyNumberFormat="1" applyFont="1" applyFill="1" applyBorder="1" applyAlignment="1">
      <alignment horizontal="center"/>
    </xf>
    <xf numFmtId="169" fontId="11" fillId="0" borderId="27" xfId="379" applyNumberFormat="1" applyFont="1" applyFill="1" applyBorder="1"/>
    <xf numFmtId="167" fontId="11" fillId="0" borderId="27" xfId="0" applyNumberFormat="1" applyFont="1" applyBorder="1"/>
    <xf numFmtId="169" fontId="11" fillId="0" borderId="25" xfId="379" applyNumberFormat="1" applyFont="1" applyFill="1" applyBorder="1"/>
    <xf numFmtId="167" fontId="11" fillId="0" borderId="25" xfId="0" applyNumberFormat="1" applyFont="1" applyBorder="1"/>
    <xf numFmtId="4" fontId="11" fillId="33" borderId="22" xfId="379" applyNumberFormat="1" applyFont="1" applyFill="1" applyBorder="1" applyAlignment="1">
      <alignment horizontal="center" vertical="center"/>
    </xf>
    <xf numFmtId="3" fontId="11" fillId="0" borderId="0" xfId="0" applyNumberFormat="1" applyFont="1"/>
    <xf numFmtId="2" fontId="11" fillId="33" borderId="22" xfId="634" applyNumberFormat="1" applyFont="1" applyFill="1" applyBorder="1" applyAlignment="1">
      <alignment horizontal="center"/>
    </xf>
    <xf numFmtId="43" fontId="11" fillId="33" borderId="1" xfId="379" applyFont="1" applyFill="1" applyBorder="1" applyProtection="1">
      <protection locked="0"/>
    </xf>
    <xf numFmtId="1" fontId="11" fillId="0" borderId="1" xfId="0" applyNumberFormat="1" applyFont="1" applyBorder="1" applyAlignment="1" applyProtection="1">
      <alignment horizontal="center"/>
      <protection locked="0"/>
    </xf>
    <xf numFmtId="43" fontId="11" fillId="0" borderId="23" xfId="379" applyFont="1" applyBorder="1" applyAlignment="1">
      <alignment horizontal="center"/>
    </xf>
    <xf numFmtId="0" fontId="42" fillId="0" borderId="40" xfId="0" applyFont="1" applyBorder="1"/>
    <xf numFmtId="0" fontId="11" fillId="0" borderId="37" xfId="0" applyFont="1" applyBorder="1" applyAlignment="1">
      <alignment horizontal="center"/>
    </xf>
    <xf numFmtId="0" fontId="43" fillId="0" borderId="15" xfId="0" applyFont="1" applyBorder="1"/>
    <xf numFmtId="0" fontId="43" fillId="0" borderId="34" xfId="0" applyFont="1" applyBorder="1"/>
    <xf numFmtId="0" fontId="43" fillId="0" borderId="15" xfId="0" applyFont="1" applyBorder="1" applyAlignment="1">
      <alignment horizontal="left"/>
    </xf>
    <xf numFmtId="0" fontId="43" fillId="0" borderId="40" xfId="0" applyFont="1" applyBorder="1" applyAlignment="1">
      <alignment horizontal="center"/>
    </xf>
    <xf numFmtId="0" fontId="43" fillId="0" borderId="37" xfId="0" applyFont="1" applyBorder="1" applyAlignment="1">
      <alignment horizontal="center"/>
    </xf>
    <xf numFmtId="0" fontId="43" fillId="0" borderId="2" xfId="860" applyFont="1" applyBorder="1"/>
    <xf numFmtId="0" fontId="43" fillId="0" borderId="8" xfId="860" applyFont="1" applyBorder="1" applyAlignment="1">
      <alignment horizontal="center"/>
    </xf>
    <xf numFmtId="0" fontId="43" fillId="0" borderId="41" xfId="0" applyFont="1" applyBorder="1" applyAlignment="1">
      <alignment horizontal="center"/>
    </xf>
    <xf numFmtId="43" fontId="43" fillId="0" borderId="24" xfId="379" applyFont="1" applyBorder="1" applyAlignment="1">
      <alignment horizontal="center"/>
    </xf>
    <xf numFmtId="0" fontId="43" fillId="0" borderId="36" xfId="0" applyFont="1" applyBorder="1" applyAlignment="1">
      <alignment horizontal="center"/>
    </xf>
    <xf numFmtId="2" fontId="81" fillId="70" borderId="89" xfId="0" applyNumberFormat="1" applyFont="1" applyFill="1" applyBorder="1" applyProtection="1">
      <protection locked="0"/>
    </xf>
    <xf numFmtId="2" fontId="11" fillId="0" borderId="0" xfId="0" applyNumberFormat="1" applyFont="1" applyProtection="1">
      <protection locked="0"/>
    </xf>
    <xf numFmtId="2" fontId="11" fillId="0" borderId="0" xfId="0" applyNumberFormat="1" applyFont="1"/>
    <xf numFmtId="49" fontId="11" fillId="0" borderId="7" xfId="0" applyNumberFormat="1" applyFont="1" applyBorder="1" applyAlignment="1">
      <alignment horizontal="center" vertical="center" wrapText="1"/>
    </xf>
    <xf numFmtId="10" fontId="11" fillId="0" borderId="1" xfId="0" applyNumberFormat="1" applyFont="1" applyBorder="1" applyAlignment="1">
      <alignment horizontal="center" vertical="center" wrapText="1"/>
    </xf>
    <xf numFmtId="0" fontId="11" fillId="0" borderId="10" xfId="0" applyFont="1" applyBorder="1" applyAlignment="1">
      <alignment horizontal="center" vertical="center" wrapText="1"/>
    </xf>
    <xf numFmtId="10" fontId="11" fillId="0" borderId="10"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0" fontId="11" fillId="0" borderId="0" xfId="0" applyFont="1" applyAlignment="1">
      <alignment horizontal="center" vertical="center" wrapText="1"/>
    </xf>
    <xf numFmtId="3" fontId="11" fillId="0" borderId="0" xfId="0" applyNumberFormat="1" applyFont="1" applyAlignment="1">
      <alignment horizontal="center" vertical="center" wrapText="1"/>
    </xf>
    <xf numFmtId="0" fontId="11" fillId="0" borderId="7" xfId="0" applyFont="1" applyBorder="1" applyAlignment="1">
      <alignment horizontal="center" vertical="center" wrapText="1"/>
    </xf>
    <xf numFmtId="0" fontId="11" fillId="0" borderId="29" xfId="0" applyFont="1" applyBorder="1" applyAlignment="1">
      <alignment horizontal="center" vertical="center" wrapText="1"/>
    </xf>
    <xf numFmtId="169" fontId="11" fillId="0" borderId="2" xfId="379" applyNumberFormat="1" applyFont="1" applyFill="1" applyBorder="1" applyAlignment="1">
      <alignment horizontal="center"/>
    </xf>
    <xf numFmtId="3" fontId="11" fillId="0" borderId="22" xfId="0" applyNumberFormat="1" applyFont="1" applyBorder="1" applyAlignment="1">
      <alignment horizontal="center" vertical="center" wrapText="1"/>
    </xf>
    <xf numFmtId="3" fontId="11" fillId="0" borderId="24" xfId="0" applyNumberFormat="1" applyFont="1" applyBorder="1" applyAlignment="1">
      <alignment horizontal="center" vertical="center" wrapText="1"/>
    </xf>
    <xf numFmtId="169" fontId="11" fillId="0" borderId="0" xfId="379" applyNumberFormat="1" applyFont="1" applyFill="1" applyBorder="1" applyAlignment="1">
      <alignment horizontal="center"/>
    </xf>
    <xf numFmtId="2" fontId="11" fillId="0" borderId="42" xfId="0" applyNumberFormat="1" applyFont="1" applyBorder="1"/>
    <xf numFmtId="0" fontId="11" fillId="0" borderId="43" xfId="0" applyFont="1" applyBorder="1"/>
    <xf numFmtId="169" fontId="11" fillId="0" borderId="43" xfId="379" applyNumberFormat="1" applyFont="1" applyFill="1" applyBorder="1" applyAlignment="1">
      <alignment horizontal="center"/>
    </xf>
    <xf numFmtId="169" fontId="11" fillId="0" borderId="44" xfId="379" applyNumberFormat="1" applyFont="1" applyFill="1" applyBorder="1" applyAlignment="1">
      <alignment horizontal="center"/>
    </xf>
    <xf numFmtId="0" fontId="11" fillId="0" borderId="40" xfId="0" applyFont="1" applyBorder="1"/>
    <xf numFmtId="169" fontId="11" fillId="0" borderId="37" xfId="379" applyNumberFormat="1" applyFont="1" applyFill="1" applyBorder="1" applyAlignment="1">
      <alignment horizontal="center"/>
    </xf>
    <xf numFmtId="2" fontId="11" fillId="0" borderId="40" xfId="0" applyNumberFormat="1" applyFont="1" applyBorder="1"/>
    <xf numFmtId="49" fontId="11" fillId="0" borderId="40" xfId="0" applyNumberFormat="1" applyFont="1" applyBorder="1"/>
    <xf numFmtId="0" fontId="11" fillId="0" borderId="4" xfId="0" applyFont="1" applyBorder="1" applyAlignment="1">
      <alignment horizontal="center"/>
    </xf>
    <xf numFmtId="0" fontId="11" fillId="0" borderId="4" xfId="0" applyFont="1" applyBorder="1" applyAlignment="1">
      <alignment horizontal="center" wrapText="1"/>
    </xf>
    <xf numFmtId="0" fontId="11" fillId="0" borderId="5" xfId="0" applyFont="1" applyBorder="1" applyAlignment="1">
      <alignment horizontal="center"/>
    </xf>
    <xf numFmtId="0" fontId="11" fillId="0" borderId="6" xfId="0" applyFont="1" applyBorder="1" applyAlignment="1">
      <alignment horizontal="center"/>
    </xf>
    <xf numFmtId="49" fontId="11" fillId="0" borderId="7" xfId="0" applyNumberFormat="1" applyFont="1" applyBorder="1" applyAlignment="1">
      <alignment horizontal="center"/>
    </xf>
    <xf numFmtId="169" fontId="11" fillId="0" borderId="2" xfId="379" applyNumberFormat="1" applyFont="1" applyFill="1" applyBorder="1"/>
    <xf numFmtId="14" fontId="11" fillId="0" borderId="2" xfId="0" applyNumberFormat="1" applyFont="1" applyBorder="1" applyAlignment="1">
      <alignment horizontal="center"/>
    </xf>
    <xf numFmtId="0" fontId="11" fillId="0" borderId="69" xfId="0" applyFont="1" applyBorder="1"/>
    <xf numFmtId="169" fontId="38" fillId="0" borderId="0" xfId="379" applyNumberFormat="1" applyFont="1" applyBorder="1" applyAlignment="1">
      <alignment horizontal="right" vertical="center" wrapText="1"/>
    </xf>
    <xf numFmtId="169" fontId="11" fillId="0" borderId="0" xfId="379" applyNumberFormat="1" applyFont="1" applyFill="1" applyBorder="1" applyAlignment="1">
      <alignment horizontal="right"/>
    </xf>
    <xf numFmtId="169" fontId="37" fillId="0" borderId="0" xfId="379" applyNumberFormat="1" applyFont="1" applyFill="1" applyBorder="1" applyAlignment="1">
      <alignment horizontal="right"/>
    </xf>
    <xf numFmtId="169" fontId="11" fillId="0" borderId="0" xfId="379" applyNumberFormat="1" applyFont="1" applyBorder="1" applyAlignment="1">
      <alignment horizontal="right" vertical="center" wrapText="1"/>
    </xf>
    <xf numFmtId="169" fontId="18" fillId="0" borderId="0" xfId="379" applyNumberFormat="1" applyFont="1" applyFill="1" applyBorder="1" applyAlignment="1">
      <alignment horizontal="right"/>
    </xf>
    <xf numFmtId="2" fontId="11" fillId="0" borderId="67" xfId="379" applyNumberFormat="1" applyFont="1" applyFill="1" applyBorder="1" applyAlignment="1" applyProtection="1">
      <alignment horizontal="center"/>
      <protection locked="0"/>
    </xf>
    <xf numFmtId="2" fontId="11" fillId="0" borderId="68" xfId="379" applyNumberFormat="1" applyFont="1" applyFill="1" applyBorder="1" applyAlignment="1" applyProtection="1">
      <alignment horizontal="center"/>
      <protection locked="0"/>
    </xf>
    <xf numFmtId="169" fontId="38" fillId="0" borderId="68" xfId="379" applyNumberFormat="1" applyFont="1" applyBorder="1" applyAlignment="1">
      <alignment horizontal="right" vertical="center" wrapText="1"/>
    </xf>
    <xf numFmtId="169" fontId="38" fillId="0" borderId="17" xfId="379" applyNumberFormat="1" applyFont="1" applyBorder="1" applyAlignment="1">
      <alignment horizontal="right" vertical="center" wrapText="1"/>
    </xf>
    <xf numFmtId="169" fontId="38" fillId="0" borderId="62" xfId="379" applyNumberFormat="1" applyFont="1" applyBorder="1" applyAlignment="1">
      <alignment horizontal="right" vertical="center" wrapText="1"/>
    </xf>
    <xf numFmtId="169" fontId="11" fillId="0" borderId="62" xfId="379" applyNumberFormat="1" applyFont="1" applyFill="1" applyBorder="1" applyAlignment="1">
      <alignment horizontal="right"/>
    </xf>
    <xf numFmtId="169" fontId="37" fillId="0" borderId="62" xfId="379" applyNumberFormat="1" applyFont="1" applyFill="1" applyBorder="1" applyAlignment="1">
      <alignment horizontal="right"/>
    </xf>
    <xf numFmtId="2" fontId="11" fillId="0" borderId="69" xfId="379" applyNumberFormat="1" applyFont="1" applyFill="1" applyBorder="1" applyAlignment="1" applyProtection="1">
      <alignment horizontal="center"/>
      <protection locked="0"/>
    </xf>
    <xf numFmtId="0" fontId="18" fillId="0" borderId="69" xfId="0" applyFont="1" applyBorder="1"/>
    <xf numFmtId="169" fontId="18" fillId="0" borderId="62" xfId="379" applyNumberFormat="1" applyFont="1" applyFill="1" applyBorder="1" applyAlignment="1">
      <alignment horizontal="right"/>
    </xf>
    <xf numFmtId="0" fontId="18" fillId="0" borderId="49" xfId="0" applyFont="1" applyBorder="1"/>
    <xf numFmtId="0" fontId="18" fillId="0" borderId="64" xfId="0" applyFont="1" applyBorder="1"/>
    <xf numFmtId="169" fontId="18" fillId="0" borderId="64" xfId="379" applyNumberFormat="1" applyFont="1" applyFill="1" applyBorder="1" applyAlignment="1">
      <alignment horizontal="right"/>
    </xf>
    <xf numFmtId="169" fontId="18" fillId="0" borderId="50" xfId="379" applyNumberFormat="1" applyFont="1" applyFill="1" applyBorder="1" applyAlignment="1">
      <alignment horizontal="right"/>
    </xf>
    <xf numFmtId="0" fontId="11" fillId="59" borderId="45" xfId="0" applyFont="1" applyFill="1" applyBorder="1"/>
    <xf numFmtId="0" fontId="11" fillId="59" borderId="46" xfId="0" applyFont="1" applyFill="1" applyBorder="1" applyAlignment="1">
      <alignment horizontal="center"/>
    </xf>
    <xf numFmtId="0" fontId="18" fillId="0" borderId="67" xfId="0" applyFont="1" applyBorder="1"/>
    <xf numFmtId="0" fontId="18" fillId="0" borderId="68" xfId="0" applyFont="1" applyBorder="1"/>
    <xf numFmtId="169" fontId="18" fillId="0" borderId="68" xfId="379" applyNumberFormat="1" applyFont="1" applyFill="1" applyBorder="1" applyAlignment="1">
      <alignment horizontal="right"/>
    </xf>
    <xf numFmtId="169" fontId="18" fillId="0" borderId="17" xfId="379" applyNumberFormat="1" applyFont="1" applyFill="1" applyBorder="1" applyAlignment="1">
      <alignment horizontal="right"/>
    </xf>
    <xf numFmtId="49" fontId="11" fillId="0" borderId="0" xfId="521" applyNumberFormat="1" applyFont="1"/>
    <xf numFmtId="2" fontId="11" fillId="0" borderId="42" xfId="521" applyNumberFormat="1" applyFont="1" applyBorder="1"/>
    <xf numFmtId="0" fontId="11" fillId="0" borderId="43" xfId="521" applyFont="1" applyBorder="1"/>
    <xf numFmtId="0" fontId="11" fillId="0" borderId="43" xfId="521" applyFont="1" applyBorder="1" applyAlignment="1">
      <alignment horizontal="center"/>
    </xf>
    <xf numFmtId="2" fontId="11" fillId="0" borderId="40" xfId="521" applyNumberFormat="1" applyFont="1" applyBorder="1"/>
    <xf numFmtId="0" fontId="11" fillId="0" borderId="40" xfId="521" applyFont="1" applyBorder="1"/>
    <xf numFmtId="0" fontId="11" fillId="0" borderId="41" xfId="521" applyFont="1" applyBorder="1"/>
    <xf numFmtId="0" fontId="11" fillId="0" borderId="24" xfId="521" applyFont="1" applyBorder="1"/>
    <xf numFmtId="0" fontId="11" fillId="0" borderId="24" xfId="521" applyFont="1" applyBorder="1" applyAlignment="1">
      <alignment horizontal="center"/>
    </xf>
    <xf numFmtId="169" fontId="11" fillId="0" borderId="36" xfId="379" applyNumberFormat="1" applyFont="1" applyFill="1" applyBorder="1" applyAlignment="1">
      <alignment horizontal="center"/>
    </xf>
    <xf numFmtId="3" fontId="11" fillId="0" borderId="0" xfId="379" applyNumberFormat="1" applyFont="1" applyFill="1" applyBorder="1" applyAlignment="1">
      <alignment horizontal="center"/>
    </xf>
    <xf numFmtId="3" fontId="37" fillId="0" borderId="0" xfId="379" applyNumberFormat="1" applyFont="1" applyFill="1" applyBorder="1" applyAlignment="1">
      <alignment horizontal="center"/>
    </xf>
    <xf numFmtId="3" fontId="11" fillId="0" borderId="43" xfId="379" applyNumberFormat="1" applyFont="1" applyFill="1" applyBorder="1" applyAlignment="1">
      <alignment horizontal="center"/>
    </xf>
    <xf numFmtId="3" fontId="11" fillId="0" borderId="44" xfId="0" applyNumberFormat="1" applyFont="1" applyBorder="1"/>
    <xf numFmtId="3" fontId="11" fillId="0" borderId="37" xfId="0" applyNumberFormat="1" applyFont="1" applyBorder="1"/>
    <xf numFmtId="0" fontId="11" fillId="0" borderId="37" xfId="0" applyFont="1" applyBorder="1"/>
    <xf numFmtId="169" fontId="11" fillId="0" borderId="37" xfId="379" applyNumberFormat="1" applyFont="1" applyBorder="1"/>
    <xf numFmtId="3" fontId="11" fillId="0" borderId="24" xfId="558" applyNumberFormat="1" applyFont="1" applyFill="1" applyBorder="1" applyAlignment="1">
      <alignment horizontal="center"/>
    </xf>
    <xf numFmtId="3" fontId="37" fillId="0" borderId="24" xfId="379" applyNumberFormat="1" applyFont="1" applyFill="1" applyBorder="1" applyAlignment="1">
      <alignment horizontal="center"/>
    </xf>
    <xf numFmtId="0" fontId="11" fillId="0" borderId="36" xfId="0" applyFont="1" applyBorder="1"/>
    <xf numFmtId="166" fontId="11" fillId="0" borderId="0" xfId="0" applyNumberFormat="1" applyFont="1"/>
    <xf numFmtId="43" fontId="11" fillId="0" borderId="45" xfId="379" applyFont="1" applyBorder="1" applyAlignment="1">
      <alignment horizontal="center" vertical="center" wrapText="1"/>
    </xf>
    <xf numFmtId="175" fontId="11" fillId="0" borderId="1" xfId="379" applyNumberFormat="1" applyFont="1" applyBorder="1" applyAlignment="1">
      <alignment horizontal="center" vertical="center" wrapText="1"/>
    </xf>
    <xf numFmtId="168" fontId="11" fillId="0" borderId="8" xfId="0" applyNumberFormat="1" applyFont="1" applyBorder="1" applyAlignment="1">
      <alignment horizontal="center" vertical="center" wrapText="1"/>
    </xf>
    <xf numFmtId="0" fontId="11" fillId="0" borderId="20" xfId="0" applyFont="1" applyBorder="1" applyAlignment="1">
      <alignment horizontal="center" vertical="center" wrapText="1"/>
    </xf>
    <xf numFmtId="0" fontId="18" fillId="0" borderId="1" xfId="1446" applyFont="1" applyBorder="1" applyAlignment="1" applyProtection="1">
      <alignment wrapText="1"/>
      <protection locked="0"/>
    </xf>
    <xf numFmtId="0" fontId="11" fillId="72" borderId="1" xfId="1446" applyFont="1" applyFill="1" applyBorder="1" applyAlignment="1" applyProtection="1">
      <alignment wrapText="1"/>
      <protection locked="0"/>
    </xf>
    <xf numFmtId="0" fontId="18" fillId="68" borderId="1" xfId="1446" applyFont="1" applyFill="1" applyBorder="1" applyAlignment="1" applyProtection="1">
      <alignment wrapText="1"/>
      <protection locked="0"/>
    </xf>
    <xf numFmtId="0" fontId="82" fillId="0" borderId="0" xfId="1447" applyFont="1"/>
    <xf numFmtId="0" fontId="1" fillId="0" borderId="0" xfId="1447"/>
    <xf numFmtId="0" fontId="1" fillId="0" borderId="0" xfId="1447" applyAlignment="1">
      <alignment horizontal="center" vertical="center"/>
    </xf>
    <xf numFmtId="0" fontId="1" fillId="0" borderId="0" xfId="1447" applyAlignment="1">
      <alignment vertical="center"/>
    </xf>
    <xf numFmtId="0" fontId="1" fillId="0" borderId="0" xfId="1447" applyAlignment="1">
      <alignment horizontal="center" vertical="center" wrapText="1"/>
    </xf>
    <xf numFmtId="3" fontId="1" fillId="75" borderId="0" xfId="1447" applyNumberFormat="1" applyFill="1" applyAlignment="1">
      <alignment horizontal="center" vertical="center"/>
    </xf>
    <xf numFmtId="10" fontId="1" fillId="75" borderId="0" xfId="1447" applyNumberFormat="1" applyFill="1" applyAlignment="1">
      <alignment horizontal="center" vertical="center"/>
    </xf>
    <xf numFmtId="0" fontId="1" fillId="0" borderId="0" xfId="1447" applyAlignment="1">
      <alignment horizontal="center"/>
    </xf>
    <xf numFmtId="0" fontId="84" fillId="0" borderId="0" xfId="1447" applyFont="1"/>
    <xf numFmtId="3" fontId="1" fillId="0" borderId="0" xfId="1447" applyNumberFormat="1" applyAlignment="1">
      <alignment horizontal="center" vertical="center"/>
    </xf>
    <xf numFmtId="10" fontId="1" fillId="0" borderId="0" xfId="1447" applyNumberFormat="1" applyAlignment="1">
      <alignment horizontal="center" vertical="center"/>
    </xf>
    <xf numFmtId="3" fontId="1" fillId="0" borderId="0" xfId="1447" applyNumberFormat="1" applyAlignment="1">
      <alignment horizontal="center"/>
    </xf>
    <xf numFmtId="10" fontId="1" fillId="0" borderId="0" xfId="1447" applyNumberFormat="1" applyAlignment="1">
      <alignment horizontal="center"/>
    </xf>
    <xf numFmtId="166" fontId="11" fillId="0" borderId="28" xfId="379" applyNumberFormat="1" applyFont="1" applyFill="1" applyBorder="1" applyAlignment="1">
      <alignment horizontal="center"/>
    </xf>
    <xf numFmtId="3" fontId="11" fillId="0" borderId="45"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0" xfId="1446" applyFont="1" applyAlignment="1" applyProtection="1">
      <alignment horizontal="left" vertical="top" wrapText="1"/>
      <protection locked="0"/>
    </xf>
    <xf numFmtId="0" fontId="18" fillId="0" borderId="0" xfId="0" applyFont="1" applyAlignment="1">
      <alignment horizontal="left" vertical="top"/>
    </xf>
    <xf numFmtId="0" fontId="11" fillId="0" borderId="0" xfId="383" applyNumberFormat="1" applyFont="1" applyFill="1" applyBorder="1" applyAlignment="1">
      <alignment horizontal="center"/>
    </xf>
    <xf numFmtId="0" fontId="39" fillId="0" borderId="0" xfId="0" applyFont="1" applyAlignment="1">
      <alignment horizontal="left" vertical="center"/>
    </xf>
    <xf numFmtId="0" fontId="18" fillId="0" borderId="0" xfId="0" applyFont="1" applyAlignment="1">
      <alignment horizontal="left" vertical="center"/>
    </xf>
    <xf numFmtId="0" fontId="11" fillId="0" borderId="18" xfId="0" applyFont="1" applyBorder="1" applyAlignment="1">
      <alignment horizontal="center"/>
    </xf>
    <xf numFmtId="49" fontId="11" fillId="0" borderId="2" xfId="516" applyNumberFormat="1" applyFont="1" applyBorder="1" applyAlignment="1">
      <alignment horizontal="center"/>
    </xf>
    <xf numFmtId="49" fontId="11" fillId="0" borderId="9" xfId="516" applyNumberFormat="1" applyFont="1" applyBorder="1" applyAlignment="1">
      <alignment horizontal="center"/>
    </xf>
    <xf numFmtId="49" fontId="11" fillId="0" borderId="26" xfId="0" applyNumberFormat="1" applyFont="1" applyBorder="1" applyAlignment="1">
      <alignment horizontal="center"/>
    </xf>
    <xf numFmtId="49" fontId="11" fillId="0" borderId="35" xfId="0" applyNumberFormat="1" applyFont="1" applyBorder="1" applyAlignment="1">
      <alignment horizontal="center"/>
    </xf>
    <xf numFmtId="0" fontId="11" fillId="0" borderId="0" xfId="0" applyFont="1" applyAlignment="1">
      <alignment vertical="center"/>
    </xf>
    <xf numFmtId="0" fontId="18" fillId="0" borderId="0" xfId="0" applyFont="1" applyAlignment="1">
      <alignment horizontal="center" wrapText="1"/>
    </xf>
    <xf numFmtId="49" fontId="11" fillId="0" borderId="0" xfId="0" applyNumberFormat="1" applyFont="1" applyAlignment="1">
      <alignment wrapText="1"/>
    </xf>
    <xf numFmtId="0" fontId="18" fillId="0" borderId="0" xfId="0" applyFont="1" applyAlignment="1">
      <alignment horizontal="center"/>
    </xf>
    <xf numFmtId="0" fontId="18" fillId="0" borderId="64" xfId="0" applyFont="1" applyBorder="1" applyAlignment="1">
      <alignment wrapText="1"/>
    </xf>
    <xf numFmtId="0" fontId="18" fillId="0" borderId="64" xfId="0" applyFont="1" applyBorder="1" applyAlignment="1">
      <alignment horizontal="center" wrapText="1"/>
    </xf>
    <xf numFmtId="0" fontId="11" fillId="0" borderId="1" xfId="0" applyFont="1" applyBorder="1" applyAlignment="1">
      <alignment wrapText="1"/>
    </xf>
    <xf numFmtId="49" fontId="11" fillId="0" borderId="1" xfId="0" applyNumberFormat="1" applyFont="1" applyBorder="1" applyAlignment="1">
      <alignment wrapText="1"/>
    </xf>
    <xf numFmtId="2" fontId="11" fillId="0" borderId="11" xfId="0" applyNumberFormat="1" applyFont="1" applyBorder="1" applyAlignment="1">
      <alignment horizontal="center" wrapText="1"/>
    </xf>
    <xf numFmtId="3" fontId="11" fillId="70" borderId="1" xfId="0" applyNumberFormat="1" applyFont="1" applyFill="1" applyBorder="1" applyAlignment="1">
      <alignment horizontal="center"/>
    </xf>
    <xf numFmtId="2" fontId="11" fillId="0" borderId="0" xfId="0" applyNumberFormat="1" applyFont="1" applyAlignment="1">
      <alignment horizontal="center"/>
    </xf>
    <xf numFmtId="2" fontId="11" fillId="0" borderId="0" xfId="0" applyNumberFormat="1" applyFont="1" applyAlignment="1">
      <alignment horizontal="center" wrapText="1"/>
    </xf>
    <xf numFmtId="3" fontId="37" fillId="33" borderId="0" xfId="0" applyNumberFormat="1" applyFont="1" applyFill="1" applyAlignment="1">
      <alignment horizontal="center"/>
    </xf>
    <xf numFmtId="1" fontId="37" fillId="33" borderId="0" xfId="0" applyNumberFormat="1" applyFont="1" applyFill="1" applyAlignment="1">
      <alignment horizontal="center"/>
    </xf>
    <xf numFmtId="0" fontId="11" fillId="0" borderId="3" xfId="0" applyFont="1" applyBorder="1" applyAlignment="1">
      <alignment horizontal="center"/>
    </xf>
    <xf numFmtId="0" fontId="11" fillId="0" borderId="64"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wrapText="1"/>
    </xf>
    <xf numFmtId="0" fontId="11" fillId="0" borderId="27"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28" xfId="0" applyFont="1" applyBorder="1" applyAlignment="1">
      <alignment horizontal="center" vertical="center" wrapText="1"/>
    </xf>
    <xf numFmtId="3" fontId="11" fillId="0" borderId="8" xfId="0" applyNumberFormat="1" applyFont="1" applyBorder="1" applyAlignment="1">
      <alignment horizontal="center" vertical="center" wrapText="1"/>
    </xf>
    <xf numFmtId="3" fontId="11" fillId="0" borderId="11" xfId="0" applyNumberFormat="1" applyFont="1" applyBorder="1" applyAlignment="1">
      <alignment horizontal="center" vertical="center" wrapText="1"/>
    </xf>
    <xf numFmtId="0" fontId="11" fillId="0" borderId="0" xfId="0" applyFont="1" applyAlignment="1">
      <alignment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8" xfId="0" applyFont="1" applyBorder="1" applyAlignment="1">
      <alignment horizontal="center" vertical="center" wrapText="1"/>
    </xf>
    <xf numFmtId="168" fontId="11" fillId="0" borderId="0" xfId="0" applyNumberFormat="1" applyFont="1" applyAlignment="1">
      <alignment horizontal="center" vertical="center" wrapText="1"/>
    </xf>
    <xf numFmtId="1" fontId="11" fillId="0" borderId="2" xfId="0" applyNumberFormat="1" applyFont="1" applyBorder="1" applyAlignment="1">
      <alignment horizontal="center" vertical="center" wrapText="1"/>
    </xf>
    <xf numFmtId="0" fontId="11" fillId="0" borderId="2" xfId="0" quotePrefix="1" applyFont="1" applyBorder="1" applyAlignment="1">
      <alignment horizontal="center" vertical="center" wrapText="1"/>
    </xf>
    <xf numFmtId="0" fontId="11" fillId="0" borderId="50" xfId="0" quotePrefix="1" applyFont="1" applyBorder="1" applyAlignment="1">
      <alignment horizontal="center" vertical="center" wrapText="1"/>
    </xf>
    <xf numFmtId="43" fontId="11" fillId="0" borderId="1" xfId="379" applyFont="1" applyBorder="1" applyAlignment="1">
      <alignment horizontal="center" vertical="center" wrapText="1"/>
    </xf>
    <xf numFmtId="0" fontId="11" fillId="0" borderId="20" xfId="0" quotePrefix="1" applyFont="1" applyBorder="1" applyAlignment="1">
      <alignment horizontal="center" vertical="center" wrapText="1"/>
    </xf>
    <xf numFmtId="176" fontId="11" fillId="0" borderId="1" xfId="636" applyNumberFormat="1" applyFont="1" applyBorder="1" applyAlignment="1">
      <alignment horizontal="center" vertical="center" wrapText="1"/>
    </xf>
    <xf numFmtId="43" fontId="11" fillId="0" borderId="8" xfId="379" applyFont="1" applyBorder="1" applyAlignment="1">
      <alignment horizontal="center" vertical="center" wrapText="1"/>
    </xf>
    <xf numFmtId="0" fontId="11" fillId="0" borderId="18" xfId="636" applyFont="1" applyBorder="1" applyAlignment="1">
      <alignment horizontal="center" vertical="center" wrapText="1"/>
    </xf>
    <xf numFmtId="0" fontId="11" fillId="0" borderId="19" xfId="636" applyFont="1" applyBorder="1" applyAlignment="1">
      <alignment horizontal="center" vertical="center" wrapText="1"/>
    </xf>
    <xf numFmtId="0" fontId="11" fillId="0" borderId="12" xfId="636" applyFont="1" applyBorder="1" applyAlignment="1">
      <alignment horizontal="center" vertical="center" wrapText="1"/>
    </xf>
    <xf numFmtId="0" fontId="11" fillId="0" borderId="13" xfId="636" applyFont="1" applyBorder="1" applyAlignment="1">
      <alignment horizontal="center" vertical="center" wrapText="1"/>
    </xf>
    <xf numFmtId="0" fontId="11" fillId="0" borderId="31" xfId="636" applyFont="1" applyBorder="1" applyAlignment="1">
      <alignment horizontal="center" vertical="center" wrapText="1"/>
    </xf>
    <xf numFmtId="0" fontId="11" fillId="0" borderId="32" xfId="636" applyFont="1" applyBorder="1" applyAlignment="1">
      <alignment horizontal="center" vertical="center" wrapText="1"/>
    </xf>
    <xf numFmtId="0" fontId="11" fillId="0" borderId="33" xfId="636" applyFont="1" applyBorder="1" applyAlignment="1">
      <alignment horizontal="center" vertical="center" wrapText="1"/>
    </xf>
    <xf numFmtId="1" fontId="11" fillId="70" borderId="1" xfId="0" applyNumberFormat="1" applyFont="1" applyFill="1" applyBorder="1" applyAlignment="1">
      <alignment horizontal="center"/>
    </xf>
    <xf numFmtId="1" fontId="11" fillId="70" borderId="10" xfId="0" applyNumberFormat="1" applyFont="1" applyFill="1" applyBorder="1" applyAlignment="1">
      <alignment horizontal="center"/>
    </xf>
    <xf numFmtId="169" fontId="11" fillId="0" borderId="47" xfId="379" applyNumberFormat="1" applyFont="1" applyBorder="1" applyAlignment="1">
      <alignment horizontal="center"/>
    </xf>
    <xf numFmtId="0" fontId="11" fillId="34" borderId="43" xfId="0" applyFont="1" applyFill="1" applyBorder="1" applyAlignment="1">
      <alignment vertical="center"/>
    </xf>
    <xf numFmtId="0" fontId="11" fillId="59" borderId="12" xfId="0" applyFont="1" applyFill="1" applyBorder="1" applyAlignment="1">
      <alignment horizontal="center" wrapText="1"/>
    </xf>
    <xf numFmtId="43" fontId="11" fillId="59" borderId="1" xfId="0" applyNumberFormat="1" applyFont="1" applyFill="1" applyBorder="1" applyAlignment="1">
      <alignment horizontal="center"/>
    </xf>
    <xf numFmtId="43" fontId="11" fillId="59" borderId="10" xfId="0" applyNumberFormat="1" applyFont="1" applyFill="1" applyBorder="1" applyAlignment="1">
      <alignment horizontal="center"/>
    </xf>
    <xf numFmtId="0" fontId="11" fillId="0" borderId="0" xfId="524" applyFont="1"/>
    <xf numFmtId="174" fontId="11" fillId="0" borderId="0" xfId="524" applyNumberFormat="1" applyFont="1"/>
    <xf numFmtId="175" fontId="11" fillId="0" borderId="0" xfId="379" applyNumberFormat="1" applyFont="1"/>
    <xf numFmtId="173" fontId="11" fillId="0" borderId="0" xfId="524" applyNumberFormat="1" applyFont="1"/>
    <xf numFmtId="43" fontId="11" fillId="0" borderId="1" xfId="767" applyNumberFormat="1" applyFont="1" applyBorder="1" applyAlignment="1">
      <alignment horizontal="center" vertical="center"/>
    </xf>
    <xf numFmtId="43" fontId="11" fillId="58" borderId="1" xfId="767" applyNumberFormat="1" applyFont="1" applyFill="1" applyBorder="1" applyAlignment="1">
      <alignment horizontal="center" vertical="center"/>
    </xf>
    <xf numFmtId="10" fontId="11" fillId="0" borderId="0" xfId="769" applyNumberFormat="1" applyFont="1" applyFill="1" applyBorder="1" applyProtection="1">
      <protection locked="0"/>
    </xf>
    <xf numFmtId="10" fontId="11" fillId="0" borderId="37" xfId="769" applyNumberFormat="1" applyFont="1" applyFill="1" applyBorder="1" applyAlignment="1" applyProtection="1">
      <alignment horizontal="center" vertical="center" wrapText="1"/>
      <protection locked="0"/>
    </xf>
    <xf numFmtId="43" fontId="11" fillId="68" borderId="1" xfId="768" applyFont="1" applyFill="1" applyBorder="1" applyAlignment="1" applyProtection="1">
      <alignment horizontal="center" vertical="center"/>
      <protection locked="0"/>
    </xf>
    <xf numFmtId="43" fontId="11" fillId="59" borderId="1" xfId="768" applyFont="1" applyFill="1" applyBorder="1" applyAlignment="1" applyProtection="1">
      <alignment horizontal="center" vertical="center"/>
      <protection locked="0"/>
    </xf>
    <xf numFmtId="185" fontId="11" fillId="59" borderId="1" xfId="768" applyNumberFormat="1" applyFont="1" applyFill="1" applyBorder="1" applyAlignment="1" applyProtection="1">
      <alignment horizontal="center" vertical="center"/>
      <protection locked="0"/>
    </xf>
    <xf numFmtId="185" fontId="11" fillId="72" borderId="1" xfId="768" applyNumberFormat="1" applyFont="1" applyFill="1" applyBorder="1" applyAlignment="1" applyProtection="1">
      <alignment horizontal="center" vertical="center"/>
      <protection locked="0"/>
    </xf>
    <xf numFmtId="43" fontId="11" fillId="0" borderId="1" xfId="768" applyFont="1" applyFill="1" applyBorder="1" applyAlignment="1" applyProtection="1">
      <alignment horizontal="center" vertical="center"/>
      <protection locked="0"/>
    </xf>
    <xf numFmtId="43" fontId="18" fillId="68" borderId="1" xfId="768" applyFont="1" applyFill="1" applyBorder="1" applyAlignment="1" applyProtection="1">
      <alignment horizontal="center" vertical="center"/>
      <protection locked="0"/>
    </xf>
    <xf numFmtId="185" fontId="11" fillId="63" borderId="1" xfId="768" applyNumberFormat="1" applyFont="1" applyFill="1" applyBorder="1" applyAlignment="1" applyProtection="1">
      <alignment horizontal="center" vertical="center"/>
      <protection locked="0"/>
    </xf>
    <xf numFmtId="43" fontId="11" fillId="0" borderId="0" xfId="768" applyFont="1" applyFill="1" applyBorder="1" applyAlignment="1" applyProtection="1">
      <alignment horizontal="center" vertical="center"/>
      <protection locked="0"/>
    </xf>
    <xf numFmtId="0" fontId="11" fillId="0" borderId="0" xfId="1446" applyFont="1" applyProtection="1">
      <protection locked="0"/>
    </xf>
    <xf numFmtId="0" fontId="11" fillId="0" borderId="0" xfId="1446" applyFont="1" applyAlignment="1" applyProtection="1">
      <alignment wrapText="1"/>
      <protection locked="0"/>
    </xf>
    <xf numFmtId="0" fontId="18" fillId="0" borderId="0" xfId="1446" applyFont="1" applyProtection="1">
      <protection locked="0"/>
    </xf>
    <xf numFmtId="43" fontId="18" fillId="0" borderId="0" xfId="768" applyFont="1" applyFill="1" applyBorder="1" applyProtection="1">
      <protection locked="0"/>
    </xf>
    <xf numFmtId="0" fontId="18" fillId="63" borderId="40" xfId="1446" applyFont="1" applyFill="1" applyBorder="1" applyAlignment="1" applyProtection="1">
      <alignment horizontal="right"/>
      <protection locked="0"/>
    </xf>
    <xf numFmtId="0" fontId="18" fillId="63" borderId="0" xfId="1446" applyFont="1" applyFill="1" applyAlignment="1" applyProtection="1">
      <alignment horizontal="right"/>
      <protection locked="0"/>
    </xf>
    <xf numFmtId="0" fontId="18" fillId="63" borderId="37" xfId="1446" applyFont="1" applyFill="1" applyBorder="1" applyAlignment="1" applyProtection="1">
      <alignment horizontal="right"/>
      <protection locked="0"/>
    </xf>
    <xf numFmtId="0" fontId="11" fillId="0" borderId="40" xfId="1446" applyFont="1" applyBorder="1" applyProtection="1">
      <protection locked="0"/>
    </xf>
    <xf numFmtId="10" fontId="11" fillId="0" borderId="37" xfId="769" applyNumberFormat="1" applyFont="1" applyFill="1" applyBorder="1" applyProtection="1">
      <protection locked="0"/>
    </xf>
    <xf numFmtId="0" fontId="11" fillId="66" borderId="0" xfId="1446" applyFont="1" applyFill="1" applyProtection="1">
      <protection locked="0"/>
    </xf>
    <xf numFmtId="10" fontId="11" fillId="66" borderId="0" xfId="769" applyNumberFormat="1" applyFont="1" applyFill="1" applyBorder="1" applyProtection="1">
      <protection locked="0"/>
    </xf>
    <xf numFmtId="0" fontId="11" fillId="0" borderId="79" xfId="1446" applyFont="1" applyBorder="1" applyProtection="1">
      <protection locked="0"/>
    </xf>
    <xf numFmtId="0" fontId="11" fillId="66" borderId="81" xfId="1446" applyFont="1" applyFill="1" applyBorder="1" applyProtection="1">
      <protection locked="0"/>
    </xf>
    <xf numFmtId="10" fontId="11" fillId="0" borderId="80" xfId="769" applyNumberFormat="1" applyFont="1" applyFill="1" applyBorder="1" applyProtection="1">
      <protection locked="0"/>
    </xf>
    <xf numFmtId="0" fontId="18" fillId="0" borderId="84" xfId="1446" applyFont="1" applyBorder="1" applyProtection="1">
      <protection locked="0"/>
    </xf>
    <xf numFmtId="10" fontId="18" fillId="0" borderId="85" xfId="1446" applyNumberFormat="1" applyFont="1" applyBorder="1" applyProtection="1">
      <protection locked="0"/>
    </xf>
    <xf numFmtId="10" fontId="18" fillId="0" borderId="86" xfId="1446" applyNumberFormat="1" applyFont="1" applyBorder="1" applyProtection="1">
      <protection locked="0"/>
    </xf>
    <xf numFmtId="10" fontId="18" fillId="0" borderId="87" xfId="1446" applyNumberFormat="1" applyFont="1" applyBorder="1" applyProtection="1">
      <protection locked="0"/>
    </xf>
    <xf numFmtId="184" fontId="11" fillId="69" borderId="0" xfId="768" applyNumberFormat="1" applyFont="1" applyFill="1" applyBorder="1" applyProtection="1">
      <protection locked="0"/>
    </xf>
    <xf numFmtId="184" fontId="11" fillId="0" borderId="37" xfId="768" applyNumberFormat="1" applyFont="1" applyFill="1" applyBorder="1" applyProtection="1">
      <protection locked="0"/>
    </xf>
    <xf numFmtId="184" fontId="11" fillId="66" borderId="0" xfId="768" applyNumberFormat="1" applyFont="1" applyFill="1" applyBorder="1" applyProtection="1">
      <protection locked="0"/>
    </xf>
    <xf numFmtId="184" fontId="11" fillId="69" borderId="88" xfId="768" applyNumberFormat="1" applyFont="1" applyFill="1" applyBorder="1" applyProtection="1">
      <protection locked="0"/>
    </xf>
    <xf numFmtId="184" fontId="11" fillId="69" borderId="82" xfId="768" applyNumberFormat="1" applyFont="1" applyFill="1" applyBorder="1" applyProtection="1">
      <protection locked="0"/>
    </xf>
    <xf numFmtId="184" fontId="11" fillId="66" borderId="81" xfId="768" applyNumberFormat="1" applyFont="1" applyFill="1" applyBorder="1" applyProtection="1">
      <protection locked="0"/>
    </xf>
    <xf numFmtId="0" fontId="18" fillId="0" borderId="41" xfId="1446" applyFont="1" applyBorder="1" applyProtection="1">
      <protection locked="0"/>
    </xf>
    <xf numFmtId="184" fontId="18" fillId="0" borderId="24" xfId="768" applyNumberFormat="1" applyFont="1" applyFill="1" applyBorder="1" applyProtection="1">
      <protection locked="0"/>
    </xf>
    <xf numFmtId="184" fontId="18" fillId="0" borderId="83" xfId="768" applyNumberFormat="1" applyFont="1" applyFill="1" applyBorder="1" applyProtection="1">
      <protection locked="0"/>
    </xf>
    <xf numFmtId="184" fontId="18" fillId="0" borderId="36" xfId="768" applyNumberFormat="1" applyFont="1" applyFill="1" applyBorder="1" applyProtection="1">
      <protection locked="0"/>
    </xf>
    <xf numFmtId="0" fontId="11" fillId="0" borderId="0" xfId="1446" applyFont="1" applyAlignment="1" applyProtection="1">
      <alignment horizontal="center" wrapText="1"/>
      <protection locked="0"/>
    </xf>
    <xf numFmtId="0" fontId="18" fillId="0" borderId="0" xfId="1446" applyFont="1" applyAlignment="1" applyProtection="1">
      <alignment vertical="top" wrapText="1"/>
      <protection locked="0"/>
    </xf>
    <xf numFmtId="0" fontId="18" fillId="0" borderId="42" xfId="1446" applyFont="1" applyBorder="1" applyAlignment="1" applyProtection="1">
      <alignment vertical="top" wrapText="1"/>
      <protection locked="0"/>
    </xf>
    <xf numFmtId="0" fontId="18" fillId="0" borderId="43" xfId="1446" applyFont="1" applyBorder="1" applyAlignment="1" applyProtection="1">
      <alignment horizontal="center" vertical="center" wrapText="1"/>
      <protection locked="0"/>
    </xf>
    <xf numFmtId="0" fontId="11" fillId="0" borderId="44" xfId="1446" applyFont="1" applyBorder="1" applyProtection="1">
      <protection locked="0"/>
    </xf>
    <xf numFmtId="0" fontId="18" fillId="0" borderId="40" xfId="1446" applyFont="1" applyBorder="1" applyAlignment="1" applyProtection="1">
      <alignment horizontal="left" vertical="center" wrapText="1"/>
      <protection locked="0"/>
    </xf>
    <xf numFmtId="0" fontId="18" fillId="0" borderId="1" xfId="1446" applyFont="1" applyBorder="1" applyAlignment="1" applyProtection="1">
      <alignment horizontal="center" vertical="center" wrapText="1"/>
      <protection locked="0"/>
    </xf>
    <xf numFmtId="0" fontId="18" fillId="67" borderId="1" xfId="1446" applyFont="1" applyFill="1" applyBorder="1" applyAlignment="1" applyProtection="1">
      <alignment horizontal="center" vertical="center" wrapText="1"/>
      <protection locked="0"/>
    </xf>
    <xf numFmtId="0" fontId="85" fillId="0" borderId="0" xfId="1446" applyFont="1" applyAlignment="1" applyProtection="1">
      <alignment horizontal="left" vertical="top" wrapText="1"/>
      <protection locked="0"/>
    </xf>
    <xf numFmtId="0" fontId="17" fillId="0" borderId="0" xfId="1446" applyFont="1" applyAlignment="1" applyProtection="1">
      <alignment vertical="top" wrapText="1"/>
      <protection locked="0"/>
    </xf>
    <xf numFmtId="0" fontId="85" fillId="0" borderId="0" xfId="1446" applyFont="1" applyAlignment="1" applyProtection="1">
      <alignment horizontal="center" vertical="top" wrapText="1"/>
      <protection locked="0"/>
    </xf>
    <xf numFmtId="0" fontId="11" fillId="0" borderId="31" xfId="1446" applyFont="1" applyBorder="1" applyProtection="1">
      <protection locked="0"/>
    </xf>
    <xf numFmtId="0" fontId="18" fillId="65" borderId="43" xfId="1446" applyFont="1" applyFill="1" applyBorder="1" applyAlignment="1" applyProtection="1">
      <alignment horizontal="center" vertical="center"/>
      <protection locked="0"/>
    </xf>
    <xf numFmtId="0" fontId="18" fillId="65" borderId="43" xfId="1446" applyFont="1" applyFill="1" applyBorder="1" applyAlignment="1" applyProtection="1">
      <alignment horizontal="center"/>
      <protection locked="0"/>
    </xf>
    <xf numFmtId="0" fontId="18" fillId="65" borderId="23" xfId="1446" applyFont="1" applyFill="1" applyBorder="1" applyAlignment="1" applyProtection="1">
      <alignment horizontal="center"/>
      <protection locked="0"/>
    </xf>
    <xf numFmtId="0" fontId="18" fillId="65" borderId="44" xfId="1446" applyFont="1" applyFill="1" applyBorder="1" applyAlignment="1" applyProtection="1">
      <alignment horizontal="center" vertical="center"/>
      <protection locked="0"/>
    </xf>
    <xf numFmtId="0" fontId="11" fillId="63" borderId="1" xfId="1446" applyFont="1" applyFill="1" applyBorder="1" applyAlignment="1" applyProtection="1">
      <alignment wrapText="1"/>
      <protection locked="0"/>
    </xf>
    <xf numFmtId="43" fontId="11" fillId="63" borderId="1" xfId="1446" applyNumberFormat="1" applyFont="1" applyFill="1" applyBorder="1" applyAlignment="1" applyProtection="1">
      <alignment horizontal="center" vertical="center"/>
      <protection locked="0"/>
    </xf>
    <xf numFmtId="43" fontId="18" fillId="0" borderId="1" xfId="768" applyFont="1" applyFill="1" applyBorder="1" applyAlignment="1" applyProtection="1">
      <alignment horizontal="center" vertical="center"/>
      <protection locked="0"/>
    </xf>
    <xf numFmtId="43" fontId="11" fillId="63" borderId="1" xfId="768" applyFont="1" applyFill="1" applyBorder="1" applyAlignment="1" applyProtection="1">
      <alignment horizontal="center" vertical="center"/>
      <protection locked="0"/>
    </xf>
    <xf numFmtId="185" fontId="11" fillId="63" borderId="1" xfId="1446" applyNumberFormat="1" applyFont="1" applyFill="1" applyBorder="1" applyAlignment="1" applyProtection="1">
      <alignment horizontal="center" vertical="center"/>
      <protection locked="0"/>
    </xf>
    <xf numFmtId="0" fontId="11" fillId="0" borderId="0" xfId="0" applyFont="1" applyAlignment="1">
      <alignment horizontal="center" vertical="center"/>
    </xf>
    <xf numFmtId="43" fontId="11" fillId="61" borderId="4" xfId="379" applyFont="1" applyFill="1" applyBorder="1" applyAlignment="1">
      <alignment horizontal="center" vertical="center"/>
    </xf>
    <xf numFmtId="169" fontId="11" fillId="0" borderId="0" xfId="379" applyNumberFormat="1" applyFont="1" applyFill="1" applyBorder="1"/>
    <xf numFmtId="0" fontId="11" fillId="0" borderId="24" xfId="0" applyFont="1" applyBorder="1"/>
    <xf numFmtId="0" fontId="11" fillId="0" borderId="31" xfId="521" applyFont="1" applyBorder="1"/>
    <xf numFmtId="0" fontId="11" fillId="0" borderId="90" xfId="521" applyFont="1" applyBorder="1"/>
    <xf numFmtId="0" fontId="11" fillId="0" borderId="32" xfId="521" applyFont="1" applyBorder="1" applyAlignment="1">
      <alignment horizontal="center"/>
    </xf>
    <xf numFmtId="0" fontId="11" fillId="0" borderId="32" xfId="521" applyFont="1" applyBorder="1" applyAlignment="1">
      <alignment horizontal="center" wrapText="1"/>
    </xf>
    <xf numFmtId="0" fontId="11" fillId="0" borderId="91" xfId="521" applyFont="1" applyBorder="1" applyAlignment="1">
      <alignment horizontal="center" wrapText="1"/>
    </xf>
    <xf numFmtId="0" fontId="11" fillId="0" borderId="33" xfId="521" applyFont="1" applyBorder="1" applyAlignment="1">
      <alignment horizontal="center" wrapText="1"/>
    </xf>
    <xf numFmtId="0" fontId="11" fillId="0" borderId="31" xfId="521" applyFont="1" applyBorder="1" applyAlignment="1">
      <alignment horizontal="center" wrapText="1"/>
    </xf>
    <xf numFmtId="9" fontId="11" fillId="0" borderId="42" xfId="557" applyFont="1" applyFill="1" applyBorder="1" applyAlignment="1">
      <alignment horizontal="center"/>
    </xf>
    <xf numFmtId="3" fontId="11" fillId="0" borderId="40" xfId="379" applyNumberFormat="1" applyFont="1" applyFill="1" applyBorder="1" applyAlignment="1">
      <alignment horizontal="center"/>
    </xf>
    <xf numFmtId="3" fontId="11" fillId="0" borderId="40" xfId="558" applyNumberFormat="1" applyFont="1" applyFill="1" applyBorder="1" applyAlignment="1">
      <alignment horizontal="center"/>
    </xf>
    <xf numFmtId="9" fontId="11" fillId="0" borderId="40" xfId="557" applyFont="1" applyFill="1" applyBorder="1" applyAlignment="1">
      <alignment horizontal="center"/>
    </xf>
    <xf numFmtId="3" fontId="11" fillId="0" borderId="41" xfId="558" applyNumberFormat="1" applyFont="1" applyFill="1" applyBorder="1" applyAlignment="1">
      <alignment horizontal="center"/>
    </xf>
    <xf numFmtId="9" fontId="11" fillId="0" borderId="7" xfId="557" applyFont="1" applyFill="1" applyBorder="1" applyAlignment="1">
      <alignment horizontal="center"/>
    </xf>
    <xf numFmtId="9" fontId="11" fillId="0" borderId="35" xfId="557" applyFont="1" applyFill="1" applyBorder="1" applyAlignment="1">
      <alignment horizontal="center"/>
    </xf>
    <xf numFmtId="169" fontId="11" fillId="70" borderId="43" xfId="379" applyNumberFormat="1" applyFont="1" applyFill="1" applyBorder="1"/>
    <xf numFmtId="169" fontId="11" fillId="70" borderId="0" xfId="379" applyNumberFormat="1" applyFont="1" applyFill="1" applyBorder="1"/>
    <xf numFmtId="0" fontId="11" fillId="0" borderId="41" xfId="0" applyFont="1" applyBorder="1"/>
    <xf numFmtId="169" fontId="11" fillId="0" borderId="24" xfId="379" applyNumberFormat="1" applyFont="1" applyFill="1" applyBorder="1" applyAlignment="1">
      <alignment horizontal="center"/>
    </xf>
    <xf numFmtId="0" fontId="18" fillId="0" borderId="31" xfId="0" applyFont="1" applyBorder="1"/>
    <xf numFmtId="0" fontId="18" fillId="0" borderId="32" xfId="0" applyFont="1" applyBorder="1" applyAlignment="1">
      <alignment horizontal="center"/>
    </xf>
    <xf numFmtId="49" fontId="18" fillId="0" borderId="32" xfId="0" applyNumberFormat="1" applyFont="1" applyBorder="1" applyAlignment="1">
      <alignment horizontal="center"/>
    </xf>
    <xf numFmtId="49" fontId="18" fillId="0" borderId="33" xfId="0" applyNumberFormat="1" applyFont="1" applyBorder="1" applyAlignment="1">
      <alignment horizontal="center"/>
    </xf>
    <xf numFmtId="186" fontId="11" fillId="0" borderId="64" xfId="0" applyNumberFormat="1" applyFont="1" applyBorder="1" applyAlignment="1">
      <alignment horizontal="center"/>
    </xf>
    <xf numFmtId="0" fontId="11" fillId="0" borderId="64" xfId="0" applyFont="1" applyBorder="1" applyAlignment="1">
      <alignment horizontal="center"/>
    </xf>
    <xf numFmtId="169" fontId="11" fillId="0" borderId="68" xfId="0" applyNumberFormat="1" applyFont="1" applyBorder="1"/>
    <xf numFmtId="186" fontId="11" fillId="0" borderId="0" xfId="0" applyNumberFormat="1" applyFont="1" applyAlignment="1">
      <alignment horizontal="center"/>
    </xf>
    <xf numFmtId="169" fontId="11" fillId="0" borderId="0" xfId="379" applyNumberFormat="1" applyFont="1" applyBorder="1" applyAlignment="1">
      <alignment horizontal="center"/>
    </xf>
    <xf numFmtId="169" fontId="11" fillId="0" borderId="0" xfId="379" applyNumberFormat="1" applyFont="1" applyAlignment="1"/>
    <xf numFmtId="0" fontId="39" fillId="0" borderId="0" xfId="0" applyFont="1" applyAlignment="1" applyProtection="1">
      <alignment horizontal="left" vertical="center"/>
      <protection locked="0"/>
    </xf>
    <xf numFmtId="43" fontId="39" fillId="0" borderId="0" xfId="379" applyFont="1" applyBorder="1" applyAlignment="1" applyProtection="1">
      <alignment horizontal="left" vertical="center"/>
      <protection locked="0"/>
    </xf>
    <xf numFmtId="0" fontId="11" fillId="0" borderId="68" xfId="0" applyFont="1" applyBorder="1" applyAlignment="1" applyProtection="1">
      <alignment vertical="center" wrapText="1"/>
      <protection locked="0"/>
    </xf>
    <xf numFmtId="0" fontId="18"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43" fontId="43" fillId="0" borderId="1" xfId="379" applyFont="1" applyBorder="1"/>
    <xf numFmtId="172" fontId="43" fillId="0" borderId="8" xfId="890" applyNumberFormat="1" applyFont="1" applyBorder="1"/>
    <xf numFmtId="0" fontId="11" fillId="73" borderId="23" xfId="0" applyFont="1" applyFill="1" applyBorder="1" applyAlignment="1">
      <alignment horizontal="centerContinuous"/>
    </xf>
    <xf numFmtId="0" fontId="11" fillId="73" borderId="23" xfId="0" applyFont="1" applyFill="1" applyBorder="1" applyAlignment="1">
      <alignment horizontal="center"/>
    </xf>
    <xf numFmtId="0" fontId="38" fillId="0" borderId="0" xfId="0" applyFont="1" applyAlignment="1" applyProtection="1">
      <alignment horizontal="left" vertical="center"/>
      <protection locked="0"/>
    </xf>
    <xf numFmtId="169" fontId="11" fillId="0" borderId="0" xfId="0" applyNumberFormat="1" applyFont="1" applyAlignment="1">
      <alignment horizontal="center"/>
    </xf>
    <xf numFmtId="10" fontId="11" fillId="0" borderId="0" xfId="0" applyNumberFormat="1" applyFont="1"/>
    <xf numFmtId="10" fontId="11" fillId="0" borderId="0" xfId="557" applyNumberFormat="1" applyFont="1"/>
    <xf numFmtId="182" fontId="11" fillId="0" borderId="0" xfId="379" applyNumberFormat="1" applyFont="1"/>
    <xf numFmtId="187" fontId="11" fillId="0" borderId="0" xfId="0" applyNumberFormat="1" applyFont="1"/>
    <xf numFmtId="182" fontId="11" fillId="0" borderId="0" xfId="0" applyNumberFormat="1" applyFont="1"/>
    <xf numFmtId="0" fontId="11" fillId="0" borderId="0" xfId="0" applyFont="1" applyAlignment="1" applyProtection="1">
      <alignment horizontal="center" vertical="center"/>
      <protection locked="0"/>
    </xf>
    <xf numFmtId="188" fontId="11" fillId="0" borderId="0" xfId="379" applyNumberFormat="1" applyFont="1"/>
    <xf numFmtId="188" fontId="11" fillId="0" borderId="68" xfId="379" applyNumberFormat="1" applyFont="1" applyBorder="1"/>
    <xf numFmtId="169" fontId="11" fillId="70" borderId="0" xfId="379" applyNumberFormat="1" applyFont="1" applyFill="1"/>
    <xf numFmtId="0" fontId="11" fillId="70" borderId="0" xfId="0" applyFont="1" applyFill="1"/>
    <xf numFmtId="182" fontId="11" fillId="70" borderId="0" xfId="379" applyNumberFormat="1" applyFont="1" applyFill="1"/>
    <xf numFmtId="3" fontId="11" fillId="0" borderId="68" xfId="0" applyNumberFormat="1" applyFont="1" applyBorder="1"/>
    <xf numFmtId="0" fontId="11" fillId="0" borderId="68" xfId="0" applyFont="1" applyBorder="1"/>
    <xf numFmtId="43" fontId="11" fillId="0" borderId="0" xfId="379" applyFont="1" applyFill="1" applyBorder="1" applyProtection="1">
      <protection locked="0"/>
    </xf>
    <xf numFmtId="169" fontId="11" fillId="59" borderId="0" xfId="379" applyNumberFormat="1" applyFont="1" applyFill="1"/>
    <xf numFmtId="0" fontId="86" fillId="0" borderId="0" xfId="0" applyFont="1"/>
    <xf numFmtId="166" fontId="11" fillId="70" borderId="0" xfId="379" applyNumberFormat="1" applyFont="1" applyFill="1" applyAlignment="1">
      <alignment horizontal="center"/>
    </xf>
    <xf numFmtId="166" fontId="11" fillId="0" borderId="0" xfId="379" applyNumberFormat="1" applyFont="1" applyAlignment="1">
      <alignment horizontal="center"/>
    </xf>
    <xf numFmtId="166" fontId="11" fillId="0" borderId="0" xfId="0" applyNumberFormat="1" applyFont="1" applyAlignment="1">
      <alignment horizontal="center"/>
    </xf>
    <xf numFmtId="166" fontId="11" fillId="70" borderId="0" xfId="0" applyNumberFormat="1" applyFont="1" applyFill="1" applyAlignment="1">
      <alignment horizontal="center"/>
    </xf>
    <xf numFmtId="186" fontId="18" fillId="0" borderId="64" xfId="0" applyNumberFormat="1" applyFont="1" applyBorder="1" applyAlignment="1">
      <alignment horizontal="center"/>
    </xf>
    <xf numFmtId="0" fontId="18" fillId="0" borderId="64" xfId="0" applyFont="1" applyBorder="1" applyAlignment="1">
      <alignment horizontal="center"/>
    </xf>
    <xf numFmtId="186" fontId="11" fillId="0" borderId="0" xfId="0" applyNumberFormat="1" applyFont="1" applyAlignment="1">
      <alignment horizontal="left"/>
    </xf>
    <xf numFmtId="43" fontId="11" fillId="0" borderId="0" xfId="379" applyFont="1"/>
    <xf numFmtId="0" fontId="11" fillId="71" borderId="0" xfId="0" applyFont="1" applyFill="1"/>
    <xf numFmtId="186" fontId="11" fillId="71" borderId="0" xfId="0" applyNumberFormat="1" applyFont="1" applyFill="1" applyAlignment="1">
      <alignment horizontal="left"/>
    </xf>
    <xf numFmtId="169" fontId="11" fillId="71" borderId="0" xfId="379" applyNumberFormat="1" applyFont="1" applyFill="1"/>
    <xf numFmtId="0" fontId="18" fillId="71" borderId="0" xfId="0" applyFont="1" applyFill="1" applyAlignment="1">
      <alignment horizontal="center"/>
    </xf>
    <xf numFmtId="0" fontId="11" fillId="71" borderId="0" xfId="0" applyFont="1" applyFill="1" applyAlignment="1">
      <alignment horizontal="center"/>
    </xf>
    <xf numFmtId="0" fontId="11" fillId="76" borderId="0" xfId="0" applyFont="1" applyFill="1" applyAlignment="1">
      <alignment horizontal="center"/>
    </xf>
    <xf numFmtId="0" fontId="11" fillId="59" borderId="0" xfId="0" applyFont="1" applyFill="1"/>
    <xf numFmtId="43" fontId="11" fillId="59" borderId="0" xfId="379" applyFont="1" applyFill="1"/>
    <xf numFmtId="43" fontId="0" fillId="0" borderId="0" xfId="379" applyFont="1"/>
    <xf numFmtId="169" fontId="11" fillId="0" borderId="0" xfId="379" applyNumberFormat="1" applyFont="1" applyFill="1"/>
    <xf numFmtId="43" fontId="11" fillId="0" borderId="0" xfId="379" applyFont="1" applyFill="1"/>
    <xf numFmtId="189" fontId="11" fillId="0" borderId="0" xfId="379" applyNumberFormat="1" applyFont="1" applyFill="1"/>
    <xf numFmtId="0" fontId="15" fillId="0" borderId="0" xfId="0" applyFont="1"/>
    <xf numFmtId="3" fontId="11" fillId="71" borderId="1" xfId="0" applyNumberFormat="1" applyFont="1" applyFill="1" applyBorder="1" applyAlignment="1">
      <alignment horizontal="center"/>
    </xf>
    <xf numFmtId="186" fontId="11" fillId="0" borderId="92" xfId="0" applyNumberFormat="1" applyFont="1" applyBorder="1" applyAlignment="1">
      <alignment horizontal="left"/>
    </xf>
    <xf numFmtId="169" fontId="11" fillId="0" borderId="92" xfId="379" applyNumberFormat="1" applyFont="1" applyBorder="1"/>
    <xf numFmtId="0" fontId="11" fillId="0" borderId="92" xfId="0" applyFont="1" applyBorder="1"/>
    <xf numFmtId="0" fontId="11" fillId="59" borderId="92" xfId="0" applyFont="1" applyFill="1" applyBorder="1"/>
    <xf numFmtId="169" fontId="11" fillId="59" borderId="92" xfId="379" applyNumberFormat="1" applyFont="1" applyFill="1" applyBorder="1"/>
    <xf numFmtId="43" fontId="11" fillId="59" borderId="92" xfId="379" applyFont="1" applyFill="1" applyBorder="1"/>
    <xf numFmtId="14" fontId="15" fillId="0" borderId="0" xfId="0" applyNumberFormat="1" applyFont="1"/>
    <xf numFmtId="14" fontId="0" fillId="0" borderId="0" xfId="0" applyNumberFormat="1"/>
    <xf numFmtId="17" fontId="0" fillId="0" borderId="0" xfId="0" applyNumberFormat="1"/>
    <xf numFmtId="0" fontId="0" fillId="71" borderId="0" xfId="0" applyFill="1"/>
    <xf numFmtId="43" fontId="0" fillId="71" borderId="0" xfId="379" applyFont="1" applyFill="1"/>
    <xf numFmtId="14" fontId="0" fillId="0" borderId="0" xfId="379" applyNumberFormat="1" applyFont="1" applyFill="1" applyBorder="1"/>
    <xf numFmtId="186" fontId="0" fillId="0" borderId="0" xfId="0" applyNumberFormat="1" applyAlignment="1">
      <alignment horizontal="left"/>
    </xf>
    <xf numFmtId="0" fontId="0" fillId="77" borderId="0" xfId="0" applyFill="1"/>
    <xf numFmtId="43" fontId="11" fillId="0" borderId="92" xfId="379" applyFont="1" applyFill="1" applyBorder="1"/>
    <xf numFmtId="43" fontId="11" fillId="33" borderId="8" xfId="379" applyFont="1" applyFill="1" applyBorder="1" applyAlignment="1">
      <alignment horizontal="center"/>
    </xf>
    <xf numFmtId="4" fontId="11" fillId="33" borderId="1" xfId="0" applyNumberFormat="1" applyFont="1" applyFill="1" applyBorder="1" applyAlignment="1">
      <alignment horizontal="center"/>
    </xf>
    <xf numFmtId="0" fontId="11" fillId="0" borderId="23" xfId="0" applyFont="1" applyBorder="1" applyAlignment="1">
      <alignment horizontal="center"/>
    </xf>
    <xf numFmtId="0" fontId="42" fillId="0" borderId="0" xfId="0" applyFont="1"/>
    <xf numFmtId="0" fontId="43" fillId="0" borderId="46" xfId="0" applyFont="1" applyBorder="1"/>
    <xf numFmtId="0" fontId="43" fillId="0" borderId="64" xfId="0" applyFont="1" applyBorder="1"/>
    <xf numFmtId="0" fontId="43" fillId="0" borderId="46" xfId="0" applyFont="1" applyBorder="1" applyAlignment="1">
      <alignment horizontal="left"/>
    </xf>
    <xf numFmtId="0" fontId="43" fillId="0" borderId="0" xfId="0" applyFont="1" applyAlignment="1">
      <alignment horizontal="center"/>
    </xf>
    <xf numFmtId="0" fontId="43" fillId="0" borderId="20" xfId="860" applyFont="1" applyBorder="1"/>
    <xf numFmtId="0" fontId="43" fillId="0" borderId="24" xfId="0" applyFont="1" applyBorder="1" applyAlignment="1">
      <alignment horizontal="center"/>
    </xf>
    <xf numFmtId="2" fontId="11" fillId="61" borderId="22" xfId="379" applyNumberFormat="1" applyFont="1" applyFill="1" applyBorder="1" applyAlignment="1" applyProtection="1">
      <protection locked="0"/>
    </xf>
    <xf numFmtId="2" fontId="11" fillId="61" borderId="1" xfId="379" applyNumberFormat="1" applyFont="1" applyFill="1" applyBorder="1" applyAlignment="1" applyProtection="1">
      <protection locked="0"/>
    </xf>
    <xf numFmtId="1" fontId="11" fillId="0" borderId="15" xfId="0" applyNumberFormat="1" applyFont="1" applyBorder="1" applyAlignment="1">
      <alignment horizontal="center"/>
    </xf>
    <xf numFmtId="3" fontId="11" fillId="70" borderId="1" xfId="0" applyNumberFormat="1" applyFont="1" applyFill="1" applyBorder="1" applyAlignment="1">
      <alignment horizontal="center" vertical="center" wrapText="1"/>
    </xf>
    <xf numFmtId="169" fontId="11" fillId="0" borderId="1" xfId="0" applyNumberFormat="1" applyFont="1" applyBorder="1" applyAlignment="1">
      <alignment horizontal="center" vertical="center" wrapText="1"/>
    </xf>
    <xf numFmtId="1" fontId="11" fillId="0" borderId="91" xfId="521" applyNumberFormat="1" applyFont="1" applyBorder="1" applyAlignment="1">
      <alignment horizontal="center"/>
    </xf>
    <xf numFmtId="1" fontId="11" fillId="0" borderId="33" xfId="521" applyNumberFormat="1" applyFont="1" applyBorder="1" applyAlignment="1">
      <alignment horizontal="center"/>
    </xf>
    <xf numFmtId="1" fontId="11" fillId="0" borderId="91" xfId="521" applyNumberFormat="1" applyFont="1" applyBorder="1" applyAlignment="1">
      <alignment horizontal="center" wrapText="1"/>
    </xf>
    <xf numFmtId="169" fontId="11" fillId="59" borderId="0" xfId="0" applyNumberFormat="1" applyFont="1" applyFill="1"/>
    <xf numFmtId="2" fontId="11" fillId="71" borderId="1" xfId="379" applyNumberFormat="1" applyFont="1" applyFill="1" applyBorder="1" applyAlignment="1" applyProtection="1">
      <protection locked="0"/>
    </xf>
    <xf numFmtId="3" fontId="37" fillId="0" borderId="1" xfId="0" applyNumberFormat="1" applyFont="1" applyBorder="1" applyAlignment="1">
      <alignment horizontal="center" vertical="center" wrapText="1"/>
    </xf>
    <xf numFmtId="169" fontId="37" fillId="33" borderId="1" xfId="379" applyNumberFormat="1" applyFont="1" applyFill="1" applyBorder="1"/>
    <xf numFmtId="175" fontId="37" fillId="0" borderId="1" xfId="379" applyNumberFormat="1" applyFont="1" applyBorder="1" applyAlignment="1">
      <alignment horizontal="center" vertical="center" wrapText="1"/>
    </xf>
    <xf numFmtId="0" fontId="37" fillId="0" borderId="0" xfId="0" applyFont="1" applyAlignment="1">
      <alignment horizontal="center"/>
    </xf>
    <xf numFmtId="172" fontId="37" fillId="0" borderId="8" xfId="379" applyNumberFormat="1" applyFont="1" applyFill="1" applyBorder="1" applyAlignment="1"/>
    <xf numFmtId="0" fontId="37" fillId="0" borderId="0" xfId="0" applyFont="1"/>
    <xf numFmtId="1" fontId="11" fillId="59" borderId="46" xfId="0" applyNumberFormat="1" applyFont="1" applyFill="1" applyBorder="1" applyAlignment="1">
      <alignment horizontal="center"/>
    </xf>
    <xf numFmtId="1" fontId="11" fillId="0" borderId="1" xfId="0" applyNumberFormat="1" applyFont="1" applyBorder="1" applyAlignment="1" applyProtection="1">
      <alignment horizontal="center" wrapText="1"/>
      <protection locked="0"/>
    </xf>
    <xf numFmtId="2" fontId="11" fillId="70" borderId="1" xfId="379" applyNumberFormat="1" applyFont="1" applyFill="1" applyBorder="1" applyAlignment="1" applyProtection="1">
      <protection locked="0"/>
    </xf>
    <xf numFmtId="190" fontId="11" fillId="0" borderId="0" xfId="557" applyNumberFormat="1" applyFont="1" applyFill="1" applyBorder="1" applyProtection="1">
      <protection locked="0"/>
    </xf>
    <xf numFmtId="182" fontId="11" fillId="0" borderId="0" xfId="379" applyNumberFormat="1" applyFont="1" applyFill="1"/>
    <xf numFmtId="190" fontId="11" fillId="0" borderId="0" xfId="557" applyNumberFormat="1" applyFont="1"/>
    <xf numFmtId="0" fontId="11" fillId="77" borderId="0" xfId="0" applyFont="1" applyFill="1" applyAlignment="1">
      <alignment wrapText="1"/>
    </xf>
    <xf numFmtId="3" fontId="11" fillId="0" borderId="39" xfId="0" applyNumberFormat="1" applyFont="1" applyBorder="1" applyAlignment="1">
      <alignment horizontal="center" vertical="center" wrapText="1"/>
    </xf>
    <xf numFmtId="10" fontId="11" fillId="0" borderId="39" xfId="0" applyNumberFormat="1" applyFont="1" applyBorder="1" applyAlignment="1">
      <alignment horizontal="center" vertical="center" wrapText="1"/>
    </xf>
    <xf numFmtId="0" fontId="11" fillId="0" borderId="39" xfId="0" applyFont="1" applyBorder="1" applyAlignment="1">
      <alignment horizontal="center" vertical="center" wrapText="1"/>
    </xf>
    <xf numFmtId="3" fontId="11" fillId="0" borderId="49" xfId="0" applyNumberFormat="1" applyFont="1" applyBorder="1" applyAlignment="1">
      <alignment horizontal="center" vertical="center" wrapText="1"/>
    </xf>
    <xf numFmtId="172" fontId="11" fillId="70" borderId="8" xfId="379" applyNumberFormat="1" applyFont="1" applyFill="1" applyBorder="1" applyAlignment="1">
      <alignment horizontal="center" vertical="center" wrapText="1"/>
    </xf>
    <xf numFmtId="1" fontId="11" fillId="59" borderId="64" xfId="0" applyNumberFormat="1" applyFont="1" applyFill="1" applyBorder="1" applyAlignment="1">
      <alignment horizontal="center"/>
    </xf>
    <xf numFmtId="1" fontId="11" fillId="59" borderId="50" xfId="0" applyNumberFormat="1" applyFont="1" applyFill="1" applyBorder="1" applyAlignment="1">
      <alignment horizontal="center"/>
    </xf>
    <xf numFmtId="169" fontId="11" fillId="76" borderId="0" xfId="379" applyNumberFormat="1" applyFont="1" applyFill="1"/>
    <xf numFmtId="43" fontId="11" fillId="76" borderId="0" xfId="379" applyFont="1" applyFill="1"/>
    <xf numFmtId="39" fontId="11" fillId="0" borderId="0" xfId="0" applyNumberFormat="1" applyFont="1"/>
    <xf numFmtId="2" fontId="11" fillId="59" borderId="1" xfId="379" applyNumberFormat="1" applyFont="1" applyFill="1" applyBorder="1" applyAlignment="1" applyProtection="1">
      <protection locked="0"/>
    </xf>
    <xf numFmtId="43" fontId="18" fillId="0" borderId="1" xfId="379" applyFont="1" applyBorder="1" applyAlignment="1" applyProtection="1">
      <alignment horizontal="center" wrapText="1"/>
      <protection locked="0"/>
    </xf>
    <xf numFmtId="169" fontId="11" fillId="0" borderId="1" xfId="0" applyNumberFormat="1" applyFont="1" applyBorder="1" applyAlignment="1">
      <alignment horizontal="center"/>
    </xf>
    <xf numFmtId="0" fontId="11" fillId="0" borderId="1" xfId="0" applyFont="1" applyBorder="1" applyAlignment="1">
      <alignment horizontal="left"/>
    </xf>
    <xf numFmtId="43" fontId="39" fillId="0" borderId="1" xfId="379"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2" fontId="11" fillId="59" borderId="0" xfId="379" applyNumberFormat="1" applyFont="1" applyFill="1" applyBorder="1" applyAlignment="1" applyProtection="1">
      <protection locked="0"/>
    </xf>
    <xf numFmtId="2" fontId="11" fillId="61" borderId="0" xfId="379" applyNumberFormat="1" applyFont="1" applyFill="1" applyBorder="1" applyAlignment="1" applyProtection="1">
      <protection locked="0"/>
    </xf>
    <xf numFmtId="2" fontId="81" fillId="0" borderId="0" xfId="0" applyNumberFormat="1" applyFont="1" applyProtection="1">
      <protection locked="0"/>
    </xf>
    <xf numFmtId="3" fontId="11" fillId="0" borderId="93" xfId="0" applyNumberFormat="1" applyFont="1" applyBorder="1" applyAlignment="1">
      <alignment horizontal="center" vertical="center" wrapText="1"/>
    </xf>
    <xf numFmtId="43" fontId="11" fillId="70" borderId="1" xfId="379" applyFont="1" applyFill="1" applyBorder="1" applyAlignment="1">
      <alignment horizontal="center" vertical="center" wrapText="1"/>
    </xf>
    <xf numFmtId="3" fontId="11" fillId="70" borderId="1" xfId="636" applyNumberFormat="1" applyFont="1" applyFill="1" applyBorder="1" applyAlignment="1">
      <alignment horizontal="center" vertical="center" wrapText="1"/>
    </xf>
    <xf numFmtId="3" fontId="11" fillId="0" borderId="10" xfId="0" applyNumberFormat="1" applyFont="1" applyBorder="1" applyAlignment="1">
      <alignment horizontal="center" vertical="center" wrapText="1"/>
    </xf>
    <xf numFmtId="0" fontId="11" fillId="0" borderId="22" xfId="0" applyFont="1" applyBorder="1" applyAlignment="1">
      <alignment horizontal="center" vertical="center" wrapText="1"/>
    </xf>
    <xf numFmtId="0" fontId="11" fillId="0" borderId="46" xfId="0" applyFont="1" applyBorder="1"/>
    <xf numFmtId="17" fontId="11" fillId="0" borderId="46" xfId="0" applyNumberFormat="1" applyFont="1" applyBorder="1" applyAlignment="1">
      <alignment horizontal="center"/>
    </xf>
    <xf numFmtId="169" fontId="37" fillId="0" borderId="0" xfId="379" applyNumberFormat="1" applyFont="1"/>
    <xf numFmtId="2" fontId="11" fillId="70" borderId="22" xfId="379" applyNumberFormat="1" applyFont="1" applyFill="1" applyBorder="1" applyAlignment="1" applyProtection="1">
      <protection locked="0"/>
    </xf>
    <xf numFmtId="49" fontId="11" fillId="0" borderId="94" xfId="0" applyNumberFormat="1" applyFont="1" applyBorder="1" applyAlignment="1">
      <alignment horizontal="center" vertical="center" wrapText="1"/>
    </xf>
    <xf numFmtId="3" fontId="11" fillId="70" borderId="93" xfId="0" applyNumberFormat="1" applyFont="1" applyFill="1" applyBorder="1" applyAlignment="1">
      <alignment horizontal="center" vertical="center" wrapText="1"/>
    </xf>
    <xf numFmtId="3" fontId="11" fillId="0" borderId="95" xfId="0" applyNumberFormat="1" applyFont="1" applyBorder="1" applyAlignment="1">
      <alignment horizontal="center" vertical="center" wrapText="1"/>
    </xf>
    <xf numFmtId="3" fontId="11" fillId="0" borderId="29" xfId="0" applyNumberFormat="1" applyFont="1" applyBorder="1" applyAlignment="1">
      <alignment horizontal="center" vertical="center" wrapText="1"/>
    </xf>
    <xf numFmtId="49" fontId="11" fillId="0" borderId="26" xfId="0" applyNumberFormat="1" applyFont="1" applyBorder="1" applyAlignment="1">
      <alignment horizontal="center" vertical="center" wrapText="1"/>
    </xf>
    <xf numFmtId="3" fontId="11" fillId="0" borderId="28" xfId="0" applyNumberFormat="1" applyFont="1" applyBorder="1" applyAlignment="1">
      <alignment horizontal="center" vertical="center" wrapText="1"/>
    </xf>
    <xf numFmtId="3" fontId="11" fillId="0" borderId="68" xfId="0" applyNumberFormat="1" applyFont="1" applyBorder="1" applyAlignment="1">
      <alignment horizontal="center" vertical="center" wrapText="1"/>
    </xf>
    <xf numFmtId="3" fontId="11" fillId="70" borderId="27" xfId="0" applyNumberFormat="1"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3" xfId="0" applyFont="1" applyBorder="1" applyAlignment="1">
      <alignment horizontal="center" vertical="center"/>
    </xf>
    <xf numFmtId="0" fontId="11" fillId="0" borderId="13" xfId="0" applyFont="1" applyBorder="1" applyAlignment="1">
      <alignment horizontal="center" vertical="center" wrapText="1"/>
    </xf>
    <xf numFmtId="3" fontId="37" fillId="0" borderId="20" xfId="0" applyNumberFormat="1" applyFont="1" applyBorder="1" applyAlignment="1">
      <alignment horizontal="center" vertical="center" wrapText="1"/>
    </xf>
    <xf numFmtId="169" fontId="37" fillId="33" borderId="20" xfId="379" applyNumberFormat="1" applyFont="1" applyFill="1" applyBorder="1"/>
    <xf numFmtId="175" fontId="11" fillId="0" borderId="1" xfId="0" applyNumberFormat="1" applyFont="1" applyBorder="1" applyAlignment="1">
      <alignment horizontal="center"/>
    </xf>
    <xf numFmtId="169" fontId="11" fillId="0" borderId="1" xfId="379" applyNumberFormat="1" applyFont="1" applyBorder="1" applyAlignment="1">
      <alignment horizontal="center"/>
    </xf>
    <xf numFmtId="169" fontId="11" fillId="0" borderId="8" xfId="379" applyNumberFormat="1" applyFont="1" applyBorder="1" applyAlignment="1">
      <alignment horizontal="center"/>
    </xf>
    <xf numFmtId="175" fontId="11" fillId="0" borderId="10" xfId="0" applyNumberFormat="1" applyFont="1" applyBorder="1" applyAlignment="1">
      <alignment horizontal="center"/>
    </xf>
    <xf numFmtId="169" fontId="11" fillId="0" borderId="10" xfId="379" applyNumberFormat="1" applyFont="1" applyBorder="1" applyAlignment="1">
      <alignment horizontal="center"/>
    </xf>
    <xf numFmtId="169" fontId="11" fillId="0" borderId="11" xfId="379" applyNumberFormat="1" applyFont="1" applyBorder="1" applyAlignment="1">
      <alignment horizontal="center"/>
    </xf>
    <xf numFmtId="17" fontId="18" fillId="0" borderId="64" xfId="0" applyNumberFormat="1" applyFont="1" applyBorder="1" applyAlignment="1">
      <alignment horizontal="center"/>
    </xf>
    <xf numFmtId="166" fontId="11" fillId="59" borderId="0" xfId="0" applyNumberFormat="1" applyFont="1" applyFill="1"/>
    <xf numFmtId="14" fontId="11" fillId="70" borderId="0" xfId="0" applyNumberFormat="1" applyFont="1" applyFill="1" applyAlignment="1">
      <alignment horizontal="center"/>
    </xf>
    <xf numFmtId="169" fontId="11" fillId="71" borderId="0" xfId="0" applyNumberFormat="1" applyFont="1" applyFill="1"/>
    <xf numFmtId="186" fontId="37" fillId="0" borderId="0" xfId="0" applyNumberFormat="1" applyFont="1" applyAlignment="1">
      <alignment horizontal="left"/>
    </xf>
    <xf numFmtId="37" fontId="11" fillId="0" borderId="0" xfId="0" applyNumberFormat="1" applyFont="1"/>
    <xf numFmtId="43" fontId="11" fillId="0" borderId="45" xfId="379" applyFont="1" applyFill="1" applyBorder="1" applyAlignment="1">
      <alignment horizontal="center" vertical="center" wrapText="1"/>
    </xf>
    <xf numFmtId="175" fontId="11" fillId="0" borderId="45" xfId="379" applyNumberFormat="1" applyFont="1" applyFill="1" applyBorder="1" applyAlignment="1">
      <alignment horizontal="center" vertical="center" wrapText="1"/>
    </xf>
    <xf numFmtId="9" fontId="11" fillId="0" borderId="0" xfId="0" applyNumberFormat="1" applyFont="1" applyProtection="1">
      <protection locked="0"/>
    </xf>
    <xf numFmtId="43" fontId="11" fillId="61" borderId="1" xfId="379" applyFont="1" applyFill="1" applyBorder="1" applyAlignment="1" applyProtection="1">
      <alignment horizontal="center"/>
      <protection locked="0"/>
    </xf>
    <xf numFmtId="166" fontId="11" fillId="71" borderId="0" xfId="0" applyNumberFormat="1" applyFont="1" applyFill="1"/>
    <xf numFmtId="186" fontId="11" fillId="0" borderId="64" xfId="0" applyNumberFormat="1" applyFont="1" applyBorder="1" applyAlignment="1">
      <alignment horizontal="left"/>
    </xf>
    <xf numFmtId="169" fontId="11" fillId="0" borderId="64" xfId="379" applyNumberFormat="1" applyFont="1" applyBorder="1"/>
    <xf numFmtId="0" fontId="11" fillId="0" borderId="64" xfId="0" applyFont="1" applyBorder="1"/>
    <xf numFmtId="0" fontId="11" fillId="59" borderId="64" xfId="0" applyFont="1" applyFill="1" applyBorder="1"/>
    <xf numFmtId="169" fontId="11" fillId="0" borderId="64" xfId="0" applyNumberFormat="1" applyFont="1" applyBorder="1"/>
    <xf numFmtId="169" fontId="11" fillId="59" borderId="64" xfId="379" applyNumberFormat="1" applyFont="1" applyFill="1" applyBorder="1"/>
    <xf numFmtId="169" fontId="11" fillId="0" borderId="64" xfId="379" applyNumberFormat="1" applyFont="1" applyFill="1" applyBorder="1"/>
    <xf numFmtId="0" fontId="11" fillId="71" borderId="0" xfId="0" quotePrefix="1" applyFont="1" applyFill="1"/>
    <xf numFmtId="0" fontId="18" fillId="0" borderId="0" xfId="0" applyFont="1" applyAlignment="1">
      <alignment horizontal="left"/>
    </xf>
    <xf numFmtId="169" fontId="38" fillId="0" borderId="0" xfId="379" applyNumberFormat="1" applyFont="1" applyFill="1" applyBorder="1" applyAlignment="1">
      <alignment horizontal="right" vertical="center" wrapText="1"/>
    </xf>
    <xf numFmtId="0" fontId="18" fillId="0" borderId="0" xfId="524" applyFont="1"/>
    <xf numFmtId="192" fontId="11" fillId="0" borderId="0" xfId="557" applyNumberFormat="1" applyFont="1"/>
    <xf numFmtId="3" fontId="11" fillId="61" borderId="0" xfId="0" applyNumberFormat="1" applyFont="1" applyFill="1"/>
    <xf numFmtId="169" fontId="11" fillId="61" borderId="0" xfId="379" applyNumberFormat="1" applyFont="1" applyFill="1"/>
    <xf numFmtId="3" fontId="11" fillId="70" borderId="0" xfId="0" applyNumberFormat="1" applyFont="1" applyFill="1"/>
    <xf numFmtId="0" fontId="18" fillId="0" borderId="1" xfId="0" applyFont="1" applyBorder="1" applyAlignment="1">
      <alignment horizontal="center"/>
    </xf>
    <xf numFmtId="2" fontId="18" fillId="0" borderId="1" xfId="379" applyNumberFormat="1" applyFont="1" applyFill="1" applyBorder="1" applyAlignment="1" applyProtection="1">
      <alignment horizontal="center" wrapText="1"/>
      <protection locked="0"/>
    </xf>
    <xf numFmtId="193" fontId="11" fillId="0" borderId="1" xfId="0" applyNumberFormat="1" applyFont="1" applyBorder="1" applyAlignment="1">
      <alignment horizontal="center"/>
    </xf>
    <xf numFmtId="2" fontId="18" fillId="0" borderId="22" xfId="379" applyNumberFormat="1" applyFont="1" applyFill="1" applyBorder="1" applyAlignment="1" applyProtection="1">
      <alignment horizontal="center" wrapText="1"/>
      <protection locked="0"/>
    </xf>
    <xf numFmtId="43" fontId="11" fillId="0" borderId="1" xfId="379" applyFont="1" applyFill="1" applyBorder="1" applyAlignment="1">
      <alignment horizontal="center"/>
    </xf>
    <xf numFmtId="0" fontId="18" fillId="0" borderId="39" xfId="0" applyFont="1" applyBorder="1" applyAlignment="1">
      <alignment horizontal="center" wrapText="1"/>
    </xf>
    <xf numFmtId="0" fontId="18" fillId="0" borderId="1" xfId="0" applyFont="1" applyBorder="1" applyAlignment="1">
      <alignment horizontal="center" wrapText="1"/>
    </xf>
    <xf numFmtId="194" fontId="11" fillId="0" borderId="1" xfId="0" applyNumberFormat="1" applyFont="1" applyBorder="1" applyAlignment="1">
      <alignment horizontal="center"/>
    </xf>
    <xf numFmtId="0" fontId="11" fillId="0" borderId="0" xfId="0" applyFont="1" applyAlignment="1">
      <alignment horizontal="center"/>
    </xf>
    <xf numFmtId="0" fontId="18" fillId="0" borderId="0" xfId="0" applyFont="1" applyAlignment="1">
      <alignment horizontal="left" vertical="top"/>
    </xf>
    <xf numFmtId="0" fontId="18" fillId="0" borderId="18" xfId="0" applyFont="1" applyBorder="1" applyAlignment="1">
      <alignment horizontal="center"/>
    </xf>
    <xf numFmtId="0" fontId="18" fillId="0" borderId="13" xfId="0" applyFont="1" applyBorder="1" applyAlignment="1">
      <alignment horizontal="center"/>
    </xf>
    <xf numFmtId="0" fontId="18" fillId="0" borderId="12" xfId="0" applyFont="1" applyBorder="1" applyAlignment="1">
      <alignment horizontal="center"/>
    </xf>
    <xf numFmtId="2" fontId="18" fillId="0" borderId="19" xfId="0" applyNumberFormat="1" applyFont="1" applyBorder="1" applyAlignment="1">
      <alignment horizontal="center"/>
    </xf>
    <xf numFmtId="2" fontId="18" fillId="0" borderId="13" xfId="0" applyNumberFormat="1" applyFont="1" applyBorder="1" applyAlignment="1">
      <alignment horizontal="center"/>
    </xf>
    <xf numFmtId="49" fontId="18" fillId="0" borderId="14" xfId="0" applyNumberFormat="1" applyFont="1" applyBorder="1" applyAlignment="1">
      <alignment horizontal="center" wrapText="1"/>
    </xf>
    <xf numFmtId="0" fontId="18" fillId="0" borderId="23" xfId="0" applyFont="1" applyBorder="1" applyAlignment="1">
      <alignment horizontal="center" wrapText="1"/>
    </xf>
    <xf numFmtId="0" fontId="18" fillId="0" borderId="48" xfId="0" applyFont="1" applyBorder="1" applyAlignment="1">
      <alignment horizontal="center" wrapText="1"/>
    </xf>
    <xf numFmtId="0" fontId="18" fillId="0" borderId="15" xfId="0" applyFont="1" applyBorder="1" applyAlignment="1">
      <alignment horizontal="center"/>
    </xf>
    <xf numFmtId="0" fontId="18" fillId="0" borderId="47" xfId="0" applyFont="1" applyBorder="1" applyAlignment="1">
      <alignment horizontal="center"/>
    </xf>
    <xf numFmtId="0" fontId="18" fillId="0" borderId="46" xfId="0" applyFont="1" applyBorder="1" applyAlignment="1">
      <alignment horizontal="center"/>
    </xf>
    <xf numFmtId="169" fontId="11" fillId="0" borderId="14" xfId="379" applyNumberFormat="1" applyFont="1" applyBorder="1" applyAlignment="1">
      <alignment horizontal="center"/>
    </xf>
    <xf numFmtId="169" fontId="11" fillId="0" borderId="48" xfId="379" applyNumberFormat="1" applyFont="1" applyBorder="1" applyAlignment="1">
      <alignment horizontal="center"/>
    </xf>
    <xf numFmtId="0" fontId="11" fillId="0" borderId="42"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xf>
    <xf numFmtId="0" fontId="11" fillId="0" borderId="46" xfId="0" applyFont="1" applyBorder="1" applyAlignment="1">
      <alignment horizontal="center"/>
    </xf>
    <xf numFmtId="49" fontId="11" fillId="0" borderId="42" xfId="0" applyNumberFormat="1" applyFont="1" applyBorder="1" applyAlignment="1">
      <alignment horizontal="center"/>
    </xf>
    <xf numFmtId="0" fontId="11" fillId="0" borderId="44" xfId="0" applyFont="1" applyBorder="1" applyAlignment="1">
      <alignment horizontal="center"/>
    </xf>
    <xf numFmtId="49" fontId="11" fillId="0" borderId="42" xfId="0" applyNumberFormat="1" applyFont="1" applyBorder="1" applyAlignment="1">
      <alignment horizontal="center" vertical="center" wrapText="1"/>
    </xf>
    <xf numFmtId="0" fontId="18" fillId="0" borderId="1" xfId="0" applyFont="1" applyBorder="1" applyAlignment="1" applyProtection="1">
      <alignment horizontal="center"/>
      <protection locked="0"/>
    </xf>
    <xf numFmtId="0" fontId="11" fillId="0" borderId="0" xfId="0" applyFont="1" applyAlignment="1" applyProtection="1">
      <alignment horizontal="center" vertical="center"/>
      <protection locked="0"/>
    </xf>
    <xf numFmtId="0" fontId="42" fillId="0" borderId="2" xfId="860" applyFont="1" applyBorder="1" applyAlignment="1">
      <alignment horizontal="center"/>
    </xf>
    <xf numFmtId="0" fontId="42" fillId="0" borderId="20" xfId="860" applyFont="1" applyBorder="1" applyAlignment="1">
      <alignment horizontal="center"/>
    </xf>
    <xf numFmtId="0" fontId="42" fillId="0" borderId="1" xfId="860" applyFont="1" applyBorder="1" applyAlignment="1">
      <alignment horizontal="center"/>
    </xf>
    <xf numFmtId="0" fontId="42" fillId="0" borderId="8" xfId="860" applyFont="1" applyBorder="1" applyAlignment="1">
      <alignment horizontal="center"/>
    </xf>
    <xf numFmtId="171" fontId="11" fillId="62" borderId="30" xfId="383" applyNumberFormat="1" applyFont="1" applyFill="1" applyBorder="1" applyAlignment="1">
      <alignment horizontal="center"/>
    </xf>
    <xf numFmtId="171" fontId="11" fillId="62" borderId="5" xfId="383" applyNumberFormat="1" applyFont="1" applyFill="1" applyBorder="1" applyAlignment="1">
      <alignment horizontal="center"/>
    </xf>
    <xf numFmtId="171" fontId="11" fillId="62" borderId="6" xfId="383" applyNumberFormat="1" applyFont="1" applyFill="1" applyBorder="1" applyAlignment="1">
      <alignment horizontal="center"/>
    </xf>
    <xf numFmtId="0" fontId="11" fillId="0" borderId="35" xfId="0" applyFont="1" applyBorder="1" applyAlignment="1">
      <alignment horizontal="center"/>
    </xf>
    <xf numFmtId="0" fontId="11" fillId="0" borderId="25" xfId="0" applyFont="1" applyBorder="1" applyAlignment="1">
      <alignment horizontal="center"/>
    </xf>
    <xf numFmtId="0" fontId="11" fillId="0" borderId="63" xfId="0" applyFont="1" applyBorder="1" applyAlignment="1">
      <alignment horizontal="center"/>
    </xf>
    <xf numFmtId="0" fontId="11" fillId="0" borderId="38" xfId="0" applyFont="1" applyBorder="1" applyAlignment="1">
      <alignment horizontal="center"/>
    </xf>
    <xf numFmtId="0" fontId="11" fillId="34" borderId="0" xfId="0" applyFont="1" applyFill="1" applyAlignment="1">
      <alignment horizontal="left"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3" fontId="11" fillId="71" borderId="67" xfId="0" applyNumberFormat="1" applyFont="1" applyFill="1" applyBorder="1" applyAlignment="1">
      <alignment horizontal="center" vertical="center" wrapText="1"/>
    </xf>
    <xf numFmtId="3" fontId="11" fillId="71" borderId="17" xfId="0" applyNumberFormat="1" applyFont="1" applyFill="1" applyBorder="1" applyAlignment="1">
      <alignment horizontal="center" vertical="center" wrapText="1"/>
    </xf>
    <xf numFmtId="3" fontId="11" fillId="71" borderId="1" xfId="0" applyNumberFormat="1" applyFont="1" applyFill="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22" xfId="0" applyFont="1" applyBorder="1" applyAlignment="1">
      <alignment horizontal="center" vertical="center" wrapText="1"/>
    </xf>
    <xf numFmtId="3" fontId="11" fillId="0" borderId="39" xfId="0" applyNumberFormat="1" applyFont="1" applyBorder="1" applyAlignment="1">
      <alignment horizontal="center" vertical="center" wrapText="1"/>
    </xf>
    <xf numFmtId="0" fontId="11" fillId="0" borderId="96" xfId="0" applyFont="1" applyBorder="1" applyAlignment="1">
      <alignment horizontal="center" vertical="center"/>
    </xf>
    <xf numFmtId="0" fontId="11" fillId="0" borderId="19" xfId="0" applyFont="1" applyBorder="1" applyAlignment="1">
      <alignment horizontal="center" vertical="center"/>
    </xf>
    <xf numFmtId="0" fontId="11" fillId="0" borderId="12" xfId="0" applyFont="1" applyBorder="1" applyAlignment="1">
      <alignment horizontal="center" vertical="center" wrapText="1"/>
    </xf>
    <xf numFmtId="3" fontId="11" fillId="0" borderId="27" xfId="0" applyNumberFormat="1" applyFont="1" applyBorder="1" applyAlignment="1">
      <alignment horizontal="center" vertical="center" wrapText="1"/>
    </xf>
    <xf numFmtId="3" fontId="11" fillId="71" borderId="65" xfId="0" applyNumberFormat="1" applyFont="1" applyFill="1" applyBorder="1" applyAlignment="1">
      <alignment horizontal="center" vertical="center" wrapText="1"/>
    </xf>
    <xf numFmtId="3" fontId="11" fillId="71" borderId="66" xfId="0" applyNumberFormat="1" applyFont="1" applyFill="1" applyBorder="1" applyAlignment="1">
      <alignment horizontal="center" vertical="center" wrapText="1"/>
    </xf>
    <xf numFmtId="171" fontId="11" fillId="0" borderId="30" xfId="383" applyNumberFormat="1" applyFont="1" applyFill="1" applyBorder="1" applyAlignment="1">
      <alignment horizontal="center"/>
    </xf>
    <xf numFmtId="171" fontId="11" fillId="0" borderId="5" xfId="383" applyNumberFormat="1" applyFont="1" applyFill="1" applyBorder="1" applyAlignment="1">
      <alignment horizontal="center"/>
    </xf>
    <xf numFmtId="171" fontId="11" fillId="0" borderId="6" xfId="383" applyNumberFormat="1" applyFont="1" applyFill="1" applyBorder="1" applyAlignment="1">
      <alignment horizontal="center"/>
    </xf>
    <xf numFmtId="0" fontId="18" fillId="0" borderId="30" xfId="0" applyFont="1" applyBorder="1" applyAlignment="1">
      <alignment horizontal="center"/>
    </xf>
    <xf numFmtId="0" fontId="18" fillId="0" borderId="6" xfId="0" applyFont="1" applyBorder="1" applyAlignment="1">
      <alignment horizontal="center"/>
    </xf>
    <xf numFmtId="0" fontId="18" fillId="0" borderId="0" xfId="1446" applyFont="1" applyAlignment="1" applyProtection="1">
      <alignment horizontal="left" vertical="top" wrapText="1"/>
      <protection locked="0"/>
    </xf>
    <xf numFmtId="0" fontId="11" fillId="0" borderId="0" xfId="1446" applyFont="1" applyAlignment="1" applyProtection="1">
      <alignment horizontal="left" vertical="top" wrapText="1"/>
      <protection locked="0"/>
    </xf>
    <xf numFmtId="0" fontId="17" fillId="0" borderId="0" xfId="1446" applyFont="1" applyAlignment="1" applyProtection="1">
      <alignment horizontal="left" vertical="top" wrapText="1"/>
      <protection locked="0"/>
    </xf>
    <xf numFmtId="0" fontId="18" fillId="0" borderId="0" xfId="1446" applyFont="1" applyAlignment="1" applyProtection="1">
      <alignment horizontal="center" vertical="top" wrapText="1"/>
      <protection locked="0"/>
    </xf>
    <xf numFmtId="0" fontId="85" fillId="0" borderId="0" xfId="1446" applyFont="1" applyAlignment="1" applyProtection="1">
      <alignment horizontal="center" vertical="top" wrapText="1"/>
      <protection locked="0"/>
    </xf>
    <xf numFmtId="0" fontId="18" fillId="0" borderId="0" xfId="696" applyFont="1" applyAlignment="1" applyProtection="1">
      <alignment horizontal="center"/>
      <protection locked="0"/>
    </xf>
    <xf numFmtId="0" fontId="18" fillId="65" borderId="15" xfId="1446" applyFont="1" applyFill="1" applyBorder="1" applyAlignment="1" applyProtection="1">
      <alignment horizontal="center" vertical="center"/>
      <protection locked="0"/>
    </xf>
    <xf numFmtId="0" fontId="18" fillId="65" borderId="46" xfId="1446" applyFont="1" applyFill="1" applyBorder="1" applyAlignment="1" applyProtection="1">
      <alignment horizontal="center" vertical="center"/>
      <protection locked="0"/>
    </xf>
    <xf numFmtId="0" fontId="18" fillId="65" borderId="47" xfId="1446" applyFont="1" applyFill="1" applyBorder="1" applyAlignment="1" applyProtection="1">
      <alignment horizontal="center" vertical="center"/>
      <protection locked="0"/>
    </xf>
    <xf numFmtId="0" fontId="11" fillId="0" borderId="43" xfId="1446" applyFont="1" applyBorder="1" applyAlignment="1" applyProtection="1">
      <alignment horizontal="center" wrapText="1"/>
      <protection locked="0"/>
    </xf>
    <xf numFmtId="0" fontId="18" fillId="0" borderId="0" xfId="1446" applyFont="1" applyAlignment="1" applyProtection="1">
      <alignment horizontal="center" vertical="top"/>
      <protection locked="0"/>
    </xf>
    <xf numFmtId="0" fontId="18" fillId="63" borderId="42" xfId="1446" applyFont="1" applyFill="1" applyBorder="1" applyAlignment="1" applyProtection="1">
      <alignment horizontal="center" vertical="top"/>
      <protection locked="0"/>
    </xf>
    <xf numFmtId="0" fontId="18" fillId="63" borderId="43" xfId="1446" applyFont="1" applyFill="1" applyBorder="1" applyAlignment="1" applyProtection="1">
      <alignment horizontal="center" vertical="top"/>
      <protection locked="0"/>
    </xf>
    <xf numFmtId="0" fontId="18" fillId="63" borderId="44" xfId="1446" applyFont="1" applyFill="1" applyBorder="1" applyAlignment="1" applyProtection="1">
      <alignment horizontal="center" vertical="top"/>
      <protection locked="0"/>
    </xf>
    <xf numFmtId="170" fontId="11" fillId="64" borderId="40" xfId="768" applyNumberFormat="1" applyFont="1" applyFill="1" applyBorder="1" applyAlignment="1" applyProtection="1">
      <alignment horizontal="center" vertical="top"/>
      <protection locked="0"/>
    </xf>
    <xf numFmtId="170" fontId="11" fillId="64" borderId="0" xfId="768" applyNumberFormat="1" applyFont="1" applyFill="1" applyBorder="1" applyAlignment="1" applyProtection="1">
      <alignment horizontal="center" vertical="top"/>
      <protection locked="0"/>
    </xf>
    <xf numFmtId="170" fontId="11" fillId="64" borderId="37" xfId="768" applyNumberFormat="1" applyFont="1" applyFill="1" applyBorder="1" applyAlignment="1" applyProtection="1">
      <alignment horizontal="center" vertical="top"/>
      <protection locked="0"/>
    </xf>
    <xf numFmtId="0" fontId="18" fillId="65" borderId="40" xfId="1446" applyFont="1" applyFill="1" applyBorder="1" applyAlignment="1" applyProtection="1">
      <alignment horizontal="center" vertical="top"/>
      <protection locked="0"/>
    </xf>
    <xf numFmtId="0" fontId="18" fillId="65" borderId="0" xfId="1446" applyFont="1" applyFill="1" applyAlignment="1" applyProtection="1">
      <alignment horizontal="center" vertical="top"/>
      <protection locked="0"/>
    </xf>
    <xf numFmtId="0" fontId="18" fillId="65" borderId="37" xfId="1446" applyFont="1" applyFill="1" applyBorder="1" applyAlignment="1" applyProtection="1">
      <alignment horizontal="center" vertical="top"/>
      <protection locked="0"/>
    </xf>
    <xf numFmtId="0" fontId="83" fillId="74" borderId="0" xfId="1447" applyFont="1" applyFill="1" applyAlignment="1">
      <alignment horizontal="center"/>
    </xf>
    <xf numFmtId="0" fontId="11" fillId="0" borderId="0" xfId="0" applyFont="1" applyFill="1"/>
    <xf numFmtId="191" fontId="11" fillId="0" borderId="0" xfId="0" applyNumberFormat="1" applyFont="1" applyFill="1"/>
    <xf numFmtId="191" fontId="11" fillId="0" borderId="68" xfId="0" applyNumberFormat="1" applyFont="1" applyFill="1" applyBorder="1"/>
    <xf numFmtId="0" fontId="11" fillId="0" borderId="68" xfId="0" applyFont="1" applyFill="1" applyBorder="1"/>
    <xf numFmtId="0" fontId="11" fillId="0" borderId="0" xfId="0" applyFont="1" applyFill="1" applyBorder="1"/>
    <xf numFmtId="178" fontId="11" fillId="33" borderId="1" xfId="0" applyNumberFormat="1" applyFont="1" applyFill="1" applyBorder="1" applyAlignment="1">
      <alignment horizontal="center"/>
    </xf>
    <xf numFmtId="0" fontId="11" fillId="0" borderId="0" xfId="0" applyFont="1" applyFill="1" applyAlignment="1">
      <alignment horizontal="center"/>
    </xf>
    <xf numFmtId="0" fontId="21" fillId="0" borderId="0" xfId="0" applyFont="1" applyFill="1" applyAlignment="1">
      <alignment horizontal="center"/>
    </xf>
    <xf numFmtId="190" fontId="21" fillId="0" borderId="0" xfId="0" applyNumberFormat="1" applyFont="1" applyFill="1"/>
    <xf numFmtId="0" fontId="21" fillId="0" borderId="0" xfId="0" applyFont="1" applyFill="1"/>
    <xf numFmtId="0" fontId="21" fillId="0" borderId="0" xfId="0" applyFont="1" applyFill="1" applyBorder="1" applyProtection="1">
      <protection locked="0"/>
    </xf>
    <xf numFmtId="0" fontId="21" fillId="0" borderId="0" xfId="0" applyFont="1" applyFill="1" applyBorder="1" applyAlignment="1" applyProtection="1">
      <alignment horizontal="center"/>
      <protection locked="0"/>
    </xf>
    <xf numFmtId="49" fontId="21" fillId="0" borderId="0" xfId="0" applyNumberFormat="1" applyFont="1" applyFill="1" applyBorder="1" applyAlignment="1" applyProtection="1">
      <alignment horizontal="center"/>
      <protection locked="0"/>
    </xf>
    <xf numFmtId="43" fontId="21" fillId="0" borderId="0" xfId="379" applyFont="1" applyFill="1" applyBorder="1" applyAlignment="1" applyProtection="1">
      <alignment horizontal="center"/>
      <protection locked="0"/>
    </xf>
    <xf numFmtId="10" fontId="21" fillId="0" borderId="0" xfId="863" applyNumberFormat="1" applyFont="1" applyFill="1" applyBorder="1" applyAlignment="1" applyProtection="1">
      <alignment horizontal="center"/>
      <protection locked="0"/>
    </xf>
    <xf numFmtId="0" fontId="21" fillId="0" borderId="0" xfId="0" applyFont="1" applyFill="1" applyBorder="1"/>
    <xf numFmtId="39" fontId="21" fillId="0" borderId="0" xfId="379" applyNumberFormat="1" applyFont="1" applyFill="1" applyBorder="1" applyAlignment="1" applyProtection="1">
      <alignment horizontal="right"/>
      <protection locked="0"/>
    </xf>
    <xf numFmtId="190" fontId="21" fillId="0" borderId="0" xfId="863" applyNumberFormat="1" applyFont="1" applyFill="1" applyBorder="1" applyAlignment="1" applyProtection="1">
      <alignment horizontal="center"/>
      <protection locked="0"/>
    </xf>
    <xf numFmtId="0" fontId="24" fillId="0" borderId="0" xfId="0" applyFont="1" applyFill="1" applyBorder="1" applyProtection="1">
      <protection locked="0"/>
    </xf>
    <xf numFmtId="10" fontId="24" fillId="0" borderId="0" xfId="0" applyNumberFormat="1" applyFont="1" applyFill="1" applyBorder="1" applyAlignment="1" applyProtection="1">
      <alignment horizontal="center"/>
      <protection locked="0"/>
    </xf>
    <xf numFmtId="0" fontId="24" fillId="0" borderId="0" xfId="1413" applyFont="1" applyFill="1" applyBorder="1" applyAlignment="1">
      <alignment horizontal="center"/>
    </xf>
    <xf numFmtId="0" fontId="24" fillId="0" borderId="0" xfId="521" applyFont="1" applyFill="1" applyBorder="1" applyAlignment="1">
      <alignment horizontal="center"/>
    </xf>
    <xf numFmtId="49" fontId="21" fillId="0" borderId="0" xfId="1413" applyNumberFormat="1" applyFont="1" applyFill="1" applyBorder="1" applyAlignment="1">
      <alignment horizontal="center"/>
    </xf>
    <xf numFmtId="43" fontId="21" fillId="0" borderId="0" xfId="379" applyFont="1" applyFill="1" applyBorder="1" applyAlignment="1">
      <alignment horizontal="center"/>
    </xf>
    <xf numFmtId="10" fontId="21" fillId="0" borderId="0" xfId="933" applyNumberFormat="1" applyFont="1" applyFill="1" applyBorder="1" applyAlignment="1">
      <alignment horizontal="center"/>
    </xf>
    <xf numFmtId="0" fontId="21" fillId="0" borderId="0" xfId="0" applyFont="1" applyProtection="1">
      <protection locked="0"/>
    </xf>
    <xf numFmtId="178" fontId="11" fillId="70" borderId="22" xfId="0" applyNumberFormat="1" applyFont="1" applyFill="1" applyBorder="1" applyAlignment="1">
      <alignment horizontal="center" vertical="center" wrapText="1"/>
    </xf>
    <xf numFmtId="169" fontId="11" fillId="0" borderId="45" xfId="379" applyNumberFormat="1" applyFont="1" applyBorder="1" applyAlignment="1">
      <alignment horizontal="center" vertical="center" wrapText="1"/>
    </xf>
    <xf numFmtId="169" fontId="11" fillId="0" borderId="1" xfId="379" applyNumberFormat="1" applyFont="1" applyBorder="1" applyAlignment="1">
      <alignment horizontal="center" vertical="center" wrapText="1"/>
    </xf>
    <xf numFmtId="169" fontId="11" fillId="33" borderId="20" xfId="379" applyNumberFormat="1" applyFont="1" applyFill="1" applyBorder="1"/>
    <xf numFmtId="172" fontId="11" fillId="0" borderId="8" xfId="379" applyNumberFormat="1" applyFont="1" applyBorder="1" applyAlignment="1">
      <alignment horizontal="center" vertical="center" wrapText="1"/>
    </xf>
    <xf numFmtId="3" fontId="11" fillId="0" borderId="20" xfId="0" applyNumberFormat="1" applyFont="1" applyBorder="1" applyAlignment="1">
      <alignment horizontal="center" vertical="center" wrapText="1"/>
    </xf>
    <xf numFmtId="3" fontId="11" fillId="0" borderId="22" xfId="0" applyNumberFormat="1" applyFont="1" applyFill="1" applyBorder="1" applyAlignment="1">
      <alignment horizontal="center" vertical="center" wrapText="1"/>
    </xf>
    <xf numFmtId="0" fontId="11" fillId="0" borderId="0" xfId="0" applyFont="1" applyFill="1" applyAlignment="1">
      <alignment horizontal="center"/>
    </xf>
    <xf numFmtId="0" fontId="18" fillId="0" borderId="0" xfId="0" applyFont="1" applyFill="1" applyAlignment="1">
      <alignment horizontal="center"/>
    </xf>
    <xf numFmtId="0" fontId="11" fillId="0" borderId="0" xfId="0" applyFont="1" applyFill="1" applyAlignment="1">
      <alignment horizontal="left" vertical="center"/>
    </xf>
    <xf numFmtId="0" fontId="11" fillId="0" borderId="0" xfId="0" applyFont="1" applyFill="1" applyAlignment="1">
      <alignment vertical="top"/>
    </xf>
    <xf numFmtId="186" fontId="11" fillId="0" borderId="0" xfId="0" applyNumberFormat="1" applyFont="1" applyFill="1"/>
    <xf numFmtId="0" fontId="18" fillId="0" borderId="0" xfId="0" applyFont="1" applyFill="1" applyBorder="1" applyAlignment="1">
      <alignment horizontal="center"/>
    </xf>
    <xf numFmtId="0" fontId="18" fillId="0" borderId="64" xfId="0" applyFont="1" applyFill="1" applyBorder="1" applyAlignment="1">
      <alignment horizontal="center"/>
    </xf>
    <xf numFmtId="0" fontId="86" fillId="0" borderId="0" xfId="0" applyFont="1" applyFill="1"/>
  </cellXfs>
  <cellStyles count="1448">
    <cellStyle name="$" xfId="745" xr:uid="{00000000-0005-0000-0000-000000000000}"/>
    <cellStyle name="$.00" xfId="746" xr:uid="{00000000-0005-0000-0000-000001000000}"/>
    <cellStyle name="$_9. Rev2Cost_GDPIPI" xfId="747" xr:uid="{00000000-0005-0000-0000-000002000000}"/>
    <cellStyle name="$_lists" xfId="748" xr:uid="{00000000-0005-0000-0000-000003000000}"/>
    <cellStyle name="$_lists_4. Current Monthly Fixed Charge" xfId="749" xr:uid="{00000000-0005-0000-0000-000004000000}"/>
    <cellStyle name="$_Sheet4" xfId="750" xr:uid="{00000000-0005-0000-0000-000005000000}"/>
    <cellStyle name="$M" xfId="751" xr:uid="{00000000-0005-0000-0000-000006000000}"/>
    <cellStyle name="$M.00" xfId="752" xr:uid="{00000000-0005-0000-0000-000007000000}"/>
    <cellStyle name="$M_9. Rev2Cost_GDPIPI" xfId="753" xr:uid="{00000000-0005-0000-0000-000008000000}"/>
    <cellStyle name="20% - Accent1 10" xfId="1" xr:uid="{00000000-0005-0000-0000-000009000000}"/>
    <cellStyle name="20% - Accent1 11" xfId="2" xr:uid="{00000000-0005-0000-0000-00000A000000}"/>
    <cellStyle name="20% - Accent1 12" xfId="3" xr:uid="{00000000-0005-0000-0000-00000B000000}"/>
    <cellStyle name="20% - Accent1 13" xfId="4" xr:uid="{00000000-0005-0000-0000-00000C000000}"/>
    <cellStyle name="20% - Accent1 14" xfId="5" xr:uid="{00000000-0005-0000-0000-00000D000000}"/>
    <cellStyle name="20% - Accent1 15" xfId="6" xr:uid="{00000000-0005-0000-0000-00000E000000}"/>
    <cellStyle name="20% - Accent1 16" xfId="669" xr:uid="{00000000-0005-0000-0000-00000F000000}"/>
    <cellStyle name="20% - Accent1 2" xfId="7" xr:uid="{00000000-0005-0000-0000-000010000000}"/>
    <cellStyle name="20% - Accent1 2 2" xfId="716" xr:uid="{00000000-0005-0000-0000-000011000000}"/>
    <cellStyle name="20% - Accent1 3" xfId="8" xr:uid="{00000000-0005-0000-0000-000012000000}"/>
    <cellStyle name="20% - Accent1 4" xfId="9" xr:uid="{00000000-0005-0000-0000-000013000000}"/>
    <cellStyle name="20% - Accent1 5" xfId="10" xr:uid="{00000000-0005-0000-0000-000014000000}"/>
    <cellStyle name="20% - Accent1 6" xfId="11" xr:uid="{00000000-0005-0000-0000-000015000000}"/>
    <cellStyle name="20% - Accent1 7" xfId="12" xr:uid="{00000000-0005-0000-0000-000016000000}"/>
    <cellStyle name="20% - Accent1 8" xfId="13" xr:uid="{00000000-0005-0000-0000-000017000000}"/>
    <cellStyle name="20% - Accent1 9" xfId="14" xr:uid="{00000000-0005-0000-0000-000018000000}"/>
    <cellStyle name="20% - Accent2 10" xfId="15" xr:uid="{00000000-0005-0000-0000-000019000000}"/>
    <cellStyle name="20% - Accent2 11" xfId="16" xr:uid="{00000000-0005-0000-0000-00001A000000}"/>
    <cellStyle name="20% - Accent2 12" xfId="17" xr:uid="{00000000-0005-0000-0000-00001B000000}"/>
    <cellStyle name="20% - Accent2 13" xfId="18" xr:uid="{00000000-0005-0000-0000-00001C000000}"/>
    <cellStyle name="20% - Accent2 14" xfId="19" xr:uid="{00000000-0005-0000-0000-00001D000000}"/>
    <cellStyle name="20% - Accent2 15" xfId="20" xr:uid="{00000000-0005-0000-0000-00001E000000}"/>
    <cellStyle name="20% - Accent2 16" xfId="670" xr:uid="{00000000-0005-0000-0000-00001F000000}"/>
    <cellStyle name="20% - Accent2 2" xfId="21" xr:uid="{00000000-0005-0000-0000-000020000000}"/>
    <cellStyle name="20% - Accent2 2 2" xfId="720" xr:uid="{00000000-0005-0000-0000-000021000000}"/>
    <cellStyle name="20% - Accent2 3" xfId="22" xr:uid="{00000000-0005-0000-0000-000022000000}"/>
    <cellStyle name="20% - Accent2 4" xfId="23" xr:uid="{00000000-0005-0000-0000-000023000000}"/>
    <cellStyle name="20% - Accent2 5" xfId="24" xr:uid="{00000000-0005-0000-0000-000024000000}"/>
    <cellStyle name="20% - Accent2 6" xfId="25" xr:uid="{00000000-0005-0000-0000-000025000000}"/>
    <cellStyle name="20% - Accent2 7" xfId="26" xr:uid="{00000000-0005-0000-0000-000026000000}"/>
    <cellStyle name="20% - Accent2 8" xfId="27" xr:uid="{00000000-0005-0000-0000-000027000000}"/>
    <cellStyle name="20% - Accent2 9" xfId="28" xr:uid="{00000000-0005-0000-0000-000028000000}"/>
    <cellStyle name="20% - Accent3 10" xfId="29" xr:uid="{00000000-0005-0000-0000-000029000000}"/>
    <cellStyle name="20% - Accent3 11" xfId="30" xr:uid="{00000000-0005-0000-0000-00002A000000}"/>
    <cellStyle name="20% - Accent3 12" xfId="31" xr:uid="{00000000-0005-0000-0000-00002B000000}"/>
    <cellStyle name="20% - Accent3 13" xfId="32" xr:uid="{00000000-0005-0000-0000-00002C000000}"/>
    <cellStyle name="20% - Accent3 14" xfId="33" xr:uid="{00000000-0005-0000-0000-00002D000000}"/>
    <cellStyle name="20% - Accent3 15" xfId="34" xr:uid="{00000000-0005-0000-0000-00002E000000}"/>
    <cellStyle name="20% - Accent3 16" xfId="671" xr:uid="{00000000-0005-0000-0000-00002F000000}"/>
    <cellStyle name="20% - Accent3 2" xfId="35" xr:uid="{00000000-0005-0000-0000-000030000000}"/>
    <cellStyle name="20% - Accent3 2 2" xfId="724" xr:uid="{00000000-0005-0000-0000-000031000000}"/>
    <cellStyle name="20% - Accent3 3" xfId="36" xr:uid="{00000000-0005-0000-0000-000032000000}"/>
    <cellStyle name="20% - Accent3 4" xfId="37" xr:uid="{00000000-0005-0000-0000-000033000000}"/>
    <cellStyle name="20% - Accent3 5" xfId="38" xr:uid="{00000000-0005-0000-0000-000034000000}"/>
    <cellStyle name="20% - Accent3 6" xfId="39" xr:uid="{00000000-0005-0000-0000-000035000000}"/>
    <cellStyle name="20% - Accent3 7" xfId="40" xr:uid="{00000000-0005-0000-0000-000036000000}"/>
    <cellStyle name="20% - Accent3 8" xfId="41" xr:uid="{00000000-0005-0000-0000-000037000000}"/>
    <cellStyle name="20% - Accent3 9" xfId="42" xr:uid="{00000000-0005-0000-0000-000038000000}"/>
    <cellStyle name="20% - Accent4 10" xfId="43" xr:uid="{00000000-0005-0000-0000-000039000000}"/>
    <cellStyle name="20% - Accent4 11" xfId="44" xr:uid="{00000000-0005-0000-0000-00003A000000}"/>
    <cellStyle name="20% - Accent4 12" xfId="45" xr:uid="{00000000-0005-0000-0000-00003B000000}"/>
    <cellStyle name="20% - Accent4 13" xfId="46" xr:uid="{00000000-0005-0000-0000-00003C000000}"/>
    <cellStyle name="20% - Accent4 14" xfId="47" xr:uid="{00000000-0005-0000-0000-00003D000000}"/>
    <cellStyle name="20% - Accent4 15" xfId="48" xr:uid="{00000000-0005-0000-0000-00003E000000}"/>
    <cellStyle name="20% - Accent4 16" xfId="672" xr:uid="{00000000-0005-0000-0000-00003F000000}"/>
    <cellStyle name="20% - Accent4 2" xfId="49" xr:uid="{00000000-0005-0000-0000-000040000000}"/>
    <cellStyle name="20% - Accent4 2 2" xfId="728" xr:uid="{00000000-0005-0000-0000-000041000000}"/>
    <cellStyle name="20% - Accent4 3" xfId="50" xr:uid="{00000000-0005-0000-0000-000042000000}"/>
    <cellStyle name="20% - Accent4 4" xfId="51" xr:uid="{00000000-0005-0000-0000-000043000000}"/>
    <cellStyle name="20% - Accent4 5" xfId="52" xr:uid="{00000000-0005-0000-0000-000044000000}"/>
    <cellStyle name="20% - Accent4 6" xfId="53" xr:uid="{00000000-0005-0000-0000-000045000000}"/>
    <cellStyle name="20% - Accent4 7" xfId="54" xr:uid="{00000000-0005-0000-0000-000046000000}"/>
    <cellStyle name="20% - Accent4 8" xfId="55" xr:uid="{00000000-0005-0000-0000-000047000000}"/>
    <cellStyle name="20% - Accent4 9" xfId="56" xr:uid="{00000000-0005-0000-0000-000048000000}"/>
    <cellStyle name="20% - Accent5 10" xfId="57" xr:uid="{00000000-0005-0000-0000-000049000000}"/>
    <cellStyle name="20% - Accent5 11" xfId="58" xr:uid="{00000000-0005-0000-0000-00004A000000}"/>
    <cellStyle name="20% - Accent5 12" xfId="59" xr:uid="{00000000-0005-0000-0000-00004B000000}"/>
    <cellStyle name="20% - Accent5 13" xfId="60" xr:uid="{00000000-0005-0000-0000-00004C000000}"/>
    <cellStyle name="20% - Accent5 14" xfId="61" xr:uid="{00000000-0005-0000-0000-00004D000000}"/>
    <cellStyle name="20% - Accent5 15" xfId="62" xr:uid="{00000000-0005-0000-0000-00004E000000}"/>
    <cellStyle name="20% - Accent5 16" xfId="673" xr:uid="{00000000-0005-0000-0000-00004F000000}"/>
    <cellStyle name="20% - Accent5 2" xfId="63" xr:uid="{00000000-0005-0000-0000-000050000000}"/>
    <cellStyle name="20% - Accent5 2 2" xfId="732" xr:uid="{00000000-0005-0000-0000-000051000000}"/>
    <cellStyle name="20% - Accent5 3" xfId="64" xr:uid="{00000000-0005-0000-0000-000052000000}"/>
    <cellStyle name="20% - Accent5 4" xfId="65" xr:uid="{00000000-0005-0000-0000-000053000000}"/>
    <cellStyle name="20% - Accent5 5" xfId="66" xr:uid="{00000000-0005-0000-0000-000054000000}"/>
    <cellStyle name="20% - Accent5 6" xfId="67" xr:uid="{00000000-0005-0000-0000-000055000000}"/>
    <cellStyle name="20% - Accent5 7" xfId="68" xr:uid="{00000000-0005-0000-0000-000056000000}"/>
    <cellStyle name="20% - Accent5 8" xfId="69" xr:uid="{00000000-0005-0000-0000-000057000000}"/>
    <cellStyle name="20% - Accent5 9" xfId="70" xr:uid="{00000000-0005-0000-0000-000058000000}"/>
    <cellStyle name="20% - Accent6 10" xfId="71" xr:uid="{00000000-0005-0000-0000-000059000000}"/>
    <cellStyle name="20% - Accent6 11" xfId="72" xr:uid="{00000000-0005-0000-0000-00005A000000}"/>
    <cellStyle name="20% - Accent6 12" xfId="73" xr:uid="{00000000-0005-0000-0000-00005B000000}"/>
    <cellStyle name="20% - Accent6 13" xfId="74" xr:uid="{00000000-0005-0000-0000-00005C000000}"/>
    <cellStyle name="20% - Accent6 14" xfId="75" xr:uid="{00000000-0005-0000-0000-00005D000000}"/>
    <cellStyle name="20% - Accent6 15" xfId="76" xr:uid="{00000000-0005-0000-0000-00005E000000}"/>
    <cellStyle name="20% - Accent6 16" xfId="674" xr:uid="{00000000-0005-0000-0000-00005F000000}"/>
    <cellStyle name="20% - Accent6 2" xfId="77" xr:uid="{00000000-0005-0000-0000-000060000000}"/>
    <cellStyle name="20% - Accent6 2 2" xfId="736" xr:uid="{00000000-0005-0000-0000-000061000000}"/>
    <cellStyle name="20% - Accent6 3" xfId="78" xr:uid="{00000000-0005-0000-0000-000062000000}"/>
    <cellStyle name="20% - Accent6 4" xfId="79" xr:uid="{00000000-0005-0000-0000-000063000000}"/>
    <cellStyle name="20% - Accent6 5" xfId="80" xr:uid="{00000000-0005-0000-0000-000064000000}"/>
    <cellStyle name="20% - Accent6 6" xfId="81" xr:uid="{00000000-0005-0000-0000-000065000000}"/>
    <cellStyle name="20% - Accent6 7" xfId="82" xr:uid="{00000000-0005-0000-0000-000066000000}"/>
    <cellStyle name="20% - Accent6 8" xfId="83" xr:uid="{00000000-0005-0000-0000-000067000000}"/>
    <cellStyle name="20% - Accent6 9" xfId="84" xr:uid="{00000000-0005-0000-0000-000068000000}"/>
    <cellStyle name="40% - Accent1 10" xfId="85" xr:uid="{00000000-0005-0000-0000-000069000000}"/>
    <cellStyle name="40% - Accent1 11" xfId="86" xr:uid="{00000000-0005-0000-0000-00006A000000}"/>
    <cellStyle name="40% - Accent1 12" xfId="87" xr:uid="{00000000-0005-0000-0000-00006B000000}"/>
    <cellStyle name="40% - Accent1 13" xfId="88" xr:uid="{00000000-0005-0000-0000-00006C000000}"/>
    <cellStyle name="40% - Accent1 14" xfId="89" xr:uid="{00000000-0005-0000-0000-00006D000000}"/>
    <cellStyle name="40% - Accent1 15" xfId="90" xr:uid="{00000000-0005-0000-0000-00006E000000}"/>
    <cellStyle name="40% - Accent1 16" xfId="675" xr:uid="{00000000-0005-0000-0000-00006F000000}"/>
    <cellStyle name="40% - Accent1 2" xfId="91" xr:uid="{00000000-0005-0000-0000-000070000000}"/>
    <cellStyle name="40% - Accent1 2 2" xfId="717" xr:uid="{00000000-0005-0000-0000-000071000000}"/>
    <cellStyle name="40% - Accent1 3" xfId="92" xr:uid="{00000000-0005-0000-0000-000072000000}"/>
    <cellStyle name="40% - Accent1 4" xfId="93" xr:uid="{00000000-0005-0000-0000-000073000000}"/>
    <cellStyle name="40% - Accent1 5" xfId="94" xr:uid="{00000000-0005-0000-0000-000074000000}"/>
    <cellStyle name="40% - Accent1 6" xfId="95" xr:uid="{00000000-0005-0000-0000-000075000000}"/>
    <cellStyle name="40% - Accent1 7" xfId="96" xr:uid="{00000000-0005-0000-0000-000076000000}"/>
    <cellStyle name="40% - Accent1 8" xfId="97" xr:uid="{00000000-0005-0000-0000-000077000000}"/>
    <cellStyle name="40% - Accent1 9" xfId="98" xr:uid="{00000000-0005-0000-0000-000078000000}"/>
    <cellStyle name="40% - Accent2 10" xfId="99" xr:uid="{00000000-0005-0000-0000-000079000000}"/>
    <cellStyle name="40% - Accent2 11" xfId="100" xr:uid="{00000000-0005-0000-0000-00007A000000}"/>
    <cellStyle name="40% - Accent2 12" xfId="101" xr:uid="{00000000-0005-0000-0000-00007B000000}"/>
    <cellStyle name="40% - Accent2 13" xfId="102" xr:uid="{00000000-0005-0000-0000-00007C000000}"/>
    <cellStyle name="40% - Accent2 14" xfId="103" xr:uid="{00000000-0005-0000-0000-00007D000000}"/>
    <cellStyle name="40% - Accent2 15" xfId="104" xr:uid="{00000000-0005-0000-0000-00007E000000}"/>
    <cellStyle name="40% - Accent2 16" xfId="676" xr:uid="{00000000-0005-0000-0000-00007F000000}"/>
    <cellStyle name="40% - Accent2 2" xfId="105" xr:uid="{00000000-0005-0000-0000-000080000000}"/>
    <cellStyle name="40% - Accent2 2 2" xfId="721" xr:uid="{00000000-0005-0000-0000-000081000000}"/>
    <cellStyle name="40% - Accent2 3" xfId="106" xr:uid="{00000000-0005-0000-0000-000082000000}"/>
    <cellStyle name="40% - Accent2 4" xfId="107" xr:uid="{00000000-0005-0000-0000-000083000000}"/>
    <cellStyle name="40% - Accent2 5" xfId="108" xr:uid="{00000000-0005-0000-0000-000084000000}"/>
    <cellStyle name="40% - Accent2 6" xfId="109" xr:uid="{00000000-0005-0000-0000-000085000000}"/>
    <cellStyle name="40% - Accent2 7" xfId="110" xr:uid="{00000000-0005-0000-0000-000086000000}"/>
    <cellStyle name="40% - Accent2 8" xfId="111" xr:uid="{00000000-0005-0000-0000-000087000000}"/>
    <cellStyle name="40% - Accent2 9" xfId="112" xr:uid="{00000000-0005-0000-0000-000088000000}"/>
    <cellStyle name="40% - Accent3 10" xfId="113" xr:uid="{00000000-0005-0000-0000-000089000000}"/>
    <cellStyle name="40% - Accent3 11" xfId="114" xr:uid="{00000000-0005-0000-0000-00008A000000}"/>
    <cellStyle name="40% - Accent3 12" xfId="115" xr:uid="{00000000-0005-0000-0000-00008B000000}"/>
    <cellStyle name="40% - Accent3 13" xfId="116" xr:uid="{00000000-0005-0000-0000-00008C000000}"/>
    <cellStyle name="40% - Accent3 14" xfId="117" xr:uid="{00000000-0005-0000-0000-00008D000000}"/>
    <cellStyle name="40% - Accent3 15" xfId="118" xr:uid="{00000000-0005-0000-0000-00008E000000}"/>
    <cellStyle name="40% - Accent3 16" xfId="677" xr:uid="{00000000-0005-0000-0000-00008F000000}"/>
    <cellStyle name="40% - Accent3 2" xfId="119" xr:uid="{00000000-0005-0000-0000-000090000000}"/>
    <cellStyle name="40% - Accent3 2 2" xfId="725" xr:uid="{00000000-0005-0000-0000-000091000000}"/>
    <cellStyle name="40% - Accent3 3" xfId="120" xr:uid="{00000000-0005-0000-0000-000092000000}"/>
    <cellStyle name="40% - Accent3 4" xfId="121" xr:uid="{00000000-0005-0000-0000-000093000000}"/>
    <cellStyle name="40% - Accent3 5" xfId="122" xr:uid="{00000000-0005-0000-0000-000094000000}"/>
    <cellStyle name="40% - Accent3 6" xfId="123" xr:uid="{00000000-0005-0000-0000-000095000000}"/>
    <cellStyle name="40% - Accent3 7" xfId="124" xr:uid="{00000000-0005-0000-0000-000096000000}"/>
    <cellStyle name="40% - Accent3 8" xfId="125" xr:uid="{00000000-0005-0000-0000-000097000000}"/>
    <cellStyle name="40% - Accent3 9" xfId="126" xr:uid="{00000000-0005-0000-0000-000098000000}"/>
    <cellStyle name="40% - Accent4 10" xfId="127" xr:uid="{00000000-0005-0000-0000-000099000000}"/>
    <cellStyle name="40% - Accent4 11" xfId="128" xr:uid="{00000000-0005-0000-0000-00009A000000}"/>
    <cellStyle name="40% - Accent4 12" xfId="129" xr:uid="{00000000-0005-0000-0000-00009B000000}"/>
    <cellStyle name="40% - Accent4 13" xfId="130" xr:uid="{00000000-0005-0000-0000-00009C000000}"/>
    <cellStyle name="40% - Accent4 14" xfId="131" xr:uid="{00000000-0005-0000-0000-00009D000000}"/>
    <cellStyle name="40% - Accent4 15" xfId="132" xr:uid="{00000000-0005-0000-0000-00009E000000}"/>
    <cellStyle name="40% - Accent4 16" xfId="678" xr:uid="{00000000-0005-0000-0000-00009F000000}"/>
    <cellStyle name="40% - Accent4 2" xfId="133" xr:uid="{00000000-0005-0000-0000-0000A0000000}"/>
    <cellStyle name="40% - Accent4 2 2" xfId="729" xr:uid="{00000000-0005-0000-0000-0000A1000000}"/>
    <cellStyle name="40% - Accent4 3" xfId="134" xr:uid="{00000000-0005-0000-0000-0000A2000000}"/>
    <cellStyle name="40% - Accent4 4" xfId="135" xr:uid="{00000000-0005-0000-0000-0000A3000000}"/>
    <cellStyle name="40% - Accent4 5" xfId="136" xr:uid="{00000000-0005-0000-0000-0000A4000000}"/>
    <cellStyle name="40% - Accent4 6" xfId="137" xr:uid="{00000000-0005-0000-0000-0000A5000000}"/>
    <cellStyle name="40% - Accent4 7" xfId="138" xr:uid="{00000000-0005-0000-0000-0000A6000000}"/>
    <cellStyle name="40% - Accent4 8" xfId="139" xr:uid="{00000000-0005-0000-0000-0000A7000000}"/>
    <cellStyle name="40% - Accent4 9" xfId="140" xr:uid="{00000000-0005-0000-0000-0000A8000000}"/>
    <cellStyle name="40% - Accent5 10" xfId="141" xr:uid="{00000000-0005-0000-0000-0000A9000000}"/>
    <cellStyle name="40% - Accent5 11" xfId="142" xr:uid="{00000000-0005-0000-0000-0000AA000000}"/>
    <cellStyle name="40% - Accent5 12" xfId="143" xr:uid="{00000000-0005-0000-0000-0000AB000000}"/>
    <cellStyle name="40% - Accent5 13" xfId="144" xr:uid="{00000000-0005-0000-0000-0000AC000000}"/>
    <cellStyle name="40% - Accent5 14" xfId="145" xr:uid="{00000000-0005-0000-0000-0000AD000000}"/>
    <cellStyle name="40% - Accent5 15" xfId="146" xr:uid="{00000000-0005-0000-0000-0000AE000000}"/>
    <cellStyle name="40% - Accent5 16" xfId="679" xr:uid="{00000000-0005-0000-0000-0000AF000000}"/>
    <cellStyle name="40% - Accent5 2" xfId="147" xr:uid="{00000000-0005-0000-0000-0000B0000000}"/>
    <cellStyle name="40% - Accent5 2 2" xfId="733" xr:uid="{00000000-0005-0000-0000-0000B1000000}"/>
    <cellStyle name="40% - Accent5 3" xfId="148" xr:uid="{00000000-0005-0000-0000-0000B2000000}"/>
    <cellStyle name="40% - Accent5 4" xfId="149" xr:uid="{00000000-0005-0000-0000-0000B3000000}"/>
    <cellStyle name="40% - Accent5 5" xfId="150" xr:uid="{00000000-0005-0000-0000-0000B4000000}"/>
    <cellStyle name="40% - Accent5 6" xfId="151" xr:uid="{00000000-0005-0000-0000-0000B5000000}"/>
    <cellStyle name="40% - Accent5 7" xfId="152" xr:uid="{00000000-0005-0000-0000-0000B6000000}"/>
    <cellStyle name="40% - Accent5 8" xfId="153" xr:uid="{00000000-0005-0000-0000-0000B7000000}"/>
    <cellStyle name="40% - Accent5 9" xfId="154" xr:uid="{00000000-0005-0000-0000-0000B8000000}"/>
    <cellStyle name="40% - Accent6 10" xfId="155" xr:uid="{00000000-0005-0000-0000-0000B9000000}"/>
    <cellStyle name="40% - Accent6 11" xfId="156" xr:uid="{00000000-0005-0000-0000-0000BA000000}"/>
    <cellStyle name="40% - Accent6 12" xfId="157" xr:uid="{00000000-0005-0000-0000-0000BB000000}"/>
    <cellStyle name="40% - Accent6 13" xfId="158" xr:uid="{00000000-0005-0000-0000-0000BC000000}"/>
    <cellStyle name="40% - Accent6 14" xfId="159" xr:uid="{00000000-0005-0000-0000-0000BD000000}"/>
    <cellStyle name="40% - Accent6 15" xfId="160" xr:uid="{00000000-0005-0000-0000-0000BE000000}"/>
    <cellStyle name="40% - Accent6 16" xfId="680" xr:uid="{00000000-0005-0000-0000-0000BF000000}"/>
    <cellStyle name="40% - Accent6 2" xfId="161" xr:uid="{00000000-0005-0000-0000-0000C0000000}"/>
    <cellStyle name="40% - Accent6 2 2" xfId="737" xr:uid="{00000000-0005-0000-0000-0000C1000000}"/>
    <cellStyle name="40% - Accent6 3" xfId="162" xr:uid="{00000000-0005-0000-0000-0000C2000000}"/>
    <cellStyle name="40% - Accent6 4" xfId="163" xr:uid="{00000000-0005-0000-0000-0000C3000000}"/>
    <cellStyle name="40% - Accent6 5" xfId="164" xr:uid="{00000000-0005-0000-0000-0000C4000000}"/>
    <cellStyle name="40% - Accent6 6" xfId="165" xr:uid="{00000000-0005-0000-0000-0000C5000000}"/>
    <cellStyle name="40% - Accent6 7" xfId="166" xr:uid="{00000000-0005-0000-0000-0000C6000000}"/>
    <cellStyle name="40% - Accent6 8" xfId="167" xr:uid="{00000000-0005-0000-0000-0000C7000000}"/>
    <cellStyle name="40% - Accent6 9" xfId="168" xr:uid="{00000000-0005-0000-0000-0000C8000000}"/>
    <cellStyle name="60% - Accent1 10" xfId="169" xr:uid="{00000000-0005-0000-0000-0000C9000000}"/>
    <cellStyle name="60% - Accent1 11" xfId="170" xr:uid="{00000000-0005-0000-0000-0000CA000000}"/>
    <cellStyle name="60% - Accent1 12" xfId="171" xr:uid="{00000000-0005-0000-0000-0000CB000000}"/>
    <cellStyle name="60% - Accent1 13" xfId="172" xr:uid="{00000000-0005-0000-0000-0000CC000000}"/>
    <cellStyle name="60% - Accent1 14" xfId="173" xr:uid="{00000000-0005-0000-0000-0000CD000000}"/>
    <cellStyle name="60% - Accent1 15" xfId="174" xr:uid="{00000000-0005-0000-0000-0000CE000000}"/>
    <cellStyle name="60% - Accent1 16" xfId="681" xr:uid="{00000000-0005-0000-0000-0000CF000000}"/>
    <cellStyle name="60% - Accent1 2" xfId="175" xr:uid="{00000000-0005-0000-0000-0000D0000000}"/>
    <cellStyle name="60% - Accent1 2 2" xfId="718" xr:uid="{00000000-0005-0000-0000-0000D1000000}"/>
    <cellStyle name="60% - Accent1 3" xfId="176" xr:uid="{00000000-0005-0000-0000-0000D2000000}"/>
    <cellStyle name="60% - Accent1 4" xfId="177" xr:uid="{00000000-0005-0000-0000-0000D3000000}"/>
    <cellStyle name="60% - Accent1 5" xfId="178" xr:uid="{00000000-0005-0000-0000-0000D4000000}"/>
    <cellStyle name="60% - Accent1 6" xfId="179" xr:uid="{00000000-0005-0000-0000-0000D5000000}"/>
    <cellStyle name="60% - Accent1 7" xfId="180" xr:uid="{00000000-0005-0000-0000-0000D6000000}"/>
    <cellStyle name="60% - Accent1 8" xfId="181" xr:uid="{00000000-0005-0000-0000-0000D7000000}"/>
    <cellStyle name="60% - Accent1 9" xfId="182" xr:uid="{00000000-0005-0000-0000-0000D8000000}"/>
    <cellStyle name="60% - Accent2 10" xfId="183" xr:uid="{00000000-0005-0000-0000-0000D9000000}"/>
    <cellStyle name="60% - Accent2 11" xfId="184" xr:uid="{00000000-0005-0000-0000-0000DA000000}"/>
    <cellStyle name="60% - Accent2 12" xfId="185" xr:uid="{00000000-0005-0000-0000-0000DB000000}"/>
    <cellStyle name="60% - Accent2 13" xfId="186" xr:uid="{00000000-0005-0000-0000-0000DC000000}"/>
    <cellStyle name="60% - Accent2 14" xfId="187" xr:uid="{00000000-0005-0000-0000-0000DD000000}"/>
    <cellStyle name="60% - Accent2 15" xfId="188" xr:uid="{00000000-0005-0000-0000-0000DE000000}"/>
    <cellStyle name="60% - Accent2 16" xfId="682" xr:uid="{00000000-0005-0000-0000-0000DF000000}"/>
    <cellStyle name="60% - Accent2 2" xfId="189" xr:uid="{00000000-0005-0000-0000-0000E0000000}"/>
    <cellStyle name="60% - Accent2 2 2" xfId="722" xr:uid="{00000000-0005-0000-0000-0000E1000000}"/>
    <cellStyle name="60% - Accent2 3" xfId="190" xr:uid="{00000000-0005-0000-0000-0000E2000000}"/>
    <cellStyle name="60% - Accent2 4" xfId="191" xr:uid="{00000000-0005-0000-0000-0000E3000000}"/>
    <cellStyle name="60% - Accent2 5" xfId="192" xr:uid="{00000000-0005-0000-0000-0000E4000000}"/>
    <cellStyle name="60% - Accent2 6" xfId="193" xr:uid="{00000000-0005-0000-0000-0000E5000000}"/>
    <cellStyle name="60% - Accent2 7" xfId="194" xr:uid="{00000000-0005-0000-0000-0000E6000000}"/>
    <cellStyle name="60% - Accent2 8" xfId="195" xr:uid="{00000000-0005-0000-0000-0000E7000000}"/>
    <cellStyle name="60% - Accent2 9" xfId="196" xr:uid="{00000000-0005-0000-0000-0000E8000000}"/>
    <cellStyle name="60% - Accent3 10" xfId="197" xr:uid="{00000000-0005-0000-0000-0000E9000000}"/>
    <cellStyle name="60% - Accent3 11" xfId="198" xr:uid="{00000000-0005-0000-0000-0000EA000000}"/>
    <cellStyle name="60% - Accent3 12" xfId="199" xr:uid="{00000000-0005-0000-0000-0000EB000000}"/>
    <cellStyle name="60% - Accent3 13" xfId="200" xr:uid="{00000000-0005-0000-0000-0000EC000000}"/>
    <cellStyle name="60% - Accent3 14" xfId="201" xr:uid="{00000000-0005-0000-0000-0000ED000000}"/>
    <cellStyle name="60% - Accent3 15" xfId="202" xr:uid="{00000000-0005-0000-0000-0000EE000000}"/>
    <cellStyle name="60% - Accent3 16" xfId="683" xr:uid="{00000000-0005-0000-0000-0000EF000000}"/>
    <cellStyle name="60% - Accent3 2" xfId="203" xr:uid="{00000000-0005-0000-0000-0000F0000000}"/>
    <cellStyle name="60% - Accent3 2 2" xfId="726" xr:uid="{00000000-0005-0000-0000-0000F1000000}"/>
    <cellStyle name="60% - Accent3 3" xfId="204" xr:uid="{00000000-0005-0000-0000-0000F2000000}"/>
    <cellStyle name="60% - Accent3 4" xfId="205" xr:uid="{00000000-0005-0000-0000-0000F3000000}"/>
    <cellStyle name="60% - Accent3 5" xfId="206" xr:uid="{00000000-0005-0000-0000-0000F4000000}"/>
    <cellStyle name="60% - Accent3 6" xfId="207" xr:uid="{00000000-0005-0000-0000-0000F5000000}"/>
    <cellStyle name="60% - Accent3 7" xfId="208" xr:uid="{00000000-0005-0000-0000-0000F6000000}"/>
    <cellStyle name="60% - Accent3 8" xfId="209" xr:uid="{00000000-0005-0000-0000-0000F7000000}"/>
    <cellStyle name="60% - Accent3 9" xfId="210" xr:uid="{00000000-0005-0000-0000-0000F8000000}"/>
    <cellStyle name="60% - Accent4 10" xfId="211" xr:uid="{00000000-0005-0000-0000-0000F9000000}"/>
    <cellStyle name="60% - Accent4 11" xfId="212" xr:uid="{00000000-0005-0000-0000-0000FA000000}"/>
    <cellStyle name="60% - Accent4 12" xfId="213" xr:uid="{00000000-0005-0000-0000-0000FB000000}"/>
    <cellStyle name="60% - Accent4 13" xfId="214" xr:uid="{00000000-0005-0000-0000-0000FC000000}"/>
    <cellStyle name="60% - Accent4 14" xfId="215" xr:uid="{00000000-0005-0000-0000-0000FD000000}"/>
    <cellStyle name="60% - Accent4 15" xfId="216" xr:uid="{00000000-0005-0000-0000-0000FE000000}"/>
    <cellStyle name="60% - Accent4 16" xfId="684" xr:uid="{00000000-0005-0000-0000-0000FF000000}"/>
    <cellStyle name="60% - Accent4 2" xfId="217" xr:uid="{00000000-0005-0000-0000-000000010000}"/>
    <cellStyle name="60% - Accent4 2 2" xfId="730" xr:uid="{00000000-0005-0000-0000-000001010000}"/>
    <cellStyle name="60% - Accent4 3" xfId="218" xr:uid="{00000000-0005-0000-0000-000002010000}"/>
    <cellStyle name="60% - Accent4 4" xfId="219" xr:uid="{00000000-0005-0000-0000-000003010000}"/>
    <cellStyle name="60% - Accent4 5" xfId="220" xr:uid="{00000000-0005-0000-0000-000004010000}"/>
    <cellStyle name="60% - Accent4 6" xfId="221" xr:uid="{00000000-0005-0000-0000-000005010000}"/>
    <cellStyle name="60% - Accent4 7" xfId="222" xr:uid="{00000000-0005-0000-0000-000006010000}"/>
    <cellStyle name="60% - Accent4 8" xfId="223" xr:uid="{00000000-0005-0000-0000-000007010000}"/>
    <cellStyle name="60% - Accent4 9" xfId="224" xr:uid="{00000000-0005-0000-0000-000008010000}"/>
    <cellStyle name="60% - Accent5 10" xfId="225" xr:uid="{00000000-0005-0000-0000-000009010000}"/>
    <cellStyle name="60% - Accent5 11" xfId="226" xr:uid="{00000000-0005-0000-0000-00000A010000}"/>
    <cellStyle name="60% - Accent5 12" xfId="227" xr:uid="{00000000-0005-0000-0000-00000B010000}"/>
    <cellStyle name="60% - Accent5 13" xfId="228" xr:uid="{00000000-0005-0000-0000-00000C010000}"/>
    <cellStyle name="60% - Accent5 14" xfId="229" xr:uid="{00000000-0005-0000-0000-00000D010000}"/>
    <cellStyle name="60% - Accent5 15" xfId="230" xr:uid="{00000000-0005-0000-0000-00000E010000}"/>
    <cellStyle name="60% - Accent5 16" xfId="685" xr:uid="{00000000-0005-0000-0000-00000F010000}"/>
    <cellStyle name="60% - Accent5 2" xfId="231" xr:uid="{00000000-0005-0000-0000-000010010000}"/>
    <cellStyle name="60% - Accent5 2 2" xfId="734" xr:uid="{00000000-0005-0000-0000-000011010000}"/>
    <cellStyle name="60% - Accent5 3" xfId="232" xr:uid="{00000000-0005-0000-0000-000012010000}"/>
    <cellStyle name="60% - Accent5 4" xfId="233" xr:uid="{00000000-0005-0000-0000-000013010000}"/>
    <cellStyle name="60% - Accent5 5" xfId="234" xr:uid="{00000000-0005-0000-0000-000014010000}"/>
    <cellStyle name="60% - Accent5 6" xfId="235" xr:uid="{00000000-0005-0000-0000-000015010000}"/>
    <cellStyle name="60% - Accent5 7" xfId="236" xr:uid="{00000000-0005-0000-0000-000016010000}"/>
    <cellStyle name="60% - Accent5 8" xfId="237" xr:uid="{00000000-0005-0000-0000-000017010000}"/>
    <cellStyle name="60% - Accent5 9" xfId="238" xr:uid="{00000000-0005-0000-0000-000018010000}"/>
    <cellStyle name="60% - Accent6 10" xfId="239" xr:uid="{00000000-0005-0000-0000-000019010000}"/>
    <cellStyle name="60% - Accent6 11" xfId="240" xr:uid="{00000000-0005-0000-0000-00001A010000}"/>
    <cellStyle name="60% - Accent6 12" xfId="241" xr:uid="{00000000-0005-0000-0000-00001B010000}"/>
    <cellStyle name="60% - Accent6 13" xfId="242" xr:uid="{00000000-0005-0000-0000-00001C010000}"/>
    <cellStyle name="60% - Accent6 14" xfId="243" xr:uid="{00000000-0005-0000-0000-00001D010000}"/>
    <cellStyle name="60% - Accent6 15" xfId="244" xr:uid="{00000000-0005-0000-0000-00001E010000}"/>
    <cellStyle name="60% - Accent6 16" xfId="686" xr:uid="{00000000-0005-0000-0000-00001F010000}"/>
    <cellStyle name="60% - Accent6 2" xfId="245" xr:uid="{00000000-0005-0000-0000-000020010000}"/>
    <cellStyle name="60% - Accent6 2 2" xfId="738" xr:uid="{00000000-0005-0000-0000-000021010000}"/>
    <cellStyle name="60% - Accent6 3" xfId="246" xr:uid="{00000000-0005-0000-0000-000022010000}"/>
    <cellStyle name="60% - Accent6 4" xfId="247" xr:uid="{00000000-0005-0000-0000-000023010000}"/>
    <cellStyle name="60% - Accent6 5" xfId="248" xr:uid="{00000000-0005-0000-0000-000024010000}"/>
    <cellStyle name="60% - Accent6 6" xfId="249" xr:uid="{00000000-0005-0000-0000-000025010000}"/>
    <cellStyle name="60% - Accent6 7" xfId="250" xr:uid="{00000000-0005-0000-0000-000026010000}"/>
    <cellStyle name="60% - Accent6 8" xfId="251" xr:uid="{00000000-0005-0000-0000-000027010000}"/>
    <cellStyle name="60% - Accent6 9" xfId="252" xr:uid="{00000000-0005-0000-0000-000028010000}"/>
    <cellStyle name="Accent1 10" xfId="253" xr:uid="{00000000-0005-0000-0000-000029010000}"/>
    <cellStyle name="Accent1 11" xfId="254" xr:uid="{00000000-0005-0000-0000-00002A010000}"/>
    <cellStyle name="Accent1 12" xfId="255" xr:uid="{00000000-0005-0000-0000-00002B010000}"/>
    <cellStyle name="Accent1 13" xfId="256" xr:uid="{00000000-0005-0000-0000-00002C010000}"/>
    <cellStyle name="Accent1 14" xfId="257" xr:uid="{00000000-0005-0000-0000-00002D010000}"/>
    <cellStyle name="Accent1 15" xfId="258" xr:uid="{00000000-0005-0000-0000-00002E010000}"/>
    <cellStyle name="Accent1 16" xfId="687" xr:uid="{00000000-0005-0000-0000-00002F010000}"/>
    <cellStyle name="Accent1 2" xfId="259" xr:uid="{00000000-0005-0000-0000-000030010000}"/>
    <cellStyle name="Accent1 2 2" xfId="715" xr:uid="{00000000-0005-0000-0000-000031010000}"/>
    <cellStyle name="Accent1 3" xfId="260" xr:uid="{00000000-0005-0000-0000-000032010000}"/>
    <cellStyle name="Accent1 4" xfId="261" xr:uid="{00000000-0005-0000-0000-000033010000}"/>
    <cellStyle name="Accent1 5" xfId="262" xr:uid="{00000000-0005-0000-0000-000034010000}"/>
    <cellStyle name="Accent1 6" xfId="263" xr:uid="{00000000-0005-0000-0000-000035010000}"/>
    <cellStyle name="Accent1 7" xfId="264" xr:uid="{00000000-0005-0000-0000-000036010000}"/>
    <cellStyle name="Accent1 8" xfId="265" xr:uid="{00000000-0005-0000-0000-000037010000}"/>
    <cellStyle name="Accent1 9" xfId="266" xr:uid="{00000000-0005-0000-0000-000038010000}"/>
    <cellStyle name="Accent2 10" xfId="267" xr:uid="{00000000-0005-0000-0000-000039010000}"/>
    <cellStyle name="Accent2 11" xfId="268" xr:uid="{00000000-0005-0000-0000-00003A010000}"/>
    <cellStyle name="Accent2 12" xfId="269" xr:uid="{00000000-0005-0000-0000-00003B010000}"/>
    <cellStyle name="Accent2 13" xfId="270" xr:uid="{00000000-0005-0000-0000-00003C010000}"/>
    <cellStyle name="Accent2 14" xfId="271" xr:uid="{00000000-0005-0000-0000-00003D010000}"/>
    <cellStyle name="Accent2 15" xfId="272" xr:uid="{00000000-0005-0000-0000-00003E010000}"/>
    <cellStyle name="Accent2 16" xfId="688" xr:uid="{00000000-0005-0000-0000-00003F010000}"/>
    <cellStyle name="Accent2 2" xfId="273" xr:uid="{00000000-0005-0000-0000-000040010000}"/>
    <cellStyle name="Accent2 2 2" xfId="719" xr:uid="{00000000-0005-0000-0000-000041010000}"/>
    <cellStyle name="Accent2 3" xfId="274" xr:uid="{00000000-0005-0000-0000-000042010000}"/>
    <cellStyle name="Accent2 4" xfId="275" xr:uid="{00000000-0005-0000-0000-000043010000}"/>
    <cellStyle name="Accent2 5" xfId="276" xr:uid="{00000000-0005-0000-0000-000044010000}"/>
    <cellStyle name="Accent2 6" xfId="277" xr:uid="{00000000-0005-0000-0000-000045010000}"/>
    <cellStyle name="Accent2 7" xfId="278" xr:uid="{00000000-0005-0000-0000-000046010000}"/>
    <cellStyle name="Accent2 8" xfId="279" xr:uid="{00000000-0005-0000-0000-000047010000}"/>
    <cellStyle name="Accent2 9" xfId="280" xr:uid="{00000000-0005-0000-0000-000048010000}"/>
    <cellStyle name="Accent3 10" xfId="281" xr:uid="{00000000-0005-0000-0000-000049010000}"/>
    <cellStyle name="Accent3 11" xfId="282" xr:uid="{00000000-0005-0000-0000-00004A010000}"/>
    <cellStyle name="Accent3 12" xfId="283" xr:uid="{00000000-0005-0000-0000-00004B010000}"/>
    <cellStyle name="Accent3 13" xfId="284" xr:uid="{00000000-0005-0000-0000-00004C010000}"/>
    <cellStyle name="Accent3 14" xfId="285" xr:uid="{00000000-0005-0000-0000-00004D010000}"/>
    <cellStyle name="Accent3 15" xfId="286" xr:uid="{00000000-0005-0000-0000-00004E010000}"/>
    <cellStyle name="Accent3 16" xfId="689" xr:uid="{00000000-0005-0000-0000-00004F010000}"/>
    <cellStyle name="Accent3 2" xfId="287" xr:uid="{00000000-0005-0000-0000-000050010000}"/>
    <cellStyle name="Accent3 2 2" xfId="723" xr:uid="{00000000-0005-0000-0000-000051010000}"/>
    <cellStyle name="Accent3 3" xfId="288" xr:uid="{00000000-0005-0000-0000-000052010000}"/>
    <cellStyle name="Accent3 4" xfId="289" xr:uid="{00000000-0005-0000-0000-000053010000}"/>
    <cellStyle name="Accent3 5" xfId="290" xr:uid="{00000000-0005-0000-0000-000054010000}"/>
    <cellStyle name="Accent3 6" xfId="291" xr:uid="{00000000-0005-0000-0000-000055010000}"/>
    <cellStyle name="Accent3 7" xfId="292" xr:uid="{00000000-0005-0000-0000-000056010000}"/>
    <cellStyle name="Accent3 8" xfId="293" xr:uid="{00000000-0005-0000-0000-000057010000}"/>
    <cellStyle name="Accent3 9" xfId="294" xr:uid="{00000000-0005-0000-0000-000058010000}"/>
    <cellStyle name="Accent4 10" xfId="295" xr:uid="{00000000-0005-0000-0000-000059010000}"/>
    <cellStyle name="Accent4 11" xfId="296" xr:uid="{00000000-0005-0000-0000-00005A010000}"/>
    <cellStyle name="Accent4 12" xfId="297" xr:uid="{00000000-0005-0000-0000-00005B010000}"/>
    <cellStyle name="Accent4 13" xfId="298" xr:uid="{00000000-0005-0000-0000-00005C010000}"/>
    <cellStyle name="Accent4 14" xfId="299" xr:uid="{00000000-0005-0000-0000-00005D010000}"/>
    <cellStyle name="Accent4 15" xfId="300" xr:uid="{00000000-0005-0000-0000-00005E010000}"/>
    <cellStyle name="Accent4 16" xfId="795" xr:uid="{00000000-0005-0000-0000-00005F010000}"/>
    <cellStyle name="Accent4 2" xfId="301" xr:uid="{00000000-0005-0000-0000-000060010000}"/>
    <cellStyle name="Accent4 2 2" xfId="727" xr:uid="{00000000-0005-0000-0000-000061010000}"/>
    <cellStyle name="Accent4 3" xfId="302" xr:uid="{00000000-0005-0000-0000-000062010000}"/>
    <cellStyle name="Accent4 4" xfId="303" xr:uid="{00000000-0005-0000-0000-000063010000}"/>
    <cellStyle name="Accent4 5" xfId="304" xr:uid="{00000000-0005-0000-0000-000064010000}"/>
    <cellStyle name="Accent4 6" xfId="305" xr:uid="{00000000-0005-0000-0000-000065010000}"/>
    <cellStyle name="Accent4 7" xfId="306" xr:uid="{00000000-0005-0000-0000-000066010000}"/>
    <cellStyle name="Accent4 8" xfId="307" xr:uid="{00000000-0005-0000-0000-000067010000}"/>
    <cellStyle name="Accent4 9" xfId="308" xr:uid="{00000000-0005-0000-0000-000068010000}"/>
    <cellStyle name="Accent5 10" xfId="309" xr:uid="{00000000-0005-0000-0000-000069010000}"/>
    <cellStyle name="Accent5 11" xfId="310" xr:uid="{00000000-0005-0000-0000-00006A010000}"/>
    <cellStyle name="Accent5 12" xfId="311" xr:uid="{00000000-0005-0000-0000-00006B010000}"/>
    <cellStyle name="Accent5 13" xfId="312" xr:uid="{00000000-0005-0000-0000-00006C010000}"/>
    <cellStyle name="Accent5 14" xfId="313" xr:uid="{00000000-0005-0000-0000-00006D010000}"/>
    <cellStyle name="Accent5 15" xfId="314" xr:uid="{00000000-0005-0000-0000-00006E010000}"/>
    <cellStyle name="Accent5 16" xfId="790" xr:uid="{00000000-0005-0000-0000-00006F010000}"/>
    <cellStyle name="Accent5 2" xfId="315" xr:uid="{00000000-0005-0000-0000-000070010000}"/>
    <cellStyle name="Accent5 2 2" xfId="731" xr:uid="{00000000-0005-0000-0000-000071010000}"/>
    <cellStyle name="Accent5 3" xfId="316" xr:uid="{00000000-0005-0000-0000-000072010000}"/>
    <cellStyle name="Accent5 4" xfId="317" xr:uid="{00000000-0005-0000-0000-000073010000}"/>
    <cellStyle name="Accent5 5" xfId="318" xr:uid="{00000000-0005-0000-0000-000074010000}"/>
    <cellStyle name="Accent5 6" xfId="319" xr:uid="{00000000-0005-0000-0000-000075010000}"/>
    <cellStyle name="Accent5 7" xfId="320" xr:uid="{00000000-0005-0000-0000-000076010000}"/>
    <cellStyle name="Accent5 8" xfId="321" xr:uid="{00000000-0005-0000-0000-000077010000}"/>
    <cellStyle name="Accent5 9" xfId="322" xr:uid="{00000000-0005-0000-0000-000078010000}"/>
    <cellStyle name="Accent6 10" xfId="323" xr:uid="{00000000-0005-0000-0000-000079010000}"/>
    <cellStyle name="Accent6 11" xfId="324" xr:uid="{00000000-0005-0000-0000-00007A010000}"/>
    <cellStyle name="Accent6 12" xfId="325" xr:uid="{00000000-0005-0000-0000-00007B010000}"/>
    <cellStyle name="Accent6 13" xfId="326" xr:uid="{00000000-0005-0000-0000-00007C010000}"/>
    <cellStyle name="Accent6 14" xfId="327" xr:uid="{00000000-0005-0000-0000-00007D010000}"/>
    <cellStyle name="Accent6 15" xfId="328" xr:uid="{00000000-0005-0000-0000-00007E010000}"/>
    <cellStyle name="Accent6 16" xfId="794" xr:uid="{00000000-0005-0000-0000-00007F010000}"/>
    <cellStyle name="Accent6 2" xfId="329" xr:uid="{00000000-0005-0000-0000-000080010000}"/>
    <cellStyle name="Accent6 2 2" xfId="735" xr:uid="{00000000-0005-0000-0000-000081010000}"/>
    <cellStyle name="Accent6 3" xfId="330" xr:uid="{00000000-0005-0000-0000-000082010000}"/>
    <cellStyle name="Accent6 4" xfId="331" xr:uid="{00000000-0005-0000-0000-000083010000}"/>
    <cellStyle name="Accent6 5" xfId="332" xr:uid="{00000000-0005-0000-0000-000084010000}"/>
    <cellStyle name="Accent6 6" xfId="333" xr:uid="{00000000-0005-0000-0000-000085010000}"/>
    <cellStyle name="Accent6 7" xfId="334" xr:uid="{00000000-0005-0000-0000-000086010000}"/>
    <cellStyle name="Accent6 8" xfId="335" xr:uid="{00000000-0005-0000-0000-000087010000}"/>
    <cellStyle name="Accent6 9" xfId="336" xr:uid="{00000000-0005-0000-0000-000088010000}"/>
    <cellStyle name="Bad 10" xfId="337" xr:uid="{00000000-0005-0000-0000-000089010000}"/>
    <cellStyle name="Bad 11" xfId="338" xr:uid="{00000000-0005-0000-0000-00008A010000}"/>
    <cellStyle name="Bad 12" xfId="339" xr:uid="{00000000-0005-0000-0000-00008B010000}"/>
    <cellStyle name="Bad 13" xfId="340" xr:uid="{00000000-0005-0000-0000-00008C010000}"/>
    <cellStyle name="Bad 14" xfId="341" xr:uid="{00000000-0005-0000-0000-00008D010000}"/>
    <cellStyle name="Bad 15" xfId="342" xr:uid="{00000000-0005-0000-0000-00008E010000}"/>
    <cellStyle name="Bad 16" xfId="779" xr:uid="{00000000-0005-0000-0000-00008F010000}"/>
    <cellStyle name="Bad 2" xfId="343" xr:uid="{00000000-0005-0000-0000-000090010000}"/>
    <cellStyle name="Bad 2 2" xfId="704" xr:uid="{00000000-0005-0000-0000-000091010000}"/>
    <cellStyle name="Bad 3" xfId="344" xr:uid="{00000000-0005-0000-0000-000092010000}"/>
    <cellStyle name="Bad 4" xfId="345" xr:uid="{00000000-0005-0000-0000-000093010000}"/>
    <cellStyle name="Bad 5" xfId="346" xr:uid="{00000000-0005-0000-0000-000094010000}"/>
    <cellStyle name="Bad 6" xfId="347" xr:uid="{00000000-0005-0000-0000-000095010000}"/>
    <cellStyle name="Bad 7" xfId="348" xr:uid="{00000000-0005-0000-0000-000096010000}"/>
    <cellStyle name="Bad 8" xfId="349" xr:uid="{00000000-0005-0000-0000-000097010000}"/>
    <cellStyle name="Bad 9" xfId="350" xr:uid="{00000000-0005-0000-0000-000098010000}"/>
    <cellStyle name="Calculation 10" xfId="351" xr:uid="{00000000-0005-0000-0000-000099010000}"/>
    <cellStyle name="Calculation 11" xfId="352" xr:uid="{00000000-0005-0000-0000-00009A010000}"/>
    <cellStyle name="Calculation 12" xfId="353" xr:uid="{00000000-0005-0000-0000-00009B010000}"/>
    <cellStyle name="Calculation 13" xfId="354" xr:uid="{00000000-0005-0000-0000-00009C010000}"/>
    <cellStyle name="Calculation 14" xfId="355" xr:uid="{00000000-0005-0000-0000-00009D010000}"/>
    <cellStyle name="Calculation 15" xfId="356" xr:uid="{00000000-0005-0000-0000-00009E010000}"/>
    <cellStyle name="Calculation 16" xfId="690" xr:uid="{00000000-0005-0000-0000-00009F010000}"/>
    <cellStyle name="Calculation 2" xfId="357" xr:uid="{00000000-0005-0000-0000-0000A0010000}"/>
    <cellStyle name="Calculation 2 2" xfId="708" xr:uid="{00000000-0005-0000-0000-0000A1010000}"/>
    <cellStyle name="Calculation 3" xfId="358" xr:uid="{00000000-0005-0000-0000-0000A2010000}"/>
    <cellStyle name="Calculation 4" xfId="359" xr:uid="{00000000-0005-0000-0000-0000A3010000}"/>
    <cellStyle name="Calculation 5" xfId="360" xr:uid="{00000000-0005-0000-0000-0000A4010000}"/>
    <cellStyle name="Calculation 6" xfId="361" xr:uid="{00000000-0005-0000-0000-0000A5010000}"/>
    <cellStyle name="Calculation 7" xfId="362" xr:uid="{00000000-0005-0000-0000-0000A6010000}"/>
    <cellStyle name="Calculation 8" xfId="363" xr:uid="{00000000-0005-0000-0000-0000A7010000}"/>
    <cellStyle name="Calculation 9" xfId="364" xr:uid="{00000000-0005-0000-0000-0000A8010000}"/>
    <cellStyle name="Check Cell 10" xfId="365" xr:uid="{00000000-0005-0000-0000-0000A9010000}"/>
    <cellStyle name="Check Cell 11" xfId="366" xr:uid="{00000000-0005-0000-0000-0000AA010000}"/>
    <cellStyle name="Check Cell 12" xfId="367" xr:uid="{00000000-0005-0000-0000-0000AB010000}"/>
    <cellStyle name="Check Cell 13" xfId="368" xr:uid="{00000000-0005-0000-0000-0000AC010000}"/>
    <cellStyle name="Check Cell 14" xfId="369" xr:uid="{00000000-0005-0000-0000-0000AD010000}"/>
    <cellStyle name="Check Cell 15" xfId="370" xr:uid="{00000000-0005-0000-0000-0000AE010000}"/>
    <cellStyle name="Check Cell 16" xfId="775" xr:uid="{00000000-0005-0000-0000-0000AF010000}"/>
    <cellStyle name="Check Cell 2" xfId="371" xr:uid="{00000000-0005-0000-0000-0000B0010000}"/>
    <cellStyle name="Check Cell 2 2" xfId="710" xr:uid="{00000000-0005-0000-0000-0000B1010000}"/>
    <cellStyle name="Check Cell 3" xfId="372" xr:uid="{00000000-0005-0000-0000-0000B2010000}"/>
    <cellStyle name="Check Cell 4" xfId="373" xr:uid="{00000000-0005-0000-0000-0000B3010000}"/>
    <cellStyle name="Check Cell 5" xfId="374" xr:uid="{00000000-0005-0000-0000-0000B4010000}"/>
    <cellStyle name="Check Cell 6" xfId="375" xr:uid="{00000000-0005-0000-0000-0000B5010000}"/>
    <cellStyle name="Check Cell 7" xfId="376" xr:uid="{00000000-0005-0000-0000-0000B6010000}"/>
    <cellStyle name="Check Cell 8" xfId="377" xr:uid="{00000000-0005-0000-0000-0000B7010000}"/>
    <cellStyle name="Check Cell 9" xfId="378" xr:uid="{00000000-0005-0000-0000-0000B8010000}"/>
    <cellStyle name="Comma" xfId="379" builtinId="3"/>
    <cellStyle name="Comma 2" xfId="595" xr:uid="{00000000-0005-0000-0000-0000BA010000}"/>
    <cellStyle name="Comma 2 2" xfId="596" xr:uid="{00000000-0005-0000-0000-0000BB010000}"/>
    <cellStyle name="Comma 2 2 2" xfId="594" xr:uid="{00000000-0005-0000-0000-0000BC010000}"/>
    <cellStyle name="Comma 2 3" xfId="634" xr:uid="{00000000-0005-0000-0000-0000BD010000}"/>
    <cellStyle name="Comma 2 4" xfId="740" xr:uid="{00000000-0005-0000-0000-0000BE010000}"/>
    <cellStyle name="Comma 3" xfId="380" xr:uid="{00000000-0005-0000-0000-0000BF010000}"/>
    <cellStyle name="Comma 3 2" xfId="597" xr:uid="{00000000-0005-0000-0000-0000C0010000}"/>
    <cellStyle name="Comma 3 2 2" xfId="768" xr:uid="{00000000-0005-0000-0000-0000C1010000}"/>
    <cellStyle name="Comma 3 3" xfId="742" xr:uid="{00000000-0005-0000-0000-0000C2010000}"/>
    <cellStyle name="Comma 3 4" xfId="937" xr:uid="{00000000-0005-0000-0000-0000C3010000}"/>
    <cellStyle name="Comma 4" xfId="598" xr:uid="{00000000-0005-0000-0000-0000C4010000}"/>
    <cellStyle name="Comma 4 2" xfId="618" xr:uid="{00000000-0005-0000-0000-0000C5010000}"/>
    <cellStyle name="Comma 4 2 2" xfId="655" xr:uid="{00000000-0005-0000-0000-0000C6010000}"/>
    <cellStyle name="Comma 4 2 2 2" xfId="834" xr:uid="{00000000-0005-0000-0000-0000C7010000}"/>
    <cellStyle name="Comma 4 2 2 2 2" xfId="1165" xr:uid="{00000000-0005-0000-0000-0000C8010000}"/>
    <cellStyle name="Comma 4 2 2 2 2 2" xfId="1398" xr:uid="{00000000-0005-0000-0000-0000C9010000}"/>
    <cellStyle name="Comma 4 2 2 2 3" xfId="1282" xr:uid="{00000000-0005-0000-0000-0000CA010000}"/>
    <cellStyle name="Comma 4 2 2 2 4" xfId="1046" xr:uid="{00000000-0005-0000-0000-0000CB010000}"/>
    <cellStyle name="Comma 4 2 2 3" xfId="904" xr:uid="{00000000-0005-0000-0000-0000CC010000}"/>
    <cellStyle name="Comma 4 2 2 3 2" xfId="1342" xr:uid="{00000000-0005-0000-0000-0000CD010000}"/>
    <cellStyle name="Comma 4 2 2 3 3" xfId="1109" xr:uid="{00000000-0005-0000-0000-0000CE010000}"/>
    <cellStyle name="Comma 4 2 2 4" xfId="1226" xr:uid="{00000000-0005-0000-0000-0000CF010000}"/>
    <cellStyle name="Comma 4 2 2 5" xfId="989" xr:uid="{00000000-0005-0000-0000-0000D0010000}"/>
    <cellStyle name="Comma 4 2 3" xfId="801" xr:uid="{00000000-0005-0000-0000-0000D1010000}"/>
    <cellStyle name="Comma 4 2 3 2" xfId="1135" xr:uid="{00000000-0005-0000-0000-0000D2010000}"/>
    <cellStyle name="Comma 4 2 3 2 2" xfId="1368" xr:uid="{00000000-0005-0000-0000-0000D3010000}"/>
    <cellStyle name="Comma 4 2 3 3" xfId="1252" xr:uid="{00000000-0005-0000-0000-0000D4010000}"/>
    <cellStyle name="Comma 4 2 3 4" xfId="1016" xr:uid="{00000000-0005-0000-0000-0000D5010000}"/>
    <cellStyle name="Comma 4 2 4" xfId="874" xr:uid="{00000000-0005-0000-0000-0000D6010000}"/>
    <cellStyle name="Comma 4 2 4 2" xfId="1316" xr:uid="{00000000-0005-0000-0000-0000D7010000}"/>
    <cellStyle name="Comma 4 2 4 3" xfId="1083" xr:uid="{00000000-0005-0000-0000-0000D8010000}"/>
    <cellStyle name="Comma 4 2 5" xfId="1200" xr:uid="{00000000-0005-0000-0000-0000D9010000}"/>
    <cellStyle name="Comma 4 2 6" xfId="963" xr:uid="{00000000-0005-0000-0000-0000DA010000}"/>
    <cellStyle name="Comma 4 3" xfId="626" xr:uid="{00000000-0005-0000-0000-0000DB010000}"/>
    <cellStyle name="Comma 4 3 2" xfId="663" xr:uid="{00000000-0005-0000-0000-0000DC010000}"/>
    <cellStyle name="Comma 4 3 2 2" xfId="842" xr:uid="{00000000-0005-0000-0000-0000DD010000}"/>
    <cellStyle name="Comma 4 3 2 2 2" xfId="1173" xr:uid="{00000000-0005-0000-0000-0000DE010000}"/>
    <cellStyle name="Comma 4 3 2 2 2 2" xfId="1406" xr:uid="{00000000-0005-0000-0000-0000DF010000}"/>
    <cellStyle name="Comma 4 3 2 2 3" xfId="1290" xr:uid="{00000000-0005-0000-0000-0000E0010000}"/>
    <cellStyle name="Comma 4 3 2 2 4" xfId="1054" xr:uid="{00000000-0005-0000-0000-0000E1010000}"/>
    <cellStyle name="Comma 4 3 2 3" xfId="912" xr:uid="{00000000-0005-0000-0000-0000E2010000}"/>
    <cellStyle name="Comma 4 3 2 3 2" xfId="1350" xr:uid="{00000000-0005-0000-0000-0000E3010000}"/>
    <cellStyle name="Comma 4 3 2 3 3" xfId="1117" xr:uid="{00000000-0005-0000-0000-0000E4010000}"/>
    <cellStyle name="Comma 4 3 2 4" xfId="1234" xr:uid="{00000000-0005-0000-0000-0000E5010000}"/>
    <cellStyle name="Comma 4 3 2 5" xfId="997" xr:uid="{00000000-0005-0000-0000-0000E6010000}"/>
    <cellStyle name="Comma 4 3 3" xfId="809" xr:uid="{00000000-0005-0000-0000-0000E7010000}"/>
    <cellStyle name="Comma 4 3 3 2" xfId="1143" xr:uid="{00000000-0005-0000-0000-0000E8010000}"/>
    <cellStyle name="Comma 4 3 3 2 2" xfId="1376" xr:uid="{00000000-0005-0000-0000-0000E9010000}"/>
    <cellStyle name="Comma 4 3 3 3" xfId="1260" xr:uid="{00000000-0005-0000-0000-0000EA010000}"/>
    <cellStyle name="Comma 4 3 3 4" xfId="1024" xr:uid="{00000000-0005-0000-0000-0000EB010000}"/>
    <cellStyle name="Comma 4 3 4" xfId="882" xr:uid="{00000000-0005-0000-0000-0000EC010000}"/>
    <cellStyle name="Comma 4 3 4 2" xfId="1324" xr:uid="{00000000-0005-0000-0000-0000ED010000}"/>
    <cellStyle name="Comma 4 3 4 3" xfId="1091" xr:uid="{00000000-0005-0000-0000-0000EE010000}"/>
    <cellStyle name="Comma 4 3 5" xfId="1208" xr:uid="{00000000-0005-0000-0000-0000EF010000}"/>
    <cellStyle name="Comma 4 3 6" xfId="971" xr:uid="{00000000-0005-0000-0000-0000F0010000}"/>
    <cellStyle name="Comma 4 4" xfId="647" xr:uid="{00000000-0005-0000-0000-0000F1010000}"/>
    <cellStyle name="Comma 4 4 2" xfId="826" xr:uid="{00000000-0005-0000-0000-0000F2010000}"/>
    <cellStyle name="Comma 4 4 2 2" xfId="1157" xr:uid="{00000000-0005-0000-0000-0000F3010000}"/>
    <cellStyle name="Comma 4 4 2 2 2" xfId="1390" xr:uid="{00000000-0005-0000-0000-0000F4010000}"/>
    <cellStyle name="Comma 4 4 2 3" xfId="1274" xr:uid="{00000000-0005-0000-0000-0000F5010000}"/>
    <cellStyle name="Comma 4 4 2 4" xfId="1038" xr:uid="{00000000-0005-0000-0000-0000F6010000}"/>
    <cellStyle name="Comma 4 4 3" xfId="896" xr:uid="{00000000-0005-0000-0000-0000F7010000}"/>
    <cellStyle name="Comma 4 4 3 2" xfId="1334" xr:uid="{00000000-0005-0000-0000-0000F8010000}"/>
    <cellStyle name="Comma 4 4 3 3" xfId="1101" xr:uid="{00000000-0005-0000-0000-0000F9010000}"/>
    <cellStyle name="Comma 4 4 4" xfId="1218" xr:uid="{00000000-0005-0000-0000-0000FA010000}"/>
    <cellStyle name="Comma 4 4 5" xfId="981" xr:uid="{00000000-0005-0000-0000-0000FB010000}"/>
    <cellStyle name="Comma 4 5" xfId="787" xr:uid="{00000000-0005-0000-0000-0000FC010000}"/>
    <cellStyle name="Comma 4 5 2" xfId="1127" xr:uid="{00000000-0005-0000-0000-0000FD010000}"/>
    <cellStyle name="Comma 4 5 2 2" xfId="1360" xr:uid="{00000000-0005-0000-0000-0000FE010000}"/>
    <cellStyle name="Comma 4 5 3" xfId="1244" xr:uid="{00000000-0005-0000-0000-0000FF010000}"/>
    <cellStyle name="Comma 4 5 4" xfId="1008" xr:uid="{00000000-0005-0000-0000-000000020000}"/>
    <cellStyle name="Comma 4 6" xfId="866" xr:uid="{00000000-0005-0000-0000-000001020000}"/>
    <cellStyle name="Comma 4 6 2" xfId="1308" xr:uid="{00000000-0005-0000-0000-000002020000}"/>
    <cellStyle name="Comma 4 6 3" xfId="1075" xr:uid="{00000000-0005-0000-0000-000003020000}"/>
    <cellStyle name="Comma 4 7" xfId="1192" xr:uid="{00000000-0005-0000-0000-000004020000}"/>
    <cellStyle name="Comma 4 8" xfId="955" xr:uid="{00000000-0005-0000-0000-000005020000}"/>
    <cellStyle name="Comma 5" xfId="641" xr:uid="{00000000-0005-0000-0000-000006020000}"/>
    <cellStyle name="Comma 6" xfId="638" xr:uid="{00000000-0005-0000-0000-000007020000}"/>
    <cellStyle name="Comma 6 2" xfId="819" xr:uid="{00000000-0005-0000-0000-000008020000}"/>
    <cellStyle name="Comma 6 2 2" xfId="1179" xr:uid="{00000000-0005-0000-0000-000009020000}"/>
    <cellStyle name="Comma 6 2 2 2" xfId="1412" xr:uid="{00000000-0005-0000-0000-00000A020000}"/>
    <cellStyle name="Comma 6 2 3" xfId="1296" xr:uid="{00000000-0005-0000-0000-00000B020000}"/>
    <cellStyle name="Comma 6 2 4" xfId="1060" xr:uid="{00000000-0005-0000-0000-00000C020000}"/>
    <cellStyle name="Comma 6 3" xfId="890" xr:uid="{00000000-0005-0000-0000-00000D020000}"/>
    <cellStyle name="Comma 6 3 2" xfId="1384" xr:uid="{00000000-0005-0000-0000-00000E020000}"/>
    <cellStyle name="Comma 6 3 3" xfId="1151" xr:uid="{00000000-0005-0000-0000-00000F020000}"/>
    <cellStyle name="Comma 6 4" xfId="1268" xr:uid="{00000000-0005-0000-0000-000010020000}"/>
    <cellStyle name="Comma 6 5" xfId="1032" xr:uid="{00000000-0005-0000-0000-000011020000}"/>
    <cellStyle name="Comma 7" xfId="796" xr:uid="{00000000-0005-0000-0000-000012020000}"/>
    <cellStyle name="Comma 7 2" xfId="1063" xr:uid="{00000000-0005-0000-0000-000013020000}"/>
    <cellStyle name="Comma 8" xfId="1067" xr:uid="{00000000-0005-0000-0000-000014020000}"/>
    <cellStyle name="Comma 8 2" xfId="1297" xr:uid="{00000000-0005-0000-0000-000015020000}"/>
    <cellStyle name="Comma 9" xfId="1181" xr:uid="{00000000-0005-0000-0000-000016020000}"/>
    <cellStyle name="Comma0" xfId="754" xr:uid="{00000000-0005-0000-0000-000017020000}"/>
    <cellStyle name="Currency 2" xfId="381" xr:uid="{00000000-0005-0000-0000-000019020000}"/>
    <cellStyle name="Currency 2 2" xfId="599" xr:uid="{00000000-0005-0000-0000-00001A020000}"/>
    <cellStyle name="Currency 2 3" xfId="589" xr:uid="{00000000-0005-0000-0000-00001B020000}"/>
    <cellStyle name="Currency 2 4" xfId="789" xr:uid="{00000000-0005-0000-0000-00001C020000}"/>
    <cellStyle name="Currency 2 5" xfId="936" xr:uid="{00000000-0005-0000-0000-00001D020000}"/>
    <cellStyle name="Currency 3" xfId="382" xr:uid="{00000000-0005-0000-0000-00001E020000}"/>
    <cellStyle name="Currency 3 2" xfId="600" xr:uid="{00000000-0005-0000-0000-00001F020000}"/>
    <cellStyle name="Currency 3 3" xfId="590" xr:uid="{00000000-0005-0000-0000-000020020000}"/>
    <cellStyle name="Currency 3 4" xfId="770" xr:uid="{00000000-0005-0000-0000-000021020000}"/>
    <cellStyle name="Currency 4" xfId="948" xr:uid="{00000000-0005-0000-0000-000022020000}"/>
    <cellStyle name="Currency 5" xfId="383" xr:uid="{00000000-0005-0000-0000-000023020000}"/>
    <cellStyle name="Currency0" xfId="755" xr:uid="{00000000-0005-0000-0000-000024020000}"/>
    <cellStyle name="Date" xfId="756" xr:uid="{00000000-0005-0000-0000-000025020000}"/>
    <cellStyle name="Explanatory Text 10" xfId="384" xr:uid="{00000000-0005-0000-0000-000026020000}"/>
    <cellStyle name="Explanatory Text 11" xfId="385" xr:uid="{00000000-0005-0000-0000-000027020000}"/>
    <cellStyle name="Explanatory Text 12" xfId="386" xr:uid="{00000000-0005-0000-0000-000028020000}"/>
    <cellStyle name="Explanatory Text 13" xfId="387" xr:uid="{00000000-0005-0000-0000-000029020000}"/>
    <cellStyle name="Explanatory Text 14" xfId="388" xr:uid="{00000000-0005-0000-0000-00002A020000}"/>
    <cellStyle name="Explanatory Text 15" xfId="389" xr:uid="{00000000-0005-0000-0000-00002B020000}"/>
    <cellStyle name="Explanatory Text 16" xfId="782" xr:uid="{00000000-0005-0000-0000-00002C020000}"/>
    <cellStyle name="Explanatory Text 2" xfId="390" xr:uid="{00000000-0005-0000-0000-00002D020000}"/>
    <cellStyle name="Explanatory Text 2 2" xfId="713" xr:uid="{00000000-0005-0000-0000-00002E020000}"/>
    <cellStyle name="Explanatory Text 3" xfId="391" xr:uid="{00000000-0005-0000-0000-00002F020000}"/>
    <cellStyle name="Explanatory Text 4" xfId="392" xr:uid="{00000000-0005-0000-0000-000030020000}"/>
    <cellStyle name="Explanatory Text 5" xfId="393" xr:uid="{00000000-0005-0000-0000-000031020000}"/>
    <cellStyle name="Explanatory Text 6" xfId="394" xr:uid="{00000000-0005-0000-0000-000032020000}"/>
    <cellStyle name="Explanatory Text 7" xfId="395" xr:uid="{00000000-0005-0000-0000-000033020000}"/>
    <cellStyle name="Explanatory Text 8" xfId="396" xr:uid="{00000000-0005-0000-0000-000034020000}"/>
    <cellStyle name="Explanatory Text 9" xfId="397" xr:uid="{00000000-0005-0000-0000-000035020000}"/>
    <cellStyle name="Fixed" xfId="757" xr:uid="{00000000-0005-0000-0000-000036020000}"/>
    <cellStyle name="Good 10" xfId="398" xr:uid="{00000000-0005-0000-0000-000037020000}"/>
    <cellStyle name="Good 11" xfId="399" xr:uid="{00000000-0005-0000-0000-000038020000}"/>
    <cellStyle name="Good 12" xfId="400" xr:uid="{00000000-0005-0000-0000-000039020000}"/>
    <cellStyle name="Good 13" xfId="401" xr:uid="{00000000-0005-0000-0000-00003A020000}"/>
    <cellStyle name="Good 14" xfId="402" xr:uid="{00000000-0005-0000-0000-00003B020000}"/>
    <cellStyle name="Good 15" xfId="403" xr:uid="{00000000-0005-0000-0000-00003C020000}"/>
    <cellStyle name="Good 16" xfId="778" xr:uid="{00000000-0005-0000-0000-00003D020000}"/>
    <cellStyle name="Good 2" xfId="404" xr:uid="{00000000-0005-0000-0000-00003E020000}"/>
    <cellStyle name="Good 2 2" xfId="703" xr:uid="{00000000-0005-0000-0000-00003F020000}"/>
    <cellStyle name="Good 3" xfId="405" xr:uid="{00000000-0005-0000-0000-000040020000}"/>
    <cellStyle name="Good 4" xfId="406" xr:uid="{00000000-0005-0000-0000-000041020000}"/>
    <cellStyle name="Good 5" xfId="407" xr:uid="{00000000-0005-0000-0000-000042020000}"/>
    <cellStyle name="Good 6" xfId="408" xr:uid="{00000000-0005-0000-0000-000043020000}"/>
    <cellStyle name="Good 7" xfId="409" xr:uid="{00000000-0005-0000-0000-000044020000}"/>
    <cellStyle name="Good 8" xfId="410" xr:uid="{00000000-0005-0000-0000-000045020000}"/>
    <cellStyle name="Good 9" xfId="411" xr:uid="{00000000-0005-0000-0000-000046020000}"/>
    <cellStyle name="Grey" xfId="758" xr:uid="{00000000-0005-0000-0000-000047020000}"/>
    <cellStyle name="Heading 1 10" xfId="412" xr:uid="{00000000-0005-0000-0000-000048020000}"/>
    <cellStyle name="Heading 1 11" xfId="413" xr:uid="{00000000-0005-0000-0000-000049020000}"/>
    <cellStyle name="Heading 1 12" xfId="414" xr:uid="{00000000-0005-0000-0000-00004A020000}"/>
    <cellStyle name="Heading 1 13" xfId="415" xr:uid="{00000000-0005-0000-0000-00004B020000}"/>
    <cellStyle name="Heading 1 14" xfId="416" xr:uid="{00000000-0005-0000-0000-00004C020000}"/>
    <cellStyle name="Heading 1 15" xfId="417" xr:uid="{00000000-0005-0000-0000-00004D020000}"/>
    <cellStyle name="Heading 1 16" xfId="783" xr:uid="{00000000-0005-0000-0000-00004E020000}"/>
    <cellStyle name="Heading 1 2" xfId="418" xr:uid="{00000000-0005-0000-0000-00004F020000}"/>
    <cellStyle name="Heading 1 2 2" xfId="699" xr:uid="{00000000-0005-0000-0000-000050020000}"/>
    <cellStyle name="Heading 1 3" xfId="419" xr:uid="{00000000-0005-0000-0000-000051020000}"/>
    <cellStyle name="Heading 1 4" xfId="420" xr:uid="{00000000-0005-0000-0000-000052020000}"/>
    <cellStyle name="Heading 1 5" xfId="421" xr:uid="{00000000-0005-0000-0000-000053020000}"/>
    <cellStyle name="Heading 1 6" xfId="422" xr:uid="{00000000-0005-0000-0000-000054020000}"/>
    <cellStyle name="Heading 1 7" xfId="423" xr:uid="{00000000-0005-0000-0000-000055020000}"/>
    <cellStyle name="Heading 1 8" xfId="424" xr:uid="{00000000-0005-0000-0000-000056020000}"/>
    <cellStyle name="Heading 1 9" xfId="425" xr:uid="{00000000-0005-0000-0000-000057020000}"/>
    <cellStyle name="Heading 2 10" xfId="426" xr:uid="{00000000-0005-0000-0000-000058020000}"/>
    <cellStyle name="Heading 2 11" xfId="427" xr:uid="{00000000-0005-0000-0000-000059020000}"/>
    <cellStyle name="Heading 2 12" xfId="428" xr:uid="{00000000-0005-0000-0000-00005A020000}"/>
    <cellStyle name="Heading 2 13" xfId="429" xr:uid="{00000000-0005-0000-0000-00005B020000}"/>
    <cellStyle name="Heading 2 14" xfId="430" xr:uid="{00000000-0005-0000-0000-00005C020000}"/>
    <cellStyle name="Heading 2 15" xfId="431" xr:uid="{00000000-0005-0000-0000-00005D020000}"/>
    <cellStyle name="Heading 2 16" xfId="781" xr:uid="{00000000-0005-0000-0000-00005E020000}"/>
    <cellStyle name="Heading 2 2" xfId="432" xr:uid="{00000000-0005-0000-0000-00005F020000}"/>
    <cellStyle name="Heading 2 2 2" xfId="698" xr:uid="{00000000-0005-0000-0000-000060020000}"/>
    <cellStyle name="Heading 2 3" xfId="433" xr:uid="{00000000-0005-0000-0000-000061020000}"/>
    <cellStyle name="Heading 2 4" xfId="434" xr:uid="{00000000-0005-0000-0000-000062020000}"/>
    <cellStyle name="Heading 2 5" xfId="435" xr:uid="{00000000-0005-0000-0000-000063020000}"/>
    <cellStyle name="Heading 2 6" xfId="436" xr:uid="{00000000-0005-0000-0000-000064020000}"/>
    <cellStyle name="Heading 2 7" xfId="437" xr:uid="{00000000-0005-0000-0000-000065020000}"/>
    <cellStyle name="Heading 2 8" xfId="438" xr:uid="{00000000-0005-0000-0000-000066020000}"/>
    <cellStyle name="Heading 2 9" xfId="439" xr:uid="{00000000-0005-0000-0000-000067020000}"/>
    <cellStyle name="Heading 3 10" xfId="440" xr:uid="{00000000-0005-0000-0000-000068020000}"/>
    <cellStyle name="Heading 3 11" xfId="441" xr:uid="{00000000-0005-0000-0000-000069020000}"/>
    <cellStyle name="Heading 3 12" xfId="442" xr:uid="{00000000-0005-0000-0000-00006A020000}"/>
    <cellStyle name="Heading 3 13" xfId="443" xr:uid="{00000000-0005-0000-0000-00006B020000}"/>
    <cellStyle name="Heading 3 14" xfId="444" xr:uid="{00000000-0005-0000-0000-00006C020000}"/>
    <cellStyle name="Heading 3 15" xfId="445" xr:uid="{00000000-0005-0000-0000-00006D020000}"/>
    <cellStyle name="Heading 3 16" xfId="780" xr:uid="{00000000-0005-0000-0000-00006E020000}"/>
    <cellStyle name="Heading 3 2" xfId="446" xr:uid="{00000000-0005-0000-0000-00006F020000}"/>
    <cellStyle name="Heading 3 2 2" xfId="701" xr:uid="{00000000-0005-0000-0000-000070020000}"/>
    <cellStyle name="Heading 3 3" xfId="447" xr:uid="{00000000-0005-0000-0000-000071020000}"/>
    <cellStyle name="Heading 3 4" xfId="448" xr:uid="{00000000-0005-0000-0000-000072020000}"/>
    <cellStyle name="Heading 3 5" xfId="449" xr:uid="{00000000-0005-0000-0000-000073020000}"/>
    <cellStyle name="Heading 3 6" xfId="450" xr:uid="{00000000-0005-0000-0000-000074020000}"/>
    <cellStyle name="Heading 3 7" xfId="451" xr:uid="{00000000-0005-0000-0000-000075020000}"/>
    <cellStyle name="Heading 3 8" xfId="452" xr:uid="{00000000-0005-0000-0000-000076020000}"/>
    <cellStyle name="Heading 3 9" xfId="453" xr:uid="{00000000-0005-0000-0000-000077020000}"/>
    <cellStyle name="Heading 4 10" xfId="454" xr:uid="{00000000-0005-0000-0000-000078020000}"/>
    <cellStyle name="Heading 4 11" xfId="455" xr:uid="{00000000-0005-0000-0000-000079020000}"/>
    <cellStyle name="Heading 4 12" xfId="456" xr:uid="{00000000-0005-0000-0000-00007A020000}"/>
    <cellStyle name="Heading 4 13" xfId="457" xr:uid="{00000000-0005-0000-0000-00007B020000}"/>
    <cellStyle name="Heading 4 14" xfId="458" xr:uid="{00000000-0005-0000-0000-00007C020000}"/>
    <cellStyle name="Heading 4 15" xfId="459" xr:uid="{00000000-0005-0000-0000-00007D020000}"/>
    <cellStyle name="Heading 4 16" xfId="823" xr:uid="{00000000-0005-0000-0000-00007E020000}"/>
    <cellStyle name="Heading 4 2" xfId="460" xr:uid="{00000000-0005-0000-0000-00007F020000}"/>
    <cellStyle name="Heading 4 2 2" xfId="702" xr:uid="{00000000-0005-0000-0000-000080020000}"/>
    <cellStyle name="Heading 4 3" xfId="461" xr:uid="{00000000-0005-0000-0000-000081020000}"/>
    <cellStyle name="Heading 4 4" xfId="462" xr:uid="{00000000-0005-0000-0000-000082020000}"/>
    <cellStyle name="Heading 4 5" xfId="463" xr:uid="{00000000-0005-0000-0000-000083020000}"/>
    <cellStyle name="Heading 4 6" xfId="464" xr:uid="{00000000-0005-0000-0000-000084020000}"/>
    <cellStyle name="Heading 4 7" xfId="465" xr:uid="{00000000-0005-0000-0000-000085020000}"/>
    <cellStyle name="Heading 4 8" xfId="466" xr:uid="{00000000-0005-0000-0000-000086020000}"/>
    <cellStyle name="Heading 4 9" xfId="467" xr:uid="{00000000-0005-0000-0000-000087020000}"/>
    <cellStyle name="Hyperlink 2" xfId="784" xr:uid="{00000000-0005-0000-0000-000089020000}"/>
    <cellStyle name="Hyperlink 2 2" xfId="1003" xr:uid="{00000000-0005-0000-0000-00008A020000}"/>
    <cellStyle name="Hyperlink 3" xfId="691" xr:uid="{00000000-0005-0000-0000-00008B020000}"/>
    <cellStyle name="Input [yellow]" xfId="759" xr:uid="{00000000-0005-0000-0000-00008C020000}"/>
    <cellStyle name="Input 10" xfId="468" xr:uid="{00000000-0005-0000-0000-00008D020000}"/>
    <cellStyle name="Input 11" xfId="469" xr:uid="{00000000-0005-0000-0000-00008E020000}"/>
    <cellStyle name="Input 12" xfId="470" xr:uid="{00000000-0005-0000-0000-00008F020000}"/>
    <cellStyle name="Input 13" xfId="471" xr:uid="{00000000-0005-0000-0000-000090020000}"/>
    <cellStyle name="Input 14" xfId="472" xr:uid="{00000000-0005-0000-0000-000091020000}"/>
    <cellStyle name="Input 15" xfId="473" xr:uid="{00000000-0005-0000-0000-000092020000}"/>
    <cellStyle name="Input 16" xfId="776" xr:uid="{00000000-0005-0000-0000-000093020000}"/>
    <cellStyle name="Input 17" xfId="852" xr:uid="{00000000-0005-0000-0000-000094020000}"/>
    <cellStyle name="Input 18" xfId="851" xr:uid="{00000000-0005-0000-0000-000095020000}"/>
    <cellStyle name="Input 19" xfId="850" xr:uid="{00000000-0005-0000-0000-000096020000}"/>
    <cellStyle name="Input 2" xfId="474" xr:uid="{00000000-0005-0000-0000-000097020000}"/>
    <cellStyle name="Input 2 2" xfId="706" xr:uid="{00000000-0005-0000-0000-000098020000}"/>
    <cellStyle name="Input 20" xfId="858" xr:uid="{00000000-0005-0000-0000-000099020000}"/>
    <cellStyle name="Input 3" xfId="475" xr:uid="{00000000-0005-0000-0000-00009A020000}"/>
    <cellStyle name="Input 4" xfId="476" xr:uid="{00000000-0005-0000-0000-00009B020000}"/>
    <cellStyle name="Input 5" xfId="477" xr:uid="{00000000-0005-0000-0000-00009C020000}"/>
    <cellStyle name="Input 6" xfId="478" xr:uid="{00000000-0005-0000-0000-00009D020000}"/>
    <cellStyle name="Input 7" xfId="479" xr:uid="{00000000-0005-0000-0000-00009E020000}"/>
    <cellStyle name="Input 8" xfId="480" xr:uid="{00000000-0005-0000-0000-00009F020000}"/>
    <cellStyle name="Input 9" xfId="481" xr:uid="{00000000-0005-0000-0000-0000A0020000}"/>
    <cellStyle name="Linked Cell 10" xfId="482" xr:uid="{00000000-0005-0000-0000-0000A1020000}"/>
    <cellStyle name="Linked Cell 11" xfId="483" xr:uid="{00000000-0005-0000-0000-0000A2020000}"/>
    <cellStyle name="Linked Cell 12" xfId="484" xr:uid="{00000000-0005-0000-0000-0000A3020000}"/>
    <cellStyle name="Linked Cell 13" xfId="485" xr:uid="{00000000-0005-0000-0000-0000A4020000}"/>
    <cellStyle name="Linked Cell 14" xfId="486" xr:uid="{00000000-0005-0000-0000-0000A5020000}"/>
    <cellStyle name="Linked Cell 15" xfId="487" xr:uid="{00000000-0005-0000-0000-0000A6020000}"/>
    <cellStyle name="Linked Cell 16" xfId="817" xr:uid="{00000000-0005-0000-0000-0000A7020000}"/>
    <cellStyle name="Linked Cell 2" xfId="488" xr:uid="{00000000-0005-0000-0000-0000A8020000}"/>
    <cellStyle name="Linked Cell 2 2" xfId="709" xr:uid="{00000000-0005-0000-0000-0000A9020000}"/>
    <cellStyle name="Linked Cell 3" xfId="489" xr:uid="{00000000-0005-0000-0000-0000AA020000}"/>
    <cellStyle name="Linked Cell 4" xfId="490" xr:uid="{00000000-0005-0000-0000-0000AB020000}"/>
    <cellStyle name="Linked Cell 5" xfId="491" xr:uid="{00000000-0005-0000-0000-0000AC020000}"/>
    <cellStyle name="Linked Cell 6" xfId="492" xr:uid="{00000000-0005-0000-0000-0000AD020000}"/>
    <cellStyle name="Linked Cell 7" xfId="493" xr:uid="{00000000-0005-0000-0000-0000AE020000}"/>
    <cellStyle name="Linked Cell 8" xfId="494" xr:uid="{00000000-0005-0000-0000-0000AF020000}"/>
    <cellStyle name="Linked Cell 9" xfId="495" xr:uid="{00000000-0005-0000-0000-0000B0020000}"/>
    <cellStyle name="M" xfId="760" xr:uid="{00000000-0005-0000-0000-0000B1020000}"/>
    <cellStyle name="M.00" xfId="773" xr:uid="{00000000-0005-0000-0000-0000B2020000}"/>
    <cellStyle name="M_9. Rev2Cost_GDPIPI" xfId="761" xr:uid="{00000000-0005-0000-0000-0000B3020000}"/>
    <cellStyle name="M_lists" xfId="762" xr:uid="{00000000-0005-0000-0000-0000B4020000}"/>
    <cellStyle name="M_lists_4. Current Monthly Fixed Charge" xfId="763" xr:uid="{00000000-0005-0000-0000-0000B5020000}"/>
    <cellStyle name="M_Sheet4" xfId="764" xr:uid="{00000000-0005-0000-0000-0000B6020000}"/>
    <cellStyle name="Neutral 10" xfId="496" xr:uid="{00000000-0005-0000-0000-0000B7020000}"/>
    <cellStyle name="Neutral 11" xfId="497" xr:uid="{00000000-0005-0000-0000-0000B8020000}"/>
    <cellStyle name="Neutral 12" xfId="498" xr:uid="{00000000-0005-0000-0000-0000B9020000}"/>
    <cellStyle name="Neutral 13" xfId="499" xr:uid="{00000000-0005-0000-0000-0000BA020000}"/>
    <cellStyle name="Neutral 14" xfId="500" xr:uid="{00000000-0005-0000-0000-0000BB020000}"/>
    <cellStyle name="Neutral 15" xfId="501" xr:uid="{00000000-0005-0000-0000-0000BC020000}"/>
    <cellStyle name="Neutral 16" xfId="692" xr:uid="{00000000-0005-0000-0000-0000BD020000}"/>
    <cellStyle name="Neutral 2" xfId="502" xr:uid="{00000000-0005-0000-0000-0000BE020000}"/>
    <cellStyle name="Neutral 2 2" xfId="705" xr:uid="{00000000-0005-0000-0000-0000BF020000}"/>
    <cellStyle name="Neutral 3" xfId="503" xr:uid="{00000000-0005-0000-0000-0000C0020000}"/>
    <cellStyle name="Neutral 4" xfId="504" xr:uid="{00000000-0005-0000-0000-0000C1020000}"/>
    <cellStyle name="Neutral 5" xfId="505" xr:uid="{00000000-0005-0000-0000-0000C2020000}"/>
    <cellStyle name="Neutral 6" xfId="506" xr:uid="{00000000-0005-0000-0000-0000C3020000}"/>
    <cellStyle name="Neutral 7" xfId="507" xr:uid="{00000000-0005-0000-0000-0000C4020000}"/>
    <cellStyle name="Neutral 8" xfId="508" xr:uid="{00000000-0005-0000-0000-0000C5020000}"/>
    <cellStyle name="Neutral 9" xfId="509" xr:uid="{00000000-0005-0000-0000-0000C6020000}"/>
    <cellStyle name="Normal" xfId="0" builtinId="0"/>
    <cellStyle name="Normal - Style1" xfId="765" xr:uid="{00000000-0005-0000-0000-0000C8020000}"/>
    <cellStyle name="Normal 10" xfId="510" xr:uid="{00000000-0005-0000-0000-0000C9020000}"/>
    <cellStyle name="Normal 11" xfId="511" xr:uid="{00000000-0005-0000-0000-0000CA020000}"/>
    <cellStyle name="Normal 12" xfId="512" xr:uid="{00000000-0005-0000-0000-0000CB020000}"/>
    <cellStyle name="Normal 13" xfId="513" xr:uid="{00000000-0005-0000-0000-0000CC020000}"/>
    <cellStyle name="Normal 14" xfId="514" xr:uid="{00000000-0005-0000-0000-0000CD020000}"/>
    <cellStyle name="Normal 15" xfId="515" xr:uid="{00000000-0005-0000-0000-0000CE020000}"/>
    <cellStyle name="Normal 16" xfId="516" xr:uid="{00000000-0005-0000-0000-0000CF020000}"/>
    <cellStyle name="Normal 16 10" xfId="1183" xr:uid="{00000000-0005-0000-0000-0000D0020000}"/>
    <cellStyle name="Normal 16 11" xfId="939" xr:uid="{00000000-0005-0000-0000-0000D1020000}"/>
    <cellStyle name="Normal 16 2" xfId="602" xr:uid="{00000000-0005-0000-0000-0000D2020000}"/>
    <cellStyle name="Normal 16 2 2" xfId="619" xr:uid="{00000000-0005-0000-0000-0000D3020000}"/>
    <cellStyle name="Normal 16 2 2 2" xfId="656" xr:uid="{00000000-0005-0000-0000-0000D4020000}"/>
    <cellStyle name="Normal 16 2 2 2 2" xfId="835" xr:uid="{00000000-0005-0000-0000-0000D5020000}"/>
    <cellStyle name="Normal 16 2 2 2 2 2" xfId="1166" xr:uid="{00000000-0005-0000-0000-0000D6020000}"/>
    <cellStyle name="Normal 16 2 2 2 2 2 2" xfId="1399" xr:uid="{00000000-0005-0000-0000-0000D7020000}"/>
    <cellStyle name="Normal 16 2 2 2 2 3" xfId="1283" xr:uid="{00000000-0005-0000-0000-0000D8020000}"/>
    <cellStyle name="Normal 16 2 2 2 2 4" xfId="1047" xr:uid="{00000000-0005-0000-0000-0000D9020000}"/>
    <cellStyle name="Normal 16 2 2 2 3" xfId="905" xr:uid="{00000000-0005-0000-0000-0000DA020000}"/>
    <cellStyle name="Normal 16 2 2 2 3 2" xfId="1343" xr:uid="{00000000-0005-0000-0000-0000DB020000}"/>
    <cellStyle name="Normal 16 2 2 2 3 3" xfId="1110" xr:uid="{00000000-0005-0000-0000-0000DC020000}"/>
    <cellStyle name="Normal 16 2 2 2 4" xfId="1227" xr:uid="{00000000-0005-0000-0000-0000DD020000}"/>
    <cellStyle name="Normal 16 2 2 2 5" xfId="990" xr:uid="{00000000-0005-0000-0000-0000DE020000}"/>
    <cellStyle name="Normal 16 2 2 3" xfId="802" xr:uid="{00000000-0005-0000-0000-0000DF020000}"/>
    <cellStyle name="Normal 16 2 2 3 2" xfId="1136" xr:uid="{00000000-0005-0000-0000-0000E0020000}"/>
    <cellStyle name="Normal 16 2 2 3 2 2" xfId="1369" xr:uid="{00000000-0005-0000-0000-0000E1020000}"/>
    <cellStyle name="Normal 16 2 2 3 3" xfId="1253" xr:uid="{00000000-0005-0000-0000-0000E2020000}"/>
    <cellStyle name="Normal 16 2 2 3 4" xfId="1017" xr:uid="{00000000-0005-0000-0000-0000E3020000}"/>
    <cellStyle name="Normal 16 2 2 4" xfId="875" xr:uid="{00000000-0005-0000-0000-0000E4020000}"/>
    <cellStyle name="Normal 16 2 2 4 2" xfId="1317" xr:uid="{00000000-0005-0000-0000-0000E5020000}"/>
    <cellStyle name="Normal 16 2 2 4 3" xfId="1084" xr:uid="{00000000-0005-0000-0000-0000E6020000}"/>
    <cellStyle name="Normal 16 2 2 5" xfId="1201" xr:uid="{00000000-0005-0000-0000-0000E7020000}"/>
    <cellStyle name="Normal 16 2 2 6" xfId="964" xr:uid="{00000000-0005-0000-0000-0000E8020000}"/>
    <cellStyle name="Normal 16 2 3" xfId="627" xr:uid="{00000000-0005-0000-0000-0000E9020000}"/>
    <cellStyle name="Normal 16 2 3 2" xfId="664" xr:uid="{00000000-0005-0000-0000-0000EA020000}"/>
    <cellStyle name="Normal 16 2 3 2 2" xfId="843" xr:uid="{00000000-0005-0000-0000-0000EB020000}"/>
    <cellStyle name="Normal 16 2 3 2 2 2" xfId="1174" xr:uid="{00000000-0005-0000-0000-0000EC020000}"/>
    <cellStyle name="Normal 16 2 3 2 2 2 2" xfId="1407" xr:uid="{00000000-0005-0000-0000-0000ED020000}"/>
    <cellStyle name="Normal 16 2 3 2 2 3" xfId="1291" xr:uid="{00000000-0005-0000-0000-0000EE020000}"/>
    <cellStyle name="Normal 16 2 3 2 2 4" xfId="1055" xr:uid="{00000000-0005-0000-0000-0000EF020000}"/>
    <cellStyle name="Normal 16 2 3 2 3" xfId="913" xr:uid="{00000000-0005-0000-0000-0000F0020000}"/>
    <cellStyle name="Normal 16 2 3 2 3 2" xfId="1351" xr:uid="{00000000-0005-0000-0000-0000F1020000}"/>
    <cellStyle name="Normal 16 2 3 2 3 3" xfId="1118" xr:uid="{00000000-0005-0000-0000-0000F2020000}"/>
    <cellStyle name="Normal 16 2 3 2 4" xfId="1235" xr:uid="{00000000-0005-0000-0000-0000F3020000}"/>
    <cellStyle name="Normal 16 2 3 2 5" xfId="998" xr:uid="{00000000-0005-0000-0000-0000F4020000}"/>
    <cellStyle name="Normal 16 2 3 3" xfId="810" xr:uid="{00000000-0005-0000-0000-0000F5020000}"/>
    <cellStyle name="Normal 16 2 3 3 2" xfId="1144" xr:uid="{00000000-0005-0000-0000-0000F6020000}"/>
    <cellStyle name="Normal 16 2 3 3 2 2" xfId="1377" xr:uid="{00000000-0005-0000-0000-0000F7020000}"/>
    <cellStyle name="Normal 16 2 3 3 3" xfId="1261" xr:uid="{00000000-0005-0000-0000-0000F8020000}"/>
    <cellStyle name="Normal 16 2 3 3 4" xfId="1025" xr:uid="{00000000-0005-0000-0000-0000F9020000}"/>
    <cellStyle name="Normal 16 2 3 4" xfId="883" xr:uid="{00000000-0005-0000-0000-0000FA020000}"/>
    <cellStyle name="Normal 16 2 3 4 2" xfId="1325" xr:uid="{00000000-0005-0000-0000-0000FB020000}"/>
    <cellStyle name="Normal 16 2 3 4 3" xfId="1092" xr:uid="{00000000-0005-0000-0000-0000FC020000}"/>
    <cellStyle name="Normal 16 2 3 5" xfId="1209" xr:uid="{00000000-0005-0000-0000-0000FD020000}"/>
    <cellStyle name="Normal 16 2 3 6" xfId="972" xr:uid="{00000000-0005-0000-0000-0000FE020000}"/>
    <cellStyle name="Normal 16 2 4" xfId="648" xr:uid="{00000000-0005-0000-0000-0000FF020000}"/>
    <cellStyle name="Normal 16 2 4 2" xfId="827" xr:uid="{00000000-0005-0000-0000-000000030000}"/>
    <cellStyle name="Normal 16 2 4 2 2" xfId="1158" xr:uid="{00000000-0005-0000-0000-000001030000}"/>
    <cellStyle name="Normal 16 2 4 2 2 2" xfId="1391" xr:uid="{00000000-0005-0000-0000-000002030000}"/>
    <cellStyle name="Normal 16 2 4 2 3" xfId="1275" xr:uid="{00000000-0005-0000-0000-000003030000}"/>
    <cellStyle name="Normal 16 2 4 2 4" xfId="1039" xr:uid="{00000000-0005-0000-0000-000004030000}"/>
    <cellStyle name="Normal 16 2 4 3" xfId="897" xr:uid="{00000000-0005-0000-0000-000005030000}"/>
    <cellStyle name="Normal 16 2 4 3 2" xfId="1309" xr:uid="{00000000-0005-0000-0000-000006030000}"/>
    <cellStyle name="Normal 16 2 4 3 3" xfId="1076" xr:uid="{00000000-0005-0000-0000-000007030000}"/>
    <cellStyle name="Normal 16 2 4 4" xfId="1193" xr:uid="{00000000-0005-0000-0000-000008030000}"/>
    <cellStyle name="Normal 16 2 4 5" xfId="956" xr:uid="{00000000-0005-0000-0000-000009030000}"/>
    <cellStyle name="Normal 16 2 5" xfId="791" xr:uid="{00000000-0005-0000-0000-00000A030000}"/>
    <cellStyle name="Normal 16 2 5 2" xfId="1102" xr:uid="{00000000-0005-0000-0000-00000B030000}"/>
    <cellStyle name="Normal 16 2 5 2 2" xfId="1335" xr:uid="{00000000-0005-0000-0000-00000C030000}"/>
    <cellStyle name="Normal 16 2 5 3" xfId="1219" xr:uid="{00000000-0005-0000-0000-00000D030000}"/>
    <cellStyle name="Normal 16 2 5 4" xfId="982" xr:uid="{00000000-0005-0000-0000-00000E030000}"/>
    <cellStyle name="Normal 16 2 6" xfId="867" xr:uid="{00000000-0005-0000-0000-00000F030000}"/>
    <cellStyle name="Normal 16 2 6 2" xfId="1128" xr:uid="{00000000-0005-0000-0000-000010030000}"/>
    <cellStyle name="Normal 16 2 6 2 2" xfId="1361" xr:uid="{00000000-0005-0000-0000-000011030000}"/>
    <cellStyle name="Normal 16 2 6 3" xfId="1245" xr:uid="{00000000-0005-0000-0000-000012030000}"/>
    <cellStyle name="Normal 16 2 6 4" xfId="1009" xr:uid="{00000000-0005-0000-0000-000013030000}"/>
    <cellStyle name="Normal 16 2 7" xfId="1069" xr:uid="{00000000-0005-0000-0000-000014030000}"/>
    <cellStyle name="Normal 16 2 7 2" xfId="1302" xr:uid="{00000000-0005-0000-0000-000015030000}"/>
    <cellStyle name="Normal 16 2 8" xfId="1186" xr:uid="{00000000-0005-0000-0000-000016030000}"/>
    <cellStyle name="Normal 16 2 9" xfId="949" xr:uid="{00000000-0005-0000-0000-000017030000}"/>
    <cellStyle name="Normal 16 3" xfId="591" xr:uid="{00000000-0005-0000-0000-000018030000}"/>
    <cellStyle name="Normal 16 3 2" xfId="645" xr:uid="{00000000-0005-0000-0000-000019030000}"/>
    <cellStyle name="Normal 16 3 2 2" xfId="824" xr:uid="{00000000-0005-0000-0000-00001A030000}"/>
    <cellStyle name="Normal 16 3 2 2 2" xfId="1155" xr:uid="{00000000-0005-0000-0000-00001B030000}"/>
    <cellStyle name="Normal 16 3 2 2 2 2" xfId="1388" xr:uid="{00000000-0005-0000-0000-00001C030000}"/>
    <cellStyle name="Normal 16 3 2 2 3" xfId="1272" xr:uid="{00000000-0005-0000-0000-00001D030000}"/>
    <cellStyle name="Normal 16 3 2 2 4" xfId="1036" xr:uid="{00000000-0005-0000-0000-00001E030000}"/>
    <cellStyle name="Normal 16 3 2 3" xfId="894" xr:uid="{00000000-0005-0000-0000-00001F030000}"/>
    <cellStyle name="Normal 16 3 2 3 2" xfId="1332" xr:uid="{00000000-0005-0000-0000-000020030000}"/>
    <cellStyle name="Normal 16 3 2 3 3" xfId="1099" xr:uid="{00000000-0005-0000-0000-000021030000}"/>
    <cellStyle name="Normal 16 3 2 4" xfId="1216" xr:uid="{00000000-0005-0000-0000-000022030000}"/>
    <cellStyle name="Normal 16 3 2 5" xfId="979" xr:uid="{00000000-0005-0000-0000-000023030000}"/>
    <cellStyle name="Normal 16 3 3" xfId="785" xr:uid="{00000000-0005-0000-0000-000024030000}"/>
    <cellStyle name="Normal 16 3 3 2" xfId="1125" xr:uid="{00000000-0005-0000-0000-000025030000}"/>
    <cellStyle name="Normal 16 3 3 2 2" xfId="1358" xr:uid="{00000000-0005-0000-0000-000026030000}"/>
    <cellStyle name="Normal 16 3 3 3" xfId="1242" xr:uid="{00000000-0005-0000-0000-000027030000}"/>
    <cellStyle name="Normal 16 3 3 4" xfId="1006" xr:uid="{00000000-0005-0000-0000-000028030000}"/>
    <cellStyle name="Normal 16 3 4" xfId="864" xr:uid="{00000000-0005-0000-0000-000029030000}"/>
    <cellStyle name="Normal 16 3 4 2" xfId="1306" xr:uid="{00000000-0005-0000-0000-00002A030000}"/>
    <cellStyle name="Normal 16 3 4 3" xfId="1073" xr:uid="{00000000-0005-0000-0000-00002B030000}"/>
    <cellStyle name="Normal 16 3 5" xfId="1190" xr:uid="{00000000-0005-0000-0000-00002C030000}"/>
    <cellStyle name="Normal 16 3 6" xfId="953" xr:uid="{00000000-0005-0000-0000-00002D030000}"/>
    <cellStyle name="Normal 16 4" xfId="616" xr:uid="{00000000-0005-0000-0000-00002E030000}"/>
    <cellStyle name="Normal 16 4 2" xfId="653" xr:uid="{00000000-0005-0000-0000-00002F030000}"/>
    <cellStyle name="Normal 16 4 2 2" xfId="832" xr:uid="{00000000-0005-0000-0000-000030030000}"/>
    <cellStyle name="Normal 16 4 2 2 2" xfId="1163" xr:uid="{00000000-0005-0000-0000-000031030000}"/>
    <cellStyle name="Normal 16 4 2 2 2 2" xfId="1396" xr:uid="{00000000-0005-0000-0000-000032030000}"/>
    <cellStyle name="Normal 16 4 2 2 3" xfId="1280" xr:uid="{00000000-0005-0000-0000-000033030000}"/>
    <cellStyle name="Normal 16 4 2 2 4" xfId="1044" xr:uid="{00000000-0005-0000-0000-000034030000}"/>
    <cellStyle name="Normal 16 4 2 3" xfId="902" xr:uid="{00000000-0005-0000-0000-000035030000}"/>
    <cellStyle name="Normal 16 4 2 3 2" xfId="1340" xr:uid="{00000000-0005-0000-0000-000036030000}"/>
    <cellStyle name="Normal 16 4 2 3 3" xfId="1107" xr:uid="{00000000-0005-0000-0000-000037030000}"/>
    <cellStyle name="Normal 16 4 2 4" xfId="1224" xr:uid="{00000000-0005-0000-0000-000038030000}"/>
    <cellStyle name="Normal 16 4 2 5" xfId="987" xr:uid="{00000000-0005-0000-0000-000039030000}"/>
    <cellStyle name="Normal 16 4 3" xfId="799" xr:uid="{00000000-0005-0000-0000-00003A030000}"/>
    <cellStyle name="Normal 16 4 3 2" xfId="1133" xr:uid="{00000000-0005-0000-0000-00003B030000}"/>
    <cellStyle name="Normal 16 4 3 2 2" xfId="1366" xr:uid="{00000000-0005-0000-0000-00003C030000}"/>
    <cellStyle name="Normal 16 4 3 3" xfId="1250" xr:uid="{00000000-0005-0000-0000-00003D030000}"/>
    <cellStyle name="Normal 16 4 3 4" xfId="1014" xr:uid="{00000000-0005-0000-0000-00003E030000}"/>
    <cellStyle name="Normal 16 4 4" xfId="872" xr:uid="{00000000-0005-0000-0000-00003F030000}"/>
    <cellStyle name="Normal 16 4 4 2" xfId="1314" xr:uid="{00000000-0005-0000-0000-000040030000}"/>
    <cellStyle name="Normal 16 4 4 3" xfId="1081" xr:uid="{00000000-0005-0000-0000-000041030000}"/>
    <cellStyle name="Normal 16 4 5" xfId="1198" xr:uid="{00000000-0005-0000-0000-000042030000}"/>
    <cellStyle name="Normal 16 4 6" xfId="961" xr:uid="{00000000-0005-0000-0000-000043030000}"/>
    <cellStyle name="Normal 16 5" xfId="624" xr:uid="{00000000-0005-0000-0000-000044030000}"/>
    <cellStyle name="Normal 16 5 2" xfId="661" xr:uid="{00000000-0005-0000-0000-000045030000}"/>
    <cellStyle name="Normal 16 5 2 2" xfId="840" xr:uid="{00000000-0005-0000-0000-000046030000}"/>
    <cellStyle name="Normal 16 5 2 2 2" xfId="1171" xr:uid="{00000000-0005-0000-0000-000047030000}"/>
    <cellStyle name="Normal 16 5 2 2 2 2" xfId="1404" xr:uid="{00000000-0005-0000-0000-000048030000}"/>
    <cellStyle name="Normal 16 5 2 2 3" xfId="1288" xr:uid="{00000000-0005-0000-0000-000049030000}"/>
    <cellStyle name="Normal 16 5 2 2 4" xfId="1052" xr:uid="{00000000-0005-0000-0000-00004A030000}"/>
    <cellStyle name="Normal 16 5 2 3" xfId="910" xr:uid="{00000000-0005-0000-0000-00004B030000}"/>
    <cellStyle name="Normal 16 5 2 3 2" xfId="1348" xr:uid="{00000000-0005-0000-0000-00004C030000}"/>
    <cellStyle name="Normal 16 5 2 3 3" xfId="1115" xr:uid="{00000000-0005-0000-0000-00004D030000}"/>
    <cellStyle name="Normal 16 5 2 4" xfId="1232" xr:uid="{00000000-0005-0000-0000-00004E030000}"/>
    <cellStyle name="Normal 16 5 2 5" xfId="995" xr:uid="{00000000-0005-0000-0000-00004F030000}"/>
    <cellStyle name="Normal 16 5 3" xfId="807" xr:uid="{00000000-0005-0000-0000-000050030000}"/>
    <cellStyle name="Normal 16 5 3 2" xfId="1141" xr:uid="{00000000-0005-0000-0000-000051030000}"/>
    <cellStyle name="Normal 16 5 3 2 2" xfId="1374" xr:uid="{00000000-0005-0000-0000-000052030000}"/>
    <cellStyle name="Normal 16 5 3 3" xfId="1258" xr:uid="{00000000-0005-0000-0000-000053030000}"/>
    <cellStyle name="Normal 16 5 3 4" xfId="1022" xr:uid="{00000000-0005-0000-0000-000054030000}"/>
    <cellStyle name="Normal 16 5 4" xfId="880" xr:uid="{00000000-0005-0000-0000-000055030000}"/>
    <cellStyle name="Normal 16 5 4 2" xfId="1322" xr:uid="{00000000-0005-0000-0000-000056030000}"/>
    <cellStyle name="Normal 16 5 4 3" xfId="1089" xr:uid="{00000000-0005-0000-0000-000057030000}"/>
    <cellStyle name="Normal 16 5 5" xfId="1206" xr:uid="{00000000-0005-0000-0000-000058030000}"/>
    <cellStyle name="Normal 16 5 6" xfId="969" xr:uid="{00000000-0005-0000-0000-000059030000}"/>
    <cellStyle name="Normal 16 6" xfId="642" xr:uid="{00000000-0005-0000-0000-00005A030000}"/>
    <cellStyle name="Normal 16 6 2" xfId="821" xr:uid="{00000000-0005-0000-0000-00005B030000}"/>
    <cellStyle name="Normal 16 6 2 2" xfId="1153" xr:uid="{00000000-0005-0000-0000-00005C030000}"/>
    <cellStyle name="Normal 16 6 2 2 2" xfId="1386" xr:uid="{00000000-0005-0000-0000-00005D030000}"/>
    <cellStyle name="Normal 16 6 2 3" xfId="1270" xr:uid="{00000000-0005-0000-0000-00005E030000}"/>
    <cellStyle name="Normal 16 6 2 4" xfId="1034" xr:uid="{00000000-0005-0000-0000-00005F030000}"/>
    <cellStyle name="Normal 16 6 3" xfId="892" xr:uid="{00000000-0005-0000-0000-000060030000}"/>
    <cellStyle name="Normal 16 6 3 2" xfId="1304" xr:uid="{00000000-0005-0000-0000-000061030000}"/>
    <cellStyle name="Normal 16 6 3 3" xfId="1071" xr:uid="{00000000-0005-0000-0000-000062030000}"/>
    <cellStyle name="Normal 16 6 4" xfId="1188" xr:uid="{00000000-0005-0000-0000-000063030000}"/>
    <cellStyle name="Normal 16 6 5" xfId="951" xr:uid="{00000000-0005-0000-0000-000064030000}"/>
    <cellStyle name="Normal 16 7" xfId="771" xr:uid="{00000000-0005-0000-0000-000065030000}"/>
    <cellStyle name="Normal 16 7 2" xfId="1097" xr:uid="{00000000-0005-0000-0000-000066030000}"/>
    <cellStyle name="Normal 16 7 2 2" xfId="1330" xr:uid="{00000000-0005-0000-0000-000067030000}"/>
    <cellStyle name="Normal 16 7 3" xfId="1214" xr:uid="{00000000-0005-0000-0000-000068030000}"/>
    <cellStyle name="Normal 16 7 4" xfId="977" xr:uid="{00000000-0005-0000-0000-000069030000}"/>
    <cellStyle name="Normal 16 8" xfId="861" xr:uid="{00000000-0005-0000-0000-00006A030000}"/>
    <cellStyle name="Normal 16 8 2" xfId="1123" xr:uid="{00000000-0005-0000-0000-00006B030000}"/>
    <cellStyle name="Normal 16 8 2 2" xfId="1356" xr:uid="{00000000-0005-0000-0000-00006C030000}"/>
    <cellStyle name="Normal 16 8 3" xfId="1240" xr:uid="{00000000-0005-0000-0000-00006D030000}"/>
    <cellStyle name="Normal 16 8 4" xfId="1004" xr:uid="{00000000-0005-0000-0000-00006E030000}"/>
    <cellStyle name="Normal 16 9" xfId="1064" xr:uid="{00000000-0005-0000-0000-00006F030000}"/>
    <cellStyle name="Normal 16 9 2" xfId="1299" xr:uid="{00000000-0005-0000-0000-000070030000}"/>
    <cellStyle name="Normal 17" xfId="517" xr:uid="{00000000-0005-0000-0000-000071030000}"/>
    <cellStyle name="Normal 17 10" xfId="1184" xr:uid="{00000000-0005-0000-0000-000072030000}"/>
    <cellStyle name="Normal 17 11" xfId="940" xr:uid="{00000000-0005-0000-0000-000073030000}"/>
    <cellStyle name="Normal 17 2" xfId="603" xr:uid="{00000000-0005-0000-0000-000074030000}"/>
    <cellStyle name="Normal 17 2 2" xfId="620" xr:uid="{00000000-0005-0000-0000-000075030000}"/>
    <cellStyle name="Normal 17 2 2 2" xfId="657" xr:uid="{00000000-0005-0000-0000-000076030000}"/>
    <cellStyle name="Normal 17 2 2 2 2" xfId="836" xr:uid="{00000000-0005-0000-0000-000077030000}"/>
    <cellStyle name="Normal 17 2 2 2 2 2" xfId="1167" xr:uid="{00000000-0005-0000-0000-000078030000}"/>
    <cellStyle name="Normal 17 2 2 2 2 2 2" xfId="1400" xr:uid="{00000000-0005-0000-0000-000079030000}"/>
    <cellStyle name="Normal 17 2 2 2 2 3" xfId="1284" xr:uid="{00000000-0005-0000-0000-00007A030000}"/>
    <cellStyle name="Normal 17 2 2 2 2 4" xfId="1048" xr:uid="{00000000-0005-0000-0000-00007B030000}"/>
    <cellStyle name="Normal 17 2 2 2 3" xfId="906" xr:uid="{00000000-0005-0000-0000-00007C030000}"/>
    <cellStyle name="Normal 17 2 2 2 3 2" xfId="1344" xr:uid="{00000000-0005-0000-0000-00007D030000}"/>
    <cellStyle name="Normal 17 2 2 2 3 3" xfId="1111" xr:uid="{00000000-0005-0000-0000-00007E030000}"/>
    <cellStyle name="Normal 17 2 2 2 4" xfId="1228" xr:uid="{00000000-0005-0000-0000-00007F030000}"/>
    <cellStyle name="Normal 17 2 2 2 5" xfId="991" xr:uid="{00000000-0005-0000-0000-000080030000}"/>
    <cellStyle name="Normal 17 2 2 3" xfId="803" xr:uid="{00000000-0005-0000-0000-000081030000}"/>
    <cellStyle name="Normal 17 2 2 3 2" xfId="1137" xr:uid="{00000000-0005-0000-0000-000082030000}"/>
    <cellStyle name="Normal 17 2 2 3 2 2" xfId="1370" xr:uid="{00000000-0005-0000-0000-000083030000}"/>
    <cellStyle name="Normal 17 2 2 3 3" xfId="1254" xr:uid="{00000000-0005-0000-0000-000084030000}"/>
    <cellStyle name="Normal 17 2 2 3 4" xfId="1018" xr:uid="{00000000-0005-0000-0000-000085030000}"/>
    <cellStyle name="Normal 17 2 2 4" xfId="876" xr:uid="{00000000-0005-0000-0000-000086030000}"/>
    <cellStyle name="Normal 17 2 2 4 2" xfId="1318" xr:uid="{00000000-0005-0000-0000-000087030000}"/>
    <cellStyle name="Normal 17 2 2 4 3" xfId="1085" xr:uid="{00000000-0005-0000-0000-000088030000}"/>
    <cellStyle name="Normal 17 2 2 5" xfId="1202" xr:uid="{00000000-0005-0000-0000-000089030000}"/>
    <cellStyle name="Normal 17 2 2 6" xfId="965" xr:uid="{00000000-0005-0000-0000-00008A030000}"/>
    <cellStyle name="Normal 17 2 3" xfId="628" xr:uid="{00000000-0005-0000-0000-00008B030000}"/>
    <cellStyle name="Normal 17 2 3 2" xfId="665" xr:uid="{00000000-0005-0000-0000-00008C030000}"/>
    <cellStyle name="Normal 17 2 3 2 2" xfId="844" xr:uid="{00000000-0005-0000-0000-00008D030000}"/>
    <cellStyle name="Normal 17 2 3 2 2 2" xfId="1175" xr:uid="{00000000-0005-0000-0000-00008E030000}"/>
    <cellStyle name="Normal 17 2 3 2 2 2 2" xfId="1408" xr:uid="{00000000-0005-0000-0000-00008F030000}"/>
    <cellStyle name="Normal 17 2 3 2 2 3" xfId="1292" xr:uid="{00000000-0005-0000-0000-000090030000}"/>
    <cellStyle name="Normal 17 2 3 2 2 4" xfId="1056" xr:uid="{00000000-0005-0000-0000-000091030000}"/>
    <cellStyle name="Normal 17 2 3 2 3" xfId="914" xr:uid="{00000000-0005-0000-0000-000092030000}"/>
    <cellStyle name="Normal 17 2 3 2 3 2" xfId="1352" xr:uid="{00000000-0005-0000-0000-000093030000}"/>
    <cellStyle name="Normal 17 2 3 2 3 3" xfId="1119" xr:uid="{00000000-0005-0000-0000-000094030000}"/>
    <cellStyle name="Normal 17 2 3 2 4" xfId="1236" xr:uid="{00000000-0005-0000-0000-000095030000}"/>
    <cellStyle name="Normal 17 2 3 2 5" xfId="999" xr:uid="{00000000-0005-0000-0000-000096030000}"/>
    <cellStyle name="Normal 17 2 3 3" xfId="811" xr:uid="{00000000-0005-0000-0000-000097030000}"/>
    <cellStyle name="Normal 17 2 3 3 2" xfId="1145" xr:uid="{00000000-0005-0000-0000-000098030000}"/>
    <cellStyle name="Normal 17 2 3 3 2 2" xfId="1378" xr:uid="{00000000-0005-0000-0000-000099030000}"/>
    <cellStyle name="Normal 17 2 3 3 3" xfId="1262" xr:uid="{00000000-0005-0000-0000-00009A030000}"/>
    <cellStyle name="Normal 17 2 3 3 4" xfId="1026" xr:uid="{00000000-0005-0000-0000-00009B030000}"/>
    <cellStyle name="Normal 17 2 3 4" xfId="884" xr:uid="{00000000-0005-0000-0000-00009C030000}"/>
    <cellStyle name="Normal 17 2 3 4 2" xfId="1326" xr:uid="{00000000-0005-0000-0000-00009D030000}"/>
    <cellStyle name="Normal 17 2 3 4 3" xfId="1093" xr:uid="{00000000-0005-0000-0000-00009E030000}"/>
    <cellStyle name="Normal 17 2 3 5" xfId="1210" xr:uid="{00000000-0005-0000-0000-00009F030000}"/>
    <cellStyle name="Normal 17 2 3 6" xfId="973" xr:uid="{00000000-0005-0000-0000-0000A0030000}"/>
    <cellStyle name="Normal 17 2 4" xfId="649" xr:uid="{00000000-0005-0000-0000-0000A1030000}"/>
    <cellStyle name="Normal 17 2 4 2" xfId="828" xr:uid="{00000000-0005-0000-0000-0000A2030000}"/>
    <cellStyle name="Normal 17 2 4 2 2" xfId="1159" xr:uid="{00000000-0005-0000-0000-0000A3030000}"/>
    <cellStyle name="Normal 17 2 4 2 2 2" xfId="1392" xr:uid="{00000000-0005-0000-0000-0000A4030000}"/>
    <cellStyle name="Normal 17 2 4 2 3" xfId="1276" xr:uid="{00000000-0005-0000-0000-0000A5030000}"/>
    <cellStyle name="Normal 17 2 4 2 4" xfId="1040" xr:uid="{00000000-0005-0000-0000-0000A6030000}"/>
    <cellStyle name="Normal 17 2 4 3" xfId="898" xr:uid="{00000000-0005-0000-0000-0000A7030000}"/>
    <cellStyle name="Normal 17 2 4 3 2" xfId="1310" xr:uid="{00000000-0005-0000-0000-0000A8030000}"/>
    <cellStyle name="Normal 17 2 4 3 3" xfId="1077" xr:uid="{00000000-0005-0000-0000-0000A9030000}"/>
    <cellStyle name="Normal 17 2 4 4" xfId="1194" xr:uid="{00000000-0005-0000-0000-0000AA030000}"/>
    <cellStyle name="Normal 17 2 4 5" xfId="957" xr:uid="{00000000-0005-0000-0000-0000AB030000}"/>
    <cellStyle name="Normal 17 2 5" xfId="792" xr:uid="{00000000-0005-0000-0000-0000AC030000}"/>
    <cellStyle name="Normal 17 2 5 2" xfId="1103" xr:uid="{00000000-0005-0000-0000-0000AD030000}"/>
    <cellStyle name="Normal 17 2 5 2 2" xfId="1336" xr:uid="{00000000-0005-0000-0000-0000AE030000}"/>
    <cellStyle name="Normal 17 2 5 3" xfId="1220" xr:uid="{00000000-0005-0000-0000-0000AF030000}"/>
    <cellStyle name="Normal 17 2 5 4" xfId="983" xr:uid="{00000000-0005-0000-0000-0000B0030000}"/>
    <cellStyle name="Normal 17 2 6" xfId="868" xr:uid="{00000000-0005-0000-0000-0000B1030000}"/>
    <cellStyle name="Normal 17 2 6 2" xfId="1129" xr:uid="{00000000-0005-0000-0000-0000B2030000}"/>
    <cellStyle name="Normal 17 2 6 2 2" xfId="1362" xr:uid="{00000000-0005-0000-0000-0000B3030000}"/>
    <cellStyle name="Normal 17 2 6 3" xfId="1246" xr:uid="{00000000-0005-0000-0000-0000B4030000}"/>
    <cellStyle name="Normal 17 2 6 4" xfId="1010" xr:uid="{00000000-0005-0000-0000-0000B5030000}"/>
    <cellStyle name="Normal 17 2 7" xfId="1070" xr:uid="{00000000-0005-0000-0000-0000B6030000}"/>
    <cellStyle name="Normal 17 2 7 2" xfId="1303" xr:uid="{00000000-0005-0000-0000-0000B7030000}"/>
    <cellStyle name="Normal 17 2 8" xfId="1187" xr:uid="{00000000-0005-0000-0000-0000B8030000}"/>
    <cellStyle name="Normal 17 2 9" xfId="950" xr:uid="{00000000-0005-0000-0000-0000B9030000}"/>
    <cellStyle name="Normal 17 3" xfId="592" xr:uid="{00000000-0005-0000-0000-0000BA030000}"/>
    <cellStyle name="Normal 17 3 2" xfId="646" xr:uid="{00000000-0005-0000-0000-0000BB030000}"/>
    <cellStyle name="Normal 17 3 2 2" xfId="825" xr:uid="{00000000-0005-0000-0000-0000BC030000}"/>
    <cellStyle name="Normal 17 3 2 2 2" xfId="1156" xr:uid="{00000000-0005-0000-0000-0000BD030000}"/>
    <cellStyle name="Normal 17 3 2 2 2 2" xfId="1389" xr:uid="{00000000-0005-0000-0000-0000BE030000}"/>
    <cellStyle name="Normal 17 3 2 2 3" xfId="1273" xr:uid="{00000000-0005-0000-0000-0000BF030000}"/>
    <cellStyle name="Normal 17 3 2 2 4" xfId="1037" xr:uid="{00000000-0005-0000-0000-0000C0030000}"/>
    <cellStyle name="Normal 17 3 2 3" xfId="895" xr:uid="{00000000-0005-0000-0000-0000C1030000}"/>
    <cellStyle name="Normal 17 3 2 3 2" xfId="1333" xr:uid="{00000000-0005-0000-0000-0000C2030000}"/>
    <cellStyle name="Normal 17 3 2 3 3" xfId="1100" xr:uid="{00000000-0005-0000-0000-0000C3030000}"/>
    <cellStyle name="Normal 17 3 2 4" xfId="1217" xr:uid="{00000000-0005-0000-0000-0000C4030000}"/>
    <cellStyle name="Normal 17 3 2 5" xfId="980" xr:uid="{00000000-0005-0000-0000-0000C5030000}"/>
    <cellStyle name="Normal 17 3 3" xfId="786" xr:uid="{00000000-0005-0000-0000-0000C6030000}"/>
    <cellStyle name="Normal 17 3 3 2" xfId="1126" xr:uid="{00000000-0005-0000-0000-0000C7030000}"/>
    <cellStyle name="Normal 17 3 3 2 2" xfId="1359" xr:uid="{00000000-0005-0000-0000-0000C8030000}"/>
    <cellStyle name="Normal 17 3 3 3" xfId="1243" xr:uid="{00000000-0005-0000-0000-0000C9030000}"/>
    <cellStyle name="Normal 17 3 3 4" xfId="1007" xr:uid="{00000000-0005-0000-0000-0000CA030000}"/>
    <cellStyle name="Normal 17 3 4" xfId="865" xr:uid="{00000000-0005-0000-0000-0000CB030000}"/>
    <cellStyle name="Normal 17 3 4 2" xfId="1307" xr:uid="{00000000-0005-0000-0000-0000CC030000}"/>
    <cellStyle name="Normal 17 3 4 3" xfId="1074" xr:uid="{00000000-0005-0000-0000-0000CD030000}"/>
    <cellStyle name="Normal 17 3 5" xfId="1191" xr:uid="{00000000-0005-0000-0000-0000CE030000}"/>
    <cellStyle name="Normal 17 3 6" xfId="954" xr:uid="{00000000-0005-0000-0000-0000CF030000}"/>
    <cellStyle name="Normal 17 4" xfId="617" xr:uid="{00000000-0005-0000-0000-0000D0030000}"/>
    <cellStyle name="Normal 17 4 2" xfId="654" xr:uid="{00000000-0005-0000-0000-0000D1030000}"/>
    <cellStyle name="Normal 17 4 2 2" xfId="833" xr:uid="{00000000-0005-0000-0000-0000D2030000}"/>
    <cellStyle name="Normal 17 4 2 2 2" xfId="1164" xr:uid="{00000000-0005-0000-0000-0000D3030000}"/>
    <cellStyle name="Normal 17 4 2 2 2 2" xfId="1397" xr:uid="{00000000-0005-0000-0000-0000D4030000}"/>
    <cellStyle name="Normal 17 4 2 2 3" xfId="1281" xr:uid="{00000000-0005-0000-0000-0000D5030000}"/>
    <cellStyle name="Normal 17 4 2 2 4" xfId="1045" xr:uid="{00000000-0005-0000-0000-0000D6030000}"/>
    <cellStyle name="Normal 17 4 2 3" xfId="903" xr:uid="{00000000-0005-0000-0000-0000D7030000}"/>
    <cellStyle name="Normal 17 4 2 3 2" xfId="1341" xr:uid="{00000000-0005-0000-0000-0000D8030000}"/>
    <cellStyle name="Normal 17 4 2 3 3" xfId="1108" xr:uid="{00000000-0005-0000-0000-0000D9030000}"/>
    <cellStyle name="Normal 17 4 2 4" xfId="1225" xr:uid="{00000000-0005-0000-0000-0000DA030000}"/>
    <cellStyle name="Normal 17 4 2 5" xfId="988" xr:uid="{00000000-0005-0000-0000-0000DB030000}"/>
    <cellStyle name="Normal 17 4 3" xfId="800" xr:uid="{00000000-0005-0000-0000-0000DC030000}"/>
    <cellStyle name="Normal 17 4 3 2" xfId="1134" xr:uid="{00000000-0005-0000-0000-0000DD030000}"/>
    <cellStyle name="Normal 17 4 3 2 2" xfId="1367" xr:uid="{00000000-0005-0000-0000-0000DE030000}"/>
    <cellStyle name="Normal 17 4 3 3" xfId="1251" xr:uid="{00000000-0005-0000-0000-0000DF030000}"/>
    <cellStyle name="Normal 17 4 3 4" xfId="1015" xr:uid="{00000000-0005-0000-0000-0000E0030000}"/>
    <cellStyle name="Normal 17 4 4" xfId="873" xr:uid="{00000000-0005-0000-0000-0000E1030000}"/>
    <cellStyle name="Normal 17 4 4 2" xfId="1315" xr:uid="{00000000-0005-0000-0000-0000E2030000}"/>
    <cellStyle name="Normal 17 4 4 3" xfId="1082" xr:uid="{00000000-0005-0000-0000-0000E3030000}"/>
    <cellStyle name="Normal 17 4 5" xfId="1199" xr:uid="{00000000-0005-0000-0000-0000E4030000}"/>
    <cellStyle name="Normal 17 4 6" xfId="962" xr:uid="{00000000-0005-0000-0000-0000E5030000}"/>
    <cellStyle name="Normal 17 5" xfId="625" xr:uid="{00000000-0005-0000-0000-0000E6030000}"/>
    <cellStyle name="Normal 17 5 2" xfId="662" xr:uid="{00000000-0005-0000-0000-0000E7030000}"/>
    <cellStyle name="Normal 17 5 2 2" xfId="841" xr:uid="{00000000-0005-0000-0000-0000E8030000}"/>
    <cellStyle name="Normal 17 5 2 2 2" xfId="1172" xr:uid="{00000000-0005-0000-0000-0000E9030000}"/>
    <cellStyle name="Normal 17 5 2 2 2 2" xfId="1405" xr:uid="{00000000-0005-0000-0000-0000EA030000}"/>
    <cellStyle name="Normal 17 5 2 2 3" xfId="1289" xr:uid="{00000000-0005-0000-0000-0000EB030000}"/>
    <cellStyle name="Normal 17 5 2 2 4" xfId="1053" xr:uid="{00000000-0005-0000-0000-0000EC030000}"/>
    <cellStyle name="Normal 17 5 2 3" xfId="911" xr:uid="{00000000-0005-0000-0000-0000ED030000}"/>
    <cellStyle name="Normal 17 5 2 3 2" xfId="1349" xr:uid="{00000000-0005-0000-0000-0000EE030000}"/>
    <cellStyle name="Normal 17 5 2 3 3" xfId="1116" xr:uid="{00000000-0005-0000-0000-0000EF030000}"/>
    <cellStyle name="Normal 17 5 2 4" xfId="1233" xr:uid="{00000000-0005-0000-0000-0000F0030000}"/>
    <cellStyle name="Normal 17 5 2 5" xfId="996" xr:uid="{00000000-0005-0000-0000-0000F1030000}"/>
    <cellStyle name="Normal 17 5 3" xfId="808" xr:uid="{00000000-0005-0000-0000-0000F2030000}"/>
    <cellStyle name="Normal 17 5 3 2" xfId="1142" xr:uid="{00000000-0005-0000-0000-0000F3030000}"/>
    <cellStyle name="Normal 17 5 3 2 2" xfId="1375" xr:uid="{00000000-0005-0000-0000-0000F4030000}"/>
    <cellStyle name="Normal 17 5 3 3" xfId="1259" xr:uid="{00000000-0005-0000-0000-0000F5030000}"/>
    <cellStyle name="Normal 17 5 3 4" xfId="1023" xr:uid="{00000000-0005-0000-0000-0000F6030000}"/>
    <cellStyle name="Normal 17 5 4" xfId="881" xr:uid="{00000000-0005-0000-0000-0000F7030000}"/>
    <cellStyle name="Normal 17 5 4 2" xfId="1323" xr:uid="{00000000-0005-0000-0000-0000F8030000}"/>
    <cellStyle name="Normal 17 5 4 3" xfId="1090" xr:uid="{00000000-0005-0000-0000-0000F9030000}"/>
    <cellStyle name="Normal 17 5 5" xfId="1207" xr:uid="{00000000-0005-0000-0000-0000FA030000}"/>
    <cellStyle name="Normal 17 5 6" xfId="970" xr:uid="{00000000-0005-0000-0000-0000FB030000}"/>
    <cellStyle name="Normal 17 6" xfId="643" xr:uid="{00000000-0005-0000-0000-0000FC030000}"/>
    <cellStyle name="Normal 17 6 2" xfId="822" xr:uid="{00000000-0005-0000-0000-0000FD030000}"/>
    <cellStyle name="Normal 17 6 2 2" xfId="1154" xr:uid="{00000000-0005-0000-0000-0000FE030000}"/>
    <cellStyle name="Normal 17 6 2 2 2" xfId="1387" xr:uid="{00000000-0005-0000-0000-0000FF030000}"/>
    <cellStyle name="Normal 17 6 2 3" xfId="1271" xr:uid="{00000000-0005-0000-0000-000000040000}"/>
    <cellStyle name="Normal 17 6 2 4" xfId="1035" xr:uid="{00000000-0005-0000-0000-000001040000}"/>
    <cellStyle name="Normal 17 6 3" xfId="893" xr:uid="{00000000-0005-0000-0000-000002040000}"/>
    <cellStyle name="Normal 17 6 3 2" xfId="1305" xr:uid="{00000000-0005-0000-0000-000003040000}"/>
    <cellStyle name="Normal 17 6 3 3" xfId="1072" xr:uid="{00000000-0005-0000-0000-000004040000}"/>
    <cellStyle name="Normal 17 6 4" xfId="1189" xr:uid="{00000000-0005-0000-0000-000005040000}"/>
    <cellStyle name="Normal 17 6 5" xfId="952" xr:uid="{00000000-0005-0000-0000-000006040000}"/>
    <cellStyle name="Normal 17 7" xfId="772" xr:uid="{00000000-0005-0000-0000-000007040000}"/>
    <cellStyle name="Normal 17 7 2" xfId="1098" xr:uid="{00000000-0005-0000-0000-000008040000}"/>
    <cellStyle name="Normal 17 7 2 2" xfId="1331" xr:uid="{00000000-0005-0000-0000-000009040000}"/>
    <cellStyle name="Normal 17 7 3" xfId="1215" xr:uid="{00000000-0005-0000-0000-00000A040000}"/>
    <cellStyle name="Normal 17 7 4" xfId="978" xr:uid="{00000000-0005-0000-0000-00000B040000}"/>
    <cellStyle name="Normal 17 8" xfId="862" xr:uid="{00000000-0005-0000-0000-00000C040000}"/>
    <cellStyle name="Normal 17 8 2" xfId="1124" xr:uid="{00000000-0005-0000-0000-00000D040000}"/>
    <cellStyle name="Normal 17 8 2 2" xfId="1357" xr:uid="{00000000-0005-0000-0000-00000E040000}"/>
    <cellStyle name="Normal 17 8 3" xfId="1241" xr:uid="{00000000-0005-0000-0000-00000F040000}"/>
    <cellStyle name="Normal 17 8 4" xfId="1005" xr:uid="{00000000-0005-0000-0000-000010040000}"/>
    <cellStyle name="Normal 17 9" xfId="1065" xr:uid="{00000000-0005-0000-0000-000011040000}"/>
    <cellStyle name="Normal 17 9 2" xfId="1300" xr:uid="{00000000-0005-0000-0000-000012040000}"/>
    <cellStyle name="Normal 18" xfId="518" xr:uid="{00000000-0005-0000-0000-000013040000}"/>
    <cellStyle name="Normal 19" xfId="519" xr:uid="{00000000-0005-0000-0000-000014040000}"/>
    <cellStyle name="Normal 19 2" xfId="604" xr:uid="{00000000-0005-0000-0000-000015040000}"/>
    <cellStyle name="Normal 19 3" xfId="593" xr:uid="{00000000-0005-0000-0000-000016040000}"/>
    <cellStyle name="Normal 2" xfId="520" xr:uid="{00000000-0005-0000-0000-000017040000}"/>
    <cellStyle name="Normal 2 2" xfId="605" xr:uid="{00000000-0005-0000-0000-000018040000}"/>
    <cellStyle name="Normal 2 2 2" xfId="621" xr:uid="{00000000-0005-0000-0000-000019040000}"/>
    <cellStyle name="Normal 2 2 2 2" xfId="658" xr:uid="{00000000-0005-0000-0000-00001A040000}"/>
    <cellStyle name="Normal 2 2 2 2 2" xfId="837" xr:uid="{00000000-0005-0000-0000-00001B040000}"/>
    <cellStyle name="Normal 2 2 2 2 2 2" xfId="1168" xr:uid="{00000000-0005-0000-0000-00001C040000}"/>
    <cellStyle name="Normal 2 2 2 2 2 2 2" xfId="1401" xr:uid="{00000000-0005-0000-0000-00001D040000}"/>
    <cellStyle name="Normal 2 2 2 2 2 3" xfId="1285" xr:uid="{00000000-0005-0000-0000-00001E040000}"/>
    <cellStyle name="Normal 2 2 2 2 2 4" xfId="1049" xr:uid="{00000000-0005-0000-0000-00001F040000}"/>
    <cellStyle name="Normal 2 2 2 2 3" xfId="907" xr:uid="{00000000-0005-0000-0000-000020040000}"/>
    <cellStyle name="Normal 2 2 2 2 3 2" xfId="1345" xr:uid="{00000000-0005-0000-0000-000021040000}"/>
    <cellStyle name="Normal 2 2 2 2 3 3" xfId="1112" xr:uid="{00000000-0005-0000-0000-000022040000}"/>
    <cellStyle name="Normal 2 2 2 2 4" xfId="1229" xr:uid="{00000000-0005-0000-0000-000023040000}"/>
    <cellStyle name="Normal 2 2 2 2 5" xfId="992" xr:uid="{00000000-0005-0000-0000-000024040000}"/>
    <cellStyle name="Normal 2 2 2 3" xfId="804" xr:uid="{00000000-0005-0000-0000-000025040000}"/>
    <cellStyle name="Normal 2 2 2 3 2" xfId="1138" xr:uid="{00000000-0005-0000-0000-000026040000}"/>
    <cellStyle name="Normal 2 2 2 3 2 2" xfId="1371" xr:uid="{00000000-0005-0000-0000-000027040000}"/>
    <cellStyle name="Normal 2 2 2 3 3" xfId="1255" xr:uid="{00000000-0005-0000-0000-000028040000}"/>
    <cellStyle name="Normal 2 2 2 3 4" xfId="1019" xr:uid="{00000000-0005-0000-0000-000029040000}"/>
    <cellStyle name="Normal 2 2 2 4" xfId="877" xr:uid="{00000000-0005-0000-0000-00002A040000}"/>
    <cellStyle name="Normal 2 2 2 4 2" xfId="1319" xr:uid="{00000000-0005-0000-0000-00002B040000}"/>
    <cellStyle name="Normal 2 2 2 4 3" xfId="1086" xr:uid="{00000000-0005-0000-0000-00002C040000}"/>
    <cellStyle name="Normal 2 2 2 5" xfId="1203" xr:uid="{00000000-0005-0000-0000-00002D040000}"/>
    <cellStyle name="Normal 2 2 2 6" xfId="966" xr:uid="{00000000-0005-0000-0000-00002E040000}"/>
    <cellStyle name="Normal 2 2 3" xfId="629" xr:uid="{00000000-0005-0000-0000-00002F040000}"/>
    <cellStyle name="Normal 2 2 3 2" xfId="666" xr:uid="{00000000-0005-0000-0000-000030040000}"/>
    <cellStyle name="Normal 2 2 3 2 2" xfId="845" xr:uid="{00000000-0005-0000-0000-000031040000}"/>
    <cellStyle name="Normal 2 2 3 2 2 2" xfId="1176" xr:uid="{00000000-0005-0000-0000-000032040000}"/>
    <cellStyle name="Normal 2 2 3 2 2 2 2" xfId="1409" xr:uid="{00000000-0005-0000-0000-000033040000}"/>
    <cellStyle name="Normal 2 2 3 2 2 3" xfId="1293" xr:uid="{00000000-0005-0000-0000-000034040000}"/>
    <cellStyle name="Normal 2 2 3 2 2 4" xfId="1057" xr:uid="{00000000-0005-0000-0000-000035040000}"/>
    <cellStyle name="Normal 2 2 3 2 3" xfId="915" xr:uid="{00000000-0005-0000-0000-000036040000}"/>
    <cellStyle name="Normal 2 2 3 2 3 2" xfId="1353" xr:uid="{00000000-0005-0000-0000-000037040000}"/>
    <cellStyle name="Normal 2 2 3 2 3 3" xfId="1120" xr:uid="{00000000-0005-0000-0000-000038040000}"/>
    <cellStyle name="Normal 2 2 3 2 4" xfId="1237" xr:uid="{00000000-0005-0000-0000-000039040000}"/>
    <cellStyle name="Normal 2 2 3 2 5" xfId="1000" xr:uid="{00000000-0005-0000-0000-00003A040000}"/>
    <cellStyle name="Normal 2 2 3 3" xfId="812" xr:uid="{00000000-0005-0000-0000-00003B040000}"/>
    <cellStyle name="Normal 2 2 3 3 2" xfId="1146" xr:uid="{00000000-0005-0000-0000-00003C040000}"/>
    <cellStyle name="Normal 2 2 3 3 2 2" xfId="1379" xr:uid="{00000000-0005-0000-0000-00003D040000}"/>
    <cellStyle name="Normal 2 2 3 3 3" xfId="1263" xr:uid="{00000000-0005-0000-0000-00003E040000}"/>
    <cellStyle name="Normal 2 2 3 3 4" xfId="1027" xr:uid="{00000000-0005-0000-0000-00003F040000}"/>
    <cellStyle name="Normal 2 2 3 4" xfId="885" xr:uid="{00000000-0005-0000-0000-000040040000}"/>
    <cellStyle name="Normal 2 2 3 4 2" xfId="1327" xr:uid="{00000000-0005-0000-0000-000041040000}"/>
    <cellStyle name="Normal 2 2 3 4 3" xfId="1094" xr:uid="{00000000-0005-0000-0000-000042040000}"/>
    <cellStyle name="Normal 2 2 3 5" xfId="1211" xr:uid="{00000000-0005-0000-0000-000043040000}"/>
    <cellStyle name="Normal 2 2 3 6" xfId="974" xr:uid="{00000000-0005-0000-0000-000044040000}"/>
    <cellStyle name="Normal 2 2 4" xfId="650" xr:uid="{00000000-0005-0000-0000-000045040000}"/>
    <cellStyle name="Normal 2 2 4 2" xfId="829" xr:uid="{00000000-0005-0000-0000-000046040000}"/>
    <cellStyle name="Normal 2 2 4 2 2" xfId="1160" xr:uid="{00000000-0005-0000-0000-000047040000}"/>
    <cellStyle name="Normal 2 2 4 2 2 2" xfId="1393" xr:uid="{00000000-0005-0000-0000-000048040000}"/>
    <cellStyle name="Normal 2 2 4 2 3" xfId="1277" xr:uid="{00000000-0005-0000-0000-000049040000}"/>
    <cellStyle name="Normal 2 2 4 2 4" xfId="1041" xr:uid="{00000000-0005-0000-0000-00004A040000}"/>
    <cellStyle name="Normal 2 2 4 3" xfId="899" xr:uid="{00000000-0005-0000-0000-00004B040000}"/>
    <cellStyle name="Normal 2 2 4 3 2" xfId="1311" xr:uid="{00000000-0005-0000-0000-00004C040000}"/>
    <cellStyle name="Normal 2 2 4 3 3" xfId="1078" xr:uid="{00000000-0005-0000-0000-00004D040000}"/>
    <cellStyle name="Normal 2 2 4 4" xfId="1195" xr:uid="{00000000-0005-0000-0000-00004E040000}"/>
    <cellStyle name="Normal 2 2 4 5" xfId="958" xr:uid="{00000000-0005-0000-0000-00004F040000}"/>
    <cellStyle name="Normal 2 2 5" xfId="793" xr:uid="{00000000-0005-0000-0000-000050040000}"/>
    <cellStyle name="Normal 2 2 5 2" xfId="1104" xr:uid="{00000000-0005-0000-0000-000051040000}"/>
    <cellStyle name="Normal 2 2 5 2 2" xfId="1337" xr:uid="{00000000-0005-0000-0000-000052040000}"/>
    <cellStyle name="Normal 2 2 5 3" xfId="1221" xr:uid="{00000000-0005-0000-0000-000053040000}"/>
    <cellStyle name="Normal 2 2 5 4" xfId="984" xr:uid="{00000000-0005-0000-0000-000054040000}"/>
    <cellStyle name="Normal 2 2 6" xfId="869" xr:uid="{00000000-0005-0000-0000-000055040000}"/>
    <cellStyle name="Normal 2 2 6 2" xfId="1130" xr:uid="{00000000-0005-0000-0000-000056040000}"/>
    <cellStyle name="Normal 2 2 6 2 2" xfId="1363" xr:uid="{00000000-0005-0000-0000-000057040000}"/>
    <cellStyle name="Normal 2 2 6 3" xfId="1247" xr:uid="{00000000-0005-0000-0000-000058040000}"/>
    <cellStyle name="Normal 2 2 6 4" xfId="1011" xr:uid="{00000000-0005-0000-0000-000059040000}"/>
    <cellStyle name="Normal 2 2 7" xfId="1068" xr:uid="{00000000-0005-0000-0000-00005A040000}"/>
    <cellStyle name="Normal 2 2 7 2" xfId="1301" xr:uid="{00000000-0005-0000-0000-00005B040000}"/>
    <cellStyle name="Normal 2 2 8" xfId="1185" xr:uid="{00000000-0005-0000-0000-00005C040000}"/>
    <cellStyle name="Normal 2 2 9" xfId="947" xr:uid="{00000000-0005-0000-0000-00005D040000}"/>
    <cellStyle name="Normal 2 3" xfId="636" xr:uid="{00000000-0005-0000-0000-00005E040000}"/>
    <cellStyle name="Normal 2 4" xfId="696" xr:uid="{00000000-0005-0000-0000-00005F040000}"/>
    <cellStyle name="Normal 20" xfId="521" xr:uid="{00000000-0005-0000-0000-000060040000}"/>
    <cellStyle name="Normal 21" xfId="606" xr:uid="{00000000-0005-0000-0000-000061040000}"/>
    <cellStyle name="Normal 22" xfId="632" xr:uid="{00000000-0005-0000-0000-000062040000}"/>
    <cellStyle name="Normal 22 2" xfId="640" xr:uid="{00000000-0005-0000-0000-000063040000}"/>
    <cellStyle name="Normal 22 3" xfId="815" xr:uid="{00000000-0005-0000-0000-000064040000}"/>
    <cellStyle name="Normal 22 3 2" xfId="1382" xr:uid="{00000000-0005-0000-0000-000065040000}"/>
    <cellStyle name="Normal 22 3 3" xfId="1149" xr:uid="{00000000-0005-0000-0000-000066040000}"/>
    <cellStyle name="Normal 22 4" xfId="888" xr:uid="{00000000-0005-0000-0000-000067040000}"/>
    <cellStyle name="Normal 22 4 2" xfId="1266" xr:uid="{00000000-0005-0000-0000-000068040000}"/>
    <cellStyle name="Normal 22 5" xfId="1030" xr:uid="{00000000-0005-0000-0000-000069040000}"/>
    <cellStyle name="Normal 23" xfId="637" xr:uid="{00000000-0005-0000-0000-00006A040000}"/>
    <cellStyle name="Normal 23 2" xfId="818" xr:uid="{00000000-0005-0000-0000-00006B040000}"/>
    <cellStyle name="Normal 23 2 2" xfId="1383" xr:uid="{00000000-0005-0000-0000-00006C040000}"/>
    <cellStyle name="Normal 23 2 3" xfId="1150" xr:uid="{00000000-0005-0000-0000-00006D040000}"/>
    <cellStyle name="Normal 23 3" xfId="889" xr:uid="{00000000-0005-0000-0000-00006E040000}"/>
    <cellStyle name="Normal 23 3 2" xfId="1267" xr:uid="{00000000-0005-0000-0000-00006F040000}"/>
    <cellStyle name="Normal 23 4" xfId="1031" xr:uid="{00000000-0005-0000-0000-000070040000}"/>
    <cellStyle name="Normal 24" xfId="848" xr:uid="{00000000-0005-0000-0000-000071040000}"/>
    <cellStyle name="Normal 24 2" xfId="1062" xr:uid="{00000000-0005-0000-0000-000072040000}"/>
    <cellStyle name="Normal 25" xfId="859" xr:uid="{00000000-0005-0000-0000-000073040000}"/>
    <cellStyle name="Normal 25 2" xfId="1298" xr:uid="{00000000-0005-0000-0000-000074040000}"/>
    <cellStyle name="Normal 25 3" xfId="1061" xr:uid="{00000000-0005-0000-0000-000075040000}"/>
    <cellStyle name="Normal 26" xfId="849" xr:uid="{00000000-0005-0000-0000-000076040000}"/>
    <cellStyle name="Normal 26 2" xfId="1180" xr:uid="{00000000-0005-0000-0000-000077040000}"/>
    <cellStyle name="Normal 27" xfId="855" xr:uid="{00000000-0005-0000-0000-000078040000}"/>
    <cellStyle name="Normal 28" xfId="860" xr:uid="{00000000-0005-0000-0000-000079040000}"/>
    <cellStyle name="Normal 29" xfId="930" xr:uid="{00000000-0005-0000-0000-00007A040000}"/>
    <cellStyle name="Normal 3" xfId="522" xr:uid="{00000000-0005-0000-0000-00007B040000}"/>
    <cellStyle name="Normal 3 2" xfId="607" xr:uid="{00000000-0005-0000-0000-00007C040000}"/>
    <cellStyle name="Normal 3 3" xfId="608" xr:uid="{00000000-0005-0000-0000-00007D040000}"/>
    <cellStyle name="Normal 3 3 2" xfId="601" xr:uid="{00000000-0005-0000-0000-00007E040000}"/>
    <cellStyle name="Normal 3 4" xfId="633" xr:uid="{00000000-0005-0000-0000-00007F040000}"/>
    <cellStyle name="Normal 3 4 2" xfId="816" xr:uid="{00000000-0005-0000-0000-000080040000}"/>
    <cellStyle name="Normal 3 5" xfId="700" xr:uid="{00000000-0005-0000-0000-000081040000}"/>
    <cellStyle name="Normal 3 6" xfId="923" xr:uid="{00000000-0005-0000-0000-000082040000}"/>
    <cellStyle name="Normal 30" xfId="926" xr:uid="{00000000-0005-0000-0000-000083040000}"/>
    <cellStyle name="Normal 31" xfId="1413" xr:uid="{00000000-0005-0000-0000-000084040000}"/>
    <cellStyle name="Normal 32" xfId="924" xr:uid="{00000000-0005-0000-0000-000085040000}"/>
    <cellStyle name="Normal 33" xfId="928" xr:uid="{00000000-0005-0000-0000-000086040000}"/>
    <cellStyle name="Normal 34" xfId="938" xr:uid="{00000000-0005-0000-0000-000087040000}"/>
    <cellStyle name="Normal 35" xfId="1422" xr:uid="{00000000-0005-0000-0000-000088040000}"/>
    <cellStyle name="Normal 36" xfId="1424" xr:uid="{00000000-0005-0000-0000-000089040000}"/>
    <cellStyle name="Normal 37" xfId="1426" xr:uid="{00000000-0005-0000-0000-00008A040000}"/>
    <cellStyle name="Normal 38" xfId="1428" xr:uid="{00000000-0005-0000-0000-00008B040000}"/>
    <cellStyle name="Normal 39" xfId="1430" xr:uid="{00000000-0005-0000-0000-00008C040000}"/>
    <cellStyle name="Normal 4" xfId="523" xr:uid="{00000000-0005-0000-0000-00008D040000}"/>
    <cellStyle name="Normal 4 2" xfId="609" xr:uid="{00000000-0005-0000-0000-00008E040000}"/>
    <cellStyle name="Normal 4 3" xfId="739" xr:uid="{00000000-0005-0000-0000-00008F040000}"/>
    <cellStyle name="Normal 40" xfId="1432" xr:uid="{00000000-0005-0000-0000-000090040000}"/>
    <cellStyle name="Normal 41" xfId="1434" xr:uid="{00000000-0005-0000-0000-000091040000}"/>
    <cellStyle name="Normal 42" xfId="1436" xr:uid="{00000000-0005-0000-0000-000092040000}"/>
    <cellStyle name="Normal 43" xfId="1438" xr:uid="{00000000-0005-0000-0000-000093040000}"/>
    <cellStyle name="Normal 44" xfId="1440" xr:uid="{00000000-0005-0000-0000-000094040000}"/>
    <cellStyle name="Normal 45" xfId="1442" xr:uid="{00000000-0005-0000-0000-000095040000}"/>
    <cellStyle name="Normal 46" xfId="1444" xr:uid="{00000000-0005-0000-0000-000096040000}"/>
    <cellStyle name="Normal 47" xfId="1447" xr:uid="{FD4F4328-BC1B-47FE-B123-AF1223A10AA0}"/>
    <cellStyle name="Normal 5" xfId="524" xr:uid="{00000000-0005-0000-0000-000097040000}"/>
    <cellStyle name="Normal 5 2" xfId="767" xr:uid="{00000000-0005-0000-0000-000098040000}"/>
    <cellStyle name="Normal 5 2 2" xfId="1446" xr:uid="{00000000-0005-0000-0000-000099040000}"/>
    <cellStyle name="Normal 5 3" xfId="741" xr:uid="{00000000-0005-0000-0000-00009A040000}"/>
    <cellStyle name="Normal 6" xfId="525" xr:uid="{00000000-0005-0000-0000-00009B040000}"/>
    <cellStyle name="Normal 6 2" xfId="744" xr:uid="{00000000-0005-0000-0000-00009C040000}"/>
    <cellStyle name="Normal 7" xfId="526" xr:uid="{00000000-0005-0000-0000-00009D040000}"/>
    <cellStyle name="Normal 8" xfId="527" xr:uid="{00000000-0005-0000-0000-00009E040000}"/>
    <cellStyle name="Normal 9" xfId="528" xr:uid="{00000000-0005-0000-0000-00009F040000}"/>
    <cellStyle name="Note 10" xfId="529" xr:uid="{00000000-0005-0000-0000-0000A0040000}"/>
    <cellStyle name="Note 11" xfId="530" xr:uid="{00000000-0005-0000-0000-0000A1040000}"/>
    <cellStyle name="Note 12" xfId="531" xr:uid="{00000000-0005-0000-0000-0000A2040000}"/>
    <cellStyle name="Note 13" xfId="532" xr:uid="{00000000-0005-0000-0000-0000A3040000}"/>
    <cellStyle name="Note 14" xfId="533" xr:uid="{00000000-0005-0000-0000-0000A4040000}"/>
    <cellStyle name="Note 15" xfId="534" xr:uid="{00000000-0005-0000-0000-0000A5040000}"/>
    <cellStyle name="Note 16" xfId="777" xr:uid="{00000000-0005-0000-0000-0000A6040000}"/>
    <cellStyle name="Note 2" xfId="535" xr:uid="{00000000-0005-0000-0000-0000A7040000}"/>
    <cellStyle name="Note 2 2" xfId="712" xr:uid="{00000000-0005-0000-0000-0000A8040000}"/>
    <cellStyle name="Note 3" xfId="536" xr:uid="{00000000-0005-0000-0000-0000A9040000}"/>
    <cellStyle name="Note 4" xfId="537" xr:uid="{00000000-0005-0000-0000-0000AA040000}"/>
    <cellStyle name="Note 5" xfId="538" xr:uid="{00000000-0005-0000-0000-0000AB040000}"/>
    <cellStyle name="Note 6" xfId="539" xr:uid="{00000000-0005-0000-0000-0000AC040000}"/>
    <cellStyle name="Note 7" xfId="540" xr:uid="{00000000-0005-0000-0000-0000AD040000}"/>
    <cellStyle name="Note 8" xfId="541" xr:uid="{00000000-0005-0000-0000-0000AE040000}"/>
    <cellStyle name="Note 9" xfId="542" xr:uid="{00000000-0005-0000-0000-0000AF040000}"/>
    <cellStyle name="Output 10" xfId="543" xr:uid="{00000000-0005-0000-0000-0000B0040000}"/>
    <cellStyle name="Output 11" xfId="544" xr:uid="{00000000-0005-0000-0000-0000B1040000}"/>
    <cellStyle name="Output 12" xfId="545" xr:uid="{00000000-0005-0000-0000-0000B2040000}"/>
    <cellStyle name="Output 13" xfId="546" xr:uid="{00000000-0005-0000-0000-0000B3040000}"/>
    <cellStyle name="Output 14" xfId="547" xr:uid="{00000000-0005-0000-0000-0000B4040000}"/>
    <cellStyle name="Output 15" xfId="548" xr:uid="{00000000-0005-0000-0000-0000B5040000}"/>
    <cellStyle name="Output 16" xfId="774" xr:uid="{00000000-0005-0000-0000-0000B6040000}"/>
    <cellStyle name="Output 2" xfId="549" xr:uid="{00000000-0005-0000-0000-0000B7040000}"/>
    <cellStyle name="Output 2 2" xfId="707" xr:uid="{00000000-0005-0000-0000-0000B8040000}"/>
    <cellStyle name="Output 3" xfId="550" xr:uid="{00000000-0005-0000-0000-0000B9040000}"/>
    <cellStyle name="Output 4" xfId="551" xr:uid="{00000000-0005-0000-0000-0000BA040000}"/>
    <cellStyle name="Output 5" xfId="552" xr:uid="{00000000-0005-0000-0000-0000BB040000}"/>
    <cellStyle name="Output 6" xfId="553" xr:uid="{00000000-0005-0000-0000-0000BC040000}"/>
    <cellStyle name="Output 7" xfId="554" xr:uid="{00000000-0005-0000-0000-0000BD040000}"/>
    <cellStyle name="Output 8" xfId="555" xr:uid="{00000000-0005-0000-0000-0000BE040000}"/>
    <cellStyle name="Output 9" xfId="556" xr:uid="{00000000-0005-0000-0000-0000BF040000}"/>
    <cellStyle name="Percent" xfId="557" builtinId="5"/>
    <cellStyle name="Percent [2]" xfId="766" xr:uid="{00000000-0005-0000-0000-0000C1040000}"/>
    <cellStyle name="Percent 10" xfId="856" xr:uid="{00000000-0005-0000-0000-0000C2040000}"/>
    <cellStyle name="Percent 11" xfId="863" xr:uid="{00000000-0005-0000-0000-0000C3040000}"/>
    <cellStyle name="Percent 12" xfId="941" xr:uid="{00000000-0005-0000-0000-0000C4040000}"/>
    <cellStyle name="Percent 13" xfId="925" xr:uid="{00000000-0005-0000-0000-0000C5040000}"/>
    <cellStyle name="Percent 14" xfId="929" xr:uid="{00000000-0005-0000-0000-0000C6040000}"/>
    <cellStyle name="Percent 15" xfId="918" xr:uid="{00000000-0005-0000-0000-0000C7040000}"/>
    <cellStyle name="Percent 16" xfId="1414" xr:uid="{00000000-0005-0000-0000-0000C8040000}"/>
    <cellStyle name="Percent 17" xfId="934" xr:uid="{00000000-0005-0000-0000-0000C9040000}"/>
    <cellStyle name="Percent 18" xfId="943" xr:uid="{00000000-0005-0000-0000-0000CA040000}"/>
    <cellStyle name="Percent 19" xfId="920" xr:uid="{00000000-0005-0000-0000-0000CB040000}"/>
    <cellStyle name="Percent 2" xfId="558" xr:uid="{00000000-0005-0000-0000-0000CC040000}"/>
    <cellStyle name="Percent 2 2" xfId="610" xr:uid="{00000000-0005-0000-0000-0000CD040000}"/>
    <cellStyle name="Percent 2 2 2" xfId="622" xr:uid="{00000000-0005-0000-0000-0000CE040000}"/>
    <cellStyle name="Percent 2 2 2 2" xfId="659" xr:uid="{00000000-0005-0000-0000-0000CF040000}"/>
    <cellStyle name="Percent 2 2 2 2 2" xfId="838" xr:uid="{00000000-0005-0000-0000-0000D0040000}"/>
    <cellStyle name="Percent 2 2 2 2 2 2" xfId="1169" xr:uid="{00000000-0005-0000-0000-0000D1040000}"/>
    <cellStyle name="Percent 2 2 2 2 2 2 2" xfId="1402" xr:uid="{00000000-0005-0000-0000-0000D2040000}"/>
    <cellStyle name="Percent 2 2 2 2 2 3" xfId="1286" xr:uid="{00000000-0005-0000-0000-0000D3040000}"/>
    <cellStyle name="Percent 2 2 2 2 2 4" xfId="1050" xr:uid="{00000000-0005-0000-0000-0000D4040000}"/>
    <cellStyle name="Percent 2 2 2 2 3" xfId="908" xr:uid="{00000000-0005-0000-0000-0000D5040000}"/>
    <cellStyle name="Percent 2 2 2 2 3 2" xfId="1346" xr:uid="{00000000-0005-0000-0000-0000D6040000}"/>
    <cellStyle name="Percent 2 2 2 2 3 3" xfId="1113" xr:uid="{00000000-0005-0000-0000-0000D7040000}"/>
    <cellStyle name="Percent 2 2 2 2 4" xfId="1230" xr:uid="{00000000-0005-0000-0000-0000D8040000}"/>
    <cellStyle name="Percent 2 2 2 2 5" xfId="993" xr:uid="{00000000-0005-0000-0000-0000D9040000}"/>
    <cellStyle name="Percent 2 2 2 3" xfId="805" xr:uid="{00000000-0005-0000-0000-0000DA040000}"/>
    <cellStyle name="Percent 2 2 2 3 2" xfId="1139" xr:uid="{00000000-0005-0000-0000-0000DB040000}"/>
    <cellStyle name="Percent 2 2 2 3 2 2" xfId="1372" xr:uid="{00000000-0005-0000-0000-0000DC040000}"/>
    <cellStyle name="Percent 2 2 2 3 3" xfId="1256" xr:uid="{00000000-0005-0000-0000-0000DD040000}"/>
    <cellStyle name="Percent 2 2 2 3 4" xfId="1020" xr:uid="{00000000-0005-0000-0000-0000DE040000}"/>
    <cellStyle name="Percent 2 2 2 4" xfId="878" xr:uid="{00000000-0005-0000-0000-0000DF040000}"/>
    <cellStyle name="Percent 2 2 2 4 2" xfId="1320" xr:uid="{00000000-0005-0000-0000-0000E0040000}"/>
    <cellStyle name="Percent 2 2 2 4 3" xfId="1087" xr:uid="{00000000-0005-0000-0000-0000E1040000}"/>
    <cellStyle name="Percent 2 2 2 5" xfId="1204" xr:uid="{00000000-0005-0000-0000-0000E2040000}"/>
    <cellStyle name="Percent 2 2 2 6" xfId="967" xr:uid="{00000000-0005-0000-0000-0000E3040000}"/>
    <cellStyle name="Percent 2 2 3" xfId="630" xr:uid="{00000000-0005-0000-0000-0000E4040000}"/>
    <cellStyle name="Percent 2 2 3 2" xfId="667" xr:uid="{00000000-0005-0000-0000-0000E5040000}"/>
    <cellStyle name="Percent 2 2 3 2 2" xfId="846" xr:uid="{00000000-0005-0000-0000-0000E6040000}"/>
    <cellStyle name="Percent 2 2 3 2 2 2" xfId="1177" xr:uid="{00000000-0005-0000-0000-0000E7040000}"/>
    <cellStyle name="Percent 2 2 3 2 2 2 2" xfId="1410" xr:uid="{00000000-0005-0000-0000-0000E8040000}"/>
    <cellStyle name="Percent 2 2 3 2 2 3" xfId="1294" xr:uid="{00000000-0005-0000-0000-0000E9040000}"/>
    <cellStyle name="Percent 2 2 3 2 2 4" xfId="1058" xr:uid="{00000000-0005-0000-0000-0000EA040000}"/>
    <cellStyle name="Percent 2 2 3 2 3" xfId="916" xr:uid="{00000000-0005-0000-0000-0000EB040000}"/>
    <cellStyle name="Percent 2 2 3 2 3 2" xfId="1354" xr:uid="{00000000-0005-0000-0000-0000EC040000}"/>
    <cellStyle name="Percent 2 2 3 2 3 3" xfId="1121" xr:uid="{00000000-0005-0000-0000-0000ED040000}"/>
    <cellStyle name="Percent 2 2 3 2 4" xfId="1238" xr:uid="{00000000-0005-0000-0000-0000EE040000}"/>
    <cellStyle name="Percent 2 2 3 2 5" xfId="1001" xr:uid="{00000000-0005-0000-0000-0000EF040000}"/>
    <cellStyle name="Percent 2 2 3 3" xfId="813" xr:uid="{00000000-0005-0000-0000-0000F0040000}"/>
    <cellStyle name="Percent 2 2 3 3 2" xfId="1147" xr:uid="{00000000-0005-0000-0000-0000F1040000}"/>
    <cellStyle name="Percent 2 2 3 3 2 2" xfId="1380" xr:uid="{00000000-0005-0000-0000-0000F2040000}"/>
    <cellStyle name="Percent 2 2 3 3 3" xfId="1264" xr:uid="{00000000-0005-0000-0000-0000F3040000}"/>
    <cellStyle name="Percent 2 2 3 3 4" xfId="1028" xr:uid="{00000000-0005-0000-0000-0000F4040000}"/>
    <cellStyle name="Percent 2 2 3 4" xfId="886" xr:uid="{00000000-0005-0000-0000-0000F5040000}"/>
    <cellStyle name="Percent 2 2 3 4 2" xfId="1328" xr:uid="{00000000-0005-0000-0000-0000F6040000}"/>
    <cellStyle name="Percent 2 2 3 4 3" xfId="1095" xr:uid="{00000000-0005-0000-0000-0000F7040000}"/>
    <cellStyle name="Percent 2 2 3 5" xfId="1212" xr:uid="{00000000-0005-0000-0000-0000F8040000}"/>
    <cellStyle name="Percent 2 2 3 6" xfId="975" xr:uid="{00000000-0005-0000-0000-0000F9040000}"/>
    <cellStyle name="Percent 2 2 4" xfId="651" xr:uid="{00000000-0005-0000-0000-0000FA040000}"/>
    <cellStyle name="Percent 2 2 4 2" xfId="830" xr:uid="{00000000-0005-0000-0000-0000FB040000}"/>
    <cellStyle name="Percent 2 2 4 2 2" xfId="1161" xr:uid="{00000000-0005-0000-0000-0000FC040000}"/>
    <cellStyle name="Percent 2 2 4 2 2 2" xfId="1394" xr:uid="{00000000-0005-0000-0000-0000FD040000}"/>
    <cellStyle name="Percent 2 2 4 2 3" xfId="1278" xr:uid="{00000000-0005-0000-0000-0000FE040000}"/>
    <cellStyle name="Percent 2 2 4 2 4" xfId="1042" xr:uid="{00000000-0005-0000-0000-0000FF040000}"/>
    <cellStyle name="Percent 2 2 4 3" xfId="900" xr:uid="{00000000-0005-0000-0000-000000050000}"/>
    <cellStyle name="Percent 2 2 4 3 2" xfId="1338" xr:uid="{00000000-0005-0000-0000-000001050000}"/>
    <cellStyle name="Percent 2 2 4 3 3" xfId="1105" xr:uid="{00000000-0005-0000-0000-000002050000}"/>
    <cellStyle name="Percent 2 2 4 4" xfId="1222" xr:uid="{00000000-0005-0000-0000-000003050000}"/>
    <cellStyle name="Percent 2 2 4 5" xfId="985" xr:uid="{00000000-0005-0000-0000-000004050000}"/>
    <cellStyle name="Percent 2 2 5" xfId="797" xr:uid="{00000000-0005-0000-0000-000005050000}"/>
    <cellStyle name="Percent 2 2 5 2" xfId="1131" xr:uid="{00000000-0005-0000-0000-000006050000}"/>
    <cellStyle name="Percent 2 2 5 2 2" xfId="1364" xr:uid="{00000000-0005-0000-0000-000007050000}"/>
    <cellStyle name="Percent 2 2 5 3" xfId="1248" xr:uid="{00000000-0005-0000-0000-000008050000}"/>
    <cellStyle name="Percent 2 2 5 4" xfId="1012" xr:uid="{00000000-0005-0000-0000-000009050000}"/>
    <cellStyle name="Percent 2 2 6" xfId="870" xr:uid="{00000000-0005-0000-0000-00000A050000}"/>
    <cellStyle name="Percent 2 2 6 2" xfId="1312" xr:uid="{00000000-0005-0000-0000-00000B050000}"/>
    <cellStyle name="Percent 2 2 6 3" xfId="1079" xr:uid="{00000000-0005-0000-0000-00000C050000}"/>
    <cellStyle name="Percent 2 2 7" xfId="1196" xr:uid="{00000000-0005-0000-0000-00000D050000}"/>
    <cellStyle name="Percent 2 2 8" xfId="959" xr:uid="{00000000-0005-0000-0000-00000E050000}"/>
    <cellStyle name="Percent 2 3" xfId="615" xr:uid="{00000000-0005-0000-0000-00000F050000}"/>
    <cellStyle name="Percent 2 3 2" xfId="623" xr:uid="{00000000-0005-0000-0000-000010050000}"/>
    <cellStyle name="Percent 2 3 2 2" xfId="660" xr:uid="{00000000-0005-0000-0000-000011050000}"/>
    <cellStyle name="Percent 2 3 2 2 2" xfId="839" xr:uid="{00000000-0005-0000-0000-000012050000}"/>
    <cellStyle name="Percent 2 3 2 2 2 2" xfId="1170" xr:uid="{00000000-0005-0000-0000-000013050000}"/>
    <cellStyle name="Percent 2 3 2 2 2 2 2" xfId="1403" xr:uid="{00000000-0005-0000-0000-000014050000}"/>
    <cellStyle name="Percent 2 3 2 2 2 3" xfId="1287" xr:uid="{00000000-0005-0000-0000-000015050000}"/>
    <cellStyle name="Percent 2 3 2 2 2 4" xfId="1051" xr:uid="{00000000-0005-0000-0000-000016050000}"/>
    <cellStyle name="Percent 2 3 2 2 3" xfId="909" xr:uid="{00000000-0005-0000-0000-000017050000}"/>
    <cellStyle name="Percent 2 3 2 2 3 2" xfId="1347" xr:uid="{00000000-0005-0000-0000-000018050000}"/>
    <cellStyle name="Percent 2 3 2 2 3 3" xfId="1114" xr:uid="{00000000-0005-0000-0000-000019050000}"/>
    <cellStyle name="Percent 2 3 2 2 4" xfId="1231" xr:uid="{00000000-0005-0000-0000-00001A050000}"/>
    <cellStyle name="Percent 2 3 2 2 5" xfId="994" xr:uid="{00000000-0005-0000-0000-00001B050000}"/>
    <cellStyle name="Percent 2 3 2 3" xfId="806" xr:uid="{00000000-0005-0000-0000-00001C050000}"/>
    <cellStyle name="Percent 2 3 2 3 2" xfId="1140" xr:uid="{00000000-0005-0000-0000-00001D050000}"/>
    <cellStyle name="Percent 2 3 2 3 2 2" xfId="1373" xr:uid="{00000000-0005-0000-0000-00001E050000}"/>
    <cellStyle name="Percent 2 3 2 3 3" xfId="1257" xr:uid="{00000000-0005-0000-0000-00001F050000}"/>
    <cellStyle name="Percent 2 3 2 3 4" xfId="1021" xr:uid="{00000000-0005-0000-0000-000020050000}"/>
    <cellStyle name="Percent 2 3 2 4" xfId="879" xr:uid="{00000000-0005-0000-0000-000021050000}"/>
    <cellStyle name="Percent 2 3 2 4 2" xfId="1321" xr:uid="{00000000-0005-0000-0000-000022050000}"/>
    <cellStyle name="Percent 2 3 2 4 3" xfId="1088" xr:uid="{00000000-0005-0000-0000-000023050000}"/>
    <cellStyle name="Percent 2 3 2 5" xfId="1205" xr:uid="{00000000-0005-0000-0000-000024050000}"/>
    <cellStyle name="Percent 2 3 2 6" xfId="968" xr:uid="{00000000-0005-0000-0000-000025050000}"/>
    <cellStyle name="Percent 2 3 3" xfId="631" xr:uid="{00000000-0005-0000-0000-000026050000}"/>
    <cellStyle name="Percent 2 3 3 2" xfId="668" xr:uid="{00000000-0005-0000-0000-000027050000}"/>
    <cellStyle name="Percent 2 3 3 2 2" xfId="847" xr:uid="{00000000-0005-0000-0000-000028050000}"/>
    <cellStyle name="Percent 2 3 3 2 2 2" xfId="1178" xr:uid="{00000000-0005-0000-0000-000029050000}"/>
    <cellStyle name="Percent 2 3 3 2 2 2 2" xfId="1411" xr:uid="{00000000-0005-0000-0000-00002A050000}"/>
    <cellStyle name="Percent 2 3 3 2 2 3" xfId="1295" xr:uid="{00000000-0005-0000-0000-00002B050000}"/>
    <cellStyle name="Percent 2 3 3 2 2 4" xfId="1059" xr:uid="{00000000-0005-0000-0000-00002C050000}"/>
    <cellStyle name="Percent 2 3 3 2 3" xfId="917" xr:uid="{00000000-0005-0000-0000-00002D050000}"/>
    <cellStyle name="Percent 2 3 3 2 3 2" xfId="1355" xr:uid="{00000000-0005-0000-0000-00002E050000}"/>
    <cellStyle name="Percent 2 3 3 2 3 3" xfId="1122" xr:uid="{00000000-0005-0000-0000-00002F050000}"/>
    <cellStyle name="Percent 2 3 3 2 4" xfId="1239" xr:uid="{00000000-0005-0000-0000-000030050000}"/>
    <cellStyle name="Percent 2 3 3 2 5" xfId="1002" xr:uid="{00000000-0005-0000-0000-000031050000}"/>
    <cellStyle name="Percent 2 3 3 3" xfId="814" xr:uid="{00000000-0005-0000-0000-000032050000}"/>
    <cellStyle name="Percent 2 3 3 3 2" xfId="1148" xr:uid="{00000000-0005-0000-0000-000033050000}"/>
    <cellStyle name="Percent 2 3 3 3 2 2" xfId="1381" xr:uid="{00000000-0005-0000-0000-000034050000}"/>
    <cellStyle name="Percent 2 3 3 3 3" xfId="1265" xr:uid="{00000000-0005-0000-0000-000035050000}"/>
    <cellStyle name="Percent 2 3 3 3 4" xfId="1029" xr:uid="{00000000-0005-0000-0000-000036050000}"/>
    <cellStyle name="Percent 2 3 3 4" xfId="887" xr:uid="{00000000-0005-0000-0000-000037050000}"/>
    <cellStyle name="Percent 2 3 3 4 2" xfId="1329" xr:uid="{00000000-0005-0000-0000-000038050000}"/>
    <cellStyle name="Percent 2 3 3 4 3" xfId="1096" xr:uid="{00000000-0005-0000-0000-000039050000}"/>
    <cellStyle name="Percent 2 3 3 5" xfId="1213" xr:uid="{00000000-0005-0000-0000-00003A050000}"/>
    <cellStyle name="Percent 2 3 3 6" xfId="976" xr:uid="{00000000-0005-0000-0000-00003B050000}"/>
    <cellStyle name="Percent 2 3 4" xfId="652" xr:uid="{00000000-0005-0000-0000-00003C050000}"/>
    <cellStyle name="Percent 2 3 4 2" xfId="831" xr:uid="{00000000-0005-0000-0000-00003D050000}"/>
    <cellStyle name="Percent 2 3 4 2 2" xfId="1162" xr:uid="{00000000-0005-0000-0000-00003E050000}"/>
    <cellStyle name="Percent 2 3 4 2 2 2" xfId="1395" xr:uid="{00000000-0005-0000-0000-00003F050000}"/>
    <cellStyle name="Percent 2 3 4 2 3" xfId="1279" xr:uid="{00000000-0005-0000-0000-000040050000}"/>
    <cellStyle name="Percent 2 3 4 2 4" xfId="1043" xr:uid="{00000000-0005-0000-0000-000041050000}"/>
    <cellStyle name="Percent 2 3 4 3" xfId="901" xr:uid="{00000000-0005-0000-0000-000042050000}"/>
    <cellStyle name="Percent 2 3 4 3 2" xfId="1339" xr:uid="{00000000-0005-0000-0000-000043050000}"/>
    <cellStyle name="Percent 2 3 4 3 3" xfId="1106" xr:uid="{00000000-0005-0000-0000-000044050000}"/>
    <cellStyle name="Percent 2 3 4 4" xfId="1223" xr:uid="{00000000-0005-0000-0000-000045050000}"/>
    <cellStyle name="Percent 2 3 4 5" xfId="986" xr:uid="{00000000-0005-0000-0000-000046050000}"/>
    <cellStyle name="Percent 2 3 5" xfId="798" xr:uid="{00000000-0005-0000-0000-000047050000}"/>
    <cellStyle name="Percent 2 3 5 2" xfId="1132" xr:uid="{00000000-0005-0000-0000-000048050000}"/>
    <cellStyle name="Percent 2 3 5 2 2" xfId="1365" xr:uid="{00000000-0005-0000-0000-000049050000}"/>
    <cellStyle name="Percent 2 3 5 3" xfId="1249" xr:uid="{00000000-0005-0000-0000-00004A050000}"/>
    <cellStyle name="Percent 2 3 5 4" xfId="1013" xr:uid="{00000000-0005-0000-0000-00004B050000}"/>
    <cellStyle name="Percent 2 3 6" xfId="871" xr:uid="{00000000-0005-0000-0000-00004C050000}"/>
    <cellStyle name="Percent 2 3 6 2" xfId="1313" xr:uid="{00000000-0005-0000-0000-00004D050000}"/>
    <cellStyle name="Percent 2 3 6 3" xfId="1080" xr:uid="{00000000-0005-0000-0000-00004E050000}"/>
    <cellStyle name="Percent 2 3 7" xfId="1197" xr:uid="{00000000-0005-0000-0000-00004F050000}"/>
    <cellStyle name="Percent 2 3 8" xfId="960" xr:uid="{00000000-0005-0000-0000-000050050000}"/>
    <cellStyle name="Percent 2 4" xfId="1415" xr:uid="{00000000-0005-0000-0000-000051050000}"/>
    <cellStyle name="Percent 20" xfId="919" xr:uid="{00000000-0005-0000-0000-000052050000}"/>
    <cellStyle name="Percent 21" xfId="921" xr:uid="{00000000-0005-0000-0000-000053050000}"/>
    <cellStyle name="Percent 22" xfId="932" xr:uid="{00000000-0005-0000-0000-000054050000}"/>
    <cellStyle name="Percent 23" xfId="1416" xr:uid="{00000000-0005-0000-0000-000055050000}"/>
    <cellStyle name="Percent 24" xfId="935" xr:uid="{00000000-0005-0000-0000-000056050000}"/>
    <cellStyle name="Percent 25" xfId="1418" xr:uid="{00000000-0005-0000-0000-000057050000}"/>
    <cellStyle name="Percent 26" xfId="945" xr:uid="{00000000-0005-0000-0000-000058050000}"/>
    <cellStyle name="Percent 27" xfId="922" xr:uid="{00000000-0005-0000-0000-000059050000}"/>
    <cellStyle name="Percent 28" xfId="931" xr:uid="{00000000-0005-0000-0000-00005A050000}"/>
    <cellStyle name="Percent 29" xfId="1420" xr:uid="{00000000-0005-0000-0000-00005B050000}"/>
    <cellStyle name="Percent 3" xfId="559" xr:uid="{00000000-0005-0000-0000-00005C050000}"/>
    <cellStyle name="Percent 3 2" xfId="611" xr:uid="{00000000-0005-0000-0000-00005D050000}"/>
    <cellStyle name="Percent 3 2 2" xfId="769" xr:uid="{00000000-0005-0000-0000-00005E050000}"/>
    <cellStyle name="Percent 3 3" xfId="635" xr:uid="{00000000-0005-0000-0000-00005F050000}"/>
    <cellStyle name="Percent 3 4" xfId="743" xr:uid="{00000000-0005-0000-0000-000060050000}"/>
    <cellStyle name="Percent 30" xfId="942" xr:uid="{00000000-0005-0000-0000-000061050000}"/>
    <cellStyle name="Percent 31" xfId="944" xr:uid="{00000000-0005-0000-0000-000062050000}"/>
    <cellStyle name="Percent 32" xfId="933" xr:uid="{00000000-0005-0000-0000-000063050000}"/>
    <cellStyle name="Percent 33" xfId="1419" xr:uid="{00000000-0005-0000-0000-000064050000}"/>
    <cellStyle name="Percent 34" xfId="927" xr:uid="{00000000-0005-0000-0000-000065050000}"/>
    <cellStyle name="Percent 35" xfId="1417" xr:uid="{00000000-0005-0000-0000-000066050000}"/>
    <cellStyle name="Percent 36" xfId="1421" xr:uid="{00000000-0005-0000-0000-000067050000}"/>
    <cellStyle name="Percent 37" xfId="1423" xr:uid="{00000000-0005-0000-0000-000068050000}"/>
    <cellStyle name="Percent 38" xfId="1425" xr:uid="{00000000-0005-0000-0000-000069050000}"/>
    <cellStyle name="Percent 39" xfId="1427" xr:uid="{00000000-0005-0000-0000-00006A050000}"/>
    <cellStyle name="Percent 4" xfId="612" xr:uid="{00000000-0005-0000-0000-00006B050000}"/>
    <cellStyle name="Percent 4 2" xfId="788" xr:uid="{00000000-0005-0000-0000-00006C050000}"/>
    <cellStyle name="Percent 40" xfId="1429" xr:uid="{00000000-0005-0000-0000-00006D050000}"/>
    <cellStyle name="Percent 41" xfId="1431" xr:uid="{00000000-0005-0000-0000-00006E050000}"/>
    <cellStyle name="Percent 42" xfId="1433" xr:uid="{00000000-0005-0000-0000-00006F050000}"/>
    <cellStyle name="Percent 43" xfId="1435" xr:uid="{00000000-0005-0000-0000-000070050000}"/>
    <cellStyle name="Percent 44" xfId="1437" xr:uid="{00000000-0005-0000-0000-000071050000}"/>
    <cellStyle name="Percent 45" xfId="1439" xr:uid="{00000000-0005-0000-0000-000072050000}"/>
    <cellStyle name="Percent 46" xfId="1441" xr:uid="{00000000-0005-0000-0000-000073050000}"/>
    <cellStyle name="Percent 47" xfId="1443" xr:uid="{00000000-0005-0000-0000-000074050000}"/>
    <cellStyle name="Percent 48" xfId="1445" xr:uid="{00000000-0005-0000-0000-000075050000}"/>
    <cellStyle name="Percent 5" xfId="644" xr:uid="{00000000-0005-0000-0000-000076050000}"/>
    <cellStyle name="Percent 6" xfId="639" xr:uid="{00000000-0005-0000-0000-000077050000}"/>
    <cellStyle name="Percent 6 2" xfId="820" xr:uid="{00000000-0005-0000-0000-000078050000}"/>
    <cellStyle name="Percent 6 2 2" xfId="1385" xr:uid="{00000000-0005-0000-0000-000079050000}"/>
    <cellStyle name="Percent 6 2 3" xfId="1152" xr:uid="{00000000-0005-0000-0000-00007A050000}"/>
    <cellStyle name="Percent 6 3" xfId="891" xr:uid="{00000000-0005-0000-0000-00007B050000}"/>
    <cellStyle name="Percent 6 3 2" xfId="1269" xr:uid="{00000000-0005-0000-0000-00007C050000}"/>
    <cellStyle name="Percent 6 4" xfId="1033" xr:uid="{00000000-0005-0000-0000-00007D050000}"/>
    <cellStyle name="Percent 7" xfId="853" xr:uid="{00000000-0005-0000-0000-00007E050000}"/>
    <cellStyle name="Percent 7 2" xfId="1066" xr:uid="{00000000-0005-0000-0000-00007F050000}"/>
    <cellStyle name="Percent 8" xfId="854" xr:uid="{00000000-0005-0000-0000-000080050000}"/>
    <cellStyle name="Percent 8 2" xfId="1182" xr:uid="{00000000-0005-0000-0000-000081050000}"/>
    <cellStyle name="Percent 9" xfId="857" xr:uid="{00000000-0005-0000-0000-000082050000}"/>
    <cellStyle name="Style 23" xfId="613" xr:uid="{00000000-0005-0000-0000-000083050000}"/>
    <cellStyle name="Style 23 2" xfId="614" xr:uid="{00000000-0005-0000-0000-000084050000}"/>
    <cellStyle name="Title" xfId="560" builtinId="15" customBuiltin="1"/>
    <cellStyle name="Title 2" xfId="697" xr:uid="{00000000-0005-0000-0000-000086050000}"/>
    <cellStyle name="Title 2 2" xfId="946" xr:uid="{00000000-0005-0000-0000-000087050000}"/>
    <cellStyle name="Title 3" xfId="693" xr:uid="{00000000-0005-0000-0000-000088050000}"/>
    <cellStyle name="Total 10" xfId="561" xr:uid="{00000000-0005-0000-0000-000089050000}"/>
    <cellStyle name="Total 11" xfId="562" xr:uid="{00000000-0005-0000-0000-00008A050000}"/>
    <cellStyle name="Total 12" xfId="563" xr:uid="{00000000-0005-0000-0000-00008B050000}"/>
    <cellStyle name="Total 13" xfId="564" xr:uid="{00000000-0005-0000-0000-00008C050000}"/>
    <cellStyle name="Total 14" xfId="565" xr:uid="{00000000-0005-0000-0000-00008D050000}"/>
    <cellStyle name="Total 15" xfId="566" xr:uid="{00000000-0005-0000-0000-00008E050000}"/>
    <cellStyle name="Total 16" xfId="694" xr:uid="{00000000-0005-0000-0000-00008F050000}"/>
    <cellStyle name="Total 2" xfId="567" xr:uid="{00000000-0005-0000-0000-000090050000}"/>
    <cellStyle name="Total 2 2" xfId="714" xr:uid="{00000000-0005-0000-0000-000091050000}"/>
    <cellStyle name="Total 3" xfId="568" xr:uid="{00000000-0005-0000-0000-000092050000}"/>
    <cellStyle name="Total 4" xfId="569" xr:uid="{00000000-0005-0000-0000-000093050000}"/>
    <cellStyle name="Total 5" xfId="570" xr:uid="{00000000-0005-0000-0000-000094050000}"/>
    <cellStyle name="Total 6" xfId="571" xr:uid="{00000000-0005-0000-0000-000095050000}"/>
    <cellStyle name="Total 7" xfId="572" xr:uid="{00000000-0005-0000-0000-000096050000}"/>
    <cellStyle name="Total 8" xfId="573" xr:uid="{00000000-0005-0000-0000-000097050000}"/>
    <cellStyle name="Total 9" xfId="574" xr:uid="{00000000-0005-0000-0000-000098050000}"/>
    <cellStyle name="Warning Text 10" xfId="575" xr:uid="{00000000-0005-0000-0000-000099050000}"/>
    <cellStyle name="Warning Text 11" xfId="576" xr:uid="{00000000-0005-0000-0000-00009A050000}"/>
    <cellStyle name="Warning Text 12" xfId="577" xr:uid="{00000000-0005-0000-0000-00009B050000}"/>
    <cellStyle name="Warning Text 13" xfId="578" xr:uid="{00000000-0005-0000-0000-00009C050000}"/>
    <cellStyle name="Warning Text 14" xfId="579" xr:uid="{00000000-0005-0000-0000-00009D050000}"/>
    <cellStyle name="Warning Text 15" xfId="580" xr:uid="{00000000-0005-0000-0000-00009E050000}"/>
    <cellStyle name="Warning Text 16" xfId="695" xr:uid="{00000000-0005-0000-0000-00009F050000}"/>
    <cellStyle name="Warning Text 2" xfId="581" xr:uid="{00000000-0005-0000-0000-0000A0050000}"/>
    <cellStyle name="Warning Text 2 2" xfId="711" xr:uid="{00000000-0005-0000-0000-0000A1050000}"/>
    <cellStyle name="Warning Text 3" xfId="582" xr:uid="{00000000-0005-0000-0000-0000A2050000}"/>
    <cellStyle name="Warning Text 4" xfId="583" xr:uid="{00000000-0005-0000-0000-0000A3050000}"/>
    <cellStyle name="Warning Text 5" xfId="584" xr:uid="{00000000-0005-0000-0000-0000A4050000}"/>
    <cellStyle name="Warning Text 6" xfId="585" xr:uid="{00000000-0005-0000-0000-0000A5050000}"/>
    <cellStyle name="Warning Text 7" xfId="586" xr:uid="{00000000-0005-0000-0000-0000A6050000}"/>
    <cellStyle name="Warning Text 8" xfId="587" xr:uid="{00000000-0005-0000-0000-0000A7050000}"/>
    <cellStyle name="Warning Text 9" xfId="588" xr:uid="{00000000-0005-0000-0000-0000A8050000}"/>
  </cellStyles>
  <dxfs count="2">
    <dxf>
      <font>
        <color rgb="FF000000"/>
      </font>
    </dxf>
    <dxf>
      <font>
        <color auto="1"/>
      </font>
      <fill>
        <patternFill>
          <bgColor rgb="FFFF0000"/>
        </patternFill>
      </fill>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sheetPr>
  <dimension ref="A1:AA37"/>
  <sheetViews>
    <sheetView showGridLines="0" tabSelected="1" workbookViewId="0">
      <selection sqref="A1:N1"/>
    </sheetView>
  </sheetViews>
  <sheetFormatPr defaultRowHeight="12.75" x14ac:dyDescent="0.2"/>
  <cols>
    <col min="1" max="1" width="28.83203125" style="671" bestFit="1" customWidth="1"/>
    <col min="2" max="2" width="16" style="671" customWidth="1"/>
    <col min="3" max="14" width="11.6640625" style="671" customWidth="1"/>
    <col min="15" max="16384" width="9.33203125" style="671"/>
  </cols>
  <sheetData>
    <row r="1" spans="1:27" x14ac:dyDescent="0.2">
      <c r="A1" s="704" t="s">
        <v>167</v>
      </c>
      <c r="B1" s="704"/>
      <c r="C1" s="704"/>
      <c r="D1" s="704"/>
      <c r="E1" s="704"/>
      <c r="F1" s="704"/>
      <c r="G1" s="704"/>
      <c r="H1" s="704"/>
      <c r="I1" s="704"/>
      <c r="J1" s="704"/>
      <c r="K1" s="704"/>
      <c r="L1" s="704"/>
      <c r="M1" s="704"/>
      <c r="N1" s="704"/>
    </row>
    <row r="2" spans="1:27" x14ac:dyDescent="0.2">
      <c r="A2" s="705" t="s">
        <v>201</v>
      </c>
      <c r="B2" s="705"/>
      <c r="C2" s="705"/>
      <c r="D2" s="705"/>
      <c r="E2" s="705"/>
      <c r="F2" s="705"/>
      <c r="G2" s="705"/>
      <c r="H2" s="705"/>
      <c r="I2" s="705"/>
      <c r="J2" s="705"/>
      <c r="K2" s="705"/>
      <c r="L2" s="705"/>
      <c r="M2" s="705"/>
      <c r="N2" s="705"/>
    </row>
    <row r="3" spans="1:27" x14ac:dyDescent="0.2">
      <c r="A3" s="704" t="str">
        <f>B11&amp;" Test &amp; "&amp;B8&amp;" Bridge"</f>
        <v>2024 Test &amp; 2023 Bridge</v>
      </c>
      <c r="B3" s="704"/>
      <c r="C3" s="704"/>
      <c r="D3" s="704"/>
      <c r="E3" s="704"/>
      <c r="F3" s="704"/>
      <c r="G3" s="704"/>
      <c r="H3" s="704"/>
      <c r="I3" s="704"/>
      <c r="J3" s="704"/>
      <c r="K3" s="704"/>
      <c r="L3" s="704"/>
      <c r="M3" s="704"/>
      <c r="N3" s="704"/>
    </row>
    <row r="5" spans="1:27" x14ac:dyDescent="0.2">
      <c r="A5" s="706" t="s">
        <v>257</v>
      </c>
      <c r="B5" s="261">
        <v>2022</v>
      </c>
      <c r="C5" s="677" t="s">
        <v>224</v>
      </c>
      <c r="D5" s="677" t="s">
        <v>224</v>
      </c>
      <c r="E5" s="677" t="s">
        <v>224</v>
      </c>
      <c r="F5" s="677" t="s">
        <v>224</v>
      </c>
      <c r="G5" s="677" t="s">
        <v>224</v>
      </c>
      <c r="H5" s="677" t="s">
        <v>224</v>
      </c>
      <c r="I5" s="677" t="s">
        <v>224</v>
      </c>
      <c r="J5" s="677" t="s">
        <v>224</v>
      </c>
      <c r="K5" s="677" t="s">
        <v>224</v>
      </c>
      <c r="L5" s="677" t="s">
        <v>224</v>
      </c>
      <c r="M5" s="677" t="s">
        <v>224</v>
      </c>
      <c r="N5" s="677" t="s">
        <v>224</v>
      </c>
      <c r="AA5" s="707"/>
    </row>
    <row r="6" spans="1:27" x14ac:dyDescent="0.2">
      <c r="C6" s="708">
        <v>44592</v>
      </c>
      <c r="D6" s="708">
        <f>EOMONTH(C6,1)</f>
        <v>44620</v>
      </c>
      <c r="E6" s="708">
        <f t="shared" ref="E6:N6" si="0">EOMONTH(D6,1)</f>
        <v>44651</v>
      </c>
      <c r="F6" s="708">
        <f t="shared" si="0"/>
        <v>44681</v>
      </c>
      <c r="G6" s="708">
        <f t="shared" si="0"/>
        <v>44712</v>
      </c>
      <c r="H6" s="708">
        <f t="shared" si="0"/>
        <v>44742</v>
      </c>
      <c r="I6" s="708">
        <f t="shared" si="0"/>
        <v>44773</v>
      </c>
      <c r="J6" s="708">
        <f t="shared" si="0"/>
        <v>44804</v>
      </c>
      <c r="K6" s="708">
        <f t="shared" si="0"/>
        <v>44834</v>
      </c>
      <c r="L6" s="708">
        <f t="shared" si="0"/>
        <v>44865</v>
      </c>
      <c r="M6" s="708">
        <f t="shared" si="0"/>
        <v>44895</v>
      </c>
      <c r="N6" s="708">
        <f t="shared" si="0"/>
        <v>44926</v>
      </c>
    </row>
    <row r="8" spans="1:27" x14ac:dyDescent="0.2">
      <c r="A8" s="706" t="s">
        <v>200</v>
      </c>
      <c r="B8" s="261">
        <f>+B5+1</f>
        <v>2023</v>
      </c>
      <c r="C8" s="677" t="s">
        <v>435</v>
      </c>
      <c r="D8" s="677" t="s">
        <v>435</v>
      </c>
      <c r="E8" s="677" t="s">
        <v>435</v>
      </c>
      <c r="F8" s="677" t="s">
        <v>435</v>
      </c>
      <c r="G8" s="677" t="s">
        <v>435</v>
      </c>
      <c r="H8" s="677" t="s">
        <v>435</v>
      </c>
      <c r="I8" s="677" t="s">
        <v>435</v>
      </c>
      <c r="J8" s="677" t="s">
        <v>435</v>
      </c>
      <c r="K8" s="677" t="s">
        <v>435</v>
      </c>
      <c r="L8" s="677" t="s">
        <v>435</v>
      </c>
      <c r="M8" s="677" t="s">
        <v>435</v>
      </c>
      <c r="N8" s="677" t="s">
        <v>435</v>
      </c>
      <c r="AA8" s="707"/>
    </row>
    <row r="9" spans="1:27" x14ac:dyDescent="0.2">
      <c r="C9" s="708">
        <f>EOMONTH(N6,1)</f>
        <v>44957</v>
      </c>
      <c r="D9" s="708">
        <f>EOMONTH(C9,1)</f>
        <v>44985</v>
      </c>
      <c r="E9" s="708">
        <f t="shared" ref="E9:N9" si="1">EOMONTH(D9,1)</f>
        <v>45016</v>
      </c>
      <c r="F9" s="708">
        <f t="shared" si="1"/>
        <v>45046</v>
      </c>
      <c r="G9" s="708">
        <f t="shared" si="1"/>
        <v>45077</v>
      </c>
      <c r="H9" s="708">
        <f t="shared" si="1"/>
        <v>45107</v>
      </c>
      <c r="I9" s="708">
        <f t="shared" si="1"/>
        <v>45138</v>
      </c>
      <c r="J9" s="708">
        <f t="shared" si="1"/>
        <v>45169</v>
      </c>
      <c r="K9" s="708">
        <f t="shared" si="1"/>
        <v>45199</v>
      </c>
      <c r="L9" s="708">
        <f t="shared" si="1"/>
        <v>45230</v>
      </c>
      <c r="M9" s="708">
        <f t="shared" si="1"/>
        <v>45260</v>
      </c>
      <c r="N9" s="708">
        <f t="shared" si="1"/>
        <v>45291</v>
      </c>
    </row>
    <row r="11" spans="1:27" x14ac:dyDescent="0.2">
      <c r="A11" s="706" t="s">
        <v>199</v>
      </c>
      <c r="B11" s="261">
        <f>+B8+1</f>
        <v>2024</v>
      </c>
      <c r="C11" s="677" t="s">
        <v>436</v>
      </c>
      <c r="D11" s="677" t="s">
        <v>436</v>
      </c>
      <c r="E11" s="677" t="s">
        <v>436</v>
      </c>
      <c r="F11" s="677" t="s">
        <v>436</v>
      </c>
      <c r="G11" s="677" t="s">
        <v>436</v>
      </c>
      <c r="H11" s="677" t="s">
        <v>436</v>
      </c>
      <c r="I11" s="677" t="s">
        <v>436</v>
      </c>
      <c r="J11" s="677" t="s">
        <v>436</v>
      </c>
      <c r="K11" s="677" t="s">
        <v>436</v>
      </c>
      <c r="L11" s="677" t="s">
        <v>436</v>
      </c>
      <c r="M11" s="677" t="s">
        <v>436</v>
      </c>
      <c r="N11" s="677" t="s">
        <v>436</v>
      </c>
      <c r="AA11" s="707"/>
    </row>
    <row r="12" spans="1:27" x14ac:dyDescent="0.2">
      <c r="C12" s="708">
        <f>EOMONTH(N9,1)</f>
        <v>45322</v>
      </c>
      <c r="D12" s="708">
        <f>EOMONTH(C12,1)</f>
        <v>45351</v>
      </c>
      <c r="E12" s="708">
        <f t="shared" ref="E12:N12" si="2">EOMONTH(D12,1)</f>
        <v>45382</v>
      </c>
      <c r="F12" s="708">
        <f t="shared" si="2"/>
        <v>45412</v>
      </c>
      <c r="G12" s="708">
        <f t="shared" si="2"/>
        <v>45443</v>
      </c>
      <c r="H12" s="708">
        <f t="shared" si="2"/>
        <v>45473</v>
      </c>
      <c r="I12" s="708">
        <f t="shared" si="2"/>
        <v>45504</v>
      </c>
      <c r="J12" s="708">
        <f t="shared" si="2"/>
        <v>45535</v>
      </c>
      <c r="K12" s="708">
        <f t="shared" si="2"/>
        <v>45565</v>
      </c>
      <c r="L12" s="708">
        <f t="shared" si="2"/>
        <v>45596</v>
      </c>
      <c r="M12" s="708">
        <f t="shared" si="2"/>
        <v>45626</v>
      </c>
      <c r="N12" s="708">
        <f t="shared" si="2"/>
        <v>45657</v>
      </c>
    </row>
    <row r="13" spans="1:27" hidden="1" x14ac:dyDescent="0.2">
      <c r="A13" s="671" t="s">
        <v>381</v>
      </c>
      <c r="B13" s="671">
        <f>COUNTIF($C$5:$N$5,"actual")</f>
        <v>12</v>
      </c>
    </row>
    <row r="14" spans="1:27" x14ac:dyDescent="0.2">
      <c r="B14" s="709"/>
    </row>
    <row r="15" spans="1:27" hidden="1" x14ac:dyDescent="0.2">
      <c r="A15" s="671" t="s">
        <v>326</v>
      </c>
      <c r="B15" s="709"/>
      <c r="C15" s="710">
        <v>2023</v>
      </c>
      <c r="D15" s="710">
        <v>2024</v>
      </c>
    </row>
    <row r="16" spans="1:27" hidden="1" x14ac:dyDescent="0.2">
      <c r="A16" s="711" t="s">
        <v>5</v>
      </c>
      <c r="B16" s="675"/>
    </row>
    <row r="17" spans="1:4" hidden="1" x14ac:dyDescent="0.2">
      <c r="A17" s="671" t="s">
        <v>438</v>
      </c>
      <c r="B17" s="675"/>
      <c r="C17" s="672">
        <v>96</v>
      </c>
      <c r="D17" s="672"/>
    </row>
    <row r="18" spans="1:4" hidden="1" x14ac:dyDescent="0.2">
      <c r="A18" s="671" t="s">
        <v>439</v>
      </c>
      <c r="B18" s="675"/>
      <c r="C18" s="672">
        <v>-23</v>
      </c>
      <c r="D18" s="672"/>
    </row>
    <row r="19" spans="1:4" hidden="1" x14ac:dyDescent="0.2">
      <c r="A19" s="671" t="s">
        <v>440</v>
      </c>
      <c r="B19" s="675"/>
      <c r="C19" s="672">
        <v>-18</v>
      </c>
      <c r="D19" s="672"/>
    </row>
    <row r="20" spans="1:4" hidden="1" x14ac:dyDescent="0.2">
      <c r="A20" s="671" t="s">
        <v>441</v>
      </c>
      <c r="B20" s="675"/>
      <c r="C20" s="673">
        <f>SUM(C17:C19)</f>
        <v>55</v>
      </c>
      <c r="D20" s="673">
        <f>C20</f>
        <v>55</v>
      </c>
    </row>
    <row r="21" spans="1:4" hidden="1" x14ac:dyDescent="0.2">
      <c r="A21" s="671" t="s">
        <v>458</v>
      </c>
      <c r="B21" s="675"/>
      <c r="C21" s="672">
        <v>30</v>
      </c>
      <c r="D21" s="672">
        <v>15</v>
      </c>
    </row>
    <row r="22" spans="1:4" hidden="1" x14ac:dyDescent="0.2">
      <c r="A22" s="671" t="s">
        <v>459</v>
      </c>
      <c r="B22" s="675"/>
      <c r="C22" s="672">
        <v>30</v>
      </c>
      <c r="D22" s="672">
        <v>15</v>
      </c>
    </row>
    <row r="23" spans="1:4" hidden="1" x14ac:dyDescent="0.2">
      <c r="A23" s="671" t="s">
        <v>460</v>
      </c>
      <c r="B23" s="675"/>
      <c r="C23" s="672">
        <f>+C36</f>
        <v>14</v>
      </c>
      <c r="D23" s="672">
        <f>+D36</f>
        <v>30</v>
      </c>
    </row>
    <row r="24" spans="1:4" hidden="1" x14ac:dyDescent="0.2">
      <c r="B24" s="675"/>
      <c r="C24" s="672"/>
      <c r="D24" s="672"/>
    </row>
    <row r="25" spans="1:4" hidden="1" x14ac:dyDescent="0.2">
      <c r="B25" s="675"/>
      <c r="C25" s="672"/>
      <c r="D25" s="672"/>
    </row>
    <row r="26" spans="1:4" hidden="1" x14ac:dyDescent="0.2">
      <c r="B26" s="675"/>
      <c r="C26" s="673">
        <f>SUM(C20:C25)</f>
        <v>129</v>
      </c>
      <c r="D26" s="673">
        <f>SUM(D20:D25)</f>
        <v>115</v>
      </c>
    </row>
    <row r="27" spans="1:4" hidden="1" x14ac:dyDescent="0.2">
      <c r="B27" s="675"/>
    </row>
    <row r="28" spans="1:4" hidden="1" x14ac:dyDescent="0.2">
      <c r="A28" s="671" t="s">
        <v>172</v>
      </c>
      <c r="B28" s="675"/>
      <c r="C28" s="671">
        <v>36</v>
      </c>
      <c r="D28" s="671">
        <v>36</v>
      </c>
    </row>
    <row r="29" spans="1:4" hidden="1" x14ac:dyDescent="0.2">
      <c r="A29" s="671" t="s">
        <v>173</v>
      </c>
      <c r="B29" s="675"/>
      <c r="C29" s="671">
        <v>0</v>
      </c>
      <c r="D29" s="671">
        <v>3</v>
      </c>
    </row>
    <row r="30" spans="1:4" hidden="1" x14ac:dyDescent="0.2">
      <c r="B30" s="675"/>
    </row>
    <row r="31" spans="1:4" hidden="1" x14ac:dyDescent="0.2">
      <c r="B31" s="675"/>
    </row>
    <row r="32" spans="1:4" hidden="1" x14ac:dyDescent="0.2">
      <c r="A32" s="671" t="s">
        <v>442</v>
      </c>
      <c r="B32" s="675"/>
    </row>
    <row r="33" spans="1:4" hidden="1" x14ac:dyDescent="0.2">
      <c r="A33" s="671" t="s">
        <v>461</v>
      </c>
      <c r="B33" s="675"/>
      <c r="C33" s="671">
        <v>8</v>
      </c>
      <c r="D33" s="671">
        <v>0</v>
      </c>
    </row>
    <row r="34" spans="1:4" hidden="1" x14ac:dyDescent="0.2">
      <c r="A34" s="671" t="s">
        <v>462</v>
      </c>
      <c r="B34" s="675"/>
      <c r="C34" s="671">
        <v>6</v>
      </c>
      <c r="D34" s="671">
        <v>0</v>
      </c>
    </row>
    <row r="35" spans="1:4" hidden="1" x14ac:dyDescent="0.2">
      <c r="A35" s="671" t="s">
        <v>463</v>
      </c>
      <c r="B35" s="675"/>
      <c r="C35" s="671">
        <v>0</v>
      </c>
      <c r="D35" s="671">
        <v>30</v>
      </c>
    </row>
    <row r="36" spans="1:4" hidden="1" x14ac:dyDescent="0.2">
      <c r="B36" s="675"/>
      <c r="C36" s="674">
        <f>SUM(C33:C35)</f>
        <v>14</v>
      </c>
      <c r="D36" s="674">
        <f>SUM(D33:D35)</f>
        <v>30</v>
      </c>
    </row>
    <row r="37" spans="1:4" x14ac:dyDescent="0.2">
      <c r="B37" s="675"/>
    </row>
  </sheetData>
  <mergeCells count="3">
    <mergeCell ref="A1:N1"/>
    <mergeCell ref="A2:N2"/>
    <mergeCell ref="A3:N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0000"/>
    <pageSetUpPr fitToPage="1"/>
  </sheetPr>
  <dimension ref="A1:O74"/>
  <sheetViews>
    <sheetView showGridLines="0" workbookViewId="0">
      <selection activeCell="A2" sqref="A2"/>
    </sheetView>
  </sheetViews>
  <sheetFormatPr defaultColWidth="17.5" defaultRowHeight="12.75" x14ac:dyDescent="0.2"/>
  <cols>
    <col min="1" max="1" width="40.6640625" style="319" bestFit="1" customWidth="1"/>
    <col min="2" max="2" width="30.83203125" style="319" bestFit="1" customWidth="1"/>
    <col min="3" max="9" width="19.83203125" style="319" customWidth="1"/>
    <col min="10" max="10" width="13.1640625" style="319" customWidth="1"/>
    <col min="11" max="13" width="17.5" style="319"/>
    <col min="14" max="14" width="21" style="319" bestFit="1" customWidth="1"/>
    <col min="15" max="16384" width="17.5" style="319"/>
  </cols>
  <sheetData>
    <row r="1" spans="1:8" x14ac:dyDescent="0.2">
      <c r="A1" s="1" t="str">
        <f>+'1. Assumptions'!A1</f>
        <v>Niagara-on-the-Lake Hydro Inc.</v>
      </c>
    </row>
    <row r="2" spans="1:8" x14ac:dyDescent="0.2">
      <c r="A2" s="582" t="s">
        <v>229</v>
      </c>
    </row>
    <row r="3" spans="1:8" x14ac:dyDescent="0.2">
      <c r="A3" s="1" t="str">
        <f>+'1. Assumptions'!A3</f>
        <v>2024 Test &amp; 2023 Bridge</v>
      </c>
    </row>
    <row r="10" spans="1:8" s="27" customFormat="1" x14ac:dyDescent="0.2">
      <c r="A10" s="655" t="s">
        <v>133</v>
      </c>
      <c r="B10" s="655"/>
      <c r="C10" s="655"/>
      <c r="D10" s="655"/>
      <c r="E10" s="655"/>
      <c r="F10" s="655"/>
      <c r="G10" s="655"/>
      <c r="H10" s="655"/>
    </row>
    <row r="11" spans="1:8" x14ac:dyDescent="0.2">
      <c r="A11" s="655" t="s">
        <v>134</v>
      </c>
      <c r="B11" s="655"/>
      <c r="C11" s="655"/>
      <c r="D11" s="655"/>
      <c r="E11" s="655"/>
      <c r="F11" s="655"/>
      <c r="G11" s="655"/>
      <c r="H11" s="655"/>
    </row>
    <row r="12" spans="1:8" x14ac:dyDescent="0.2">
      <c r="A12" s="335"/>
      <c r="B12" s="335"/>
      <c r="C12" s="335"/>
      <c r="D12" s="335"/>
      <c r="E12" s="335"/>
      <c r="F12" s="335"/>
      <c r="G12" s="335"/>
      <c r="H12" s="335"/>
    </row>
    <row r="13" spans="1:8" x14ac:dyDescent="0.2">
      <c r="A13" s="651" t="s">
        <v>218</v>
      </c>
      <c r="B13" s="651"/>
      <c r="C13" s="651"/>
      <c r="D13" s="651"/>
      <c r="E13" s="651"/>
      <c r="F13" s="651"/>
      <c r="G13" s="651"/>
      <c r="H13" s="651"/>
    </row>
    <row r="14" spans="1:8" x14ac:dyDescent="0.2">
      <c r="A14" s="259"/>
      <c r="B14" s="259"/>
      <c r="C14" s="259"/>
      <c r="D14" s="259"/>
      <c r="E14" s="259"/>
      <c r="F14" s="259"/>
      <c r="G14" s="259"/>
      <c r="H14" s="259"/>
    </row>
    <row r="15" spans="1:8" x14ac:dyDescent="0.2">
      <c r="A15" s="651" t="s">
        <v>219</v>
      </c>
      <c r="B15" s="651"/>
      <c r="C15" s="651"/>
      <c r="D15" s="651"/>
      <c r="E15" s="651"/>
      <c r="F15" s="651"/>
      <c r="G15" s="651"/>
      <c r="H15" s="651"/>
    </row>
    <row r="16" spans="1:8" x14ac:dyDescent="0.2">
      <c r="A16" s="336"/>
      <c r="B16" s="336"/>
      <c r="C16" s="336"/>
      <c r="D16" s="336"/>
      <c r="E16" s="336"/>
      <c r="F16" s="336"/>
      <c r="G16" s="336"/>
      <c r="H16" s="336"/>
    </row>
    <row r="17" spans="1:15" x14ac:dyDescent="0.2">
      <c r="A17" s="651" t="s">
        <v>135</v>
      </c>
      <c r="B17" s="651"/>
      <c r="C17" s="651"/>
      <c r="D17" s="651"/>
      <c r="E17" s="651"/>
      <c r="F17" s="651"/>
      <c r="G17" s="651"/>
      <c r="H17" s="651"/>
      <c r="N17" s="320"/>
      <c r="O17" s="321"/>
    </row>
    <row r="18" spans="1:15" x14ac:dyDescent="0.2">
      <c r="A18" s="336"/>
      <c r="B18" s="336"/>
      <c r="C18" s="336"/>
      <c r="D18" s="336"/>
      <c r="E18" s="336"/>
      <c r="F18" s="336"/>
      <c r="G18" s="336"/>
      <c r="H18" s="336"/>
    </row>
    <row r="19" spans="1:15" x14ac:dyDescent="0.2">
      <c r="A19" s="660" t="s">
        <v>168</v>
      </c>
      <c r="B19" s="660"/>
      <c r="C19" s="660"/>
      <c r="D19" s="660"/>
      <c r="E19" s="660"/>
      <c r="F19" s="660"/>
      <c r="G19" s="335"/>
      <c r="H19" s="335"/>
    </row>
    <row r="20" spans="1:15" x14ac:dyDescent="0.2">
      <c r="A20" s="337"/>
      <c r="B20" s="338"/>
      <c r="C20" s="338"/>
      <c r="D20" s="338"/>
      <c r="E20" s="338"/>
      <c r="F20" s="338"/>
      <c r="G20" s="335"/>
      <c r="H20" s="335"/>
    </row>
    <row r="21" spans="1:15" x14ac:dyDescent="0.2">
      <c r="A21" s="651" t="s">
        <v>220</v>
      </c>
      <c r="B21" s="651"/>
      <c r="C21" s="651"/>
      <c r="D21" s="651"/>
      <c r="E21" s="651"/>
      <c r="F21" s="651"/>
      <c r="G21" s="651"/>
      <c r="H21" s="651"/>
    </row>
    <row r="22" spans="1:15" ht="13.5" thickBot="1" x14ac:dyDescent="0.25">
      <c r="A22" s="337"/>
      <c r="B22" s="338"/>
      <c r="C22" s="338"/>
      <c r="D22" s="338"/>
      <c r="E22" s="338"/>
      <c r="F22" s="338"/>
      <c r="G22" s="335"/>
      <c r="H22" s="335"/>
    </row>
    <row r="23" spans="1:15" x14ac:dyDescent="0.2">
      <c r="A23" s="661" t="s">
        <v>112</v>
      </c>
      <c r="B23" s="662"/>
      <c r="C23" s="662"/>
      <c r="D23" s="662"/>
      <c r="E23" s="662"/>
      <c r="F23" s="662"/>
      <c r="G23" s="662"/>
      <c r="H23" s="663"/>
    </row>
    <row r="24" spans="1:15" x14ac:dyDescent="0.2">
      <c r="A24" s="664">
        <v>11680000</v>
      </c>
      <c r="B24" s="665"/>
      <c r="C24" s="665"/>
      <c r="D24" s="665"/>
      <c r="E24" s="665"/>
      <c r="F24" s="665"/>
      <c r="G24" s="665"/>
      <c r="H24" s="666"/>
    </row>
    <row r="25" spans="1:15" x14ac:dyDescent="0.2">
      <c r="A25" s="339"/>
      <c r="B25" s="340">
        <v>2015</v>
      </c>
      <c r="C25" s="340">
        <v>2016</v>
      </c>
      <c r="D25" s="340">
        <v>2017</v>
      </c>
      <c r="E25" s="340">
        <v>2018</v>
      </c>
      <c r="F25" s="340">
        <v>2019</v>
      </c>
      <c r="G25" s="340">
        <v>2020</v>
      </c>
      <c r="H25" s="341" t="s">
        <v>15</v>
      </c>
    </row>
    <row r="26" spans="1:15" x14ac:dyDescent="0.2">
      <c r="A26" s="667" t="s">
        <v>113</v>
      </c>
      <c r="B26" s="668"/>
      <c r="C26" s="668"/>
      <c r="D26" s="668"/>
      <c r="E26" s="668"/>
      <c r="F26" s="668"/>
      <c r="G26" s="668"/>
      <c r="H26" s="669"/>
    </row>
    <row r="27" spans="1:15" x14ac:dyDescent="0.2">
      <c r="A27" s="342" t="s">
        <v>114</v>
      </c>
      <c r="B27" s="325">
        <f t="shared" ref="B27:G27" si="0">+B35/$H$41</f>
        <v>5.2004312493195273E-2</v>
      </c>
      <c r="C27" s="325">
        <f t="shared" si="0"/>
        <v>5.1935954239410484E-2</v>
      </c>
      <c r="D27" s="325">
        <f t="shared" si="0"/>
        <v>5.1934420720915433E-2</v>
      </c>
      <c r="E27" s="325">
        <f t="shared" si="0"/>
        <v>5.1118788905700298E-2</v>
      </c>
      <c r="F27" s="325">
        <f t="shared" si="0"/>
        <v>5.1105037245282724E-2</v>
      </c>
      <c r="G27" s="325">
        <f t="shared" si="0"/>
        <v>5.1064332330446723E-2</v>
      </c>
      <c r="H27" s="343">
        <f>H35/H41</f>
        <v>0.30916284593495091</v>
      </c>
    </row>
    <row r="28" spans="1:15" x14ac:dyDescent="0.2">
      <c r="A28" s="342" t="s">
        <v>115</v>
      </c>
      <c r="B28" s="344"/>
      <c r="C28" s="325">
        <f>+C36/$H$41</f>
        <v>6.7165759799414887E-2</v>
      </c>
      <c r="D28" s="325">
        <f>+D36/$H$41</f>
        <v>6.7165759799414887E-2</v>
      </c>
      <c r="E28" s="325">
        <f>+E36/$H$41</f>
        <v>6.7152424855979664E-2</v>
      </c>
      <c r="F28" s="325">
        <f>+F36/$H$41</f>
        <v>6.7054329678334343E-2</v>
      </c>
      <c r="G28" s="325">
        <f>+G36/$H$41</f>
        <v>6.6476659928720677E-2</v>
      </c>
      <c r="H28" s="343">
        <f>H36/H41</f>
        <v>0.3350149340618645</v>
      </c>
    </row>
    <row r="29" spans="1:15" x14ac:dyDescent="0.2">
      <c r="A29" s="342" t="s">
        <v>116</v>
      </c>
      <c r="B29" s="344"/>
      <c r="C29" s="344"/>
      <c r="D29" s="325">
        <f>+D37/$H$41</f>
        <v>6.2055859481077058E-2</v>
      </c>
      <c r="E29" s="325">
        <f>+E37/$H$41</f>
        <v>5.7475939820892698E-2</v>
      </c>
      <c r="F29" s="325">
        <f>+F37/$H$41</f>
        <v>5.7468272228417445E-2</v>
      </c>
      <c r="G29" s="325">
        <f>+G37/$H$41</f>
        <v>5.7424550282629223E-2</v>
      </c>
      <c r="H29" s="343">
        <f>H37/H41</f>
        <v>0.23442462181301643</v>
      </c>
      <c r="N29" s="322"/>
    </row>
    <row r="30" spans="1:15" x14ac:dyDescent="0.2">
      <c r="A30" s="342" t="s">
        <v>117</v>
      </c>
      <c r="B30" s="344"/>
      <c r="C30" s="344"/>
      <c r="D30" s="345"/>
      <c r="E30" s="325">
        <f>+E38/$H$41</f>
        <v>2.5562025932067491E-2</v>
      </c>
      <c r="F30" s="325">
        <f>+F38/$H$41</f>
        <v>2.5409568520941839E-2</v>
      </c>
      <c r="G30" s="325">
        <f>+G38/$H$41</f>
        <v>2.5258020398550539E-2</v>
      </c>
      <c r="H30" s="343">
        <f>H38/H41</f>
        <v>7.6229614851559865E-2</v>
      </c>
    </row>
    <row r="31" spans="1:15" x14ac:dyDescent="0.2">
      <c r="A31" s="342" t="s">
        <v>118</v>
      </c>
      <c r="B31" s="344"/>
      <c r="C31" s="344"/>
      <c r="D31" s="345"/>
      <c r="E31" s="345"/>
      <c r="F31" s="325">
        <f>+F39/$H$41</f>
        <v>1.7422895313568023E-2</v>
      </c>
      <c r="G31" s="325">
        <f>+G39/$H$41</f>
        <v>1.7318981425017917E-2</v>
      </c>
      <c r="H31" s="343">
        <f>H39/H41</f>
        <v>3.474187673858594E-2</v>
      </c>
    </row>
    <row r="32" spans="1:15" ht="13.5" thickBot="1" x14ac:dyDescent="0.25">
      <c r="A32" s="346" t="s">
        <v>119</v>
      </c>
      <c r="B32" s="347"/>
      <c r="C32" s="347"/>
      <c r="D32" s="347"/>
      <c r="E32" s="347"/>
      <c r="F32" s="347"/>
      <c r="G32" s="325">
        <f>+G40/$H$41</f>
        <v>1.0426106600022453E-2</v>
      </c>
      <c r="H32" s="348">
        <f>H40/H41</f>
        <v>1.0426106600022453E-2</v>
      </c>
    </row>
    <row r="33" spans="1:8" ht="13.5" thickTop="1" x14ac:dyDescent="0.2">
      <c r="A33" s="349" t="s">
        <v>44</v>
      </c>
      <c r="B33" s="350">
        <f t="shared" ref="B33:H33" si="1">SUM(B27:B32)</f>
        <v>5.2004312493195273E-2</v>
      </c>
      <c r="C33" s="350">
        <f t="shared" si="1"/>
        <v>0.11910171403882537</v>
      </c>
      <c r="D33" s="350">
        <f t="shared" si="1"/>
        <v>0.18115604000140739</v>
      </c>
      <c r="E33" s="350">
        <f t="shared" si="1"/>
        <v>0.20130917951464014</v>
      </c>
      <c r="F33" s="350">
        <f t="shared" si="1"/>
        <v>0.21846010298654436</v>
      </c>
      <c r="G33" s="351">
        <f t="shared" si="1"/>
        <v>0.22796865096538754</v>
      </c>
      <c r="H33" s="352">
        <f t="shared" si="1"/>
        <v>1</v>
      </c>
    </row>
    <row r="34" spans="1:8" x14ac:dyDescent="0.2">
      <c r="A34" s="656" t="s">
        <v>33</v>
      </c>
      <c r="B34" s="657"/>
      <c r="C34" s="657"/>
      <c r="D34" s="657"/>
      <c r="E34" s="657"/>
      <c r="F34" s="657"/>
      <c r="G34" s="657"/>
      <c r="H34" s="658"/>
    </row>
    <row r="35" spans="1:8" x14ac:dyDescent="0.2">
      <c r="A35" s="342" t="str">
        <f t="shared" ref="A35:A40" si="2">A27</f>
        <v>2015 CDM Programs</v>
      </c>
      <c r="B35" s="353">
        <v>3119882</v>
      </c>
      <c r="C35" s="353">
        <v>3115781</v>
      </c>
      <c r="D35" s="353">
        <v>3115689</v>
      </c>
      <c r="E35" s="353">
        <v>3066757</v>
      </c>
      <c r="F35" s="353">
        <v>3065932</v>
      </c>
      <c r="G35" s="353">
        <v>3063490</v>
      </c>
      <c r="H35" s="354">
        <f t="shared" ref="H35:H40" si="3">SUM(B35:G35)</f>
        <v>18547531</v>
      </c>
    </row>
    <row r="36" spans="1:8" x14ac:dyDescent="0.2">
      <c r="A36" s="342" t="str">
        <f t="shared" si="2"/>
        <v>2016 CDM Programs</v>
      </c>
      <c r="B36" s="355"/>
      <c r="C36" s="356">
        <v>4029459</v>
      </c>
      <c r="D36" s="356">
        <v>4029459</v>
      </c>
      <c r="E36" s="356">
        <v>4028659</v>
      </c>
      <c r="F36" s="356">
        <v>4022774</v>
      </c>
      <c r="G36" s="357">
        <v>3988118</v>
      </c>
      <c r="H36" s="354">
        <f t="shared" si="3"/>
        <v>20098469</v>
      </c>
    </row>
    <row r="37" spans="1:8" x14ac:dyDescent="0.2">
      <c r="A37" s="342" t="str">
        <f t="shared" si="2"/>
        <v>2017 CDM Programs</v>
      </c>
      <c r="B37" s="355"/>
      <c r="C37" s="355"/>
      <c r="D37" s="356">
        <v>3722902</v>
      </c>
      <c r="E37" s="356">
        <v>3448140</v>
      </c>
      <c r="F37" s="356">
        <v>3447680</v>
      </c>
      <c r="G37" s="357">
        <v>3445057</v>
      </c>
      <c r="H37" s="354">
        <f t="shared" si="3"/>
        <v>14063779</v>
      </c>
    </row>
    <row r="38" spans="1:8" x14ac:dyDescent="0.2">
      <c r="A38" s="342" t="str">
        <f t="shared" si="2"/>
        <v>2018 CDM Programs</v>
      </c>
      <c r="B38" s="355"/>
      <c r="C38" s="355"/>
      <c r="D38" s="355"/>
      <c r="E38" s="356">
        <v>1533536.3696890692</v>
      </c>
      <c r="F38" s="356">
        <v>1524390.0295119972</v>
      </c>
      <c r="G38" s="357">
        <v>1515298.2400715679</v>
      </c>
      <c r="H38" s="354">
        <f t="shared" si="3"/>
        <v>4573224.6392726339</v>
      </c>
    </row>
    <row r="39" spans="1:8" x14ac:dyDescent="0.2">
      <c r="A39" s="342" t="str">
        <f t="shared" si="2"/>
        <v>2019 CDM Programs</v>
      </c>
      <c r="B39" s="355"/>
      <c r="C39" s="355"/>
      <c r="D39" s="355"/>
      <c r="E39" s="355"/>
      <c r="F39" s="356">
        <v>1045247.4971916581</v>
      </c>
      <c r="G39" s="357">
        <v>1039013.4166915091</v>
      </c>
      <c r="H39" s="354">
        <f t="shared" si="3"/>
        <v>2084260.9138831673</v>
      </c>
    </row>
    <row r="40" spans="1:8" ht="13.5" thickBot="1" x14ac:dyDescent="0.25">
      <c r="A40" s="346" t="str">
        <f t="shared" si="2"/>
        <v>2020 CDM Programs</v>
      </c>
      <c r="B40" s="358"/>
      <c r="C40" s="358"/>
      <c r="D40" s="358"/>
      <c r="E40" s="358"/>
      <c r="F40" s="358"/>
      <c r="G40" s="357">
        <v>625490.86319999991</v>
      </c>
      <c r="H40" s="354">
        <f t="shared" si="3"/>
        <v>625490.86319999991</v>
      </c>
    </row>
    <row r="41" spans="1:8" ht="14.25" thickTop="1" thickBot="1" x14ac:dyDescent="0.25">
      <c r="A41" s="359" t="s">
        <v>44</v>
      </c>
      <c r="B41" s="360">
        <f>SUM(B35:B40)</f>
        <v>3119882</v>
      </c>
      <c r="C41" s="360">
        <f t="shared" ref="C41:D41" si="4">SUM(C35:C40)</f>
        <v>7145240</v>
      </c>
      <c r="D41" s="360">
        <f t="shared" si="4"/>
        <v>10868050</v>
      </c>
      <c r="E41" s="360">
        <f>SUM(E35:E38)</f>
        <v>12077092.36968907</v>
      </c>
      <c r="F41" s="360">
        <f>SUM(F35:F39)</f>
        <v>13106023.526703656</v>
      </c>
      <c r="G41" s="361">
        <f>SUM(G35:G40)</f>
        <v>13676467.519963076</v>
      </c>
      <c r="H41" s="362">
        <f>SUM(H35:H40)</f>
        <v>59992755.416355796</v>
      </c>
    </row>
    <row r="42" spans="1:8" x14ac:dyDescent="0.2">
      <c r="A42" s="337"/>
      <c r="B42" s="338"/>
      <c r="C42" s="338"/>
      <c r="D42" s="338"/>
      <c r="E42" s="338"/>
      <c r="F42" s="338"/>
      <c r="G42" s="659" t="str">
        <f>IF(G41-H41&lt;&gt;0,"Inputs do no match 2015-20 CDM target","")</f>
        <v>Inputs do no match 2015-20 CDM target</v>
      </c>
      <c r="H42" s="659"/>
    </row>
    <row r="43" spans="1:8" x14ac:dyDescent="0.2">
      <c r="A43" s="337"/>
      <c r="B43" s="338"/>
      <c r="C43" s="338"/>
      <c r="D43" s="338"/>
      <c r="E43" s="338"/>
      <c r="F43" s="338"/>
      <c r="G43" s="363"/>
      <c r="H43" s="363"/>
    </row>
    <row r="44" spans="1:8" x14ac:dyDescent="0.2">
      <c r="A44" s="650" t="s">
        <v>136</v>
      </c>
      <c r="B44" s="650"/>
      <c r="C44" s="650"/>
      <c r="D44" s="650"/>
      <c r="E44" s="650"/>
      <c r="F44" s="650"/>
      <c r="G44" s="650"/>
      <c r="H44" s="650"/>
    </row>
    <row r="45" spans="1:8" x14ac:dyDescent="0.2">
      <c r="A45" s="337"/>
      <c r="B45" s="338"/>
      <c r="C45" s="338"/>
      <c r="D45" s="338"/>
      <c r="E45" s="338"/>
      <c r="F45" s="338"/>
      <c r="G45" s="335"/>
      <c r="H45" s="335"/>
    </row>
    <row r="46" spans="1:8" x14ac:dyDescent="0.2">
      <c r="A46" s="364"/>
      <c r="B46" s="364"/>
      <c r="C46" s="335"/>
      <c r="D46" s="335"/>
      <c r="E46" s="335"/>
      <c r="F46" s="325"/>
      <c r="G46" s="335"/>
      <c r="H46" s="335"/>
    </row>
    <row r="47" spans="1:8" ht="13.5" thickBot="1" x14ac:dyDescent="0.25">
      <c r="A47" s="653" t="s">
        <v>137</v>
      </c>
      <c r="B47" s="653"/>
      <c r="C47" s="653"/>
      <c r="D47" s="653"/>
      <c r="E47" s="653"/>
      <c r="F47" s="653"/>
      <c r="G47" s="335"/>
      <c r="H47" s="335"/>
    </row>
    <row r="48" spans="1:8" x14ac:dyDescent="0.2">
      <c r="A48" s="365"/>
      <c r="B48" s="366">
        <v>2015</v>
      </c>
      <c r="C48" s="366">
        <f>+B48+1</f>
        <v>2016</v>
      </c>
      <c r="D48" s="366">
        <f>+C48+1</f>
        <v>2017</v>
      </c>
      <c r="E48" s="366">
        <f>+D48+1</f>
        <v>2018</v>
      </c>
      <c r="F48" s="366">
        <f>+E48+1</f>
        <v>2019</v>
      </c>
      <c r="G48" s="366">
        <f>+F48+1</f>
        <v>2020</v>
      </c>
      <c r="H48" s="367"/>
    </row>
    <row r="49" spans="1:8" ht="51" x14ac:dyDescent="0.2">
      <c r="A49" s="368" t="s">
        <v>199</v>
      </c>
      <c r="B49" s="369">
        <v>0</v>
      </c>
      <c r="C49" s="369">
        <v>0</v>
      </c>
      <c r="D49" s="369">
        <v>0</v>
      </c>
      <c r="E49" s="370">
        <v>0</v>
      </c>
      <c r="F49" s="370">
        <v>0</v>
      </c>
      <c r="G49" s="370">
        <v>0</v>
      </c>
      <c r="H49" s="326" t="s">
        <v>120</v>
      </c>
    </row>
    <row r="50" spans="1:8" ht="51" x14ac:dyDescent="0.2">
      <c r="A50" s="368" t="s">
        <v>200</v>
      </c>
      <c r="B50" s="369">
        <v>0</v>
      </c>
      <c r="C50" s="369">
        <v>0</v>
      </c>
      <c r="D50" s="369">
        <v>0</v>
      </c>
      <c r="E50" s="370">
        <v>0</v>
      </c>
      <c r="F50" s="370">
        <v>0</v>
      </c>
      <c r="G50" s="370">
        <v>0.5</v>
      </c>
      <c r="H50" s="326" t="s">
        <v>120</v>
      </c>
    </row>
    <row r="51" spans="1:8" x14ac:dyDescent="0.2">
      <c r="A51" s="371"/>
      <c r="B51" s="372"/>
      <c r="C51" s="372"/>
      <c r="D51" s="372"/>
      <c r="E51" s="372"/>
      <c r="F51" s="372"/>
      <c r="G51" s="325"/>
      <c r="H51" s="335"/>
    </row>
    <row r="52" spans="1:8" x14ac:dyDescent="0.2">
      <c r="A52" s="654" t="s">
        <v>138</v>
      </c>
      <c r="B52" s="654"/>
      <c r="C52" s="654"/>
      <c r="D52" s="654"/>
      <c r="E52" s="654"/>
      <c r="F52" s="654"/>
      <c r="G52" s="654"/>
      <c r="H52" s="654"/>
    </row>
    <row r="53" spans="1:8" x14ac:dyDescent="0.2">
      <c r="A53" s="373"/>
      <c r="B53" s="373"/>
      <c r="C53" s="373"/>
      <c r="D53" s="373"/>
      <c r="E53" s="373"/>
      <c r="F53" s="373"/>
      <c r="G53" s="373"/>
      <c r="H53" s="373"/>
    </row>
    <row r="54" spans="1:8" x14ac:dyDescent="0.2">
      <c r="A54" s="651" t="s">
        <v>139</v>
      </c>
      <c r="B54" s="651"/>
      <c r="C54" s="651"/>
      <c r="D54" s="651"/>
      <c r="E54" s="651"/>
      <c r="F54" s="651"/>
      <c r="G54" s="651"/>
      <c r="H54" s="651"/>
    </row>
    <row r="55" spans="1:8" x14ac:dyDescent="0.2">
      <c r="A55" s="364"/>
      <c r="B55" s="372"/>
      <c r="C55" s="372"/>
      <c r="D55" s="372"/>
      <c r="E55" s="372"/>
      <c r="F55" s="325"/>
      <c r="G55" s="335"/>
      <c r="H55" s="335"/>
    </row>
    <row r="56" spans="1:8" x14ac:dyDescent="0.2">
      <c r="A56" s="651" t="s">
        <v>140</v>
      </c>
      <c r="B56" s="651"/>
      <c r="C56" s="651"/>
      <c r="D56" s="651"/>
      <c r="E56" s="651"/>
      <c r="F56" s="651"/>
      <c r="G56" s="651"/>
      <c r="H56" s="651"/>
    </row>
    <row r="57" spans="1:8" x14ac:dyDescent="0.2">
      <c r="A57" s="335"/>
      <c r="B57" s="335"/>
      <c r="C57" s="335"/>
      <c r="D57" s="335"/>
      <c r="E57" s="335"/>
      <c r="F57" s="335"/>
      <c r="G57" s="335"/>
      <c r="H57" s="335"/>
    </row>
    <row r="58" spans="1:8" x14ac:dyDescent="0.2">
      <c r="A58" s="651" t="s">
        <v>141</v>
      </c>
      <c r="B58" s="651"/>
      <c r="C58" s="651"/>
      <c r="D58" s="651"/>
      <c r="E58" s="651"/>
      <c r="F58" s="651"/>
      <c r="G58" s="651"/>
      <c r="H58" s="651"/>
    </row>
    <row r="59" spans="1:8" x14ac:dyDescent="0.2">
      <c r="A59" s="335"/>
      <c r="B59" s="335"/>
      <c r="C59" s="335"/>
      <c r="D59" s="335"/>
      <c r="E59" s="335"/>
      <c r="F59" s="335"/>
      <c r="G59" s="335"/>
      <c r="H59" s="335"/>
    </row>
    <row r="60" spans="1:8" x14ac:dyDescent="0.2">
      <c r="A60" s="651" t="s">
        <v>142</v>
      </c>
      <c r="B60" s="651"/>
      <c r="C60" s="651"/>
      <c r="D60" s="651"/>
      <c r="E60" s="651"/>
      <c r="F60" s="651"/>
      <c r="G60" s="651"/>
      <c r="H60" s="651"/>
    </row>
    <row r="61" spans="1:8" x14ac:dyDescent="0.2">
      <c r="A61" s="335"/>
      <c r="B61" s="335"/>
      <c r="C61" s="335"/>
      <c r="D61" s="335"/>
      <c r="E61" s="335"/>
      <c r="F61" s="335"/>
      <c r="G61" s="335"/>
      <c r="H61" s="335"/>
    </row>
    <row r="62" spans="1:8" x14ac:dyDescent="0.2">
      <c r="A62" s="651" t="s">
        <v>143</v>
      </c>
      <c r="B62" s="651"/>
      <c r="C62" s="651"/>
      <c r="D62" s="651"/>
      <c r="E62" s="651"/>
      <c r="F62" s="651"/>
      <c r="G62" s="651"/>
      <c r="H62" s="651"/>
    </row>
    <row r="63" spans="1:8" ht="13.5" thickBot="1" x14ac:dyDescent="0.25">
      <c r="A63" s="364"/>
      <c r="B63" s="364"/>
      <c r="C63" s="335"/>
      <c r="D63" s="335"/>
      <c r="E63" s="335"/>
      <c r="F63" s="325"/>
      <c r="G63" s="335"/>
      <c r="H63" s="335"/>
    </row>
    <row r="64" spans="1:8" x14ac:dyDescent="0.2">
      <c r="A64" s="374"/>
      <c r="B64" s="375">
        <v>2015</v>
      </c>
      <c r="C64" s="375">
        <v>2016</v>
      </c>
      <c r="D64" s="376">
        <v>2017</v>
      </c>
      <c r="E64" s="377">
        <v>2018</v>
      </c>
      <c r="F64" s="377">
        <v>2019</v>
      </c>
      <c r="G64" s="375">
        <v>2020</v>
      </c>
      <c r="H64" s="378" t="s">
        <v>319</v>
      </c>
    </row>
    <row r="65" spans="1:8" x14ac:dyDescent="0.2">
      <c r="A65" s="379"/>
      <c r="B65" s="380"/>
      <c r="C65" s="380"/>
      <c r="D65" s="380"/>
      <c r="E65" s="380"/>
      <c r="F65" s="380"/>
      <c r="G65" s="380"/>
      <c r="H65" s="380"/>
    </row>
    <row r="66" spans="1:8" ht="25.5" x14ac:dyDescent="0.2">
      <c r="A66" s="240" t="s">
        <v>164</v>
      </c>
      <c r="B66" s="323">
        <v>1320428</v>
      </c>
      <c r="C66" s="323">
        <f>+B66</f>
        <v>1320428</v>
      </c>
      <c r="D66" s="323">
        <f>+C66</f>
        <v>1320428</v>
      </c>
      <c r="E66" s="324"/>
      <c r="F66" s="324"/>
      <c r="G66" s="324"/>
      <c r="H66" s="381">
        <f>SUM(B66:G66)</f>
        <v>3961284</v>
      </c>
    </row>
    <row r="67" spans="1:8" x14ac:dyDescent="0.2">
      <c r="A67" s="379"/>
      <c r="B67" s="382"/>
      <c r="C67" s="382"/>
      <c r="D67" s="382"/>
      <c r="E67" s="382"/>
      <c r="F67" s="383"/>
      <c r="G67" s="383"/>
      <c r="H67" s="383"/>
    </row>
    <row r="68" spans="1:8" ht="25.5" x14ac:dyDescent="0.2">
      <c r="A68" s="240" t="s">
        <v>165</v>
      </c>
      <c r="B68" s="324"/>
      <c r="C68" s="324"/>
      <c r="D68" s="324"/>
      <c r="E68" s="323">
        <f>+$G$38</f>
        <v>1515298.2400715679</v>
      </c>
      <c r="F68" s="323">
        <f>+$G$39</f>
        <v>1039013.4166915091</v>
      </c>
      <c r="G68" s="323">
        <f>+$G$40</f>
        <v>625490.86319999991</v>
      </c>
      <c r="H68" s="327">
        <f>SUM(B68:G68)</f>
        <v>3179802.5199630768</v>
      </c>
    </row>
    <row r="69" spans="1:8" x14ac:dyDescent="0.2">
      <c r="A69" s="241"/>
      <c r="B69" s="328"/>
      <c r="C69" s="328"/>
      <c r="D69" s="328"/>
      <c r="E69" s="328"/>
      <c r="F69" s="329"/>
      <c r="G69" s="329"/>
      <c r="H69" s="330"/>
    </row>
    <row r="70" spans="1:8" ht="25.5" x14ac:dyDescent="0.2">
      <c r="A70" s="242" t="s">
        <v>198</v>
      </c>
      <c r="B70" s="324"/>
      <c r="C70" s="324"/>
      <c r="D70" s="324"/>
      <c r="E70" s="331">
        <f>+E68*E49</f>
        <v>0</v>
      </c>
      <c r="F70" s="331">
        <f>+F68*F49</f>
        <v>0</v>
      </c>
      <c r="G70" s="331">
        <f>+G68*G49</f>
        <v>0</v>
      </c>
      <c r="H70" s="332">
        <f>SUM(B70:G70)</f>
        <v>0</v>
      </c>
    </row>
    <row r="71" spans="1:8" x14ac:dyDescent="0.2">
      <c r="A71" s="379"/>
      <c r="B71" s="333"/>
      <c r="C71" s="333"/>
      <c r="D71" s="333"/>
      <c r="E71" s="333"/>
      <c r="F71" s="333"/>
      <c r="G71" s="333"/>
      <c r="H71" s="333"/>
    </row>
    <row r="72" spans="1:8" x14ac:dyDescent="0.2">
      <c r="A72" s="336"/>
      <c r="B72" s="334"/>
      <c r="C72" s="334"/>
      <c r="D72" s="334"/>
      <c r="E72" s="334"/>
      <c r="F72" s="334"/>
      <c r="G72" s="334"/>
      <c r="H72" s="334"/>
    </row>
    <row r="73" spans="1:8" hidden="1" x14ac:dyDescent="0.2">
      <c r="A73" s="652" t="s">
        <v>144</v>
      </c>
      <c r="B73" s="652"/>
      <c r="C73" s="652"/>
      <c r="D73" s="652"/>
      <c r="E73" s="652"/>
      <c r="F73" s="652"/>
      <c r="G73" s="652"/>
      <c r="H73" s="652"/>
    </row>
    <row r="74" spans="1:8" ht="25.5" x14ac:dyDescent="0.2">
      <c r="A74" s="242" t="s">
        <v>197</v>
      </c>
      <c r="B74" s="335"/>
      <c r="C74" s="335"/>
      <c r="D74" s="323"/>
      <c r="E74" s="323">
        <f>+E50*F38</f>
        <v>0</v>
      </c>
      <c r="F74" s="323">
        <f>+F39*F50</f>
        <v>0</v>
      </c>
      <c r="G74" s="324"/>
      <c r="H74" s="327">
        <f>+D74+E74+F74</f>
        <v>0</v>
      </c>
    </row>
  </sheetData>
  <mergeCells count="21">
    <mergeCell ref="A34:H34"/>
    <mergeCell ref="G42:H42"/>
    <mergeCell ref="A19:F19"/>
    <mergeCell ref="A21:H21"/>
    <mergeCell ref="A23:H23"/>
    <mergeCell ref="A24:H24"/>
    <mergeCell ref="A26:H26"/>
    <mergeCell ref="A10:H10"/>
    <mergeCell ref="A11:H11"/>
    <mergeCell ref="A13:H13"/>
    <mergeCell ref="A15:H15"/>
    <mergeCell ref="A17:H17"/>
    <mergeCell ref="A44:H44"/>
    <mergeCell ref="A60:H60"/>
    <mergeCell ref="A62:H62"/>
    <mergeCell ref="A73:H73"/>
    <mergeCell ref="A47:F47"/>
    <mergeCell ref="A52:H52"/>
    <mergeCell ref="A54:H54"/>
    <mergeCell ref="A56:H56"/>
    <mergeCell ref="A58:H58"/>
  </mergeCells>
  <conditionalFormatting sqref="G42:G43">
    <cfRule type="expression" dxfId="1" priority="1">
      <formula>$G$40&lt;&gt;$H$40</formula>
    </cfRule>
  </conditionalFormatting>
  <conditionalFormatting sqref="H41">
    <cfRule type="expression" dxfId="0" priority="2">
      <formula>$H$40=$A$23</formula>
    </cfRule>
  </conditionalFormatting>
  <dataValidations count="1">
    <dataValidation type="list" allowBlank="1" showInputMessage="1" showErrorMessage="1" sqref="C49:G50" xr:uid="{00000000-0002-0000-0B00-000000000000}">
      <formula1>"0, 0.5, 1"</formula1>
    </dataValidation>
  </dataValidations>
  <pageMargins left="0.25" right="0.25" top="0.75" bottom="0.75" header="0.3" footer="0.3"/>
  <pageSetup scale="41"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sheetPr>
  <dimension ref="A1:P33"/>
  <sheetViews>
    <sheetView showGridLines="0" workbookViewId="0">
      <selection activeCell="D6" sqref="D6"/>
    </sheetView>
  </sheetViews>
  <sheetFormatPr defaultRowHeight="12.75" x14ac:dyDescent="0.2"/>
  <cols>
    <col min="1" max="1" width="54.83203125" style="1" bestFit="1" customWidth="1"/>
    <col min="2" max="2" width="9.33203125" style="1"/>
    <col min="3" max="3" width="5.6640625" style="1" bestFit="1" customWidth="1"/>
    <col min="4" max="4" width="16" style="1" customWidth="1"/>
    <col min="5" max="5" width="17.6640625" style="1" bestFit="1" customWidth="1"/>
    <col min="6" max="6" width="5.5" style="1" customWidth="1"/>
    <col min="7" max="13" width="17.33203125" style="1" customWidth="1"/>
    <col min="14" max="14" width="9.33203125" style="1"/>
    <col min="15" max="15" width="15.1640625" style="1" bestFit="1" customWidth="1"/>
    <col min="16" max="16384" width="9.33203125" style="1"/>
  </cols>
  <sheetData>
    <row r="1" spans="1:13" x14ac:dyDescent="0.2">
      <c r="A1" s="1" t="str">
        <f>+'1. Assumptions'!A1</f>
        <v>Niagara-on-the-Lake Hydro Inc.</v>
      </c>
    </row>
    <row r="2" spans="1:13" x14ac:dyDescent="0.2">
      <c r="A2" s="262" t="s">
        <v>121</v>
      </c>
    </row>
    <row r="3" spans="1:13" x14ac:dyDescent="0.2">
      <c r="A3" s="1" t="str">
        <f>+'1. Assumptions'!A3</f>
        <v>2024 Test &amp; 2023 Bridge</v>
      </c>
    </row>
    <row r="5" spans="1:13" ht="13.5" thickBot="1" x14ac:dyDescent="0.25"/>
    <row r="6" spans="1:13" ht="27.75" customHeight="1" thickBot="1" x14ac:dyDescent="0.25">
      <c r="A6" s="388" t="s">
        <v>221</v>
      </c>
      <c r="B6" s="389"/>
      <c r="C6" s="390" t="s">
        <v>31</v>
      </c>
      <c r="D6" s="495">
        <f>+E6-1</f>
        <v>2023</v>
      </c>
      <c r="E6" s="496">
        <f>'1. Assumptions'!B11</f>
        <v>2024</v>
      </c>
      <c r="F6" s="27"/>
      <c r="G6" s="394" t="s">
        <v>45</v>
      </c>
      <c r="H6" s="497">
        <f>+D6</f>
        <v>2023</v>
      </c>
      <c r="I6" s="391" t="s">
        <v>122</v>
      </c>
      <c r="J6" s="393" t="s">
        <v>123</v>
      </c>
      <c r="K6" s="392">
        <v>2020</v>
      </c>
      <c r="L6" s="391" t="s">
        <v>122</v>
      </c>
      <c r="M6" s="393" t="s">
        <v>123</v>
      </c>
    </row>
    <row r="7" spans="1:13" x14ac:dyDescent="0.2">
      <c r="A7" s="216" t="str">
        <f>+'9. Weather Adj LF'!A8</f>
        <v>Residential</v>
      </c>
      <c r="B7" s="217"/>
      <c r="C7" s="218" t="s">
        <v>33</v>
      </c>
      <c r="D7" s="176">
        <f>+'9. Weather Adj LF'!N9</f>
        <v>78769364.664037079</v>
      </c>
      <c r="E7" s="177">
        <f>+'9. Weather Adj LF'!O9</f>
        <v>79654824.408439547</v>
      </c>
      <c r="F7" s="27"/>
      <c r="G7" s="395">
        <f>+'10.2 CDM Allocation %'!D3</f>
        <v>0.20998883666349588</v>
      </c>
      <c r="H7" s="227">
        <f>+G7*H25</f>
        <v>0</v>
      </c>
      <c r="I7" s="402"/>
      <c r="J7" s="228">
        <f>+D7-H7-I7</f>
        <v>78769364.664037079</v>
      </c>
      <c r="K7" s="227">
        <f>+G7*K25</f>
        <v>0</v>
      </c>
      <c r="L7" s="402"/>
      <c r="M7" s="228">
        <f>+E7-K7-L7</f>
        <v>79654824.408439547</v>
      </c>
    </row>
    <row r="8" spans="1:13" x14ac:dyDescent="0.2">
      <c r="A8" s="219"/>
      <c r="B8" s="27"/>
      <c r="C8" s="29"/>
      <c r="D8" s="29"/>
      <c r="E8" s="179"/>
      <c r="F8" s="27"/>
      <c r="G8" s="396"/>
      <c r="H8" s="226"/>
      <c r="I8" s="386"/>
      <c r="J8" s="229"/>
      <c r="K8" s="226"/>
      <c r="L8" s="386"/>
      <c r="M8" s="229">
        <f>+E8-K8-L8</f>
        <v>0</v>
      </c>
    </row>
    <row r="9" spans="1:13" x14ac:dyDescent="0.2">
      <c r="A9" s="220"/>
      <c r="B9" s="27"/>
      <c r="C9" s="29"/>
      <c r="D9" s="29"/>
      <c r="E9" s="179"/>
      <c r="F9" s="27"/>
      <c r="G9" s="397"/>
      <c r="H9" s="226"/>
      <c r="I9" s="386"/>
      <c r="J9" s="230"/>
      <c r="K9" s="226"/>
      <c r="L9" s="386"/>
      <c r="M9" s="230"/>
    </row>
    <row r="10" spans="1:13" x14ac:dyDescent="0.2">
      <c r="A10" s="219" t="str">
        <f>+'9. Weather Adj LF'!A12</f>
        <v>General Service &lt; 50 kW</v>
      </c>
      <c r="B10" s="27"/>
      <c r="C10" s="29" t="s">
        <v>33</v>
      </c>
      <c r="D10" s="173">
        <f>+'9. Weather Adj LF'!N13</f>
        <v>44812686.354922645</v>
      </c>
      <c r="E10" s="179">
        <f>+'9. Weather Adj LF'!O13</f>
        <v>45316433.337966844</v>
      </c>
      <c r="F10" s="27"/>
      <c r="G10" s="398">
        <f>+'10.2 CDM Allocation %'!D10</f>
        <v>0.29222804753449277</v>
      </c>
      <c r="H10" s="225">
        <f>+G10*H25</f>
        <v>0</v>
      </c>
      <c r="I10" s="403"/>
      <c r="J10" s="231">
        <f>+D10-H10-I10</f>
        <v>44812686.354922645</v>
      </c>
      <c r="K10" s="225">
        <f>+G10*K25</f>
        <v>0</v>
      </c>
      <c r="L10" s="403"/>
      <c r="M10" s="231">
        <f>+E10-K10-L10</f>
        <v>45316433.337966844</v>
      </c>
    </row>
    <row r="11" spans="1:13" x14ac:dyDescent="0.2">
      <c r="A11" s="219"/>
      <c r="B11" s="27"/>
      <c r="C11" s="29"/>
      <c r="D11" s="29"/>
      <c r="E11" s="179"/>
      <c r="F11" s="27"/>
      <c r="G11" s="396"/>
      <c r="H11" s="226"/>
      <c r="I11" s="386"/>
      <c r="J11" s="231"/>
      <c r="K11" s="226"/>
      <c r="L11" s="386"/>
      <c r="M11" s="231">
        <f>+E11-K11-L11</f>
        <v>0</v>
      </c>
    </row>
    <row r="12" spans="1:13" x14ac:dyDescent="0.2">
      <c r="A12" s="220"/>
      <c r="B12" s="27"/>
      <c r="C12" s="29"/>
      <c r="D12" s="29"/>
      <c r="E12" s="179"/>
      <c r="F12" s="27"/>
      <c r="G12" s="397"/>
      <c r="H12" s="226"/>
      <c r="I12" s="386"/>
      <c r="J12" s="230"/>
      <c r="K12" s="226"/>
      <c r="L12" s="386"/>
      <c r="M12" s="230"/>
    </row>
    <row r="13" spans="1:13" x14ac:dyDescent="0.2">
      <c r="A13" s="219" t="str">
        <f>+'9. Weather Adj LF'!A16</f>
        <v>General Service &gt; 50 kW - 4999 kW</v>
      </c>
      <c r="B13" s="27"/>
      <c r="C13" s="29" t="s">
        <v>33</v>
      </c>
      <c r="D13" s="173">
        <f>+'9. Weather Adj LF'!N17</f>
        <v>85629843.164682537</v>
      </c>
      <c r="E13" s="179">
        <f>+'9. Weather Adj LF'!O17</f>
        <v>86743031.125823408</v>
      </c>
      <c r="F13" s="27"/>
      <c r="G13" s="398">
        <f>+'10.2 CDM Allocation %'!D15</f>
        <v>0.49778311580201134</v>
      </c>
      <c r="H13" s="225">
        <f>+G13*H25</f>
        <v>0</v>
      </c>
      <c r="I13" s="403"/>
      <c r="J13" s="231">
        <f>+D13-H13-I13</f>
        <v>85629843.164682537</v>
      </c>
      <c r="K13" s="225">
        <f>+G13*K25</f>
        <v>0</v>
      </c>
      <c r="L13" s="403"/>
      <c r="M13" s="231">
        <f>+E13-K13-L13</f>
        <v>86743031.125823408</v>
      </c>
    </row>
    <row r="14" spans="1:13" x14ac:dyDescent="0.2">
      <c r="A14" s="219"/>
      <c r="B14" s="27"/>
      <c r="C14" s="29" t="s">
        <v>34</v>
      </c>
      <c r="D14" s="173">
        <f>+'9. Weather Adj LF'!N18</f>
        <v>218198.97157188217</v>
      </c>
      <c r="E14" s="179">
        <f>+'9. Weather Adj LF'!O18</f>
        <v>221035.55820231661</v>
      </c>
      <c r="F14" s="27"/>
      <c r="G14" s="396"/>
      <c r="H14" s="225">
        <f>+H26</f>
        <v>0</v>
      </c>
      <c r="I14" s="403"/>
      <c r="J14" s="231">
        <f>+D14-H14-I14</f>
        <v>218198.97157188217</v>
      </c>
      <c r="K14" s="225">
        <f>+K26</f>
        <v>0</v>
      </c>
      <c r="L14" s="403"/>
      <c r="M14" s="231">
        <f>+E14-K14-L14</f>
        <v>221035.55820231661</v>
      </c>
    </row>
    <row r="15" spans="1:13" x14ac:dyDescent="0.2">
      <c r="A15" s="220"/>
      <c r="B15" s="27"/>
      <c r="C15" s="29"/>
      <c r="D15" s="29"/>
      <c r="E15" s="179"/>
      <c r="F15" s="27"/>
      <c r="G15" s="396"/>
      <c r="H15" s="226"/>
      <c r="I15" s="386"/>
      <c r="J15" s="230"/>
      <c r="K15" s="226"/>
      <c r="L15" s="386"/>
      <c r="M15" s="230"/>
    </row>
    <row r="16" spans="1:13" x14ac:dyDescent="0.2">
      <c r="A16" s="219" t="str">
        <f>+'9. Weather Adj LF'!A20</f>
        <v>Unmetered Scattered Load</v>
      </c>
      <c r="B16" s="27"/>
      <c r="C16" s="29" t="s">
        <v>33</v>
      </c>
      <c r="D16" s="173">
        <f>+'9. Weather Adj LF'!N21</f>
        <v>379083.34156928223</v>
      </c>
      <c r="E16" s="179">
        <f>+'9. Weather Adj LF'!O21</f>
        <v>379083.34156928223</v>
      </c>
      <c r="F16" s="27"/>
      <c r="G16" s="398">
        <v>0</v>
      </c>
      <c r="H16" s="225">
        <f>+G16*H25</f>
        <v>0</v>
      </c>
      <c r="I16" s="403"/>
      <c r="J16" s="231">
        <f>+D16-H16-I16</f>
        <v>379083.34156928223</v>
      </c>
      <c r="K16" s="225">
        <f>+G16*K25</f>
        <v>0</v>
      </c>
      <c r="L16" s="403"/>
      <c r="M16" s="231">
        <f>+E16-K16-L16</f>
        <v>379083.34156928223</v>
      </c>
    </row>
    <row r="17" spans="1:16" x14ac:dyDescent="0.2">
      <c r="A17" s="219"/>
      <c r="B17" s="27"/>
      <c r="C17" s="29"/>
      <c r="D17" s="29"/>
      <c r="E17" s="179"/>
      <c r="F17" s="27"/>
      <c r="G17" s="396"/>
      <c r="H17" s="226"/>
      <c r="I17" s="386"/>
      <c r="J17" s="231">
        <f>+A17-H17-I17</f>
        <v>0</v>
      </c>
      <c r="K17" s="226"/>
      <c r="L17" s="386"/>
      <c r="M17" s="231">
        <f>+E17-K17-L17</f>
        <v>0</v>
      </c>
    </row>
    <row r="18" spans="1:16" x14ac:dyDescent="0.2">
      <c r="A18" s="220"/>
      <c r="B18" s="27"/>
      <c r="C18" s="29"/>
      <c r="D18" s="29"/>
      <c r="E18" s="179"/>
      <c r="F18" s="27"/>
      <c r="G18" s="396"/>
      <c r="H18" s="226"/>
      <c r="I18" s="386"/>
      <c r="J18" s="230"/>
      <c r="K18" s="226"/>
      <c r="L18" s="386"/>
      <c r="M18" s="230"/>
    </row>
    <row r="19" spans="1:16" x14ac:dyDescent="0.2">
      <c r="A19" s="219" t="str">
        <f>+'9. Weather Adj LF'!A24</f>
        <v>Street Lights</v>
      </c>
      <c r="B19" s="27"/>
      <c r="C19" s="29" t="s">
        <v>33</v>
      </c>
      <c r="D19" s="173">
        <f>+'9. Weather Adj LF'!N25</f>
        <v>563345.13</v>
      </c>
      <c r="E19" s="179">
        <f>+'9. Weather Adj LF'!O25</f>
        <v>563345.13</v>
      </c>
      <c r="F19" s="27"/>
      <c r="G19" s="398">
        <v>0</v>
      </c>
      <c r="H19" s="225">
        <f>+G19*H25</f>
        <v>0</v>
      </c>
      <c r="I19" s="403"/>
      <c r="J19" s="231">
        <f>+D19-H19-I19</f>
        <v>563345.13</v>
      </c>
      <c r="K19" s="225">
        <f>+G19*K25</f>
        <v>0</v>
      </c>
      <c r="L19" s="403"/>
      <c r="M19" s="231">
        <f>+E19-K19-L19</f>
        <v>563345.13</v>
      </c>
    </row>
    <row r="20" spans="1:16" x14ac:dyDescent="0.2">
      <c r="A20" s="219"/>
      <c r="B20" s="27"/>
      <c r="C20" s="29" t="s">
        <v>34</v>
      </c>
      <c r="D20" s="173">
        <f>+'9. Weather Adj LF'!N26</f>
        <v>1572</v>
      </c>
      <c r="E20" s="179">
        <f>+'9. Weather Adj LF'!O26</f>
        <v>1572</v>
      </c>
      <c r="F20" s="27"/>
      <c r="G20" s="396"/>
      <c r="H20" s="226"/>
      <c r="I20" s="403"/>
      <c r="J20" s="231">
        <f>+D20-H20-I20</f>
        <v>1572</v>
      </c>
      <c r="K20" s="226"/>
      <c r="L20" s="403"/>
      <c r="M20" s="231">
        <f>+E20-K20-L20</f>
        <v>1572</v>
      </c>
    </row>
    <row r="21" spans="1:16" x14ac:dyDescent="0.2">
      <c r="A21" s="220"/>
      <c r="B21" s="27"/>
      <c r="C21" s="29"/>
      <c r="D21" s="29"/>
      <c r="E21" s="179"/>
      <c r="F21" s="27"/>
      <c r="G21" s="397"/>
      <c r="H21" s="226"/>
      <c r="I21" s="386"/>
      <c r="J21" s="230"/>
      <c r="K21" s="226"/>
      <c r="L21" s="386"/>
      <c r="M21" s="230"/>
    </row>
    <row r="22" spans="1:16" x14ac:dyDescent="0.2">
      <c r="A22" s="219" t="str">
        <f>+'9. Weather Adj LF'!A28</f>
        <v>Large User</v>
      </c>
      <c r="B22" s="215"/>
      <c r="C22" s="29" t="s">
        <v>33</v>
      </c>
      <c r="D22" s="173">
        <f>+'9. Weather Adj LF'!N29</f>
        <v>19710000</v>
      </c>
      <c r="E22" s="179">
        <f>+'9. Weather Adj LF'!O29</f>
        <v>39420000</v>
      </c>
      <c r="F22" s="27"/>
      <c r="G22" s="398">
        <v>0</v>
      </c>
      <c r="H22" s="225">
        <f>+G22*H25</f>
        <v>0</v>
      </c>
      <c r="I22" s="403"/>
      <c r="J22" s="231">
        <f>+D22-H22-I22</f>
        <v>19710000</v>
      </c>
      <c r="K22" s="225">
        <f>+G22*K25</f>
        <v>0</v>
      </c>
      <c r="L22" s="403"/>
      <c r="M22" s="231">
        <f>+E22-K22-L22</f>
        <v>39420000</v>
      </c>
    </row>
    <row r="23" spans="1:16" x14ac:dyDescent="0.2">
      <c r="A23" s="220"/>
      <c r="B23" s="27"/>
      <c r="C23" s="29" t="s">
        <v>34</v>
      </c>
      <c r="D23" s="173">
        <f>+'9. Weather Adj LF'!N30</f>
        <v>30000</v>
      </c>
      <c r="E23" s="179">
        <f>+'9. Weather Adj LF'!O30</f>
        <v>60000</v>
      </c>
      <c r="F23" s="27"/>
      <c r="G23" s="397"/>
      <c r="H23" s="226"/>
      <c r="I23" s="386"/>
      <c r="J23" s="231">
        <f>+D23-H23-I23</f>
        <v>30000</v>
      </c>
      <c r="K23" s="226"/>
      <c r="L23" s="403"/>
      <c r="M23" s="231">
        <f>+E23-K23-L23</f>
        <v>60000</v>
      </c>
    </row>
    <row r="24" spans="1:16" ht="13.5" thickBot="1" x14ac:dyDescent="0.25">
      <c r="A24" s="221"/>
      <c r="B24" s="222"/>
      <c r="C24" s="223"/>
      <c r="D24" s="223"/>
      <c r="E24" s="224"/>
      <c r="F24" s="27"/>
      <c r="G24" s="399"/>
      <c r="H24" s="232"/>
      <c r="I24" s="387"/>
      <c r="J24" s="234"/>
      <c r="K24" s="233"/>
      <c r="L24" s="387"/>
      <c r="M24" s="234"/>
    </row>
    <row r="25" spans="1:16" ht="13.5" thickBot="1" x14ac:dyDescent="0.25">
      <c r="A25" s="79" t="s">
        <v>110</v>
      </c>
      <c r="B25" s="80"/>
      <c r="C25" s="81"/>
      <c r="D25" s="82">
        <f>+D7+D10+D13+D16+D19+D22</f>
        <v>229864322.65521154</v>
      </c>
      <c r="E25" s="82">
        <f>+E7+E10+E13+E16+E19+E22</f>
        <v>252076717.34379908</v>
      </c>
      <c r="F25" s="27"/>
      <c r="G25" s="400">
        <f>SUM(G7:G23)</f>
        <v>1</v>
      </c>
      <c r="H25" s="82">
        <f>+'10. CDM Adjustment'!H74</f>
        <v>0</v>
      </c>
      <c r="I25" s="82">
        <f>+I7+I10+I13+I16+I19+I22</f>
        <v>0</v>
      </c>
      <c r="J25" s="82">
        <f>+J7+J10+J13+J16+J19+J22</f>
        <v>229864322.65521154</v>
      </c>
      <c r="K25" s="82">
        <f>+'10. CDM Adjustment'!H70</f>
        <v>0</v>
      </c>
      <c r="L25" s="82">
        <f>+L7+L10+L13+L16+L19+L22</f>
        <v>0</v>
      </c>
      <c r="M25" s="82">
        <f>+M7+M10+M13+M16+M19+M22</f>
        <v>252076717.34379908</v>
      </c>
    </row>
    <row r="26" spans="1:16" ht="13.5" thickBot="1" x14ac:dyDescent="0.25">
      <c r="A26" s="79" t="s">
        <v>166</v>
      </c>
      <c r="B26" s="80"/>
      <c r="C26" s="81"/>
      <c r="D26" s="82">
        <f>+D14+D20+D23</f>
        <v>249770.97157188217</v>
      </c>
      <c r="E26" s="82">
        <f>+E14+E20+E23</f>
        <v>282607.55820231664</v>
      </c>
      <c r="F26" s="27"/>
      <c r="G26" s="401"/>
      <c r="H26" s="256">
        <f>+E14/E13*H13</f>
        <v>0</v>
      </c>
      <c r="I26" s="83"/>
      <c r="J26" s="84"/>
      <c r="K26" s="256">
        <f>+E14/E13*K13</f>
        <v>0</v>
      </c>
      <c r="L26" s="83"/>
      <c r="M26" s="84"/>
      <c r="O26" s="385">
        <f>+K25-'10. CDM Adjustment'!H70</f>
        <v>0</v>
      </c>
      <c r="P26" s="384" t="s">
        <v>124</v>
      </c>
    </row>
    <row r="27" spans="1:16" ht="13.5" thickBot="1" x14ac:dyDescent="0.25">
      <c r="A27" s="27"/>
      <c r="B27" s="27"/>
      <c r="C27" s="29"/>
      <c r="D27" s="29"/>
      <c r="E27" s="28"/>
      <c r="F27" s="27"/>
      <c r="G27" s="27"/>
      <c r="H27" s="27"/>
      <c r="I27" s="27"/>
      <c r="J27" s="27"/>
      <c r="K27" s="27"/>
      <c r="O27" s="385">
        <f>+H25-'10. CDM Adjustment'!H74</f>
        <v>0</v>
      </c>
    </row>
    <row r="33" spans="3:3" x14ac:dyDescent="0.2">
      <c r="C33" s="1" t="s">
        <v>222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2CE7B-24F7-482E-AFD9-891FA332F787}">
  <sheetPr>
    <tabColor rgb="FFFF0000"/>
  </sheetPr>
  <dimension ref="A1:I25"/>
  <sheetViews>
    <sheetView workbookViewId="0"/>
  </sheetViews>
  <sheetFormatPr defaultRowHeight="15" x14ac:dyDescent="0.25"/>
  <cols>
    <col min="1" max="1" width="16.33203125" style="244" bestFit="1" customWidth="1"/>
    <col min="2" max="2" width="24.1640625" style="244" bestFit="1" customWidth="1"/>
    <col min="3" max="3" width="13.6640625" style="245" bestFit="1" customWidth="1"/>
    <col min="4" max="4" width="21.1640625" style="246" bestFit="1" customWidth="1"/>
    <col min="5" max="5" width="6.1640625" style="244" customWidth="1"/>
    <col min="6" max="6" width="16.33203125" style="244" bestFit="1" customWidth="1"/>
    <col min="7" max="7" width="13.83203125" style="244" bestFit="1" customWidth="1"/>
    <col min="8" max="8" width="12.5" style="244" bestFit="1" customWidth="1"/>
    <col min="9" max="9" width="13.6640625" style="244" bestFit="1" customWidth="1"/>
    <col min="10" max="16384" width="9.33203125" style="244"/>
  </cols>
  <sheetData>
    <row r="1" spans="1:9" ht="26.25" x14ac:dyDescent="0.4">
      <c r="A1" s="243" t="s">
        <v>175</v>
      </c>
    </row>
    <row r="2" spans="1:9" ht="30" x14ac:dyDescent="0.25">
      <c r="C2" s="245" t="s">
        <v>33</v>
      </c>
      <c r="D2" s="247" t="s">
        <v>176</v>
      </c>
    </row>
    <row r="3" spans="1:9" ht="23.25" x14ac:dyDescent="0.35">
      <c r="A3" s="670" t="s">
        <v>5</v>
      </c>
      <c r="B3" s="670"/>
      <c r="C3" s="248">
        <f>SUM(C4:C8)</f>
        <v>496035</v>
      </c>
      <c r="D3" s="249">
        <f>C3/C25</f>
        <v>0.20998883666349588</v>
      </c>
      <c r="G3" s="250" t="s">
        <v>177</v>
      </c>
      <c r="H3" s="250" t="s">
        <v>178</v>
      </c>
      <c r="I3" s="250" t="s">
        <v>179</v>
      </c>
    </row>
    <row r="4" spans="1:9" x14ac:dyDescent="0.25">
      <c r="B4" s="251" t="s">
        <v>180</v>
      </c>
      <c r="C4" s="252">
        <v>469116</v>
      </c>
      <c r="D4" s="253"/>
      <c r="F4" s="244" t="s">
        <v>181</v>
      </c>
      <c r="G4" s="254">
        <v>1278048</v>
      </c>
      <c r="H4" s="254">
        <f>H6+H7</f>
        <v>1546893</v>
      </c>
      <c r="I4" s="250"/>
    </row>
    <row r="5" spans="1:9" x14ac:dyDescent="0.25">
      <c r="B5" s="251" t="s">
        <v>182</v>
      </c>
      <c r="C5" s="252">
        <v>0</v>
      </c>
      <c r="D5" s="253"/>
      <c r="F5" s="244" t="s">
        <v>183</v>
      </c>
      <c r="G5" s="254">
        <f>G4*I5</f>
        <v>0</v>
      </c>
      <c r="H5" s="254">
        <v>0</v>
      </c>
      <c r="I5" s="255">
        <f>H5/H4</f>
        <v>0</v>
      </c>
    </row>
    <row r="6" spans="1:9" x14ac:dyDescent="0.25">
      <c r="B6" s="251" t="s">
        <v>184</v>
      </c>
      <c r="C6" s="252">
        <v>0</v>
      </c>
      <c r="D6" s="253"/>
      <c r="F6" s="244" t="s">
        <v>185</v>
      </c>
      <c r="G6" s="254">
        <f>G4*I6</f>
        <v>190300.2172018362</v>
      </c>
      <c r="H6" s="254">
        <v>230331</v>
      </c>
      <c r="I6" s="255">
        <f>H6/H4</f>
        <v>0.14889911584059143</v>
      </c>
    </row>
    <row r="7" spans="1:9" x14ac:dyDescent="0.25">
      <c r="B7" s="251" t="s">
        <v>186</v>
      </c>
      <c r="C7" s="252">
        <v>13059</v>
      </c>
      <c r="D7" s="253"/>
      <c r="F7" s="244" t="s">
        <v>187</v>
      </c>
      <c r="G7" s="254">
        <f>G4*I7</f>
        <v>1087747.7827981638</v>
      </c>
      <c r="H7" s="254">
        <v>1316562</v>
      </c>
      <c r="I7" s="255">
        <f>H7/H4</f>
        <v>0.85110088415940854</v>
      </c>
    </row>
    <row r="8" spans="1:9" x14ac:dyDescent="0.25">
      <c r="B8" s="251" t="s">
        <v>188</v>
      </c>
      <c r="C8" s="252">
        <v>13860</v>
      </c>
      <c r="D8" s="253"/>
    </row>
    <row r="9" spans="1:9" x14ac:dyDescent="0.25">
      <c r="C9" s="252"/>
      <c r="D9" s="253"/>
    </row>
    <row r="10" spans="1:9" ht="23.25" x14ac:dyDescent="0.35">
      <c r="A10" s="670" t="s">
        <v>172</v>
      </c>
      <c r="B10" s="670"/>
      <c r="C10" s="248">
        <f>SUM(C11:C13)</f>
        <v>690300.21720183617</v>
      </c>
      <c r="D10" s="249">
        <f>C10/C25</f>
        <v>0.29222804753449277</v>
      </c>
      <c r="G10" s="250"/>
      <c r="H10" s="250"/>
      <c r="I10" s="250"/>
    </row>
    <row r="11" spans="1:9" x14ac:dyDescent="0.25">
      <c r="B11" s="251" t="s">
        <v>189</v>
      </c>
      <c r="C11" s="252">
        <f>G6</f>
        <v>190300.2172018362</v>
      </c>
      <c r="D11" s="253"/>
      <c r="G11" s="254"/>
      <c r="H11" s="254"/>
      <c r="I11" s="250"/>
    </row>
    <row r="12" spans="1:9" x14ac:dyDescent="0.25">
      <c r="B12" s="251" t="s">
        <v>190</v>
      </c>
      <c r="C12" s="252">
        <v>500000</v>
      </c>
      <c r="D12" s="253"/>
      <c r="G12" s="254"/>
      <c r="H12" s="254"/>
      <c r="I12" s="255"/>
    </row>
    <row r="13" spans="1:9" x14ac:dyDescent="0.25">
      <c r="B13" s="251" t="s">
        <v>191</v>
      </c>
      <c r="C13" s="252">
        <v>0</v>
      </c>
      <c r="D13" s="253"/>
      <c r="G13" s="254"/>
      <c r="H13" s="254"/>
      <c r="I13" s="255"/>
    </row>
    <row r="14" spans="1:9" x14ac:dyDescent="0.25">
      <c r="C14" s="252"/>
      <c r="D14" s="253"/>
    </row>
    <row r="15" spans="1:9" ht="23.25" x14ac:dyDescent="0.35">
      <c r="A15" s="670" t="s">
        <v>173</v>
      </c>
      <c r="B15" s="670"/>
      <c r="C15" s="248">
        <f>SUM(C16:C21)</f>
        <v>1175861.7827981638</v>
      </c>
      <c r="D15" s="249">
        <f>C15/C25</f>
        <v>0.49778311580201134</v>
      </c>
    </row>
    <row r="16" spans="1:9" x14ac:dyDescent="0.25">
      <c r="B16" s="251" t="s">
        <v>192</v>
      </c>
      <c r="C16" s="252">
        <v>0</v>
      </c>
      <c r="D16" s="253"/>
    </row>
    <row r="17" spans="1:4" x14ac:dyDescent="0.25">
      <c r="B17" s="251" t="s">
        <v>191</v>
      </c>
      <c r="C17" s="252">
        <v>45375</v>
      </c>
      <c r="D17" s="253"/>
    </row>
    <row r="18" spans="1:4" x14ac:dyDescent="0.25">
      <c r="B18" s="251" t="s">
        <v>193</v>
      </c>
      <c r="C18" s="252">
        <v>0</v>
      </c>
      <c r="D18" s="253"/>
    </row>
    <row r="19" spans="1:4" x14ac:dyDescent="0.25">
      <c r="B19" s="251" t="s">
        <v>189</v>
      </c>
      <c r="C19" s="252">
        <f>G7</f>
        <v>1087747.7827981638</v>
      </c>
      <c r="D19" s="253"/>
    </row>
    <row r="20" spans="1:4" x14ac:dyDescent="0.25">
      <c r="B20" s="251" t="s">
        <v>190</v>
      </c>
      <c r="C20" s="252">
        <v>42739</v>
      </c>
      <c r="D20" s="253"/>
    </row>
    <row r="21" spans="1:4" x14ac:dyDescent="0.25">
      <c r="B21" s="251" t="s">
        <v>194</v>
      </c>
      <c r="C21" s="252">
        <v>0</v>
      </c>
      <c r="D21" s="253"/>
    </row>
    <row r="22" spans="1:4" x14ac:dyDescent="0.25">
      <c r="C22" s="252"/>
      <c r="D22" s="253"/>
    </row>
    <row r="23" spans="1:4" ht="23.25" x14ac:dyDescent="0.35">
      <c r="A23" s="670" t="s">
        <v>195</v>
      </c>
      <c r="B23" s="670"/>
      <c r="C23" s="248">
        <f>G5</f>
        <v>0</v>
      </c>
      <c r="D23" s="249">
        <f>C23/C25</f>
        <v>0</v>
      </c>
    </row>
    <row r="24" spans="1:4" x14ac:dyDescent="0.25">
      <c r="C24" s="245">
        <v>6</v>
      </c>
      <c r="D24" s="253"/>
    </row>
    <row r="25" spans="1:4" ht="23.25" x14ac:dyDescent="0.35">
      <c r="A25" s="670" t="s">
        <v>196</v>
      </c>
      <c r="B25" s="670"/>
      <c r="C25" s="248">
        <f>C23+C15+C10+C3</f>
        <v>2362197</v>
      </c>
      <c r="D25" s="249">
        <v>1</v>
      </c>
    </row>
  </sheetData>
  <mergeCells count="5">
    <mergeCell ref="A3:B3"/>
    <mergeCell ref="A10:B10"/>
    <mergeCell ref="A15:B15"/>
    <mergeCell ref="A23:B23"/>
    <mergeCell ref="A25:B2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Q35"/>
  <sheetViews>
    <sheetView showGridLines="0" zoomScaleNormal="100" workbookViewId="0"/>
  </sheetViews>
  <sheetFormatPr defaultColWidth="10.5" defaultRowHeight="12.75" outlineLevelRow="1" x14ac:dyDescent="0.2"/>
  <cols>
    <col min="1" max="1" width="35.83203125" style="1" customWidth="1"/>
    <col min="2" max="2" width="17.1640625" style="1" customWidth="1"/>
    <col min="3" max="9" width="17.1640625" style="1" hidden="1" customWidth="1"/>
    <col min="10" max="10" width="17.1640625" style="1" customWidth="1" collapsed="1"/>
    <col min="11" max="15" width="17.1640625" style="1" customWidth="1"/>
    <col min="16" max="16" width="16.6640625" style="1" hidden="1" customWidth="1"/>
    <col min="17" max="17" width="10.5" style="1" collapsed="1"/>
    <col min="18" max="19" width="1.83203125" style="1" bestFit="1" customWidth="1"/>
    <col min="20" max="16384" width="10.5" style="1"/>
  </cols>
  <sheetData>
    <row r="1" spans="1:16" x14ac:dyDescent="0.2">
      <c r="A1" s="1" t="str">
        <f>+'1. Assumptions'!A1</f>
        <v>Niagara-on-the-Lake Hydro Inc.</v>
      </c>
    </row>
    <row r="2" spans="1:16" x14ac:dyDescent="0.2">
      <c r="A2" s="263" t="s">
        <v>447</v>
      </c>
    </row>
    <row r="3" spans="1:16" x14ac:dyDescent="0.2">
      <c r="A3" s="1" t="str">
        <f>+'1. Assumptions'!A3</f>
        <v>2024 Test &amp; 2023 Bridge</v>
      </c>
    </row>
    <row r="4" spans="1:16" ht="13.5" thickBot="1" x14ac:dyDescent="0.25"/>
    <row r="5" spans="1:16" ht="13.5" thickBot="1" x14ac:dyDescent="0.25">
      <c r="A5" s="406" t="s">
        <v>221</v>
      </c>
      <c r="B5" s="407" t="s">
        <v>31</v>
      </c>
      <c r="C5" s="408" t="str">
        <f>'4. Customer Growth'!A8</f>
        <v>2012</v>
      </c>
      <c r="D5" s="408" t="str">
        <f>'4. Customer Growth'!A9</f>
        <v>2013</v>
      </c>
      <c r="E5" s="408" t="str">
        <f>'4. Customer Growth'!A10</f>
        <v>2014</v>
      </c>
      <c r="F5" s="408" t="str">
        <f>'4. Customer Growth'!A11</f>
        <v>2015</v>
      </c>
      <c r="G5" s="408" t="str">
        <f>'4. Customer Growth'!A12</f>
        <v>2016</v>
      </c>
      <c r="H5" s="408" t="str">
        <f>'4. Customer Growth'!A13</f>
        <v>2017</v>
      </c>
      <c r="I5" s="408" t="str">
        <f>'4. Customer Growth'!A14</f>
        <v>2018</v>
      </c>
      <c r="J5" s="408" t="s">
        <v>145</v>
      </c>
      <c r="K5" s="408" t="s">
        <v>317</v>
      </c>
      <c r="L5" s="408" t="s">
        <v>349</v>
      </c>
      <c r="M5" s="408" t="s">
        <v>350</v>
      </c>
      <c r="N5" s="408">
        <f>'4. Customer Growth'!A22</f>
        <v>2023</v>
      </c>
      <c r="O5" s="409">
        <f>'4. Customer Growth'!A23</f>
        <v>2024</v>
      </c>
      <c r="P5" s="1" t="s">
        <v>171</v>
      </c>
    </row>
    <row r="6" spans="1:16" x14ac:dyDescent="0.2">
      <c r="A6" s="174" t="str">
        <f>+'9. Weather Adj LF'!A8</f>
        <v>Residential</v>
      </c>
      <c r="B6" s="175" t="s">
        <v>73</v>
      </c>
      <c r="C6" s="176">
        <f>+'9. Weather Adj LF'!C8</f>
        <v>6715.833333333333</v>
      </c>
      <c r="D6" s="176">
        <f>+'9. Weather Adj LF'!D8</f>
        <v>6912.208333333333</v>
      </c>
      <c r="E6" s="176">
        <f>+'9. Weather Adj LF'!E8</f>
        <v>7105.125</v>
      </c>
      <c r="F6" s="176">
        <f>+'9. Weather Adj LF'!F8</f>
        <v>7380.791666666667</v>
      </c>
      <c r="G6" s="176">
        <f>+'9. Weather Adj LF'!G8</f>
        <v>7655.958333333333</v>
      </c>
      <c r="H6" s="176">
        <f>+'9. Weather Adj LF'!H8</f>
        <v>7832.25</v>
      </c>
      <c r="I6" s="176">
        <f>+'9. Weather Adj LF'!I8</f>
        <v>7917.458333333333</v>
      </c>
      <c r="J6" s="176">
        <f>+'9. Weather Adj LF'!J8</f>
        <v>8011.291666666667</v>
      </c>
      <c r="K6" s="176">
        <f>+'9. Weather Adj LF'!K8</f>
        <v>8075.541666666667</v>
      </c>
      <c r="L6" s="176">
        <f>+'9. Weather Adj LF'!L8</f>
        <v>8116.833333333333</v>
      </c>
      <c r="M6" s="176">
        <f>+'9. Weather Adj LF'!M8</f>
        <v>8172.791666666667</v>
      </c>
      <c r="N6" s="176">
        <f>+'9. Weather Adj LF'!N8</f>
        <v>8282.375</v>
      </c>
      <c r="O6" s="177">
        <f>+'9. Weather Adj LF'!O8</f>
        <v>8403.7916666666715</v>
      </c>
    </row>
    <row r="7" spans="1:16" x14ac:dyDescent="0.2">
      <c r="A7" s="178"/>
      <c r="B7" s="1" t="s">
        <v>33</v>
      </c>
      <c r="C7" s="173">
        <f>+'9. Weather Adj LF'!C9</f>
        <v>67086975.060000002</v>
      </c>
      <c r="D7" s="173">
        <f>+'9. Weather Adj LF'!D9</f>
        <v>68126808.569999993</v>
      </c>
      <c r="E7" s="173">
        <f>+'9. Weather Adj LF'!E9</f>
        <v>68599527.920000017</v>
      </c>
      <c r="F7" s="173">
        <f>+'9. Weather Adj LF'!F9</f>
        <v>69624978.280000001</v>
      </c>
      <c r="G7" s="173">
        <f>+'9. Weather Adj LF'!G9</f>
        <v>74189661.459999993</v>
      </c>
      <c r="H7" s="173">
        <f>+'9. Weather Adj LF'!H9</f>
        <v>71056558.450000003</v>
      </c>
      <c r="I7" s="173">
        <f>+'9. Weather Adj LF'!I9</f>
        <v>76998170.200000003</v>
      </c>
      <c r="J7" s="173">
        <f>+'9. Weather Adj LF'!J9</f>
        <v>75007657.649999991</v>
      </c>
      <c r="K7" s="173">
        <f>+'9. Weather Adj LF'!K9</f>
        <v>79728512.560000017</v>
      </c>
      <c r="L7" s="173">
        <f>+'9. Weather Adj LF'!L9</f>
        <v>78645720.670000002</v>
      </c>
      <c r="M7" s="173">
        <f>+'9. Weather Adj LF'!M9</f>
        <v>78473065.318307891</v>
      </c>
      <c r="N7" s="173">
        <f>+'10.1 CDM Allocation'!J7</f>
        <v>78769364.664037079</v>
      </c>
      <c r="O7" s="179">
        <f>+'10.1 CDM Allocation'!M7</f>
        <v>79654824.408439547</v>
      </c>
      <c r="P7" s="235">
        <f>+O7/O6/12</f>
        <v>789.86989412952983</v>
      </c>
    </row>
    <row r="8" spans="1:16" x14ac:dyDescent="0.2">
      <c r="A8" s="178"/>
      <c r="B8" s="1" t="s">
        <v>34</v>
      </c>
      <c r="C8" s="173"/>
      <c r="D8" s="173"/>
      <c r="E8" s="173"/>
      <c r="F8" s="173"/>
      <c r="G8" s="173"/>
      <c r="H8" s="173"/>
      <c r="I8" s="173"/>
      <c r="J8" s="173"/>
      <c r="K8" s="173"/>
      <c r="L8" s="173"/>
      <c r="M8" s="173"/>
      <c r="N8" s="173"/>
      <c r="O8" s="179"/>
    </row>
    <row r="9" spans="1:16" x14ac:dyDescent="0.2">
      <c r="A9" s="178"/>
      <c r="C9" s="173"/>
      <c r="D9" s="173"/>
      <c r="E9" s="173"/>
      <c r="F9" s="173"/>
      <c r="G9" s="173"/>
      <c r="H9" s="173"/>
      <c r="I9" s="173"/>
      <c r="J9" s="173"/>
      <c r="K9" s="173"/>
      <c r="L9" s="173"/>
      <c r="M9" s="173"/>
      <c r="N9" s="173"/>
      <c r="O9" s="179"/>
    </row>
    <row r="10" spans="1:16" x14ac:dyDescent="0.2">
      <c r="A10" s="180" t="str">
        <f>+'9. Weather Adj LF'!A12</f>
        <v>General Service &lt; 50 kW</v>
      </c>
      <c r="B10" s="1" t="s">
        <v>73</v>
      </c>
      <c r="C10" s="173">
        <f>+'9. Weather Adj LF'!C12</f>
        <v>1270.5416666666667</v>
      </c>
      <c r="D10" s="173">
        <f>+'9. Weather Adj LF'!D12</f>
        <v>1219.5416666666667</v>
      </c>
      <c r="E10" s="173">
        <f>+'9. Weather Adj LF'!E12</f>
        <v>1303.4166666666667</v>
      </c>
      <c r="F10" s="173">
        <f>+'9. Weather Adj LF'!F12</f>
        <v>1322.875</v>
      </c>
      <c r="G10" s="173">
        <f>+'9. Weather Adj LF'!G12</f>
        <v>1313.0416666666667</v>
      </c>
      <c r="H10" s="173">
        <f>+'9. Weather Adj LF'!H12</f>
        <v>1329.6666666666667</v>
      </c>
      <c r="I10" s="173">
        <f>+'9. Weather Adj LF'!I12</f>
        <v>1335.4166666666667</v>
      </c>
      <c r="J10" s="173">
        <f>+'9. Weather Adj LF'!J12</f>
        <v>1363.125</v>
      </c>
      <c r="K10" s="173">
        <f>+'9. Weather Adj LF'!K12</f>
        <v>1388</v>
      </c>
      <c r="L10" s="173">
        <f>+'9. Weather Adj LF'!L12</f>
        <v>1437.0416666666667</v>
      </c>
      <c r="M10" s="173">
        <f>+'9. Weather Adj LF'!M12</f>
        <v>1470.1666666666667</v>
      </c>
      <c r="N10" s="173">
        <f>+'9. Weather Adj LF'!N12</f>
        <v>1486.5</v>
      </c>
      <c r="O10" s="179">
        <f>+'9. Weather Adj LF'!O12</f>
        <v>1522.5</v>
      </c>
    </row>
    <row r="11" spans="1:16" x14ac:dyDescent="0.2">
      <c r="A11" s="178"/>
      <c r="B11" s="1" t="s">
        <v>33</v>
      </c>
      <c r="C11" s="173">
        <f>+'9. Weather Adj LF'!C13</f>
        <v>35374878.009999998</v>
      </c>
      <c r="D11" s="173">
        <f>+'9. Weather Adj LF'!D13</f>
        <v>35291130.910000004</v>
      </c>
      <c r="E11" s="173">
        <f>+'9. Weather Adj LF'!E13</f>
        <v>39288460.370000005</v>
      </c>
      <c r="F11" s="173">
        <f>+'9. Weather Adj LF'!F13</f>
        <v>41172287.869999997</v>
      </c>
      <c r="G11" s="173">
        <f>+'9. Weather Adj LF'!G13</f>
        <v>43510840.949999996</v>
      </c>
      <c r="H11" s="173">
        <f>+'9. Weather Adj LF'!H13</f>
        <v>40903499.839999996</v>
      </c>
      <c r="I11" s="173">
        <f>+'9. Weather Adj LF'!I13</f>
        <v>42666832.449999996</v>
      </c>
      <c r="J11" s="173">
        <f>+'9. Weather Adj LF'!J13</f>
        <v>42173377.249999993</v>
      </c>
      <c r="K11" s="173">
        <f>+'9. Weather Adj LF'!K13</f>
        <v>40043494.759999998</v>
      </c>
      <c r="L11" s="173">
        <f>+'9. Weather Adj LF'!L13</f>
        <v>41952896.950000003</v>
      </c>
      <c r="M11" s="173">
        <f>+'9. Weather Adj LF'!M13</f>
        <v>44644118.667421766</v>
      </c>
      <c r="N11" s="173">
        <f>+'10.1 CDM Allocation'!J10</f>
        <v>44812686.354922645</v>
      </c>
      <c r="O11" s="179">
        <f>+'10.1 CDM Allocation'!M10</f>
        <v>45316433.337966844</v>
      </c>
      <c r="P11" s="235">
        <f>+O11/O10/12</f>
        <v>2480.3740195931496</v>
      </c>
    </row>
    <row r="12" spans="1:16" x14ac:dyDescent="0.2">
      <c r="A12" s="178"/>
      <c r="B12" s="1" t="s">
        <v>34</v>
      </c>
      <c r="C12" s="173"/>
      <c r="D12" s="173"/>
      <c r="E12" s="173"/>
      <c r="F12" s="173"/>
      <c r="G12" s="173"/>
      <c r="H12" s="173"/>
      <c r="I12" s="173"/>
      <c r="J12" s="173"/>
      <c r="K12" s="173"/>
      <c r="L12" s="173"/>
      <c r="M12" s="173"/>
      <c r="N12" s="173"/>
      <c r="O12" s="179"/>
    </row>
    <row r="13" spans="1:16" x14ac:dyDescent="0.2">
      <c r="A13" s="178"/>
      <c r="C13" s="173"/>
      <c r="D13" s="173"/>
      <c r="E13" s="173"/>
      <c r="F13" s="173"/>
      <c r="G13" s="173"/>
      <c r="H13" s="173"/>
      <c r="I13" s="173"/>
      <c r="J13" s="173"/>
      <c r="K13" s="173"/>
      <c r="L13" s="173"/>
      <c r="M13" s="173"/>
      <c r="N13" s="173"/>
      <c r="O13" s="179"/>
    </row>
    <row r="14" spans="1:16" x14ac:dyDescent="0.2">
      <c r="A14" s="180" t="str">
        <f>+'9. Weather Adj LF'!A16</f>
        <v>General Service &gt; 50 kW - 4999 kW</v>
      </c>
      <c r="B14" s="1" t="s">
        <v>73</v>
      </c>
      <c r="C14" s="173">
        <f>+'9. Weather Adj LF'!C16</f>
        <v>118.04166666666667</v>
      </c>
      <c r="D14" s="173">
        <f>+'9. Weather Adj LF'!D16</f>
        <v>117.41666666666667</v>
      </c>
      <c r="E14" s="173">
        <f>+'9. Weather Adj LF'!E16</f>
        <v>128.41666666666666</v>
      </c>
      <c r="F14" s="173">
        <f>+'9. Weather Adj LF'!F16</f>
        <v>126.66666666666667</v>
      </c>
      <c r="G14" s="173">
        <f>+'9. Weather Adj LF'!G16</f>
        <v>118.08333333333333</v>
      </c>
      <c r="H14" s="173">
        <f>+'9. Weather Adj LF'!H16</f>
        <v>128.45833333333334</v>
      </c>
      <c r="I14" s="173">
        <f>+'9. Weather Adj LF'!I16</f>
        <v>125.75</v>
      </c>
      <c r="J14" s="173">
        <f>+'9. Weather Adj LF'!J16</f>
        <v>126.125</v>
      </c>
      <c r="K14" s="173">
        <f>+'9. Weather Adj LF'!K16</f>
        <v>123.875</v>
      </c>
      <c r="L14" s="173">
        <f>+'9. Weather Adj LF'!L16</f>
        <v>124.625</v>
      </c>
      <c r="M14" s="173">
        <f>+'9. Weather Adj LF'!M16</f>
        <v>126</v>
      </c>
      <c r="N14" s="173">
        <f>+'9. Weather Adj LF'!N16</f>
        <v>125</v>
      </c>
      <c r="O14" s="179">
        <f>+'9. Weather Adj LF'!O16</f>
        <v>126.625</v>
      </c>
    </row>
    <row r="15" spans="1:16" x14ac:dyDescent="0.2">
      <c r="A15" s="178"/>
      <c r="B15" s="1" t="s">
        <v>33</v>
      </c>
      <c r="C15" s="173">
        <f>+'9. Weather Adj LF'!C17</f>
        <v>79052380.799999997</v>
      </c>
      <c r="D15" s="173">
        <f>+'9. Weather Adj LF'!D17</f>
        <v>79002498.220000014</v>
      </c>
      <c r="E15" s="173">
        <f>+'9. Weather Adj LF'!E17</f>
        <v>81212452.610000014</v>
      </c>
      <c r="F15" s="173">
        <f>+'9. Weather Adj LF'!F17</f>
        <v>82616767.769999996</v>
      </c>
      <c r="G15" s="173">
        <f>+'9. Weather Adj LF'!G17</f>
        <v>83681623.590000004</v>
      </c>
      <c r="H15" s="173">
        <f>+'9. Weather Adj LF'!H17</f>
        <v>84208017.00999999</v>
      </c>
      <c r="I15" s="173">
        <f>+'9. Weather Adj LF'!I17</f>
        <v>97006700.459999993</v>
      </c>
      <c r="J15" s="173">
        <f>+'9. Weather Adj LF'!J17</f>
        <v>94000918.169999987</v>
      </c>
      <c r="K15" s="173">
        <f>+'9. Weather Adj LF'!K17</f>
        <v>75559207.680000007</v>
      </c>
      <c r="L15" s="173">
        <f>+'9. Weather Adj LF'!L17</f>
        <v>76914640.730000004</v>
      </c>
      <c r="M15" s="173">
        <f>+'9. Weather Adj LF'!M17</f>
        <v>86913745.909999996</v>
      </c>
      <c r="N15" s="173">
        <f>+'10.1 CDM Allocation'!J13</f>
        <v>85629843.164682537</v>
      </c>
      <c r="O15" s="179">
        <f>+'10.1 CDM Allocation'!M13</f>
        <v>86743031.125823408</v>
      </c>
      <c r="P15" s="235">
        <f>+O15/O14/12</f>
        <v>57086.562109788356</v>
      </c>
    </row>
    <row r="16" spans="1:16" x14ac:dyDescent="0.2">
      <c r="A16" s="178"/>
      <c r="B16" s="1" t="s">
        <v>34</v>
      </c>
      <c r="C16" s="173">
        <f>+'9. Weather Adj LF'!C18</f>
        <v>202737.81</v>
      </c>
      <c r="D16" s="173">
        <f>+'9. Weather Adj LF'!D18</f>
        <v>204592.81999999998</v>
      </c>
      <c r="E16" s="173">
        <f>+'9. Weather Adj LF'!E18</f>
        <v>208042.52000000002</v>
      </c>
      <c r="F16" s="173">
        <f>+'9. Weather Adj LF'!F18</f>
        <v>212938.04999999996</v>
      </c>
      <c r="G16" s="173">
        <f>+'9. Weather Adj LF'!G18</f>
        <v>208695.71</v>
      </c>
      <c r="H16" s="173">
        <f>+'9. Weather Adj LF'!H18</f>
        <v>209336.49</v>
      </c>
      <c r="I16" s="173">
        <f>+'9. Weather Adj LF'!I18</f>
        <v>254384.34000000003</v>
      </c>
      <c r="J16" s="173">
        <f>+'9. Weather Adj LF'!J18</f>
        <v>252730.07</v>
      </c>
      <c r="K16" s="173">
        <f>+'9. Weather Adj LF'!K18</f>
        <v>192751.03</v>
      </c>
      <c r="L16" s="173">
        <f>+'9. Weather Adj LF'!L18</f>
        <v>195348.2</v>
      </c>
      <c r="M16" s="173">
        <f>+'9. Weather Adj LF'!M18</f>
        <v>219944.56334445722</v>
      </c>
      <c r="N16" s="173">
        <f>+'10.1 CDM Allocation'!J14</f>
        <v>218198.97157188217</v>
      </c>
      <c r="O16" s="179">
        <f>+'10.1 CDM Allocation'!M14</f>
        <v>221035.55820231661</v>
      </c>
      <c r="P16" s="235">
        <f>+O16/O14/12</f>
        <v>145.46598104792142</v>
      </c>
    </row>
    <row r="17" spans="1:16" x14ac:dyDescent="0.2">
      <c r="A17" s="178"/>
      <c r="C17" s="173"/>
      <c r="D17" s="173"/>
      <c r="E17" s="173"/>
      <c r="F17" s="173"/>
      <c r="G17" s="173"/>
      <c r="H17" s="173"/>
      <c r="I17" s="173"/>
      <c r="J17" s="173"/>
      <c r="K17" s="173"/>
      <c r="L17" s="173"/>
      <c r="M17" s="173"/>
      <c r="N17" s="173"/>
      <c r="O17" s="179"/>
    </row>
    <row r="18" spans="1:16" x14ac:dyDescent="0.2">
      <c r="A18" s="180" t="str">
        <f>+'9. Weather Adj LF'!A20</f>
        <v>Unmetered Scattered Load</v>
      </c>
      <c r="B18" s="1" t="s">
        <v>73</v>
      </c>
      <c r="C18" s="173">
        <f>+'9. Weather Adj LF'!C20</f>
        <v>20.791666666666668</v>
      </c>
      <c r="D18" s="173">
        <f>+'9. Weather Adj LF'!D20</f>
        <v>20.125</v>
      </c>
      <c r="E18" s="173">
        <f>+'9. Weather Adj LF'!E20</f>
        <v>19.541666666666668</v>
      </c>
      <c r="F18" s="173">
        <f>+'9. Weather Adj LF'!F20</f>
        <v>18.25</v>
      </c>
      <c r="G18" s="173">
        <f>+'9. Weather Adj LF'!G20</f>
        <v>16.833333333333332</v>
      </c>
      <c r="H18" s="173">
        <f>+'9. Weather Adj LF'!H20</f>
        <v>24.416666666666668</v>
      </c>
      <c r="I18" s="173">
        <f>+'9. Weather Adj LF'!I20</f>
        <v>27.083333333333332</v>
      </c>
      <c r="J18" s="173">
        <f>+'9. Weather Adj LF'!J20</f>
        <v>29.708333333333332</v>
      </c>
      <c r="K18" s="173">
        <f>+'9. Weather Adj LF'!K20</f>
        <v>30.041666666666668</v>
      </c>
      <c r="L18" s="173">
        <f>+'9. Weather Adj LF'!L20</f>
        <v>31.916666666666668</v>
      </c>
      <c r="M18" s="173">
        <f>+'9. Weather Adj LF'!M20</f>
        <v>49.916666666666664</v>
      </c>
      <c r="N18" s="173">
        <f>+'9. Weather Adj LF'!N20</f>
        <v>60</v>
      </c>
      <c r="O18" s="179">
        <f>+'9. Weather Adj LF'!O20</f>
        <v>60</v>
      </c>
    </row>
    <row r="19" spans="1:16" x14ac:dyDescent="0.2">
      <c r="A19" s="178"/>
      <c r="B19" s="1" t="s">
        <v>33</v>
      </c>
      <c r="C19" s="173">
        <f>+'9. Weather Adj LF'!C21</f>
        <v>226393.8</v>
      </c>
      <c r="D19" s="173">
        <f>+'9. Weather Adj LF'!D21</f>
        <v>234467.23</v>
      </c>
      <c r="E19" s="173">
        <f>+'9. Weather Adj LF'!E21</f>
        <v>230816.74</v>
      </c>
      <c r="F19" s="173">
        <f>+'9. Weather Adj LF'!F21</f>
        <v>224901.2</v>
      </c>
      <c r="G19" s="173">
        <f>+'9. Weather Adj LF'!G21</f>
        <v>224075.16999999998</v>
      </c>
      <c r="H19" s="173">
        <f>+'9. Weather Adj LF'!H21</f>
        <v>250759.37</v>
      </c>
      <c r="I19" s="173">
        <f>+'9. Weather Adj LF'!I21</f>
        <v>264992.59000000003</v>
      </c>
      <c r="J19" s="173">
        <f>+'9. Weather Adj LF'!J21</f>
        <v>254507.88999999998</v>
      </c>
      <c r="K19" s="173">
        <f>+'9. Weather Adj LF'!K21</f>
        <v>247075.17</v>
      </c>
      <c r="L19" s="173">
        <f>+'9. Weather Adj LF'!L21</f>
        <v>262765.23</v>
      </c>
      <c r="M19" s="173">
        <f>+'9. Weather Adj LF'!M21</f>
        <v>315376.28000000003</v>
      </c>
      <c r="N19" s="173">
        <f>+'10.1 CDM Allocation'!J16</f>
        <v>379083.34156928223</v>
      </c>
      <c r="O19" s="179">
        <f>+'10.1 CDM Allocation'!M16</f>
        <v>379083.34156928223</v>
      </c>
      <c r="P19" s="235">
        <f>+O19/O18/12</f>
        <v>526.50464106844754</v>
      </c>
    </row>
    <row r="20" spans="1:16" x14ac:dyDescent="0.2">
      <c r="A20" s="178"/>
      <c r="B20" s="1" t="s">
        <v>34</v>
      </c>
      <c r="C20" s="173"/>
      <c r="D20" s="173"/>
      <c r="E20" s="173"/>
      <c r="F20" s="173"/>
      <c r="G20" s="173"/>
      <c r="H20" s="173"/>
      <c r="I20" s="173"/>
      <c r="J20" s="173"/>
      <c r="K20" s="173"/>
      <c r="L20" s="173"/>
      <c r="M20" s="173"/>
      <c r="N20" s="173"/>
      <c r="O20" s="179"/>
    </row>
    <row r="21" spans="1:16" x14ac:dyDescent="0.2">
      <c r="A21" s="178"/>
      <c r="C21" s="173"/>
      <c r="D21" s="173"/>
      <c r="E21" s="173"/>
      <c r="F21" s="173"/>
      <c r="G21" s="173"/>
      <c r="H21" s="173"/>
      <c r="I21" s="173"/>
      <c r="J21" s="173"/>
      <c r="K21" s="173"/>
      <c r="L21" s="173"/>
      <c r="M21" s="173"/>
      <c r="N21" s="173"/>
      <c r="O21" s="179"/>
    </row>
    <row r="22" spans="1:16" x14ac:dyDescent="0.2">
      <c r="A22" s="180" t="str">
        <f>+'9. Weather Adj LF'!A24</f>
        <v>Street Lights</v>
      </c>
      <c r="B22" s="1" t="s">
        <v>73</v>
      </c>
      <c r="C22" s="173">
        <f>+'9. Weather Adj LF'!C24</f>
        <v>1946.75</v>
      </c>
      <c r="D22" s="173">
        <f>+'9. Weather Adj LF'!D24</f>
        <v>1948.75</v>
      </c>
      <c r="E22" s="173">
        <f>+'9. Weather Adj LF'!E24</f>
        <v>2051.3333333333335</v>
      </c>
      <c r="F22" s="173">
        <f>+'9. Weather Adj LF'!F24</f>
        <v>2080.75</v>
      </c>
      <c r="G22" s="173">
        <f>+'9. Weather Adj LF'!G24</f>
        <v>2120.1666666666665</v>
      </c>
      <c r="H22" s="173">
        <f>+'9. Weather Adj LF'!H24</f>
        <v>2123.9166666666665</v>
      </c>
      <c r="I22" s="173">
        <f>+'9. Weather Adj LF'!I24</f>
        <v>2116</v>
      </c>
      <c r="J22" s="173">
        <f>+'9. Weather Adj LF'!J24</f>
        <v>2153.3333333333335</v>
      </c>
      <c r="K22" s="173">
        <f>+'9. Weather Adj LF'!K24</f>
        <v>2148</v>
      </c>
      <c r="L22" s="173">
        <f>+'9. Weather Adj LF'!L24</f>
        <v>2245.3333333333335</v>
      </c>
      <c r="M22" s="173">
        <f>+'9. Weather Adj LF'!M24</f>
        <v>2254</v>
      </c>
      <c r="N22" s="173">
        <f>+'9. Weather Adj LF'!N24</f>
        <v>2254</v>
      </c>
      <c r="O22" s="179">
        <f>+'9. Weather Adj LF'!O24</f>
        <v>2254</v>
      </c>
      <c r="P22" s="1">
        <f>+O22/5</f>
        <v>450.8</v>
      </c>
    </row>
    <row r="23" spans="1:16" x14ac:dyDescent="0.2">
      <c r="A23" s="178"/>
      <c r="B23" s="1" t="s">
        <v>33</v>
      </c>
      <c r="C23" s="173">
        <f>+'9. Weather Adj LF'!C25</f>
        <v>1163464.3800000001</v>
      </c>
      <c r="D23" s="173">
        <f>+'9. Weather Adj LF'!D25</f>
        <v>1160023.9100000001</v>
      </c>
      <c r="E23" s="173">
        <f>+'9. Weather Adj LF'!E25</f>
        <v>1160025.06</v>
      </c>
      <c r="F23" s="173">
        <f>+'9. Weather Adj LF'!F25</f>
        <v>974371.32000000007</v>
      </c>
      <c r="G23" s="173">
        <f>+'9. Weather Adj LF'!G25</f>
        <v>861899.34000000008</v>
      </c>
      <c r="H23" s="173">
        <f>+'9. Weather Adj LF'!H25</f>
        <v>858843.55</v>
      </c>
      <c r="I23" s="173">
        <f>+'9. Weather Adj LF'!I25</f>
        <v>856925.36999999988</v>
      </c>
      <c r="J23" s="173">
        <f>+'9. Weather Adj LF'!J25</f>
        <v>854489.3600000001</v>
      </c>
      <c r="K23" s="173">
        <f>+'9. Weather Adj LF'!K25</f>
        <v>840174.8600000001</v>
      </c>
      <c r="L23" s="173">
        <f>+'9. Weather Adj LF'!L25</f>
        <v>561900.85</v>
      </c>
      <c r="M23" s="173">
        <f>+'9. Weather Adj LF'!M25</f>
        <v>563345.13</v>
      </c>
      <c r="N23" s="173">
        <f>+'10.1 CDM Allocation'!J19</f>
        <v>563345.13</v>
      </c>
      <c r="O23" s="179">
        <f>+'10.1 CDM Allocation'!M19</f>
        <v>563345.13</v>
      </c>
      <c r="P23" s="235">
        <f>+O23/O22/12*300</f>
        <v>6248.2822759538594</v>
      </c>
    </row>
    <row r="24" spans="1:16" x14ac:dyDescent="0.2">
      <c r="A24" s="178"/>
      <c r="B24" s="1" t="s">
        <v>34</v>
      </c>
      <c r="C24" s="173">
        <f>+'9. Weather Adj LF'!C26</f>
        <v>3238.8</v>
      </c>
      <c r="D24" s="173">
        <f>+'9. Weather Adj LF'!D26</f>
        <v>3256.79</v>
      </c>
      <c r="E24" s="173">
        <f>+'9. Weather Adj LF'!E26</f>
        <v>3238.8</v>
      </c>
      <c r="F24" s="173">
        <f>+'9. Weather Adj LF'!F26</f>
        <v>2742.9900000000007</v>
      </c>
      <c r="G24" s="173">
        <f>+'9. Weather Adj LF'!G26</f>
        <v>2373.42</v>
      </c>
      <c r="H24" s="173">
        <f>+'9. Weather Adj LF'!H26</f>
        <v>2399.7999999999997</v>
      </c>
      <c r="I24" s="173">
        <f>+'9. Weather Adj LF'!I26</f>
        <v>2390.9999999999995</v>
      </c>
      <c r="J24" s="173">
        <f>+'9. Weather Adj LF'!J26</f>
        <v>2389.4600000000005</v>
      </c>
      <c r="K24" s="173">
        <f>+'9. Weather Adj LF'!K26</f>
        <v>2338.8000000000006</v>
      </c>
      <c r="L24" s="173">
        <f>+'9. Weather Adj LF'!L26</f>
        <v>1568.4</v>
      </c>
      <c r="M24" s="173">
        <f>+'9. Weather Adj LF'!M26</f>
        <v>1568.4</v>
      </c>
      <c r="N24" s="173">
        <f>+'10.1 CDM Allocation'!J20</f>
        <v>1572</v>
      </c>
      <c r="O24" s="179">
        <f>+'10.1 CDM Allocation'!M20</f>
        <v>1572</v>
      </c>
      <c r="P24" s="235">
        <f>+O24/O22/12*300</f>
        <v>17.435669920141969</v>
      </c>
    </row>
    <row r="25" spans="1:16" x14ac:dyDescent="0.2">
      <c r="A25" s="178"/>
      <c r="C25" s="173"/>
      <c r="D25" s="173"/>
      <c r="E25" s="173"/>
      <c r="F25" s="173"/>
      <c r="G25" s="173"/>
      <c r="H25" s="173"/>
      <c r="I25" s="173"/>
      <c r="J25" s="173"/>
      <c r="K25" s="173"/>
      <c r="L25" s="173"/>
      <c r="M25" s="173"/>
      <c r="N25" s="173"/>
      <c r="O25" s="179"/>
    </row>
    <row r="26" spans="1:16" x14ac:dyDescent="0.2">
      <c r="A26" s="180" t="str">
        <f>+'9. Weather Adj LF'!A28</f>
        <v>Large User</v>
      </c>
      <c r="B26" s="1" t="s">
        <v>73</v>
      </c>
      <c r="C26" s="173">
        <f>+'9. Weather Adj LF'!C28</f>
        <v>0</v>
      </c>
      <c r="D26" s="173">
        <f>+'9. Weather Adj LF'!D28</f>
        <v>0</v>
      </c>
      <c r="E26" s="173">
        <f>+'9. Weather Adj LF'!E28</f>
        <v>0</v>
      </c>
      <c r="F26" s="173">
        <f>+'9. Weather Adj LF'!F28</f>
        <v>0</v>
      </c>
      <c r="G26" s="173">
        <f>+'9. Weather Adj LF'!G28</f>
        <v>0</v>
      </c>
      <c r="H26" s="173">
        <f>+'9. Weather Adj LF'!H28</f>
        <v>0</v>
      </c>
      <c r="I26" s="173">
        <f>+'9. Weather Adj LF'!I28</f>
        <v>0</v>
      </c>
      <c r="J26" s="173">
        <f>+'9. Weather Adj LF'!J28</f>
        <v>0.66666666666666663</v>
      </c>
      <c r="K26" s="173">
        <f>+'9. Weather Adj LF'!K28</f>
        <v>1</v>
      </c>
      <c r="L26" s="173">
        <f>+'9. Weather Adj LF'!L28</f>
        <v>1</v>
      </c>
      <c r="M26" s="173">
        <f>+'9. Weather Adj LF'!M28</f>
        <v>0.5</v>
      </c>
      <c r="N26" s="173">
        <f>+'9. Weather Adj LF'!N28</f>
        <v>0.5</v>
      </c>
      <c r="O26" s="179">
        <f>+'9. Weather Adj LF'!O28</f>
        <v>1</v>
      </c>
    </row>
    <row r="27" spans="1:16" x14ac:dyDescent="0.2">
      <c r="A27" s="178"/>
      <c r="B27" s="1" t="s">
        <v>33</v>
      </c>
      <c r="C27" s="173">
        <f>+'9. Weather Adj LF'!C29</f>
        <v>0</v>
      </c>
      <c r="D27" s="173">
        <f>+'9. Weather Adj LF'!D29</f>
        <v>0</v>
      </c>
      <c r="E27" s="173">
        <f>+'9. Weather Adj LF'!E29</f>
        <v>0</v>
      </c>
      <c r="F27" s="173">
        <f>+'9. Weather Adj LF'!F29</f>
        <v>0</v>
      </c>
      <c r="G27" s="173">
        <f>+'9. Weather Adj LF'!G29</f>
        <v>0</v>
      </c>
      <c r="H27" s="173">
        <f>+'9. Weather Adj LF'!H29</f>
        <v>0</v>
      </c>
      <c r="I27" s="173">
        <f>+'9. Weather Adj LF'!I29</f>
        <v>0</v>
      </c>
      <c r="J27" s="173">
        <f>+'9. Weather Adj LF'!J29</f>
        <v>17267572</v>
      </c>
      <c r="K27" s="173">
        <f>+'9. Weather Adj LF'!K29</f>
        <v>25776833.599999994</v>
      </c>
      <c r="L27" s="173">
        <f>+'9. Weather Adj LF'!L29</f>
        <v>19135793.599999998</v>
      </c>
      <c r="M27" s="173">
        <f>+'9. Weather Adj LF'!M29</f>
        <v>1250860.7999999998</v>
      </c>
      <c r="N27" s="173">
        <f>+'10.1 CDM Allocation'!J22</f>
        <v>19710000</v>
      </c>
      <c r="O27" s="179">
        <f>+'10.1 CDM Allocation'!M22</f>
        <v>39420000</v>
      </c>
      <c r="P27" s="235">
        <f>+O27/O26/12</f>
        <v>3285000</v>
      </c>
    </row>
    <row r="28" spans="1:16" x14ac:dyDescent="0.2">
      <c r="A28" s="178"/>
      <c r="B28" s="1" t="s">
        <v>34</v>
      </c>
      <c r="C28" s="173">
        <f>+'9. Weather Adj LF'!C30</f>
        <v>0</v>
      </c>
      <c r="D28" s="173">
        <f>+'9. Weather Adj LF'!D30</f>
        <v>0</v>
      </c>
      <c r="E28" s="173">
        <f>+'9. Weather Adj LF'!E30</f>
        <v>0</v>
      </c>
      <c r="F28" s="173">
        <f>+'9. Weather Adj LF'!F30</f>
        <v>0</v>
      </c>
      <c r="G28" s="173">
        <f>+'9. Weather Adj LF'!G30</f>
        <v>0</v>
      </c>
      <c r="H28" s="173">
        <f>+'9. Weather Adj LF'!H30</f>
        <v>0</v>
      </c>
      <c r="I28" s="173">
        <f>+'9. Weather Adj LF'!I30</f>
        <v>0</v>
      </c>
      <c r="J28" s="173">
        <f>+'9. Weather Adj LF'!J30</f>
        <v>56470.400000000009</v>
      </c>
      <c r="K28" s="173">
        <f>+'9. Weather Adj LF'!K30</f>
        <v>87942.399999999994</v>
      </c>
      <c r="L28" s="173">
        <f>+'9. Weather Adj LF'!L30</f>
        <v>67379.199999999997</v>
      </c>
      <c r="M28" s="173">
        <f>+'9. Weather Adj LF'!M30</f>
        <v>8525.4000000000015</v>
      </c>
      <c r="N28" s="173">
        <f>+'10.1 CDM Allocation'!J23</f>
        <v>30000</v>
      </c>
      <c r="O28" s="179">
        <f>+'10.1 CDM Allocation'!M23</f>
        <v>60000</v>
      </c>
    </row>
    <row r="29" spans="1:16" x14ac:dyDescent="0.2">
      <c r="A29" s="181"/>
      <c r="C29" s="173"/>
      <c r="D29" s="173"/>
      <c r="E29" s="173"/>
      <c r="F29" s="173"/>
      <c r="G29" s="173"/>
      <c r="H29" s="173"/>
      <c r="I29" s="173"/>
      <c r="J29" s="173"/>
      <c r="K29" s="173"/>
      <c r="L29" s="173"/>
      <c r="M29" s="173"/>
      <c r="N29" s="173"/>
      <c r="O29" s="179"/>
    </row>
    <row r="30" spans="1:16" x14ac:dyDescent="0.2">
      <c r="A30" s="178" t="s">
        <v>15</v>
      </c>
      <c r="B30" s="1" t="s">
        <v>73</v>
      </c>
      <c r="C30" s="173">
        <f>C6+C10+C14+C18+C22+C26</f>
        <v>10071.958333333334</v>
      </c>
      <c r="D30" s="173">
        <f t="shared" ref="D30:O30" si="0">D6+D10+D14+D18+D22+D26</f>
        <v>10218.041666666666</v>
      </c>
      <c r="E30" s="173">
        <f t="shared" si="0"/>
        <v>10607.833333333332</v>
      </c>
      <c r="F30" s="173">
        <f t="shared" si="0"/>
        <v>10929.333333333334</v>
      </c>
      <c r="G30" s="173">
        <f t="shared" si="0"/>
        <v>11224.083333333334</v>
      </c>
      <c r="H30" s="173">
        <f t="shared" si="0"/>
        <v>11438.708333333332</v>
      </c>
      <c r="I30" s="173">
        <f t="shared" si="0"/>
        <v>11521.708333333334</v>
      </c>
      <c r="J30" s="173">
        <f t="shared" ref="J30:K30" si="1">J6+J10+J14+J18+J22+J26</f>
        <v>11684.250000000002</v>
      </c>
      <c r="K30" s="173">
        <f t="shared" si="1"/>
        <v>11766.458333333334</v>
      </c>
      <c r="L30" s="173">
        <f t="shared" ref="L30:M30" si="2">L6+L10+L14+L18+L22+L26</f>
        <v>11956.75</v>
      </c>
      <c r="M30" s="173">
        <f t="shared" si="2"/>
        <v>12073.375</v>
      </c>
      <c r="N30" s="173">
        <f t="shared" si="0"/>
        <v>12208.375</v>
      </c>
      <c r="O30" s="179">
        <f t="shared" si="0"/>
        <v>12367.916666666672</v>
      </c>
    </row>
    <row r="31" spans="1:16" x14ac:dyDescent="0.2">
      <c r="A31" s="178"/>
      <c r="B31" s="1" t="s">
        <v>33</v>
      </c>
      <c r="C31" s="173">
        <f>C7+C11+C15+C19+C23+C27</f>
        <v>182904092.05000001</v>
      </c>
      <c r="D31" s="173">
        <f t="shared" ref="D31:O31" si="3">D7+D11+D15+D19+D23+D27</f>
        <v>183814928.83999997</v>
      </c>
      <c r="E31" s="173">
        <f t="shared" si="3"/>
        <v>190491282.70000005</v>
      </c>
      <c r="F31" s="173">
        <f t="shared" si="3"/>
        <v>194613306.44</v>
      </c>
      <c r="G31" s="173">
        <f t="shared" si="3"/>
        <v>202468100.50999999</v>
      </c>
      <c r="H31" s="173">
        <f t="shared" si="3"/>
        <v>197277678.22</v>
      </c>
      <c r="I31" s="173">
        <f t="shared" si="3"/>
        <v>217793621.07000002</v>
      </c>
      <c r="J31" s="173">
        <f t="shared" ref="J31:K31" si="4">J7+J11+J15+J19+J23+J27</f>
        <v>229558522.31999996</v>
      </c>
      <c r="K31" s="173">
        <f t="shared" si="4"/>
        <v>222195298.63000003</v>
      </c>
      <c r="L31" s="173">
        <f t="shared" ref="L31:M31" si="5">L7+L11+L15+L19+L23+L27</f>
        <v>217473718.03</v>
      </c>
      <c r="M31" s="173">
        <f t="shared" si="5"/>
        <v>212160512.10572967</v>
      </c>
      <c r="N31" s="173">
        <f t="shared" si="3"/>
        <v>229864322.65521154</v>
      </c>
      <c r="O31" s="179">
        <f t="shared" si="3"/>
        <v>252076717.34379908</v>
      </c>
    </row>
    <row r="32" spans="1:16" ht="13.5" thickBot="1" x14ac:dyDescent="0.25">
      <c r="A32" s="404"/>
      <c r="B32" s="387" t="s">
        <v>34</v>
      </c>
      <c r="C32" s="405">
        <f>C8+C12+C16+C20+C24+C28</f>
        <v>205976.61</v>
      </c>
      <c r="D32" s="405">
        <f t="shared" ref="D32:O32" si="6">D8+D12+D16+D20+D24+D28</f>
        <v>207849.61</v>
      </c>
      <c r="E32" s="405">
        <f t="shared" si="6"/>
        <v>211281.32</v>
      </c>
      <c r="F32" s="405">
        <f t="shared" si="6"/>
        <v>215681.03999999995</v>
      </c>
      <c r="G32" s="405">
        <f t="shared" si="6"/>
        <v>211069.13</v>
      </c>
      <c r="H32" s="405">
        <f t="shared" si="6"/>
        <v>211736.28999999998</v>
      </c>
      <c r="I32" s="405">
        <f t="shared" si="6"/>
        <v>256775.34000000003</v>
      </c>
      <c r="J32" s="405">
        <f t="shared" ref="J32:K32" si="7">J8+J12+J16+J20+J24+J28</f>
        <v>311589.93</v>
      </c>
      <c r="K32" s="405">
        <f t="shared" si="7"/>
        <v>283032.23</v>
      </c>
      <c r="L32" s="405">
        <f t="shared" ref="L32:M32" si="8">L8+L12+L16+L20+L24+L28</f>
        <v>264295.8</v>
      </c>
      <c r="M32" s="405">
        <f t="shared" si="8"/>
        <v>230038.3633444572</v>
      </c>
      <c r="N32" s="405">
        <f t="shared" si="6"/>
        <v>249770.97157188217</v>
      </c>
      <c r="O32" s="224">
        <f t="shared" si="6"/>
        <v>282607.55820231664</v>
      </c>
    </row>
    <row r="34" spans="3:15" hidden="1" outlineLevel="1" x14ac:dyDescent="0.2">
      <c r="C34" s="235">
        <f>+C7/C6/12</f>
        <v>832.44788509740658</v>
      </c>
      <c r="D34" s="235">
        <f t="shared" ref="D34:O34" si="9">+D7/D6/12</f>
        <v>821.33433683157216</v>
      </c>
      <c r="E34" s="235">
        <f t="shared" si="9"/>
        <v>804.57800906622595</v>
      </c>
      <c r="F34" s="235">
        <f t="shared" si="9"/>
        <v>786.10558126668877</v>
      </c>
      <c r="G34" s="235">
        <f t="shared" si="9"/>
        <v>807.53728261756908</v>
      </c>
      <c r="H34" s="235">
        <f t="shared" si="9"/>
        <v>756.02539127751709</v>
      </c>
      <c r="I34" s="235">
        <f t="shared" si="9"/>
        <v>810.42601213562864</v>
      </c>
      <c r="J34" s="235">
        <f t="shared" si="9"/>
        <v>780.22850715916582</v>
      </c>
      <c r="K34" s="235">
        <f t="shared" si="9"/>
        <v>822.73647856438947</v>
      </c>
      <c r="L34" s="235">
        <f t="shared" si="9"/>
        <v>807.43435114268698</v>
      </c>
      <c r="M34" s="235">
        <f t="shared" ref="M34" si="10">+M7/M6/12</f>
        <v>800.14545538099367</v>
      </c>
      <c r="N34" s="235">
        <f t="shared" si="9"/>
        <v>792.54002891719949</v>
      </c>
      <c r="O34" s="235">
        <f t="shared" si="9"/>
        <v>789.86989412952983</v>
      </c>
    </row>
    <row r="35" spans="3:15" collapsed="1" x14ac:dyDescent="0.2"/>
  </sheetData>
  <phoneticPr fontId="88" type="noConversion"/>
  <pageMargins left="0.70866141732283472" right="0.70866141732283472" top="0.74803149606299213" bottom="0.74803149606299213" header="0.31496062992125984" footer="0.31496062992125984"/>
  <pageSetup scale="58" orientation="landscape" r:id="rId1"/>
  <ignoredErrors>
    <ignoredError sqref="J5:O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B387A-E47F-42E2-A971-6D4BBB61F498}">
  <dimension ref="A1:S122"/>
  <sheetViews>
    <sheetView topLeftCell="A85" workbookViewId="0"/>
  </sheetViews>
  <sheetFormatPr defaultRowHeight="12.75" outlineLevelRow="1" x14ac:dyDescent="0.2"/>
  <cols>
    <col min="1" max="1" width="37" style="1" bestFit="1" customWidth="1"/>
    <col min="2" max="13" width="15.33203125" style="1" customWidth="1"/>
    <col min="14" max="14" width="18.1640625" style="1" customWidth="1"/>
    <col min="15" max="15" width="1.83203125" style="1" customWidth="1"/>
    <col min="16" max="17" width="19.33203125" style="1" customWidth="1"/>
    <col min="18" max="19" width="19.1640625" style="1" customWidth="1"/>
    <col min="20" max="16384" width="9.33203125" style="1"/>
  </cols>
  <sheetData>
    <row r="1" spans="1:14" x14ac:dyDescent="0.2">
      <c r="A1" s="1" t="str">
        <f>+'1. Assumptions'!A1</f>
        <v>Niagara-on-the-Lake Hydro Inc.</v>
      </c>
    </row>
    <row r="2" spans="1:14" x14ac:dyDescent="0.2">
      <c r="A2" s="33" t="s">
        <v>223</v>
      </c>
    </row>
    <row r="3" spans="1:14" x14ac:dyDescent="0.2">
      <c r="A3" s="1" t="str">
        <f>+'1. Assumptions'!A3</f>
        <v>2024 Test &amp; 2023 Bridge</v>
      </c>
    </row>
    <row r="6" spans="1:14" x14ac:dyDescent="0.2">
      <c r="B6" s="595" t="s">
        <v>234</v>
      </c>
      <c r="C6" s="595"/>
      <c r="D6" s="595"/>
      <c r="E6" s="595"/>
      <c r="F6" s="595"/>
      <c r="G6" s="595"/>
      <c r="H6" s="595"/>
      <c r="I6" s="595"/>
      <c r="J6" s="595"/>
      <c r="K6" s="595"/>
      <c r="L6" s="595"/>
      <c r="M6" s="595"/>
    </row>
    <row r="7" spans="1:14" x14ac:dyDescent="0.2">
      <c r="B7" s="22" t="str">
        <f>+'1. Assumptions'!C8</f>
        <v>Bridge</v>
      </c>
      <c r="C7" s="22" t="str">
        <f>+'1. Assumptions'!D8</f>
        <v>Bridge</v>
      </c>
      <c r="D7" s="22" t="str">
        <f>+'1. Assumptions'!E8</f>
        <v>Bridge</v>
      </c>
      <c r="E7" s="22" t="str">
        <f>+'1. Assumptions'!F8</f>
        <v>Bridge</v>
      </c>
      <c r="F7" s="22" t="str">
        <f>+'1. Assumptions'!G8</f>
        <v>Bridge</v>
      </c>
      <c r="G7" s="22" t="str">
        <f>+'1. Assumptions'!H8</f>
        <v>Bridge</v>
      </c>
      <c r="H7" s="22" t="str">
        <f>+'1. Assumptions'!I8</f>
        <v>Bridge</v>
      </c>
      <c r="I7" s="22" t="str">
        <f>+'1. Assumptions'!J8</f>
        <v>Bridge</v>
      </c>
      <c r="J7" s="22" t="str">
        <f>+'1. Assumptions'!K8</f>
        <v>Bridge</v>
      </c>
      <c r="K7" s="22" t="str">
        <f>+'1. Assumptions'!L8</f>
        <v>Bridge</v>
      </c>
      <c r="L7" s="22" t="str">
        <f>+'1. Assumptions'!M8</f>
        <v>Bridge</v>
      </c>
      <c r="M7" s="22" t="str">
        <f>+'1. Assumptions'!N8</f>
        <v>Bridge</v>
      </c>
    </row>
    <row r="8" spans="1:14" x14ac:dyDescent="0.2">
      <c r="A8" s="1" t="s">
        <v>221</v>
      </c>
      <c r="B8" s="410">
        <f>+'1. Assumptions'!C9</f>
        <v>44957</v>
      </c>
      <c r="C8" s="410">
        <f>+'1. Assumptions'!D9</f>
        <v>44985</v>
      </c>
      <c r="D8" s="410">
        <f>+'1. Assumptions'!E9</f>
        <v>45016</v>
      </c>
      <c r="E8" s="410">
        <f>+'1. Assumptions'!F9</f>
        <v>45046</v>
      </c>
      <c r="F8" s="410">
        <f>+'1. Assumptions'!G9</f>
        <v>45077</v>
      </c>
      <c r="G8" s="410">
        <f>+'1. Assumptions'!H9</f>
        <v>45107</v>
      </c>
      <c r="H8" s="410">
        <f>+'1. Assumptions'!I9</f>
        <v>45138</v>
      </c>
      <c r="I8" s="410">
        <f>+'1. Assumptions'!J9</f>
        <v>45169</v>
      </c>
      <c r="J8" s="410">
        <f>+'1. Assumptions'!K9</f>
        <v>45199</v>
      </c>
      <c r="K8" s="410">
        <f>+'1. Assumptions'!L9</f>
        <v>45230</v>
      </c>
      <c r="L8" s="410">
        <f>+'1. Assumptions'!M9</f>
        <v>45260</v>
      </c>
      <c r="M8" s="410">
        <f>+'1. Assumptions'!N9</f>
        <v>45291</v>
      </c>
      <c r="N8" s="411" t="s">
        <v>15</v>
      </c>
    </row>
    <row r="9" spans="1:14" x14ac:dyDescent="0.2">
      <c r="A9" s="159" t="str">
        <f>+'10. Final Load Forecast'!A6</f>
        <v>Residential</v>
      </c>
      <c r="B9" s="37">
        <f>IF(B$7="actual",B19,B29)</f>
        <v>6909419.0659501757</v>
      </c>
      <c r="C9" s="37">
        <f t="shared" ref="C9:M9" si="0">IF(C$7="actual",C19,C29)</f>
        <v>6326666.5808542417</v>
      </c>
      <c r="D9" s="37">
        <f t="shared" si="0"/>
        <v>6126862.8477964522</v>
      </c>
      <c r="E9" s="37">
        <f t="shared" si="0"/>
        <v>5748074.407121053</v>
      </c>
      <c r="F9" s="37">
        <f t="shared" si="0"/>
        <v>5853572.3967584008</v>
      </c>
      <c r="G9" s="37">
        <f t="shared" si="0"/>
        <v>6786210.2431988334</v>
      </c>
      <c r="H9" s="37">
        <f t="shared" si="0"/>
        <v>8206887.1507805604</v>
      </c>
      <c r="I9" s="37">
        <f t="shared" ref="I9:I14" si="1">IF(I$7="actual",I19,I29)</f>
        <v>8143296.7634196877</v>
      </c>
      <c r="J9" s="37">
        <f t="shared" si="0"/>
        <v>6221148.6421222696</v>
      </c>
      <c r="K9" s="37">
        <f t="shared" si="0"/>
        <v>5820238.6016697632</v>
      </c>
      <c r="L9" s="37">
        <f t="shared" si="0"/>
        <v>5805492.2669806564</v>
      </c>
      <c r="M9" s="37">
        <f t="shared" si="0"/>
        <v>6821495.697384987</v>
      </c>
      <c r="N9" s="37">
        <f>SUM(B9:M9)</f>
        <v>78769364.664037079</v>
      </c>
    </row>
    <row r="10" spans="1:14" x14ac:dyDescent="0.2">
      <c r="A10" s="159" t="str">
        <f>+'10. Final Load Forecast'!A10</f>
        <v>General Service &lt; 50 kW</v>
      </c>
      <c r="B10" s="453">
        <f t="shared" ref="B10:M14" si="2">IF(B$7="actual",B20,B30)</f>
        <v>3930838.2239435813</v>
      </c>
      <c r="C10" s="453">
        <f t="shared" si="2"/>
        <v>3599304.4550914536</v>
      </c>
      <c r="D10" s="453">
        <f t="shared" si="2"/>
        <v>3485634.0952980183</v>
      </c>
      <c r="E10" s="453">
        <f t="shared" si="2"/>
        <v>3270137.5293519082</v>
      </c>
      <c r="F10" s="453">
        <f t="shared" si="2"/>
        <v>3330156.4001509487</v>
      </c>
      <c r="G10" s="453">
        <f t="shared" si="2"/>
        <v>3860743.4814803866</v>
      </c>
      <c r="H10" s="453">
        <f t="shared" si="2"/>
        <v>4668980.9090980804</v>
      </c>
      <c r="I10" s="453">
        <f t="shared" si="1"/>
        <v>4632803.6960896337</v>
      </c>
      <c r="J10" s="453">
        <f t="shared" si="2"/>
        <v>3539274.2350511914</v>
      </c>
      <c r="K10" s="453">
        <f t="shared" ref="K10:M10" si="3">IF(K$7="actual",K20,K30)</f>
        <v>3311192.4677808248</v>
      </c>
      <c r="L10" s="453">
        <f t="shared" si="3"/>
        <v>3302803.1291829301</v>
      </c>
      <c r="M10" s="453">
        <f t="shared" si="3"/>
        <v>3880817.7324036905</v>
      </c>
      <c r="N10" s="37">
        <f t="shared" ref="N10:N14" si="4">SUM(B10:M10)</f>
        <v>44812686.354922637</v>
      </c>
    </row>
    <row r="11" spans="1:14" x14ac:dyDescent="0.2">
      <c r="A11" s="159" t="str">
        <f>+'10. Final Load Forecast'!A14</f>
        <v>General Service &gt; 50 kW - 4999 kW</v>
      </c>
      <c r="B11" s="453">
        <f t="shared" si="2"/>
        <v>7511200.2426306931</v>
      </c>
      <c r="C11" s="453">
        <f t="shared" si="2"/>
        <v>6877692.4808831029</v>
      </c>
      <c r="D11" s="453">
        <f t="shared" si="2"/>
        <v>6660486.6877625203</v>
      </c>
      <c r="E11" s="453">
        <f t="shared" si="2"/>
        <v>6248707.3760215705</v>
      </c>
      <c r="F11" s="453">
        <f t="shared" si="2"/>
        <v>6363393.7943437928</v>
      </c>
      <c r="G11" s="453">
        <f t="shared" si="2"/>
        <v>7377260.4525396926</v>
      </c>
      <c r="H11" s="453">
        <f t="shared" si="2"/>
        <v>8921672.3099004142</v>
      </c>
      <c r="I11" s="453">
        <f t="shared" si="1"/>
        <v>8852543.4687612522</v>
      </c>
      <c r="J11" s="453">
        <f t="shared" si="2"/>
        <v>6762984.3759844918</v>
      </c>
      <c r="K11" s="453">
        <f t="shared" ref="K11:M11" si="5">IF(K$7="actual",K21,K31)</f>
        <v>6327156.7666909983</v>
      </c>
      <c r="L11" s="453">
        <f t="shared" si="5"/>
        <v>6311126.0886213211</v>
      </c>
      <c r="M11" s="453">
        <f t="shared" si="5"/>
        <v>7415619.1205426911</v>
      </c>
      <c r="N11" s="37">
        <f t="shared" si="4"/>
        <v>85629843.164682537</v>
      </c>
    </row>
    <row r="12" spans="1:14" x14ac:dyDescent="0.2">
      <c r="A12" s="159" t="str">
        <f>+'10. Final Load Forecast'!A18</f>
        <v>Unmetered Scattered Load</v>
      </c>
      <c r="B12" s="37">
        <f t="shared" si="2"/>
        <v>31590.278464106854</v>
      </c>
      <c r="C12" s="37">
        <f t="shared" si="2"/>
        <v>31590.278464106854</v>
      </c>
      <c r="D12" s="37">
        <f t="shared" si="2"/>
        <v>31590.278464106854</v>
      </c>
      <c r="E12" s="37">
        <f t="shared" si="2"/>
        <v>31590.278464106854</v>
      </c>
      <c r="F12" s="37">
        <f t="shared" si="2"/>
        <v>31590.278464106854</v>
      </c>
      <c r="G12" s="37">
        <f t="shared" si="2"/>
        <v>31590.278464106854</v>
      </c>
      <c r="H12" s="37">
        <f t="shared" si="2"/>
        <v>31590.278464106854</v>
      </c>
      <c r="I12" s="37">
        <f t="shared" si="1"/>
        <v>31590.278464106854</v>
      </c>
      <c r="J12" s="37">
        <f>IF(J$7="actual",J22,J32)</f>
        <v>31590.278464106854</v>
      </c>
      <c r="K12" s="37">
        <f t="shared" si="2"/>
        <v>31590.278464106854</v>
      </c>
      <c r="L12" s="37">
        <f t="shared" si="2"/>
        <v>31590.278464106854</v>
      </c>
      <c r="M12" s="37">
        <f t="shared" si="2"/>
        <v>31590.278464106854</v>
      </c>
      <c r="N12" s="37">
        <f t="shared" si="4"/>
        <v>379083.34156928217</v>
      </c>
    </row>
    <row r="13" spans="1:14" x14ac:dyDescent="0.2">
      <c r="A13" s="159" t="str">
        <f>+'10. Final Load Forecast'!A22</f>
        <v>Street Lights</v>
      </c>
      <c r="B13" s="37">
        <f t="shared" si="2"/>
        <v>49414.992726344637</v>
      </c>
      <c r="C13" s="37">
        <f t="shared" si="2"/>
        <v>45247.245838015646</v>
      </c>
      <c r="D13" s="37">
        <f t="shared" si="2"/>
        <v>43818.283443130225</v>
      </c>
      <c r="E13" s="37">
        <f t="shared" si="2"/>
        <v>41109.252790605431</v>
      </c>
      <c r="F13" s="37">
        <f t="shared" si="2"/>
        <v>41863.75651093472</v>
      </c>
      <c r="G13" s="37">
        <f t="shared" si="2"/>
        <v>48533.824132868715</v>
      </c>
      <c r="H13" s="37">
        <f t="shared" si="2"/>
        <v>58694.264306572761</v>
      </c>
      <c r="I13" s="37">
        <f t="shared" si="1"/>
        <v>58239.476646581432</v>
      </c>
      <c r="J13" s="37">
        <f>IF(J$7="actual",J23,J33)</f>
        <v>44492.599445146698</v>
      </c>
      <c r="K13" s="37">
        <f t="shared" si="2"/>
        <v>41625.358864747075</v>
      </c>
      <c r="L13" s="37">
        <f t="shared" si="2"/>
        <v>41519.895581300647</v>
      </c>
      <c r="M13" s="37">
        <f t="shared" si="2"/>
        <v>48786.179713752092</v>
      </c>
      <c r="N13" s="37">
        <f t="shared" si="4"/>
        <v>563345.13</v>
      </c>
    </row>
    <row r="14" spans="1:14" x14ac:dyDescent="0.2">
      <c r="A14" s="159" t="str">
        <f>+'10. Final Load Forecast'!A26</f>
        <v>Large User</v>
      </c>
      <c r="B14" s="37">
        <f t="shared" si="2"/>
        <v>0</v>
      </c>
      <c r="C14" s="37">
        <f t="shared" si="2"/>
        <v>0</v>
      </c>
      <c r="D14" s="37">
        <f t="shared" si="2"/>
        <v>0</v>
      </c>
      <c r="E14" s="37">
        <f t="shared" si="2"/>
        <v>0</v>
      </c>
      <c r="F14" s="37">
        <f t="shared" si="2"/>
        <v>0</v>
      </c>
      <c r="G14" s="37">
        <f t="shared" si="2"/>
        <v>0</v>
      </c>
      <c r="H14" s="37">
        <f t="shared" si="2"/>
        <v>3285000</v>
      </c>
      <c r="I14" s="37">
        <f t="shared" si="1"/>
        <v>3285000</v>
      </c>
      <c r="J14" s="37">
        <f>IF(J$7="actual",J24,J34)</f>
        <v>3285000</v>
      </c>
      <c r="K14" s="37">
        <f t="shared" si="2"/>
        <v>3285000</v>
      </c>
      <c r="L14" s="37">
        <f t="shared" si="2"/>
        <v>3285000</v>
      </c>
      <c r="M14" s="37">
        <f t="shared" si="2"/>
        <v>3285000</v>
      </c>
      <c r="N14" s="37">
        <f t="shared" si="4"/>
        <v>19710000</v>
      </c>
    </row>
    <row r="15" spans="1:14" x14ac:dyDescent="0.2">
      <c r="A15" s="1" t="str">
        <f>+'10. Final Load Forecast'!A30</f>
        <v>Total</v>
      </c>
      <c r="B15" s="412">
        <f>SUM(B9:B14)</f>
        <v>18432462.803714905</v>
      </c>
      <c r="C15" s="412">
        <f t="shared" ref="C15" si="6">SUM(C9:C14)</f>
        <v>16880501.041130923</v>
      </c>
      <c r="D15" s="412">
        <f t="shared" ref="D15" si="7">SUM(D9:D14)</f>
        <v>16348392.192764228</v>
      </c>
      <c r="E15" s="412">
        <f t="shared" ref="E15" si="8">SUM(E9:E14)</f>
        <v>15339618.843749244</v>
      </c>
      <c r="F15" s="412">
        <f t="shared" ref="F15" si="9">SUM(F9:F14)</f>
        <v>15620576.626228184</v>
      </c>
      <c r="G15" s="412">
        <f t="shared" ref="G15" si="10">SUM(G9:G14)</f>
        <v>18104338.27981589</v>
      </c>
      <c r="H15" s="412">
        <f t="shared" ref="H15" si="11">SUM(H9:H14)</f>
        <v>25172824.912549734</v>
      </c>
      <c r="I15" s="412">
        <f t="shared" ref="I15" si="12">SUM(I9:I14)</f>
        <v>25003473.683381259</v>
      </c>
      <c r="J15" s="412">
        <f t="shared" ref="J15" si="13">SUM(J9:J14)</f>
        <v>19884490.131067209</v>
      </c>
      <c r="K15" s="412">
        <f t="shared" ref="K15" si="14">SUM(K9:K14)</f>
        <v>18816803.473470442</v>
      </c>
      <c r="L15" s="412">
        <f t="shared" ref="L15" si="15">SUM(L9:L14)</f>
        <v>18777531.658830315</v>
      </c>
      <c r="M15" s="412">
        <f t="shared" ref="M15:N15" si="16">SUM(M9:M14)</f>
        <v>21483309.00850923</v>
      </c>
      <c r="N15" s="412">
        <f t="shared" si="16"/>
        <v>229864322.65521154</v>
      </c>
    </row>
    <row r="17" spans="1:17" x14ac:dyDescent="0.2">
      <c r="B17" s="595" t="s">
        <v>225</v>
      </c>
      <c r="C17" s="595"/>
      <c r="D17" s="595"/>
      <c r="E17" s="595"/>
      <c r="F17" s="595"/>
      <c r="G17" s="595"/>
      <c r="H17" s="595"/>
      <c r="I17" s="595"/>
      <c r="J17" s="595"/>
      <c r="K17" s="595"/>
      <c r="L17" s="595"/>
      <c r="M17" s="595"/>
    </row>
    <row r="18" spans="1:17" x14ac:dyDescent="0.2">
      <c r="A18" s="436" t="s">
        <v>383</v>
      </c>
      <c r="B18" s="410">
        <f t="shared" ref="B18:M18" si="17">+B8</f>
        <v>44957</v>
      </c>
      <c r="C18" s="410">
        <f t="shared" si="17"/>
        <v>44985</v>
      </c>
      <c r="D18" s="410">
        <f t="shared" si="17"/>
        <v>45016</v>
      </c>
      <c r="E18" s="410">
        <f t="shared" si="17"/>
        <v>45046</v>
      </c>
      <c r="F18" s="410">
        <f t="shared" si="17"/>
        <v>45077</v>
      </c>
      <c r="G18" s="410">
        <f t="shared" si="17"/>
        <v>45107</v>
      </c>
      <c r="H18" s="410">
        <f t="shared" si="17"/>
        <v>45138</v>
      </c>
      <c r="I18" s="410">
        <f t="shared" si="17"/>
        <v>45169</v>
      </c>
      <c r="J18" s="410">
        <f t="shared" si="17"/>
        <v>45199</v>
      </c>
      <c r="K18" s="410">
        <f t="shared" si="17"/>
        <v>45230</v>
      </c>
      <c r="L18" s="410">
        <f t="shared" si="17"/>
        <v>45260</v>
      </c>
      <c r="M18" s="410">
        <f t="shared" si="17"/>
        <v>45291</v>
      </c>
      <c r="N18" s="411" t="s">
        <v>15</v>
      </c>
    </row>
    <row r="19" spans="1:17" x14ac:dyDescent="0.2">
      <c r="A19" s="159" t="str">
        <f t="shared" ref="A19:A25" si="18">+A9</f>
        <v>Residential</v>
      </c>
      <c r="B19" s="460">
        <f>+'3. Consumption by Rate Class'!$C$142</f>
        <v>0</v>
      </c>
      <c r="C19" s="460">
        <f>+'3. Consumption by Rate Class'!$C$143</f>
        <v>0</v>
      </c>
      <c r="D19" s="460">
        <f>+'3. Consumption by Rate Class'!$C$144</f>
        <v>0</v>
      </c>
      <c r="E19" s="460">
        <f>+'3. Consumption by Rate Class'!$C$145</f>
        <v>0</v>
      </c>
      <c r="F19" s="460">
        <f>+'3. Consumption by Rate Class'!$C$146</f>
        <v>0</v>
      </c>
      <c r="G19" s="460">
        <f>+'3. Consumption by Rate Class'!$C$147</f>
        <v>0</v>
      </c>
      <c r="H19" s="460">
        <f>+'3. Consumption by Rate Class'!$C$148</f>
        <v>0</v>
      </c>
      <c r="I19" s="460">
        <f>+'3. Consumption by Rate Class'!$C$149</f>
        <v>0</v>
      </c>
      <c r="J19" s="460">
        <f>+'3. Consumption by Rate Class'!$C$150</f>
        <v>0</v>
      </c>
      <c r="K19" s="460">
        <f>+'3. Consumption by Rate Class'!$C$151</f>
        <v>0</v>
      </c>
      <c r="L19" s="460">
        <f>+'3. Consumption by Rate Class'!$C$152</f>
        <v>0</v>
      </c>
      <c r="M19" s="460">
        <f>+'3. Consumption by Rate Class'!$C$153</f>
        <v>0</v>
      </c>
      <c r="N19" s="37">
        <f>SUM(B19:M19)</f>
        <v>0</v>
      </c>
    </row>
    <row r="20" spans="1:17" x14ac:dyDescent="0.2">
      <c r="A20" s="159" t="str">
        <f t="shared" si="18"/>
        <v>General Service &lt; 50 kW</v>
      </c>
      <c r="B20" s="460">
        <f>+'3. Consumption by Rate Class'!$E$142</f>
        <v>0</v>
      </c>
      <c r="C20" s="460">
        <f>+'3. Consumption by Rate Class'!$E$143</f>
        <v>0</v>
      </c>
      <c r="D20" s="460">
        <f>+'3. Consumption by Rate Class'!$E$144</f>
        <v>0</v>
      </c>
      <c r="E20" s="460">
        <f>+'3. Consumption by Rate Class'!$E$145</f>
        <v>0</v>
      </c>
      <c r="F20" s="460">
        <f>+'3. Consumption by Rate Class'!$E$146</f>
        <v>0</v>
      </c>
      <c r="G20" s="460">
        <f>+'3. Consumption by Rate Class'!$E$147</f>
        <v>0</v>
      </c>
      <c r="H20" s="460">
        <f>+'3. Consumption by Rate Class'!$E$148</f>
        <v>0</v>
      </c>
      <c r="I20" s="460">
        <f>+'3. Consumption by Rate Class'!$E$149</f>
        <v>0</v>
      </c>
      <c r="J20" s="460">
        <f>+'3. Consumption by Rate Class'!$E$150</f>
        <v>0</v>
      </c>
      <c r="K20" s="460">
        <f>+'3. Consumption by Rate Class'!$E$151</f>
        <v>0</v>
      </c>
      <c r="L20" s="460">
        <f>+'3. Consumption by Rate Class'!$E$152</f>
        <v>0</v>
      </c>
      <c r="M20" s="460">
        <f>+'3. Consumption by Rate Class'!$E$153</f>
        <v>0</v>
      </c>
      <c r="N20" s="37">
        <f t="shared" ref="N20:N23" si="19">SUM(B20:M20)</f>
        <v>0</v>
      </c>
    </row>
    <row r="21" spans="1:17" x14ac:dyDescent="0.2">
      <c r="A21" s="159" t="str">
        <f t="shared" si="18"/>
        <v>General Service &gt; 50 kW - 4999 kW</v>
      </c>
      <c r="B21" s="460">
        <f>+'3. Consumption by Rate Class'!$L$142</f>
        <v>0</v>
      </c>
      <c r="C21" s="460">
        <f>+'3. Consumption by Rate Class'!$L$143</f>
        <v>0</v>
      </c>
      <c r="D21" s="460">
        <f>+'3. Consumption by Rate Class'!$L$144</f>
        <v>0</v>
      </c>
      <c r="E21" s="460">
        <f>+'3. Consumption by Rate Class'!$L$145</f>
        <v>0</v>
      </c>
      <c r="F21" s="460">
        <f>+'3. Consumption by Rate Class'!$L$146</f>
        <v>0</v>
      </c>
      <c r="G21" s="460">
        <f>+'3. Consumption by Rate Class'!$L$147</f>
        <v>0</v>
      </c>
      <c r="H21" s="460">
        <f>+'3. Consumption by Rate Class'!$L$148</f>
        <v>0</v>
      </c>
      <c r="I21" s="460">
        <f>+'3. Consumption by Rate Class'!$L$149</f>
        <v>0</v>
      </c>
      <c r="J21" s="460">
        <f>+'3. Consumption by Rate Class'!$L$150</f>
        <v>0</v>
      </c>
      <c r="K21" s="460">
        <f>+'3. Consumption by Rate Class'!$L$151</f>
        <v>0</v>
      </c>
      <c r="L21" s="460">
        <f>+'3. Consumption by Rate Class'!$L$152</f>
        <v>0</v>
      </c>
      <c r="M21" s="460">
        <f>+'3. Consumption by Rate Class'!$L$153</f>
        <v>0</v>
      </c>
      <c r="N21" s="37">
        <f t="shared" si="19"/>
        <v>0</v>
      </c>
    </row>
    <row r="22" spans="1:17" x14ac:dyDescent="0.2">
      <c r="A22" s="159" t="str">
        <f t="shared" si="18"/>
        <v>Unmetered Scattered Load</v>
      </c>
      <c r="B22" s="460">
        <f>+'3. Consumption by Rate Class'!$G$142</f>
        <v>0</v>
      </c>
      <c r="C22" s="460">
        <f>+'3. Consumption by Rate Class'!$G$143</f>
        <v>0</v>
      </c>
      <c r="D22" s="460">
        <f>+'3. Consumption by Rate Class'!$G$144</f>
        <v>0</v>
      </c>
      <c r="E22" s="460">
        <f>+'3. Consumption by Rate Class'!$G$145</f>
        <v>0</v>
      </c>
      <c r="F22" s="460">
        <f>+'3. Consumption by Rate Class'!$G$146</f>
        <v>0</v>
      </c>
      <c r="G22" s="460">
        <f>+'3. Consumption by Rate Class'!$G$147</f>
        <v>0</v>
      </c>
      <c r="H22" s="460">
        <f>+'3. Consumption by Rate Class'!$G$148</f>
        <v>0</v>
      </c>
      <c r="I22" s="460">
        <f>+'3. Consumption by Rate Class'!$G$149</f>
        <v>0</v>
      </c>
      <c r="J22" s="460">
        <f>+'3. Consumption by Rate Class'!$G$150</f>
        <v>0</v>
      </c>
      <c r="K22" s="460">
        <f>+'3. Consumption by Rate Class'!$G$151</f>
        <v>0</v>
      </c>
      <c r="L22" s="460">
        <f>+'3. Consumption by Rate Class'!$G$152</f>
        <v>0</v>
      </c>
      <c r="M22" s="460">
        <f>+'3. Consumption by Rate Class'!$G$153</f>
        <v>0</v>
      </c>
      <c r="N22" s="37">
        <f t="shared" si="19"/>
        <v>0</v>
      </c>
    </row>
    <row r="23" spans="1:17" x14ac:dyDescent="0.2">
      <c r="A23" s="159" t="str">
        <f t="shared" si="18"/>
        <v>Street Lights</v>
      </c>
      <c r="B23" s="460">
        <f>+'3. Consumption by Rate Class'!$O$142</f>
        <v>0</v>
      </c>
      <c r="C23" s="460">
        <f>+'3. Consumption by Rate Class'!$O$143</f>
        <v>0</v>
      </c>
      <c r="D23" s="460">
        <f>+'3. Consumption by Rate Class'!$O$144</f>
        <v>0</v>
      </c>
      <c r="E23" s="460">
        <f>+'3. Consumption by Rate Class'!$O$145</f>
        <v>0</v>
      </c>
      <c r="F23" s="460">
        <f>+'3. Consumption by Rate Class'!$O$146</f>
        <v>0</v>
      </c>
      <c r="G23" s="460">
        <f>+'3. Consumption by Rate Class'!$O$147</f>
        <v>0</v>
      </c>
      <c r="H23" s="460">
        <f>+'3. Consumption by Rate Class'!$O$148</f>
        <v>0</v>
      </c>
      <c r="I23" s="460">
        <f>+'3. Consumption by Rate Class'!$O$149</f>
        <v>0</v>
      </c>
      <c r="J23" s="460">
        <f>+'3. Consumption by Rate Class'!$O$150</f>
        <v>0</v>
      </c>
      <c r="K23" s="460">
        <f>+'3. Consumption by Rate Class'!$O$151</f>
        <v>0</v>
      </c>
      <c r="L23" s="460">
        <f>+'3. Consumption by Rate Class'!$O$152</f>
        <v>0</v>
      </c>
      <c r="M23" s="460">
        <f>+'3. Consumption by Rate Class'!$O$153</f>
        <v>0</v>
      </c>
      <c r="N23" s="37">
        <f t="shared" si="19"/>
        <v>0</v>
      </c>
    </row>
    <row r="24" spans="1:17" x14ac:dyDescent="0.2">
      <c r="A24" s="159" t="str">
        <f t="shared" si="18"/>
        <v>Large User</v>
      </c>
      <c r="B24" s="460">
        <f>+'3. Consumption by Rate Class'!$R$142</f>
        <v>0</v>
      </c>
      <c r="C24" s="460">
        <f>+'3. Consumption by Rate Class'!$R$143</f>
        <v>0</v>
      </c>
      <c r="D24" s="460">
        <f>+'3. Consumption by Rate Class'!$R$144</f>
        <v>0</v>
      </c>
      <c r="E24" s="460">
        <f>+'3. Consumption by Rate Class'!$R$145</f>
        <v>0</v>
      </c>
      <c r="F24" s="460">
        <f>+'3. Consumption by Rate Class'!$R$146</f>
        <v>0</v>
      </c>
      <c r="G24" s="460">
        <f>+'3. Consumption by Rate Class'!$R$147</f>
        <v>0</v>
      </c>
      <c r="H24" s="460">
        <f>+'3. Consumption by Rate Class'!$R$148</f>
        <v>0</v>
      </c>
      <c r="I24" s="460">
        <f>+'3. Consumption by Rate Class'!$R$149</f>
        <v>0</v>
      </c>
      <c r="J24" s="460">
        <f>+'3. Consumption by Rate Class'!$R$150</f>
        <v>0</v>
      </c>
      <c r="K24" s="460">
        <f>+'3. Consumption by Rate Class'!$R$151</f>
        <v>0</v>
      </c>
      <c r="L24" s="460">
        <f>+'3. Consumption by Rate Class'!$R$152</f>
        <v>0</v>
      </c>
      <c r="M24" s="460">
        <f>+'3. Consumption by Rate Class'!$R$153</f>
        <v>0</v>
      </c>
      <c r="N24" s="37">
        <f>SUM(B24:M24)</f>
        <v>0</v>
      </c>
    </row>
    <row r="25" spans="1:17" x14ac:dyDescent="0.2">
      <c r="A25" s="159" t="str">
        <f t="shared" si="18"/>
        <v>Total</v>
      </c>
      <c r="B25" s="412">
        <f>SUM(B19:B24)</f>
        <v>0</v>
      </c>
      <c r="C25" s="412">
        <f t="shared" ref="C25:N25" si="20">SUM(C19:C24)</f>
        <v>0</v>
      </c>
      <c r="D25" s="412">
        <f t="shared" si="20"/>
        <v>0</v>
      </c>
      <c r="E25" s="412">
        <f t="shared" si="20"/>
        <v>0</v>
      </c>
      <c r="F25" s="412">
        <f t="shared" si="20"/>
        <v>0</v>
      </c>
      <c r="G25" s="412">
        <f t="shared" si="20"/>
        <v>0</v>
      </c>
      <c r="H25" s="412">
        <f t="shared" si="20"/>
        <v>0</v>
      </c>
      <c r="I25" s="412">
        <f t="shared" si="20"/>
        <v>0</v>
      </c>
      <c r="J25" s="412">
        <f t="shared" si="20"/>
        <v>0</v>
      </c>
      <c r="K25" s="412">
        <f t="shared" si="20"/>
        <v>0</v>
      </c>
      <c r="L25" s="412">
        <f t="shared" si="20"/>
        <v>0</v>
      </c>
      <c r="M25" s="412">
        <f t="shared" si="20"/>
        <v>0</v>
      </c>
      <c r="N25" s="412">
        <f t="shared" si="20"/>
        <v>0</v>
      </c>
    </row>
    <row r="27" spans="1:17" x14ac:dyDescent="0.2">
      <c r="B27" s="595" t="s">
        <v>233</v>
      </c>
      <c r="C27" s="595"/>
      <c r="D27" s="595"/>
      <c r="E27" s="595"/>
      <c r="F27" s="595"/>
      <c r="G27" s="595"/>
      <c r="H27" s="595"/>
      <c r="I27" s="595"/>
      <c r="J27" s="595"/>
      <c r="K27" s="595"/>
      <c r="L27" s="595"/>
      <c r="M27" s="595"/>
    </row>
    <row r="28" spans="1:17" x14ac:dyDescent="0.2">
      <c r="A28" s="1" t="s">
        <v>221</v>
      </c>
      <c r="B28" s="410">
        <f>+B8</f>
        <v>44957</v>
      </c>
      <c r="C28" s="410">
        <f t="shared" ref="C28:M28" si="21">+C8</f>
        <v>44985</v>
      </c>
      <c r="D28" s="410">
        <f t="shared" si="21"/>
        <v>45016</v>
      </c>
      <c r="E28" s="410">
        <f t="shared" si="21"/>
        <v>45046</v>
      </c>
      <c r="F28" s="410">
        <f t="shared" si="21"/>
        <v>45077</v>
      </c>
      <c r="G28" s="410">
        <f t="shared" si="21"/>
        <v>45107</v>
      </c>
      <c r="H28" s="410">
        <f t="shared" si="21"/>
        <v>45138</v>
      </c>
      <c r="I28" s="410">
        <f t="shared" si="21"/>
        <v>45169</v>
      </c>
      <c r="J28" s="410">
        <f t="shared" si="21"/>
        <v>45199</v>
      </c>
      <c r="K28" s="410">
        <f t="shared" si="21"/>
        <v>45230</v>
      </c>
      <c r="L28" s="410">
        <f t="shared" si="21"/>
        <v>45260</v>
      </c>
      <c r="M28" s="410">
        <f t="shared" si="21"/>
        <v>45291</v>
      </c>
      <c r="N28" s="411" t="s">
        <v>15</v>
      </c>
      <c r="P28" s="411" t="s">
        <v>209</v>
      </c>
      <c r="Q28" s="411" t="s">
        <v>230</v>
      </c>
    </row>
    <row r="29" spans="1:17" x14ac:dyDescent="0.2">
      <c r="A29" s="159" t="str">
        <f>+A9</f>
        <v>Residential</v>
      </c>
      <c r="B29" s="429">
        <f>+B53-B39</f>
        <v>6909419.0659501757</v>
      </c>
      <c r="C29" s="429">
        <f t="shared" ref="C29:M29" si="22">+C53-C39</f>
        <v>6326666.5808542417</v>
      </c>
      <c r="D29" s="429">
        <f t="shared" si="22"/>
        <v>6126862.8477964522</v>
      </c>
      <c r="E29" s="429">
        <f t="shared" si="22"/>
        <v>5748074.407121053</v>
      </c>
      <c r="F29" s="429">
        <f t="shared" si="22"/>
        <v>5853572.3967584008</v>
      </c>
      <c r="G29" s="429">
        <f t="shared" si="22"/>
        <v>6786210.2431988334</v>
      </c>
      <c r="H29" s="429">
        <f t="shared" si="22"/>
        <v>8206887.1507805604</v>
      </c>
      <c r="I29" s="429">
        <f t="shared" si="22"/>
        <v>8143296.7634196877</v>
      </c>
      <c r="J29" s="429">
        <f t="shared" si="22"/>
        <v>6221148.6421222696</v>
      </c>
      <c r="K29" s="429">
        <f t="shared" si="22"/>
        <v>5820238.6016697632</v>
      </c>
      <c r="L29" s="429">
        <f t="shared" si="22"/>
        <v>5805492.2669806564</v>
      </c>
      <c r="M29" s="429">
        <f t="shared" si="22"/>
        <v>6821495.697384987</v>
      </c>
      <c r="N29" s="37">
        <f>SUM(B29:M29)</f>
        <v>78769364.664037079</v>
      </c>
      <c r="P29" s="140">
        <f>+'10. Final Load Forecast'!N7</f>
        <v>78769364.664037079</v>
      </c>
      <c r="Q29" s="60">
        <f t="shared" ref="Q29:Q34" si="23">+P29-N29</f>
        <v>0</v>
      </c>
    </row>
    <row r="30" spans="1:17" x14ac:dyDescent="0.2">
      <c r="A30" s="159" t="str">
        <f t="shared" ref="A30:A34" si="24">+A10</f>
        <v>General Service &lt; 50 kW</v>
      </c>
      <c r="B30" s="429">
        <f t="shared" ref="B30:M34" si="25">+B54-B40</f>
        <v>3930838.2239435813</v>
      </c>
      <c r="C30" s="429">
        <f t="shared" si="25"/>
        <v>3599304.4550914536</v>
      </c>
      <c r="D30" s="429">
        <f t="shared" si="25"/>
        <v>3485634.0952980183</v>
      </c>
      <c r="E30" s="429">
        <f t="shared" si="25"/>
        <v>3270137.5293519082</v>
      </c>
      <c r="F30" s="429">
        <f t="shared" si="25"/>
        <v>3330156.4001509487</v>
      </c>
      <c r="G30" s="429">
        <f t="shared" si="25"/>
        <v>3860743.4814803866</v>
      </c>
      <c r="H30" s="429">
        <f t="shared" si="25"/>
        <v>4668980.9090980804</v>
      </c>
      <c r="I30" s="429">
        <f t="shared" si="25"/>
        <v>4632803.6960896337</v>
      </c>
      <c r="J30" s="429">
        <f t="shared" si="25"/>
        <v>3539274.2350511914</v>
      </c>
      <c r="K30" s="429">
        <f t="shared" si="25"/>
        <v>3311192.4677808248</v>
      </c>
      <c r="L30" s="429">
        <f t="shared" si="25"/>
        <v>3302803.1291829301</v>
      </c>
      <c r="M30" s="429">
        <f t="shared" si="25"/>
        <v>3880817.7324036905</v>
      </c>
      <c r="N30" s="37">
        <f>SUM(B30:M30)</f>
        <v>44812686.354922637</v>
      </c>
      <c r="P30" s="140">
        <f>+'10. Final Load Forecast'!N11</f>
        <v>44812686.354922645</v>
      </c>
      <c r="Q30" s="60">
        <f t="shared" si="23"/>
        <v>0</v>
      </c>
    </row>
    <row r="31" spans="1:17" x14ac:dyDescent="0.2">
      <c r="A31" s="159" t="str">
        <f t="shared" si="24"/>
        <v>General Service &gt; 50 kW - 4999 kW</v>
      </c>
      <c r="B31" s="429">
        <f t="shared" si="25"/>
        <v>7511200.2426306931</v>
      </c>
      <c r="C31" s="429">
        <f t="shared" si="25"/>
        <v>6877692.4808831029</v>
      </c>
      <c r="D31" s="429">
        <f t="shared" si="25"/>
        <v>6660486.6877625203</v>
      </c>
      <c r="E31" s="429">
        <f t="shared" si="25"/>
        <v>6248707.3760215705</v>
      </c>
      <c r="F31" s="429">
        <f t="shared" si="25"/>
        <v>6363393.7943437928</v>
      </c>
      <c r="G31" s="429">
        <f t="shared" si="25"/>
        <v>7377260.4525396926</v>
      </c>
      <c r="H31" s="429">
        <f t="shared" si="25"/>
        <v>8921672.3099004142</v>
      </c>
      <c r="I31" s="429">
        <f t="shared" si="25"/>
        <v>8852543.4687612522</v>
      </c>
      <c r="J31" s="429">
        <f t="shared" si="25"/>
        <v>6762984.3759844918</v>
      </c>
      <c r="K31" s="429">
        <f t="shared" si="25"/>
        <v>6327156.7666909983</v>
      </c>
      <c r="L31" s="429">
        <f t="shared" si="25"/>
        <v>6311126.0886213211</v>
      </c>
      <c r="M31" s="429">
        <f t="shared" si="25"/>
        <v>7415619.1205426911</v>
      </c>
      <c r="N31" s="37">
        <f t="shared" ref="N31:N34" si="26">SUM(B31:M31)</f>
        <v>85629843.164682537</v>
      </c>
      <c r="P31" s="140">
        <f>+'10. Final Load Forecast'!N15</f>
        <v>85629843.164682537</v>
      </c>
      <c r="Q31" s="60">
        <f t="shared" si="23"/>
        <v>0</v>
      </c>
    </row>
    <row r="32" spans="1:17" x14ac:dyDescent="0.2">
      <c r="A32" s="159" t="str">
        <f t="shared" si="24"/>
        <v>Unmetered Scattered Load</v>
      </c>
      <c r="B32" s="429">
        <f t="shared" si="25"/>
        <v>31590.278464106854</v>
      </c>
      <c r="C32" s="429">
        <f t="shared" si="25"/>
        <v>31590.278464106854</v>
      </c>
      <c r="D32" s="429">
        <f t="shared" si="25"/>
        <v>31590.278464106854</v>
      </c>
      <c r="E32" s="429">
        <f t="shared" si="25"/>
        <v>31590.278464106854</v>
      </c>
      <c r="F32" s="429">
        <f t="shared" si="25"/>
        <v>31590.278464106854</v>
      </c>
      <c r="G32" s="429">
        <f t="shared" si="25"/>
        <v>31590.278464106854</v>
      </c>
      <c r="H32" s="429">
        <f t="shared" si="25"/>
        <v>31590.278464106854</v>
      </c>
      <c r="I32" s="429">
        <f t="shared" si="25"/>
        <v>31590.278464106854</v>
      </c>
      <c r="J32" s="429">
        <f t="shared" si="25"/>
        <v>31590.278464106854</v>
      </c>
      <c r="K32" s="429">
        <f t="shared" si="25"/>
        <v>31590.278464106854</v>
      </c>
      <c r="L32" s="429">
        <f t="shared" si="25"/>
        <v>31590.278464106854</v>
      </c>
      <c r="M32" s="429">
        <f t="shared" si="25"/>
        <v>31590.278464106854</v>
      </c>
      <c r="N32" s="37">
        <f t="shared" si="26"/>
        <v>379083.34156928217</v>
      </c>
      <c r="P32" s="140">
        <f>+'10. Final Load Forecast'!N19</f>
        <v>379083.34156928223</v>
      </c>
      <c r="Q32" s="60">
        <f t="shared" si="23"/>
        <v>0</v>
      </c>
    </row>
    <row r="33" spans="1:19" x14ac:dyDescent="0.2">
      <c r="A33" s="159" t="str">
        <f t="shared" si="24"/>
        <v>Street Lights</v>
      </c>
      <c r="B33" s="429">
        <f t="shared" si="25"/>
        <v>49414.992726344637</v>
      </c>
      <c r="C33" s="429">
        <f t="shared" si="25"/>
        <v>45247.245838015646</v>
      </c>
      <c r="D33" s="429">
        <f t="shared" si="25"/>
        <v>43818.283443130225</v>
      </c>
      <c r="E33" s="429">
        <f t="shared" si="25"/>
        <v>41109.252790605431</v>
      </c>
      <c r="F33" s="429">
        <f t="shared" si="25"/>
        <v>41863.75651093472</v>
      </c>
      <c r="G33" s="429">
        <f t="shared" si="25"/>
        <v>48533.824132868715</v>
      </c>
      <c r="H33" s="429">
        <f t="shared" si="25"/>
        <v>58694.264306572761</v>
      </c>
      <c r="I33" s="429">
        <f t="shared" si="25"/>
        <v>58239.476646581432</v>
      </c>
      <c r="J33" s="429">
        <f t="shared" si="25"/>
        <v>44492.599445146698</v>
      </c>
      <c r="K33" s="429">
        <f t="shared" si="25"/>
        <v>41625.358864747075</v>
      </c>
      <c r="L33" s="429">
        <f t="shared" si="25"/>
        <v>41519.895581300647</v>
      </c>
      <c r="M33" s="429">
        <f t="shared" si="25"/>
        <v>48786.179713752092</v>
      </c>
      <c r="N33" s="37">
        <f t="shared" si="26"/>
        <v>563345.13</v>
      </c>
      <c r="P33" s="140">
        <f>+'10. Final Load Forecast'!N23</f>
        <v>563345.13</v>
      </c>
      <c r="Q33" s="60">
        <f t="shared" si="23"/>
        <v>0</v>
      </c>
    </row>
    <row r="34" spans="1:19" x14ac:dyDescent="0.2">
      <c r="A34" s="159" t="str">
        <f t="shared" si="24"/>
        <v>Large User</v>
      </c>
      <c r="B34" s="429">
        <f t="shared" si="25"/>
        <v>0</v>
      </c>
      <c r="C34" s="429">
        <f t="shared" si="25"/>
        <v>0</v>
      </c>
      <c r="D34" s="429">
        <f t="shared" si="25"/>
        <v>0</v>
      </c>
      <c r="E34" s="429">
        <f t="shared" si="25"/>
        <v>0</v>
      </c>
      <c r="F34" s="429">
        <f t="shared" si="25"/>
        <v>0</v>
      </c>
      <c r="G34" s="429">
        <f t="shared" si="25"/>
        <v>0</v>
      </c>
      <c r="H34" s="429">
        <f t="shared" si="25"/>
        <v>3285000</v>
      </c>
      <c r="I34" s="429">
        <f t="shared" si="25"/>
        <v>3285000</v>
      </c>
      <c r="J34" s="429">
        <f t="shared" si="25"/>
        <v>3285000</v>
      </c>
      <c r="K34" s="429">
        <f t="shared" si="25"/>
        <v>3285000</v>
      </c>
      <c r="L34" s="429">
        <f t="shared" si="25"/>
        <v>3285000</v>
      </c>
      <c r="M34" s="429">
        <f t="shared" si="25"/>
        <v>3285000</v>
      </c>
      <c r="N34" s="37">
        <f t="shared" si="26"/>
        <v>19710000</v>
      </c>
      <c r="P34" s="140">
        <f>+'10. Final Load Forecast'!N27</f>
        <v>19710000</v>
      </c>
      <c r="Q34" s="60">
        <f t="shared" si="23"/>
        <v>0</v>
      </c>
    </row>
    <row r="35" spans="1:19" x14ac:dyDescent="0.2">
      <c r="A35" s="159" t="str">
        <f>+A15</f>
        <v>Total</v>
      </c>
      <c r="B35" s="412">
        <f>SUM(B29:B34)</f>
        <v>18432462.803714905</v>
      </c>
      <c r="C35" s="412">
        <f t="shared" ref="C35" si="27">SUM(C29:C34)</f>
        <v>16880501.041130923</v>
      </c>
      <c r="D35" s="412">
        <f t="shared" ref="D35" si="28">SUM(D29:D34)</f>
        <v>16348392.192764228</v>
      </c>
      <c r="E35" s="412">
        <f t="shared" ref="E35" si="29">SUM(E29:E34)</f>
        <v>15339618.843749244</v>
      </c>
      <c r="F35" s="412">
        <f t="shared" ref="F35" si="30">SUM(F29:F34)</f>
        <v>15620576.626228184</v>
      </c>
      <c r="G35" s="412">
        <f t="shared" ref="G35" si="31">SUM(G29:G34)</f>
        <v>18104338.27981589</v>
      </c>
      <c r="H35" s="412">
        <f t="shared" ref="H35" si="32">SUM(H29:H34)</f>
        <v>25172824.912549734</v>
      </c>
      <c r="I35" s="412">
        <f t="shared" ref="I35" si="33">SUM(I29:I34)</f>
        <v>25003473.683381259</v>
      </c>
      <c r="J35" s="412">
        <f t="shared" ref="J35" si="34">SUM(J29:J34)</f>
        <v>19884490.131067209</v>
      </c>
      <c r="K35" s="412">
        <f t="shared" ref="K35" si="35">SUM(K29:K34)</f>
        <v>18816803.473470442</v>
      </c>
      <c r="L35" s="412">
        <f t="shared" ref="L35" si="36">SUM(L29:L34)</f>
        <v>18777531.658830315</v>
      </c>
      <c r="M35" s="412">
        <f t="shared" ref="M35" si="37">SUM(M29:M34)</f>
        <v>21483309.00850923</v>
      </c>
      <c r="N35" s="412">
        <f t="shared" ref="N35" si="38">SUM(N29:N34)</f>
        <v>229864322.65521154</v>
      </c>
      <c r="P35" s="140">
        <f>SUM(P29:P34)</f>
        <v>229864322.65521154</v>
      </c>
    </row>
    <row r="36" spans="1:19" x14ac:dyDescent="0.2">
      <c r="A36" s="159"/>
      <c r="B36" s="60"/>
      <c r="C36" s="60"/>
      <c r="D36" s="60"/>
      <c r="E36" s="60"/>
      <c r="F36" s="60"/>
      <c r="G36" s="60"/>
      <c r="H36" s="60"/>
      <c r="I36" s="60"/>
      <c r="J36" s="60"/>
      <c r="K36" s="60"/>
      <c r="L36" s="60"/>
      <c r="M36" s="60"/>
      <c r="N36" s="60"/>
      <c r="P36" s="140"/>
    </row>
    <row r="37" spans="1:19" x14ac:dyDescent="0.2">
      <c r="B37" s="595" t="s">
        <v>229</v>
      </c>
      <c r="C37" s="595"/>
      <c r="D37" s="595"/>
      <c r="E37" s="595"/>
      <c r="F37" s="595"/>
      <c r="G37" s="595"/>
      <c r="H37" s="595"/>
      <c r="I37" s="595"/>
      <c r="J37" s="595"/>
      <c r="K37" s="595"/>
      <c r="L37" s="595"/>
      <c r="M37" s="595"/>
    </row>
    <row r="38" spans="1:19" x14ac:dyDescent="0.2">
      <c r="A38" s="1" t="s">
        <v>221</v>
      </c>
      <c r="B38" s="410">
        <f t="shared" ref="B38:M38" si="39">+B8</f>
        <v>44957</v>
      </c>
      <c r="C38" s="410">
        <f t="shared" si="39"/>
        <v>44985</v>
      </c>
      <c r="D38" s="410">
        <f t="shared" si="39"/>
        <v>45016</v>
      </c>
      <c r="E38" s="410">
        <f t="shared" si="39"/>
        <v>45046</v>
      </c>
      <c r="F38" s="410">
        <f t="shared" si="39"/>
        <v>45077</v>
      </c>
      <c r="G38" s="410">
        <f t="shared" si="39"/>
        <v>45107</v>
      </c>
      <c r="H38" s="410">
        <f t="shared" si="39"/>
        <v>45138</v>
      </c>
      <c r="I38" s="410">
        <f t="shared" si="39"/>
        <v>45169</v>
      </c>
      <c r="J38" s="410">
        <f t="shared" si="39"/>
        <v>45199</v>
      </c>
      <c r="K38" s="410">
        <f t="shared" si="39"/>
        <v>45230</v>
      </c>
      <c r="L38" s="410">
        <f t="shared" si="39"/>
        <v>45260</v>
      </c>
      <c r="M38" s="410">
        <f t="shared" si="39"/>
        <v>45291</v>
      </c>
      <c r="N38" s="411" t="s">
        <v>15</v>
      </c>
      <c r="P38" s="411" t="s">
        <v>231</v>
      </c>
    </row>
    <row r="39" spans="1:19" x14ac:dyDescent="0.2">
      <c r="A39" s="159" t="str">
        <f>+A19</f>
        <v>Residential</v>
      </c>
      <c r="B39" s="37">
        <f>+$P39/12</f>
        <v>0</v>
      </c>
      <c r="C39" s="37">
        <f t="shared" ref="C39:M39" si="40">+$P39/12</f>
        <v>0</v>
      </c>
      <c r="D39" s="37">
        <f t="shared" si="40"/>
        <v>0</v>
      </c>
      <c r="E39" s="37">
        <f t="shared" si="40"/>
        <v>0</v>
      </c>
      <c r="F39" s="37">
        <f t="shared" si="40"/>
        <v>0</v>
      </c>
      <c r="G39" s="37">
        <f t="shared" si="40"/>
        <v>0</v>
      </c>
      <c r="H39" s="37">
        <f t="shared" si="40"/>
        <v>0</v>
      </c>
      <c r="I39" s="37">
        <f t="shared" si="40"/>
        <v>0</v>
      </c>
      <c r="J39" s="37">
        <f t="shared" si="40"/>
        <v>0</v>
      </c>
      <c r="K39" s="37">
        <f t="shared" si="40"/>
        <v>0</v>
      </c>
      <c r="L39" s="37">
        <f t="shared" si="40"/>
        <v>0</v>
      </c>
      <c r="M39" s="37">
        <f t="shared" si="40"/>
        <v>0</v>
      </c>
      <c r="N39" s="37">
        <f>SUM(B39:M39)</f>
        <v>0</v>
      </c>
      <c r="P39" s="140">
        <f>+'10.1 CDM Allocation'!H7</f>
        <v>0</v>
      </c>
    </row>
    <row r="40" spans="1:19" x14ac:dyDescent="0.2">
      <c r="A40" s="159" t="str">
        <f t="shared" ref="A40:A45" si="41">+A20</f>
        <v>General Service &lt; 50 kW</v>
      </c>
      <c r="B40" s="37">
        <f t="shared" ref="B40:M44" si="42">+$P40/12</f>
        <v>0</v>
      </c>
      <c r="C40" s="37">
        <f t="shared" si="42"/>
        <v>0</v>
      </c>
      <c r="D40" s="37">
        <f t="shared" si="42"/>
        <v>0</v>
      </c>
      <c r="E40" s="37">
        <f t="shared" si="42"/>
        <v>0</v>
      </c>
      <c r="F40" s="37">
        <f t="shared" si="42"/>
        <v>0</v>
      </c>
      <c r="G40" s="37">
        <f t="shared" si="42"/>
        <v>0</v>
      </c>
      <c r="H40" s="37">
        <f t="shared" si="42"/>
        <v>0</v>
      </c>
      <c r="I40" s="37">
        <f t="shared" si="42"/>
        <v>0</v>
      </c>
      <c r="J40" s="37">
        <f t="shared" si="42"/>
        <v>0</v>
      </c>
      <c r="K40" s="37">
        <f t="shared" si="42"/>
        <v>0</v>
      </c>
      <c r="L40" s="37">
        <f t="shared" si="42"/>
        <v>0</v>
      </c>
      <c r="M40" s="37">
        <f t="shared" si="42"/>
        <v>0</v>
      </c>
      <c r="N40" s="37">
        <f>SUM(B40:M40)</f>
        <v>0</v>
      </c>
      <c r="P40" s="140">
        <f>+'10.1 CDM Allocation'!H10</f>
        <v>0</v>
      </c>
    </row>
    <row r="41" spans="1:19" x14ac:dyDescent="0.2">
      <c r="A41" s="159" t="str">
        <f t="shared" si="41"/>
        <v>General Service &gt; 50 kW - 4999 kW</v>
      </c>
      <c r="B41" s="37">
        <f t="shared" si="42"/>
        <v>0</v>
      </c>
      <c r="C41" s="37">
        <f t="shared" si="42"/>
        <v>0</v>
      </c>
      <c r="D41" s="37">
        <f t="shared" si="42"/>
        <v>0</v>
      </c>
      <c r="E41" s="37">
        <f t="shared" si="42"/>
        <v>0</v>
      </c>
      <c r="F41" s="37">
        <f t="shared" si="42"/>
        <v>0</v>
      </c>
      <c r="G41" s="37">
        <f t="shared" si="42"/>
        <v>0</v>
      </c>
      <c r="H41" s="37">
        <f t="shared" si="42"/>
        <v>0</v>
      </c>
      <c r="I41" s="37">
        <f t="shared" si="42"/>
        <v>0</v>
      </c>
      <c r="J41" s="37">
        <f t="shared" si="42"/>
        <v>0</v>
      </c>
      <c r="K41" s="37">
        <f t="shared" si="42"/>
        <v>0</v>
      </c>
      <c r="L41" s="37">
        <f t="shared" si="42"/>
        <v>0</v>
      </c>
      <c r="M41" s="37">
        <f t="shared" si="42"/>
        <v>0</v>
      </c>
      <c r="N41" s="37">
        <f t="shared" ref="N41:N44" si="43">SUM(B41:M41)</f>
        <v>0</v>
      </c>
      <c r="P41" s="140">
        <f>+'10.1 CDM Allocation'!H13</f>
        <v>0</v>
      </c>
    </row>
    <row r="42" spans="1:19" x14ac:dyDescent="0.2">
      <c r="A42" s="159" t="str">
        <f t="shared" si="41"/>
        <v>Unmetered Scattered Load</v>
      </c>
      <c r="B42" s="37">
        <f t="shared" si="42"/>
        <v>0</v>
      </c>
      <c r="C42" s="37">
        <f t="shared" si="42"/>
        <v>0</v>
      </c>
      <c r="D42" s="37">
        <f t="shared" si="42"/>
        <v>0</v>
      </c>
      <c r="E42" s="37">
        <f t="shared" si="42"/>
        <v>0</v>
      </c>
      <c r="F42" s="37">
        <f t="shared" si="42"/>
        <v>0</v>
      </c>
      <c r="G42" s="37">
        <f t="shared" si="42"/>
        <v>0</v>
      </c>
      <c r="H42" s="37">
        <f t="shared" si="42"/>
        <v>0</v>
      </c>
      <c r="I42" s="37">
        <f t="shared" si="42"/>
        <v>0</v>
      </c>
      <c r="J42" s="37">
        <f t="shared" si="42"/>
        <v>0</v>
      </c>
      <c r="K42" s="37">
        <f t="shared" si="42"/>
        <v>0</v>
      </c>
      <c r="L42" s="37">
        <f t="shared" si="42"/>
        <v>0</v>
      </c>
      <c r="M42" s="37">
        <f t="shared" si="42"/>
        <v>0</v>
      </c>
      <c r="N42" s="37">
        <f t="shared" si="43"/>
        <v>0</v>
      </c>
      <c r="P42" s="140">
        <f>+'10.1 CDM Allocation'!H16</f>
        <v>0</v>
      </c>
    </row>
    <row r="43" spans="1:19" x14ac:dyDescent="0.2">
      <c r="A43" s="159" t="str">
        <f t="shared" si="41"/>
        <v>Street Lights</v>
      </c>
      <c r="B43" s="37">
        <f t="shared" si="42"/>
        <v>0</v>
      </c>
      <c r="C43" s="37">
        <f t="shared" si="42"/>
        <v>0</v>
      </c>
      <c r="D43" s="37">
        <f t="shared" si="42"/>
        <v>0</v>
      </c>
      <c r="E43" s="37">
        <f t="shared" si="42"/>
        <v>0</v>
      </c>
      <c r="F43" s="37">
        <f t="shared" si="42"/>
        <v>0</v>
      </c>
      <c r="G43" s="37">
        <f t="shared" si="42"/>
        <v>0</v>
      </c>
      <c r="H43" s="37">
        <f t="shared" si="42"/>
        <v>0</v>
      </c>
      <c r="I43" s="37">
        <f t="shared" si="42"/>
        <v>0</v>
      </c>
      <c r="J43" s="37">
        <f t="shared" si="42"/>
        <v>0</v>
      </c>
      <c r="K43" s="37">
        <f t="shared" si="42"/>
        <v>0</v>
      </c>
      <c r="L43" s="37">
        <f t="shared" si="42"/>
        <v>0</v>
      </c>
      <c r="M43" s="37">
        <f t="shared" si="42"/>
        <v>0</v>
      </c>
      <c r="N43" s="37">
        <f t="shared" si="43"/>
        <v>0</v>
      </c>
      <c r="P43" s="140">
        <f>+'10.1 CDM Allocation'!H19</f>
        <v>0</v>
      </c>
    </row>
    <row r="44" spans="1:19" x14ac:dyDescent="0.2">
      <c r="A44" s="159" t="str">
        <f t="shared" si="41"/>
        <v>Large User</v>
      </c>
      <c r="B44" s="37">
        <f t="shared" si="42"/>
        <v>0</v>
      </c>
      <c r="C44" s="37">
        <f t="shared" si="42"/>
        <v>0</v>
      </c>
      <c r="D44" s="37">
        <f t="shared" si="42"/>
        <v>0</v>
      </c>
      <c r="E44" s="37">
        <f t="shared" si="42"/>
        <v>0</v>
      </c>
      <c r="F44" s="37">
        <f t="shared" si="42"/>
        <v>0</v>
      </c>
      <c r="G44" s="37">
        <f t="shared" si="42"/>
        <v>0</v>
      </c>
      <c r="H44" s="37">
        <f t="shared" si="42"/>
        <v>0</v>
      </c>
      <c r="I44" s="37">
        <f t="shared" si="42"/>
        <v>0</v>
      </c>
      <c r="J44" s="37">
        <f t="shared" si="42"/>
        <v>0</v>
      </c>
      <c r="K44" s="37">
        <f t="shared" si="42"/>
        <v>0</v>
      </c>
      <c r="L44" s="37">
        <f t="shared" si="42"/>
        <v>0</v>
      </c>
      <c r="M44" s="37">
        <f t="shared" si="42"/>
        <v>0</v>
      </c>
      <c r="N44" s="37">
        <f t="shared" si="43"/>
        <v>0</v>
      </c>
      <c r="P44" s="140">
        <f>+'10.1 CDM Allocation'!H22</f>
        <v>0</v>
      </c>
    </row>
    <row r="45" spans="1:19" x14ac:dyDescent="0.2">
      <c r="A45" s="159" t="str">
        <f t="shared" si="41"/>
        <v>Total</v>
      </c>
      <c r="B45" s="412">
        <f>SUM(B39:B44)</f>
        <v>0</v>
      </c>
      <c r="C45" s="412">
        <f t="shared" ref="C45:N45" si="44">SUM(C39:C44)</f>
        <v>0</v>
      </c>
      <c r="D45" s="412">
        <f t="shared" si="44"/>
        <v>0</v>
      </c>
      <c r="E45" s="412">
        <f t="shared" si="44"/>
        <v>0</v>
      </c>
      <c r="F45" s="412">
        <f t="shared" si="44"/>
        <v>0</v>
      </c>
      <c r="G45" s="412">
        <f t="shared" si="44"/>
        <v>0</v>
      </c>
      <c r="H45" s="412">
        <f t="shared" si="44"/>
        <v>0</v>
      </c>
      <c r="I45" s="412">
        <f t="shared" si="44"/>
        <v>0</v>
      </c>
      <c r="J45" s="412">
        <f t="shared" si="44"/>
        <v>0</v>
      </c>
      <c r="K45" s="412">
        <f t="shared" si="44"/>
        <v>0</v>
      </c>
      <c r="L45" s="412">
        <f t="shared" si="44"/>
        <v>0</v>
      </c>
      <c r="M45" s="412">
        <f t="shared" si="44"/>
        <v>0</v>
      </c>
      <c r="N45" s="412">
        <f t="shared" si="44"/>
        <v>0</v>
      </c>
      <c r="P45" s="140">
        <f>SUM(P39:P44)</f>
        <v>0</v>
      </c>
    </row>
    <row r="47" spans="1:19" x14ac:dyDescent="0.2">
      <c r="B47" s="595" t="s">
        <v>228</v>
      </c>
      <c r="C47" s="595"/>
      <c r="D47" s="595"/>
      <c r="E47" s="595"/>
      <c r="F47" s="595"/>
      <c r="G47" s="595"/>
      <c r="H47" s="595"/>
      <c r="I47" s="595"/>
      <c r="J47" s="595"/>
      <c r="K47" s="595"/>
      <c r="L47" s="595"/>
      <c r="M47" s="595"/>
    </row>
    <row r="48" spans="1:19" x14ac:dyDescent="0.2">
      <c r="A48" s="1" t="s">
        <v>221</v>
      </c>
      <c r="B48" s="410">
        <f t="shared" ref="B48:M48" si="45">+B8</f>
        <v>44957</v>
      </c>
      <c r="C48" s="410">
        <f t="shared" si="45"/>
        <v>44985</v>
      </c>
      <c r="D48" s="410">
        <f t="shared" si="45"/>
        <v>45016</v>
      </c>
      <c r="E48" s="410">
        <f t="shared" si="45"/>
        <v>45046</v>
      </c>
      <c r="F48" s="410">
        <f t="shared" si="45"/>
        <v>45077</v>
      </c>
      <c r="G48" s="410">
        <f t="shared" si="45"/>
        <v>45107</v>
      </c>
      <c r="H48" s="410">
        <f t="shared" si="45"/>
        <v>45138</v>
      </c>
      <c r="I48" s="410">
        <f t="shared" si="45"/>
        <v>45169</v>
      </c>
      <c r="J48" s="410">
        <f t="shared" si="45"/>
        <v>45199</v>
      </c>
      <c r="K48" s="410">
        <f t="shared" si="45"/>
        <v>45230</v>
      </c>
      <c r="L48" s="410">
        <f t="shared" si="45"/>
        <v>45260</v>
      </c>
      <c r="M48" s="410">
        <f t="shared" si="45"/>
        <v>45291</v>
      </c>
      <c r="N48" s="411" t="s">
        <v>15</v>
      </c>
      <c r="P48" s="411" t="s">
        <v>232</v>
      </c>
      <c r="R48" s="411" t="s">
        <v>322</v>
      </c>
      <c r="S48" s="411" t="s">
        <v>323</v>
      </c>
    </row>
    <row r="49" spans="1:19" x14ac:dyDescent="0.2">
      <c r="A49" s="1" t="s">
        <v>226</v>
      </c>
      <c r="B49" s="173">
        <f>+'6. WS Regression Analysis'!$Q$6</f>
        <v>19161200.319739059</v>
      </c>
      <c r="C49" s="173">
        <f>+'6. WS Regression Analysis'!$Q$7</f>
        <v>17547775.560860857</v>
      </c>
      <c r="D49" s="173">
        <f>+'6. WS Regression Analysis'!$Q$8</f>
        <v>16994593.381331138</v>
      </c>
      <c r="E49" s="173">
        <f>+'6. WS Regression Analysis'!$Q$9</f>
        <v>15945869.155878976</v>
      </c>
      <c r="F49" s="173">
        <f>+'6. WS Regression Analysis'!$Q$10</f>
        <v>16237953.827924179</v>
      </c>
      <c r="G49" s="173">
        <f>+'6. WS Regression Analysis'!$Q$11</f>
        <v>18820080.9419186</v>
      </c>
      <c r="H49" s="173">
        <f>+'6. WS Regression Analysis'!$Q$12</f>
        <v>22753406.591626532</v>
      </c>
      <c r="I49" s="173">
        <f>+'6. WS Regression Analysis'!$Q$13</f>
        <v>22577348.474297702</v>
      </c>
      <c r="J49" s="414">
        <f>+'6. WS Regression Analysis'!$Q$14</f>
        <v>17255635.65719673</v>
      </c>
      <c r="K49" s="414">
        <f>+'6. WS Regression Analysis'!$Q$15</f>
        <v>16145664.954553647</v>
      </c>
      <c r="L49" s="414">
        <f>+'6. WS Regression Analysis'!$Q$16</f>
        <v>16104837.841673652</v>
      </c>
      <c r="M49" s="414">
        <f>+'6. WS Regression Analysis'!$Q$17</f>
        <v>18917773.233016819</v>
      </c>
      <c r="N49" s="426">
        <f>SUM(B49:M49)</f>
        <v>218462139.94001785</v>
      </c>
    </row>
    <row r="50" spans="1:19" x14ac:dyDescent="0.2">
      <c r="A50" s="1" t="s">
        <v>227</v>
      </c>
      <c r="B50" s="414">
        <f>+B49-B56</f>
        <v>19129610.04127495</v>
      </c>
      <c r="C50" s="414">
        <f t="shared" ref="C50:M50" si="46">+C49-C56</f>
        <v>17516185.282396749</v>
      </c>
      <c r="D50" s="414">
        <f t="shared" si="46"/>
        <v>16963003.10286703</v>
      </c>
      <c r="E50" s="414">
        <f t="shared" si="46"/>
        <v>15914278.877414869</v>
      </c>
      <c r="F50" s="414">
        <f t="shared" si="46"/>
        <v>16206363.549460072</v>
      </c>
      <c r="G50" s="414">
        <f t="shared" si="46"/>
        <v>18788490.663454492</v>
      </c>
      <c r="H50" s="414">
        <f t="shared" si="46"/>
        <v>22721816.313162424</v>
      </c>
      <c r="I50" s="414">
        <f t="shared" si="46"/>
        <v>22545758.195833594</v>
      </c>
      <c r="J50" s="414">
        <f t="shared" si="46"/>
        <v>17224045.378732622</v>
      </c>
      <c r="K50" s="414">
        <f t="shared" si="46"/>
        <v>16114074.67608954</v>
      </c>
      <c r="L50" s="414">
        <f t="shared" si="46"/>
        <v>16073247.563209545</v>
      </c>
      <c r="M50" s="414">
        <f t="shared" si="46"/>
        <v>18886182.95455271</v>
      </c>
      <c r="N50" s="426">
        <f>SUM(B50:M50)</f>
        <v>218083056.59844857</v>
      </c>
    </row>
    <row r="51" spans="1:19" x14ac:dyDescent="0.2">
      <c r="A51" s="33"/>
      <c r="B51" s="414"/>
      <c r="C51" s="414"/>
      <c r="D51" s="414"/>
      <c r="E51" s="414"/>
      <c r="F51" s="414"/>
      <c r="G51" s="414"/>
      <c r="H51" s="414"/>
      <c r="I51" s="414"/>
      <c r="J51" s="414"/>
      <c r="K51" s="414"/>
      <c r="L51" s="414"/>
      <c r="M51" s="414"/>
      <c r="N51" s="426"/>
    </row>
    <row r="52" spans="1:19" x14ac:dyDescent="0.2">
      <c r="B52" s="413"/>
      <c r="C52" s="413"/>
      <c r="D52" s="413"/>
      <c r="E52" s="413"/>
      <c r="F52" s="413"/>
      <c r="G52" s="413"/>
      <c r="H52" s="413"/>
      <c r="I52" s="413"/>
      <c r="J52" s="413"/>
      <c r="K52" s="413"/>
      <c r="L52" s="413"/>
      <c r="M52" s="413"/>
      <c r="N52" s="22"/>
      <c r="P52" s="37"/>
    </row>
    <row r="53" spans="1:19" x14ac:dyDescent="0.2">
      <c r="A53" s="159" t="str">
        <f t="shared" ref="A53:A59" si="47">+A9</f>
        <v>Residential</v>
      </c>
      <c r="B53" s="429">
        <f>+$Q53*B$50</f>
        <v>6909419.0659501757</v>
      </c>
      <c r="C53" s="429">
        <f t="shared" ref="C53:M55" si="48">+$Q53*C$50</f>
        <v>6326666.5808542417</v>
      </c>
      <c r="D53" s="429">
        <f t="shared" si="48"/>
        <v>6126862.8477964522</v>
      </c>
      <c r="E53" s="429">
        <f t="shared" si="48"/>
        <v>5748074.407121053</v>
      </c>
      <c r="F53" s="429">
        <f t="shared" si="48"/>
        <v>5853572.3967584008</v>
      </c>
      <c r="G53" s="429">
        <f t="shared" si="48"/>
        <v>6786210.2431988334</v>
      </c>
      <c r="H53" s="429">
        <f t="shared" si="48"/>
        <v>8206887.1507805604</v>
      </c>
      <c r="I53" s="429">
        <f t="shared" si="48"/>
        <v>8143296.7634196877</v>
      </c>
      <c r="J53" s="429">
        <f t="shared" si="48"/>
        <v>6221148.6421222696</v>
      </c>
      <c r="K53" s="429">
        <f t="shared" si="48"/>
        <v>5820238.6016697632</v>
      </c>
      <c r="L53" s="429">
        <f t="shared" si="48"/>
        <v>5805492.2669806564</v>
      </c>
      <c r="M53" s="429">
        <f t="shared" si="48"/>
        <v>6821495.697384987</v>
      </c>
      <c r="N53" s="37">
        <f>SUM(B53:M53)</f>
        <v>78769364.664037079</v>
      </c>
      <c r="P53" s="435">
        <f>+'7. Weather Senstive Class'!H29</f>
        <v>78769364.664037079</v>
      </c>
      <c r="Q53" s="428">
        <f>+P53/$N$50</f>
        <v>0.36118974987164332</v>
      </c>
      <c r="R53" s="428">
        <f>+Q53</f>
        <v>0.36118974987164332</v>
      </c>
      <c r="S53" s="428">
        <f>+R53</f>
        <v>0.36118974987164332</v>
      </c>
    </row>
    <row r="54" spans="1:19" x14ac:dyDescent="0.2">
      <c r="A54" s="159" t="str">
        <f t="shared" si="47"/>
        <v>General Service &lt; 50 kW</v>
      </c>
      <c r="B54" s="429">
        <f>+$Q54*B$50</f>
        <v>3930838.2239435813</v>
      </c>
      <c r="C54" s="429">
        <f t="shared" si="48"/>
        <v>3599304.4550914536</v>
      </c>
      <c r="D54" s="429">
        <f t="shared" si="48"/>
        <v>3485634.0952980183</v>
      </c>
      <c r="E54" s="429">
        <f t="shared" si="48"/>
        <v>3270137.5293519082</v>
      </c>
      <c r="F54" s="429">
        <f t="shared" si="48"/>
        <v>3330156.4001509487</v>
      </c>
      <c r="G54" s="429">
        <f t="shared" si="48"/>
        <v>3860743.4814803866</v>
      </c>
      <c r="H54" s="429">
        <f t="shared" si="48"/>
        <v>4668980.9090980804</v>
      </c>
      <c r="I54" s="429">
        <f t="shared" si="48"/>
        <v>4632803.6960896337</v>
      </c>
      <c r="J54" s="429">
        <f t="shared" si="48"/>
        <v>3539274.2350511914</v>
      </c>
      <c r="K54" s="429">
        <f t="shared" si="48"/>
        <v>3311192.4677808248</v>
      </c>
      <c r="L54" s="429">
        <f t="shared" si="48"/>
        <v>3302803.1291829301</v>
      </c>
      <c r="M54" s="429">
        <f t="shared" si="48"/>
        <v>3880817.7324036905</v>
      </c>
      <c r="N54" s="37">
        <f t="shared" ref="N54:N58" si="49">SUM(B54:M54)</f>
        <v>44812686.354922637</v>
      </c>
      <c r="P54" s="435">
        <f>+'7. Weather Senstive Class'!Q29</f>
        <v>44812686.354922645</v>
      </c>
      <c r="Q54" s="428">
        <f t="shared" ref="Q54:Q58" si="50">+P54/$N$50</f>
        <v>0.20548449317378761</v>
      </c>
      <c r="R54" s="427">
        <f>+Q54</f>
        <v>0.20548449317378761</v>
      </c>
      <c r="S54" s="428">
        <f>+R54</f>
        <v>0.20548449317378761</v>
      </c>
    </row>
    <row r="55" spans="1:19" x14ac:dyDescent="0.2">
      <c r="A55" s="159" t="str">
        <f t="shared" si="47"/>
        <v>General Service &gt; 50 kW - 4999 kW</v>
      </c>
      <c r="B55" s="510">
        <f>+$Q55*B$50</f>
        <v>7511200.2426306931</v>
      </c>
      <c r="C55" s="510">
        <f t="shared" si="48"/>
        <v>6877692.4808831029</v>
      </c>
      <c r="D55" s="510">
        <f t="shared" si="48"/>
        <v>6660486.6877625203</v>
      </c>
      <c r="E55" s="510">
        <f t="shared" si="48"/>
        <v>6248707.3760215705</v>
      </c>
      <c r="F55" s="510">
        <f t="shared" si="48"/>
        <v>6363393.7943437928</v>
      </c>
      <c r="G55" s="510">
        <f t="shared" si="48"/>
        <v>7377260.4525396926</v>
      </c>
      <c r="H55" s="510">
        <f t="shared" si="48"/>
        <v>8921672.3099004142</v>
      </c>
      <c r="I55" s="510">
        <f t="shared" si="48"/>
        <v>8852543.4687612522</v>
      </c>
      <c r="J55" s="510">
        <f t="shared" si="48"/>
        <v>6762984.3759844918</v>
      </c>
      <c r="K55" s="510">
        <f t="shared" si="48"/>
        <v>6327156.7666909983</v>
      </c>
      <c r="L55" s="510">
        <f t="shared" si="48"/>
        <v>6311126.0886213211</v>
      </c>
      <c r="M55" s="510">
        <f t="shared" si="48"/>
        <v>7415619.1205426911</v>
      </c>
      <c r="N55" s="37">
        <f t="shared" si="49"/>
        <v>85629843.164682537</v>
      </c>
      <c r="P55" s="435">
        <f>+'8. KW and Non-Weather Sensitive'!H33</f>
        <v>85629843.164682537</v>
      </c>
      <c r="Q55" s="428">
        <f t="shared" si="50"/>
        <v>0.39264784940331626</v>
      </c>
      <c r="R55" s="427">
        <f>+Q55+Q58</f>
        <v>0.48302625984668957</v>
      </c>
      <c r="S55" s="428">
        <f>+R55-S58</f>
        <v>0.40142004364217976</v>
      </c>
    </row>
    <row r="56" spans="1:19" x14ac:dyDescent="0.2">
      <c r="A56" s="159" t="str">
        <f t="shared" si="47"/>
        <v>Unmetered Scattered Load</v>
      </c>
      <c r="B56" s="37">
        <f t="shared" ref="B56:M56" si="51">+$P56/12</f>
        <v>31590.278464106854</v>
      </c>
      <c r="C56" s="37">
        <f t="shared" si="51"/>
        <v>31590.278464106854</v>
      </c>
      <c r="D56" s="37">
        <f t="shared" si="51"/>
        <v>31590.278464106854</v>
      </c>
      <c r="E56" s="37">
        <f t="shared" si="51"/>
        <v>31590.278464106854</v>
      </c>
      <c r="F56" s="37">
        <f t="shared" si="51"/>
        <v>31590.278464106854</v>
      </c>
      <c r="G56" s="37">
        <f t="shared" si="51"/>
        <v>31590.278464106854</v>
      </c>
      <c r="H56" s="37">
        <f t="shared" si="51"/>
        <v>31590.278464106854</v>
      </c>
      <c r="I56" s="37">
        <f t="shared" si="51"/>
        <v>31590.278464106854</v>
      </c>
      <c r="J56" s="37">
        <f t="shared" si="51"/>
        <v>31590.278464106854</v>
      </c>
      <c r="K56" s="37">
        <f t="shared" si="51"/>
        <v>31590.278464106854</v>
      </c>
      <c r="L56" s="37">
        <f t="shared" si="51"/>
        <v>31590.278464106854</v>
      </c>
      <c r="M56" s="37">
        <f t="shared" si="51"/>
        <v>31590.278464106854</v>
      </c>
      <c r="N56" s="37">
        <f t="shared" si="49"/>
        <v>379083.34156928217</v>
      </c>
      <c r="P56" s="435">
        <f>+'8. KW and Non-Weather Sensitive'!R63</f>
        <v>379083.34156928223</v>
      </c>
      <c r="Q56" s="428">
        <f t="shared" si="50"/>
        <v>1.7382521479753462E-3</v>
      </c>
      <c r="R56" s="427">
        <f>+Q56</f>
        <v>1.7382521479753462E-3</v>
      </c>
      <c r="S56" s="428">
        <f>+R56</f>
        <v>1.7382521479753462E-3</v>
      </c>
    </row>
    <row r="57" spans="1:19" x14ac:dyDescent="0.2">
      <c r="A57" s="159" t="str">
        <f t="shared" si="47"/>
        <v>Street Lights</v>
      </c>
      <c r="B57" s="429">
        <f t="shared" ref="B57:M57" si="52">+$Q57*B$50</f>
        <v>49414.992726344637</v>
      </c>
      <c r="C57" s="429">
        <f t="shared" si="52"/>
        <v>45247.245838015646</v>
      </c>
      <c r="D57" s="429">
        <f t="shared" si="52"/>
        <v>43818.283443130225</v>
      </c>
      <c r="E57" s="429">
        <f t="shared" si="52"/>
        <v>41109.252790605431</v>
      </c>
      <c r="F57" s="429">
        <f t="shared" si="52"/>
        <v>41863.75651093472</v>
      </c>
      <c r="G57" s="429">
        <f t="shared" si="52"/>
        <v>48533.824132868715</v>
      </c>
      <c r="H57" s="429">
        <f t="shared" si="52"/>
        <v>58694.264306572761</v>
      </c>
      <c r="I57" s="429">
        <f t="shared" si="52"/>
        <v>58239.476646581432</v>
      </c>
      <c r="J57" s="429">
        <f t="shared" si="52"/>
        <v>44492.599445146698</v>
      </c>
      <c r="K57" s="429">
        <f t="shared" si="52"/>
        <v>41625.358864747075</v>
      </c>
      <c r="L57" s="429">
        <f t="shared" si="52"/>
        <v>41519.895581300647</v>
      </c>
      <c r="M57" s="429">
        <f t="shared" si="52"/>
        <v>48786.179713752092</v>
      </c>
      <c r="N57" s="37">
        <f t="shared" si="49"/>
        <v>563345.13</v>
      </c>
      <c r="P57" s="435">
        <f>+'8. KW and Non-Weather Sensitive'!H63</f>
        <v>563345.13</v>
      </c>
      <c r="Q57" s="428">
        <f t="shared" si="50"/>
        <v>2.5831678021519789E-3</v>
      </c>
      <c r="R57" s="427">
        <f>+Q57</f>
        <v>2.5831678021519789E-3</v>
      </c>
      <c r="S57" s="428">
        <f>+R57</f>
        <v>2.5831678021519789E-3</v>
      </c>
    </row>
    <row r="58" spans="1:19" x14ac:dyDescent="0.2">
      <c r="A58" s="159" t="str">
        <f t="shared" si="47"/>
        <v>Large User</v>
      </c>
      <c r="B58" s="437">
        <v>0</v>
      </c>
      <c r="C58" s="437">
        <v>0</v>
      </c>
      <c r="D58" s="437">
        <v>0</v>
      </c>
      <c r="E58" s="437">
        <v>0</v>
      </c>
      <c r="F58" s="437">
        <v>0</v>
      </c>
      <c r="G58" s="437">
        <v>0</v>
      </c>
      <c r="H58" s="429">
        <f>P58/6</f>
        <v>3285000</v>
      </c>
      <c r="I58" s="429">
        <f>$H$58</f>
        <v>3285000</v>
      </c>
      <c r="J58" s="429">
        <f>$H$58</f>
        <v>3285000</v>
      </c>
      <c r="K58" s="429">
        <f>$H$58</f>
        <v>3285000</v>
      </c>
      <c r="L58" s="429">
        <f>$H$58</f>
        <v>3285000</v>
      </c>
      <c r="M58" s="429">
        <f>$H$58</f>
        <v>3285000</v>
      </c>
      <c r="N58" s="37">
        <f t="shared" si="49"/>
        <v>19710000</v>
      </c>
      <c r="P58" s="435">
        <f>+'8. KW and Non-Weather Sensitive'!R33</f>
        <v>19710000</v>
      </c>
      <c r="Q58" s="428">
        <f t="shared" si="50"/>
        <v>9.0378410443373317E-2</v>
      </c>
      <c r="R58" s="1">
        <v>0</v>
      </c>
      <c r="S58" s="428">
        <f>12052453/147690379</f>
        <v>8.1606216204509835E-2</v>
      </c>
    </row>
    <row r="59" spans="1:19" x14ac:dyDescent="0.2">
      <c r="A59" s="159" t="str">
        <f t="shared" si="47"/>
        <v>Total</v>
      </c>
      <c r="B59" s="412">
        <f>SUM(B53:B58)</f>
        <v>18432462.803714905</v>
      </c>
      <c r="C59" s="412">
        <f t="shared" ref="C59" si="53">SUM(C53:C58)</f>
        <v>16880501.041130923</v>
      </c>
      <c r="D59" s="412">
        <f t="shared" ref="D59" si="54">SUM(D53:D58)</f>
        <v>16348392.192764228</v>
      </c>
      <c r="E59" s="412">
        <f t="shared" ref="E59" si="55">SUM(E53:E58)</f>
        <v>15339618.843749244</v>
      </c>
      <c r="F59" s="412">
        <f t="shared" ref="F59" si="56">SUM(F53:F58)</f>
        <v>15620576.626228184</v>
      </c>
      <c r="G59" s="412">
        <f t="shared" ref="G59" si="57">SUM(G53:G58)</f>
        <v>18104338.27981589</v>
      </c>
      <c r="H59" s="412">
        <f t="shared" ref="H59" si="58">SUM(H53:H58)</f>
        <v>25172824.912549734</v>
      </c>
      <c r="I59" s="412">
        <f t="shared" ref="I59" si="59">SUM(I53:I58)</f>
        <v>25003473.683381259</v>
      </c>
      <c r="J59" s="412">
        <f t="shared" ref="J59" si="60">SUM(J53:J58)</f>
        <v>19884490.131067209</v>
      </c>
      <c r="K59" s="412">
        <f t="shared" ref="K59" si="61">SUM(K53:K58)</f>
        <v>18816803.473470442</v>
      </c>
      <c r="L59" s="412">
        <f t="shared" ref="L59" si="62">SUM(L53:L58)</f>
        <v>18777531.658830315</v>
      </c>
      <c r="M59" s="412">
        <f t="shared" ref="M59" si="63">SUM(M53:M58)</f>
        <v>21483309.00850923</v>
      </c>
      <c r="N59" s="412">
        <f t="shared" ref="N59" si="64">SUM(N53:N58)</f>
        <v>229864322.65521154</v>
      </c>
      <c r="P59" s="37"/>
      <c r="R59" s="427">
        <f>SUM(R53:R58)</f>
        <v>1.0540219228422478</v>
      </c>
      <c r="S59" s="427">
        <f>SUM(S53:S58)</f>
        <v>1.0540219228422478</v>
      </c>
    </row>
    <row r="60" spans="1:19" x14ac:dyDescent="0.2">
      <c r="N60" s="583">
        <f>+N49/N59</f>
        <v>0.95039603108701398</v>
      </c>
      <c r="S60" s="60"/>
    </row>
    <row r="62" spans="1:19" x14ac:dyDescent="0.2">
      <c r="B62" s="595" t="s">
        <v>372</v>
      </c>
      <c r="C62" s="595"/>
      <c r="D62" s="595"/>
      <c r="E62" s="595"/>
      <c r="F62" s="595"/>
      <c r="G62" s="595"/>
      <c r="H62" s="595"/>
      <c r="I62" s="595"/>
      <c r="J62" s="595"/>
      <c r="K62" s="595"/>
      <c r="L62" s="595"/>
      <c r="M62" s="595"/>
    </row>
    <row r="63" spans="1:19" x14ac:dyDescent="0.2">
      <c r="B63" s="22" t="str">
        <f>+'1. Assumptions'!C11</f>
        <v>Test</v>
      </c>
      <c r="C63" s="22" t="str">
        <f>+'1. Assumptions'!D11</f>
        <v>Test</v>
      </c>
      <c r="D63" s="22" t="str">
        <f>+'1. Assumptions'!E11</f>
        <v>Test</v>
      </c>
      <c r="E63" s="22" t="str">
        <f>+'1. Assumptions'!F11</f>
        <v>Test</v>
      </c>
      <c r="F63" s="22" t="str">
        <f>+'1. Assumptions'!G11</f>
        <v>Test</v>
      </c>
      <c r="G63" s="22" t="str">
        <f>+'1. Assumptions'!H11</f>
        <v>Test</v>
      </c>
      <c r="H63" s="22" t="str">
        <f>+'1. Assumptions'!I11</f>
        <v>Test</v>
      </c>
      <c r="I63" s="22" t="str">
        <f>+'1. Assumptions'!J11</f>
        <v>Test</v>
      </c>
      <c r="J63" s="22" t="str">
        <f>+'1. Assumptions'!K11</f>
        <v>Test</v>
      </c>
      <c r="K63" s="22" t="str">
        <f>+'1. Assumptions'!L11</f>
        <v>Test</v>
      </c>
      <c r="L63" s="22" t="str">
        <f>+'1. Assumptions'!M11</f>
        <v>Test</v>
      </c>
      <c r="M63" s="22" t="str">
        <f>+'1. Assumptions'!N11</f>
        <v>Test</v>
      </c>
    </row>
    <row r="64" spans="1:19" x14ac:dyDescent="0.2">
      <c r="A64" s="1" t="s">
        <v>221</v>
      </c>
      <c r="B64" s="410">
        <f>+'1. Assumptions'!C12</f>
        <v>45322</v>
      </c>
      <c r="C64" s="410">
        <f>+'1. Assumptions'!D12</f>
        <v>45351</v>
      </c>
      <c r="D64" s="410">
        <f>+'1. Assumptions'!E12</f>
        <v>45382</v>
      </c>
      <c r="E64" s="410">
        <f>+'1. Assumptions'!F12</f>
        <v>45412</v>
      </c>
      <c r="F64" s="410">
        <f>+'1. Assumptions'!G12</f>
        <v>45443</v>
      </c>
      <c r="G64" s="410">
        <f>+'1. Assumptions'!H12</f>
        <v>45473</v>
      </c>
      <c r="H64" s="410">
        <f>+'1. Assumptions'!I12</f>
        <v>45504</v>
      </c>
      <c r="I64" s="410">
        <f>+'1. Assumptions'!J12</f>
        <v>45535</v>
      </c>
      <c r="J64" s="410">
        <f>+'1. Assumptions'!K12</f>
        <v>45565</v>
      </c>
      <c r="K64" s="410">
        <f>+'1. Assumptions'!L12</f>
        <v>45596</v>
      </c>
      <c r="L64" s="410">
        <f>+'1. Assumptions'!M12</f>
        <v>45626</v>
      </c>
      <c r="M64" s="410">
        <f>+'1. Assumptions'!N12</f>
        <v>45657</v>
      </c>
      <c r="N64" s="411" t="s">
        <v>15</v>
      </c>
      <c r="P64" s="411" t="s">
        <v>209</v>
      </c>
      <c r="Q64" s="411" t="s">
        <v>230</v>
      </c>
    </row>
    <row r="65" spans="1:17" x14ac:dyDescent="0.2">
      <c r="A65" s="159" t="str">
        <f>+$A$9</f>
        <v>Residential</v>
      </c>
      <c r="B65" s="429">
        <f>+B98-B84</f>
        <v>6970598.366597862</v>
      </c>
      <c r="C65" s="429">
        <f t="shared" ref="C65:M65" si="65">+C98-C84</f>
        <v>6561349.6399685536</v>
      </c>
      <c r="D65" s="429">
        <f t="shared" si="65"/>
        <v>6187372.2100116331</v>
      </c>
      <c r="E65" s="429">
        <f t="shared" si="65"/>
        <v>5808248.5587895839</v>
      </c>
      <c r="F65" s="429">
        <f t="shared" si="65"/>
        <v>5913401.9803030463</v>
      </c>
      <c r="G65" s="429">
        <f t="shared" si="65"/>
        <v>6845679.276290522</v>
      </c>
      <c r="H65" s="429">
        <f t="shared" si="65"/>
        <v>8265986.2033322118</v>
      </c>
      <c r="I65" s="429">
        <f t="shared" si="65"/>
        <v>8202054.5150410961</v>
      </c>
      <c r="J65" s="429">
        <f t="shared" si="65"/>
        <v>6279601.004613677</v>
      </c>
      <c r="K65" s="429">
        <f t="shared" si="65"/>
        <v>5878356.1810569689</v>
      </c>
      <c r="L65" s="429">
        <f t="shared" si="65"/>
        <v>5863267.6016531857</v>
      </c>
      <c r="M65" s="429">
        <f t="shared" si="65"/>
        <v>6878908.8707812065</v>
      </c>
      <c r="N65" s="37">
        <f>SUM(B65:M65)</f>
        <v>79654824.408439562</v>
      </c>
      <c r="P65" s="140">
        <f>+'10. Final Load Forecast'!O7</f>
        <v>79654824.408439547</v>
      </c>
      <c r="Q65" s="60">
        <f t="shared" ref="Q65:Q70" si="66">+P65-N65</f>
        <v>0</v>
      </c>
    </row>
    <row r="66" spans="1:17" x14ac:dyDescent="0.2">
      <c r="A66" s="159" t="str">
        <f>+$A$10</f>
        <v>General Service &lt; 50 kW</v>
      </c>
      <c r="B66" s="429">
        <f t="shared" ref="B66:M68" si="67">+B99-B85</f>
        <v>3965643.7453925805</v>
      </c>
      <c r="C66" s="429">
        <f t="shared" si="67"/>
        <v>3732818.015417336</v>
      </c>
      <c r="D66" s="429">
        <f t="shared" si="67"/>
        <v>3520058.482012962</v>
      </c>
      <c r="E66" s="429">
        <f t="shared" si="67"/>
        <v>3304371.2114045257</v>
      </c>
      <c r="F66" s="429">
        <f t="shared" si="67"/>
        <v>3364194.0539211314</v>
      </c>
      <c r="G66" s="429">
        <f t="shared" si="67"/>
        <v>3894576.0144598605</v>
      </c>
      <c r="H66" s="429">
        <f t="shared" si="67"/>
        <v>4702602.956415154</v>
      </c>
      <c r="I66" s="429">
        <f t="shared" si="67"/>
        <v>4666231.5738637028</v>
      </c>
      <c r="J66" s="429">
        <f t="shared" si="67"/>
        <v>3572528.3738677697</v>
      </c>
      <c r="K66" s="429">
        <f t="shared" si="67"/>
        <v>3344256.1451113997</v>
      </c>
      <c r="L66" s="429">
        <f t="shared" si="67"/>
        <v>3335672.1000420125</v>
      </c>
      <c r="M66" s="429">
        <f t="shared" si="67"/>
        <v>3913480.6660584048</v>
      </c>
      <c r="N66" s="37">
        <f>SUM(B66:M66)</f>
        <v>45316433.337966844</v>
      </c>
      <c r="P66" s="140">
        <f>+'10. Final Load Forecast'!O11</f>
        <v>45316433.337966844</v>
      </c>
      <c r="Q66" s="60">
        <f t="shared" si="66"/>
        <v>0</v>
      </c>
    </row>
    <row r="67" spans="1:17" x14ac:dyDescent="0.2">
      <c r="A67" s="159" t="str">
        <f>+$A$11</f>
        <v>General Service &gt; 50 kW - 4999 kW</v>
      </c>
      <c r="B67" s="429">
        <f t="shared" si="67"/>
        <v>7590887.7531258296</v>
      </c>
      <c r="C67" s="429">
        <f t="shared" si="67"/>
        <v>7145221.4008885566</v>
      </c>
      <c r="D67" s="429">
        <f t="shared" si="67"/>
        <v>6737965.0157540049</v>
      </c>
      <c r="E67" s="429">
        <f t="shared" si="67"/>
        <v>6325104.4649622357</v>
      </c>
      <c r="F67" s="429">
        <f t="shared" si="67"/>
        <v>6439615.1249639252</v>
      </c>
      <c r="G67" s="429">
        <f t="shared" si="67"/>
        <v>7454852.5459778355</v>
      </c>
      <c r="H67" s="429">
        <f t="shared" si="67"/>
        <v>9001547.6632612348</v>
      </c>
      <c r="I67" s="429">
        <f t="shared" si="67"/>
        <v>8931926.9156348649</v>
      </c>
      <c r="J67" s="429">
        <f t="shared" si="67"/>
        <v>6838400.9310959335</v>
      </c>
      <c r="K67" s="429">
        <f t="shared" si="67"/>
        <v>6401450.7215218432</v>
      </c>
      <c r="L67" s="429">
        <f t="shared" si="67"/>
        <v>6385019.4617383089</v>
      </c>
      <c r="M67" s="429">
        <f t="shared" si="67"/>
        <v>7491039.1268988345</v>
      </c>
      <c r="N67" s="37">
        <f t="shared" ref="N67:N70" si="68">SUM(B67:M67)</f>
        <v>86743031.125823408</v>
      </c>
      <c r="P67" s="140">
        <f>+'10. Final Load Forecast'!O15</f>
        <v>86743031.125823408</v>
      </c>
      <c r="Q67" s="60">
        <f t="shared" si="66"/>
        <v>0</v>
      </c>
    </row>
    <row r="68" spans="1:17" x14ac:dyDescent="0.2">
      <c r="A68" s="159" t="str">
        <f>+$A$12</f>
        <v>Unmetered Scattered Load</v>
      </c>
      <c r="B68" s="429">
        <f t="shared" si="67"/>
        <v>31590.278464106854</v>
      </c>
      <c r="C68" s="429">
        <f t="shared" si="67"/>
        <v>31590.278464106854</v>
      </c>
      <c r="D68" s="429">
        <f t="shared" si="67"/>
        <v>31590.278464106854</v>
      </c>
      <c r="E68" s="429">
        <f t="shared" si="67"/>
        <v>31590.278464106854</v>
      </c>
      <c r="F68" s="429">
        <f t="shared" si="67"/>
        <v>31590.278464106854</v>
      </c>
      <c r="G68" s="429">
        <f t="shared" si="67"/>
        <v>31590.278464106854</v>
      </c>
      <c r="H68" s="429">
        <f t="shared" si="67"/>
        <v>31590.278464106854</v>
      </c>
      <c r="I68" s="429">
        <f t="shared" si="67"/>
        <v>31590.278464106854</v>
      </c>
      <c r="J68" s="429">
        <f t="shared" si="67"/>
        <v>31590.278464106854</v>
      </c>
      <c r="K68" s="429">
        <f t="shared" si="67"/>
        <v>31590.278464106854</v>
      </c>
      <c r="L68" s="429">
        <f t="shared" si="67"/>
        <v>31590.278464106854</v>
      </c>
      <c r="M68" s="429">
        <f t="shared" si="67"/>
        <v>31590.278464106854</v>
      </c>
      <c r="N68" s="37">
        <f t="shared" si="68"/>
        <v>379083.34156928217</v>
      </c>
      <c r="P68" s="140">
        <f>+'10. Final Load Forecast'!O19</f>
        <v>379083.34156928223</v>
      </c>
      <c r="Q68" s="60">
        <f t="shared" si="66"/>
        <v>0</v>
      </c>
    </row>
    <row r="69" spans="1:17" x14ac:dyDescent="0.2">
      <c r="A69" s="159" t="str">
        <f>+$A$13</f>
        <v>Street Lights</v>
      </c>
      <c r="B69" s="429">
        <f t="shared" ref="B69:M69" si="69">+B102-B88</f>
        <v>49298.365443296418</v>
      </c>
      <c r="C69" s="429">
        <f t="shared" si="69"/>
        <v>46404.023778274866</v>
      </c>
      <c r="D69" s="429">
        <f t="shared" si="69"/>
        <v>43759.13232994439</v>
      </c>
      <c r="E69" s="429">
        <f t="shared" si="69"/>
        <v>41077.845111374729</v>
      </c>
      <c r="F69" s="429">
        <f t="shared" si="69"/>
        <v>41821.524710851321</v>
      </c>
      <c r="G69" s="429">
        <f t="shared" si="69"/>
        <v>48414.896529877857</v>
      </c>
      <c r="H69" s="429">
        <f t="shared" si="69"/>
        <v>58459.774494224075</v>
      </c>
      <c r="I69" s="429">
        <f t="shared" si="69"/>
        <v>58007.628556812881</v>
      </c>
      <c r="J69" s="429">
        <f t="shared" si="69"/>
        <v>44411.404714833698</v>
      </c>
      <c r="K69" s="429">
        <f t="shared" si="69"/>
        <v>41573.669286162898</v>
      </c>
      <c r="L69" s="429">
        <f t="shared" si="69"/>
        <v>41466.957887463999</v>
      </c>
      <c r="M69" s="429">
        <f t="shared" si="69"/>
        <v>48649.907156882873</v>
      </c>
      <c r="N69" s="37">
        <f t="shared" si="68"/>
        <v>563345.13</v>
      </c>
      <c r="P69" s="140">
        <f>+'10. Final Load Forecast'!O23</f>
        <v>563345.13</v>
      </c>
      <c r="Q69" s="60">
        <f t="shared" si="66"/>
        <v>0</v>
      </c>
    </row>
    <row r="70" spans="1:17" x14ac:dyDescent="0.2">
      <c r="A70" s="159" t="str">
        <f>+$A$14</f>
        <v>Large User</v>
      </c>
      <c r="B70" s="429">
        <f t="shared" ref="B70:M70" si="70">+B103-B89</f>
        <v>3285000</v>
      </c>
      <c r="C70" s="429">
        <f t="shared" si="70"/>
        <v>3285000</v>
      </c>
      <c r="D70" s="429">
        <f t="shared" si="70"/>
        <v>3285000</v>
      </c>
      <c r="E70" s="429">
        <f t="shared" si="70"/>
        <v>3285000</v>
      </c>
      <c r="F70" s="429">
        <f t="shared" si="70"/>
        <v>3285000</v>
      </c>
      <c r="G70" s="429">
        <f t="shared" si="70"/>
        <v>3285000</v>
      </c>
      <c r="H70" s="429">
        <f t="shared" si="70"/>
        <v>3285000</v>
      </c>
      <c r="I70" s="429">
        <f t="shared" si="70"/>
        <v>3285000</v>
      </c>
      <c r="J70" s="429">
        <f t="shared" si="70"/>
        <v>3285000</v>
      </c>
      <c r="K70" s="429">
        <f t="shared" si="70"/>
        <v>3285000</v>
      </c>
      <c r="L70" s="429">
        <f t="shared" si="70"/>
        <v>3285000</v>
      </c>
      <c r="M70" s="429">
        <f t="shared" si="70"/>
        <v>3285000</v>
      </c>
      <c r="N70" s="37">
        <f t="shared" si="68"/>
        <v>39420000</v>
      </c>
      <c r="P70" s="140">
        <f>+'10. Final Load Forecast'!O27</f>
        <v>39420000</v>
      </c>
      <c r="Q70" s="60">
        <f t="shared" si="66"/>
        <v>0</v>
      </c>
    </row>
    <row r="71" spans="1:17" x14ac:dyDescent="0.2">
      <c r="A71" s="159" t="str">
        <f>+$A$15</f>
        <v>Total</v>
      </c>
      <c r="B71" s="412">
        <f>SUM(B65:B70)</f>
        <v>21893018.509023678</v>
      </c>
      <c r="C71" s="412">
        <f t="shared" ref="C71" si="71">SUM(C65:C70)</f>
        <v>20802383.358516827</v>
      </c>
      <c r="D71" s="412">
        <f t="shared" ref="D71" si="72">SUM(D65:D70)</f>
        <v>19805745.118572652</v>
      </c>
      <c r="E71" s="412">
        <f t="shared" ref="E71" si="73">SUM(E65:E70)</f>
        <v>18795392.358731829</v>
      </c>
      <c r="F71" s="412">
        <f t="shared" ref="F71" si="74">SUM(F65:F70)</f>
        <v>19075622.962363061</v>
      </c>
      <c r="G71" s="412">
        <f t="shared" ref="G71" si="75">SUM(G65:G70)</f>
        <v>21560113.011722207</v>
      </c>
      <c r="H71" s="412">
        <f t="shared" ref="H71" si="76">SUM(H65:H70)</f>
        <v>25345186.875966933</v>
      </c>
      <c r="I71" s="412">
        <f t="shared" ref="I71" si="77">SUM(I65:I70)</f>
        <v>25174810.911560584</v>
      </c>
      <c r="J71" s="412">
        <f t="shared" ref="J71" si="78">SUM(J65:J70)</f>
        <v>20051531.992756322</v>
      </c>
      <c r="K71" s="412">
        <f t="shared" ref="K71" si="79">SUM(K65:K70)</f>
        <v>18982226.995440483</v>
      </c>
      <c r="L71" s="412">
        <f t="shared" ref="L71" si="80">SUM(L65:L70)</f>
        <v>18942016.399785079</v>
      </c>
      <c r="M71" s="412">
        <f t="shared" ref="M71" si="81">SUM(M65:M70)</f>
        <v>21648668.849359438</v>
      </c>
      <c r="N71" s="412">
        <f t="shared" ref="N71" si="82">SUM(N65:N70)</f>
        <v>252076717.34379908</v>
      </c>
      <c r="P71" s="140">
        <f>SUM(P65:P70)</f>
        <v>252076717.34379908</v>
      </c>
    </row>
    <row r="72" spans="1:17" x14ac:dyDescent="0.2">
      <c r="A72" s="159"/>
      <c r="B72" s="60"/>
      <c r="C72" s="60"/>
      <c r="D72" s="60"/>
      <c r="E72" s="60"/>
      <c r="F72" s="60"/>
      <c r="G72" s="60"/>
      <c r="H72" s="60"/>
      <c r="I72" s="60"/>
      <c r="J72" s="60"/>
      <c r="K72" s="60"/>
      <c r="L72" s="60"/>
      <c r="M72" s="60"/>
      <c r="N72" s="60"/>
      <c r="P72" s="140"/>
    </row>
    <row r="73" spans="1:17" outlineLevel="1" x14ac:dyDescent="0.2">
      <c r="B73" s="595" t="s">
        <v>353</v>
      </c>
      <c r="C73" s="595"/>
      <c r="D73" s="595"/>
      <c r="E73" s="595"/>
      <c r="F73" s="595"/>
      <c r="G73" s="595"/>
      <c r="H73" s="595"/>
      <c r="I73" s="595"/>
      <c r="J73" s="595"/>
      <c r="K73" s="595"/>
      <c r="L73" s="595"/>
      <c r="M73" s="595"/>
    </row>
    <row r="74" spans="1:17" outlineLevel="1" x14ac:dyDescent="0.2">
      <c r="A74" s="1" t="s">
        <v>221</v>
      </c>
      <c r="B74" s="410">
        <f>+B64</f>
        <v>45322</v>
      </c>
      <c r="C74" s="410">
        <f t="shared" ref="C74:M74" si="83">+C64</f>
        <v>45351</v>
      </c>
      <c r="D74" s="410">
        <f t="shared" si="83"/>
        <v>45382</v>
      </c>
      <c r="E74" s="410">
        <f t="shared" si="83"/>
        <v>45412</v>
      </c>
      <c r="F74" s="410">
        <f t="shared" si="83"/>
        <v>45443</v>
      </c>
      <c r="G74" s="410">
        <f t="shared" si="83"/>
        <v>45473</v>
      </c>
      <c r="H74" s="410">
        <f t="shared" si="83"/>
        <v>45504</v>
      </c>
      <c r="I74" s="410">
        <f t="shared" si="83"/>
        <v>45535</v>
      </c>
      <c r="J74" s="410">
        <f t="shared" si="83"/>
        <v>45565</v>
      </c>
      <c r="K74" s="410">
        <f t="shared" si="83"/>
        <v>45596</v>
      </c>
      <c r="L74" s="410">
        <f t="shared" si="83"/>
        <v>45626</v>
      </c>
      <c r="M74" s="410">
        <f t="shared" si="83"/>
        <v>45657</v>
      </c>
      <c r="N74" s="411" t="s">
        <v>15</v>
      </c>
      <c r="P74" s="411"/>
    </row>
    <row r="75" spans="1:17" outlineLevel="1" x14ac:dyDescent="0.2">
      <c r="A75" s="159" t="str">
        <f>+$A$9</f>
        <v>Residential</v>
      </c>
      <c r="B75" s="585"/>
      <c r="C75" s="585"/>
      <c r="D75" s="585"/>
      <c r="E75" s="585"/>
      <c r="F75" s="585"/>
      <c r="G75" s="585"/>
      <c r="H75" s="585"/>
      <c r="I75" s="585"/>
      <c r="J75" s="585"/>
      <c r="K75" s="585"/>
      <c r="L75" s="585"/>
      <c r="M75" s="585"/>
      <c r="N75" s="37">
        <f>SUM(B75:M75)</f>
        <v>0</v>
      </c>
      <c r="P75" s="584"/>
    </row>
    <row r="76" spans="1:17" outlineLevel="1" x14ac:dyDescent="0.2">
      <c r="A76" s="159" t="str">
        <f>+$A$10</f>
        <v>General Service &lt; 50 kW</v>
      </c>
      <c r="B76" s="585"/>
      <c r="C76" s="585"/>
      <c r="D76" s="585"/>
      <c r="E76" s="585"/>
      <c r="F76" s="585"/>
      <c r="G76" s="585"/>
      <c r="H76" s="585"/>
      <c r="I76" s="585"/>
      <c r="J76" s="585"/>
      <c r="K76" s="585"/>
      <c r="L76" s="585"/>
      <c r="M76" s="585"/>
      <c r="N76" s="37">
        <f>SUM(B76:M76)</f>
        <v>0</v>
      </c>
      <c r="P76" s="584"/>
    </row>
    <row r="77" spans="1:17" outlineLevel="1" x14ac:dyDescent="0.2">
      <c r="A77" s="159" t="str">
        <f>+$A$11</f>
        <v>General Service &gt; 50 kW - 4999 kW</v>
      </c>
      <c r="B77" s="585"/>
      <c r="C77" s="585"/>
      <c r="D77" s="585"/>
      <c r="E77" s="585"/>
      <c r="F77" s="585"/>
      <c r="G77" s="585"/>
      <c r="H77" s="585"/>
      <c r="I77" s="585"/>
      <c r="J77" s="585"/>
      <c r="K77" s="585"/>
      <c r="L77" s="585"/>
      <c r="M77" s="585"/>
      <c r="N77" s="37">
        <f t="shared" ref="N77:N80" si="84">SUM(B77:M77)</f>
        <v>0</v>
      </c>
      <c r="P77" s="584"/>
    </row>
    <row r="78" spans="1:17" outlineLevel="1" x14ac:dyDescent="0.2">
      <c r="A78" s="159" t="str">
        <f>+$A$12</f>
        <v>Unmetered Scattered Load</v>
      </c>
      <c r="B78" s="585"/>
      <c r="C78" s="585"/>
      <c r="D78" s="585"/>
      <c r="E78" s="585"/>
      <c r="F78" s="585"/>
      <c r="G78" s="585"/>
      <c r="H78" s="585"/>
      <c r="I78" s="585"/>
      <c r="J78" s="585"/>
      <c r="K78" s="585"/>
      <c r="L78" s="585"/>
      <c r="M78" s="585"/>
      <c r="N78" s="37">
        <f t="shared" si="84"/>
        <v>0</v>
      </c>
      <c r="P78" s="584"/>
    </row>
    <row r="79" spans="1:17" outlineLevel="1" x14ac:dyDescent="0.2">
      <c r="A79" s="159" t="str">
        <f>+$A$13</f>
        <v>Street Lights</v>
      </c>
      <c r="B79" s="585"/>
      <c r="C79" s="585"/>
      <c r="D79" s="585"/>
      <c r="E79" s="585"/>
      <c r="F79" s="585"/>
      <c r="G79" s="585"/>
      <c r="H79" s="585"/>
      <c r="I79" s="585"/>
      <c r="J79" s="585"/>
      <c r="K79" s="585"/>
      <c r="L79" s="585"/>
      <c r="M79" s="585"/>
      <c r="N79" s="37">
        <f t="shared" si="84"/>
        <v>0</v>
      </c>
      <c r="P79" s="584"/>
    </row>
    <row r="80" spans="1:17" outlineLevel="1" x14ac:dyDescent="0.2">
      <c r="A80" s="159" t="str">
        <f>+$A$14</f>
        <v>Large User</v>
      </c>
      <c r="B80" s="585"/>
      <c r="C80" s="585"/>
      <c r="D80" s="585"/>
      <c r="E80" s="585"/>
      <c r="F80" s="585"/>
      <c r="G80" s="585"/>
      <c r="H80" s="585"/>
      <c r="I80" s="585"/>
      <c r="J80" s="585"/>
      <c r="K80" s="585"/>
      <c r="L80" s="585"/>
      <c r="M80" s="585"/>
      <c r="N80" s="37">
        <f t="shared" si="84"/>
        <v>0</v>
      </c>
      <c r="P80" s="584"/>
    </row>
    <row r="81" spans="1:17" outlineLevel="1" x14ac:dyDescent="0.2">
      <c r="A81" s="159" t="str">
        <f>+$A$15</f>
        <v>Total</v>
      </c>
      <c r="B81" s="412">
        <f>SUM(B75:B80)</f>
        <v>0</v>
      </c>
      <c r="C81" s="412">
        <f t="shared" ref="C81:N81" si="85">SUM(C75:C80)</f>
        <v>0</v>
      </c>
      <c r="D81" s="412">
        <f t="shared" si="85"/>
        <v>0</v>
      </c>
      <c r="E81" s="412">
        <f t="shared" si="85"/>
        <v>0</v>
      </c>
      <c r="F81" s="412">
        <f t="shared" si="85"/>
        <v>0</v>
      </c>
      <c r="G81" s="412">
        <f t="shared" si="85"/>
        <v>0</v>
      </c>
      <c r="H81" s="412">
        <f t="shared" si="85"/>
        <v>0</v>
      </c>
      <c r="I81" s="412">
        <f t="shared" si="85"/>
        <v>0</v>
      </c>
      <c r="J81" s="412">
        <f t="shared" si="85"/>
        <v>0</v>
      </c>
      <c r="K81" s="412">
        <f t="shared" si="85"/>
        <v>0</v>
      </c>
      <c r="L81" s="412">
        <f t="shared" si="85"/>
        <v>0</v>
      </c>
      <c r="M81" s="412">
        <f t="shared" si="85"/>
        <v>0</v>
      </c>
      <c r="N81" s="412">
        <f t="shared" si="85"/>
        <v>0</v>
      </c>
      <c r="P81" s="438">
        <f>SUM(P75:P80)</f>
        <v>0</v>
      </c>
    </row>
    <row r="82" spans="1:17" outlineLevel="1" x14ac:dyDescent="0.2">
      <c r="B82" s="595" t="s">
        <v>229</v>
      </c>
      <c r="C82" s="595"/>
      <c r="D82" s="595"/>
      <c r="E82" s="595"/>
      <c r="F82" s="595"/>
      <c r="G82" s="595"/>
      <c r="H82" s="595"/>
      <c r="I82" s="595"/>
      <c r="J82" s="595"/>
      <c r="K82" s="595"/>
      <c r="L82" s="595"/>
      <c r="M82" s="595"/>
    </row>
    <row r="83" spans="1:17" outlineLevel="1" x14ac:dyDescent="0.2">
      <c r="A83" s="1" t="s">
        <v>221</v>
      </c>
      <c r="B83" s="410">
        <f>+B64</f>
        <v>45322</v>
      </c>
      <c r="C83" s="410">
        <f t="shared" ref="C83:M83" si="86">+C64</f>
        <v>45351</v>
      </c>
      <c r="D83" s="410">
        <f t="shared" si="86"/>
        <v>45382</v>
      </c>
      <c r="E83" s="410">
        <f t="shared" si="86"/>
        <v>45412</v>
      </c>
      <c r="F83" s="410">
        <f t="shared" si="86"/>
        <v>45443</v>
      </c>
      <c r="G83" s="410">
        <f t="shared" si="86"/>
        <v>45473</v>
      </c>
      <c r="H83" s="410">
        <f t="shared" si="86"/>
        <v>45504</v>
      </c>
      <c r="I83" s="410">
        <f t="shared" si="86"/>
        <v>45535</v>
      </c>
      <c r="J83" s="410">
        <f t="shared" si="86"/>
        <v>45565</v>
      </c>
      <c r="K83" s="410">
        <f t="shared" si="86"/>
        <v>45596</v>
      </c>
      <c r="L83" s="410">
        <f t="shared" si="86"/>
        <v>45626</v>
      </c>
      <c r="M83" s="410">
        <f t="shared" si="86"/>
        <v>45657</v>
      </c>
      <c r="N83" s="411" t="s">
        <v>15</v>
      </c>
      <c r="P83" s="411" t="s">
        <v>229</v>
      </c>
    </row>
    <row r="84" spans="1:17" outlineLevel="1" x14ac:dyDescent="0.2">
      <c r="A84" s="159" t="str">
        <f>+$A$9</f>
        <v>Residential</v>
      </c>
      <c r="B84" s="37">
        <f>+$P84/12</f>
        <v>0</v>
      </c>
      <c r="C84" s="37">
        <f t="shared" ref="C84:M84" si="87">+$P84/12</f>
        <v>0</v>
      </c>
      <c r="D84" s="37">
        <f t="shared" si="87"/>
        <v>0</v>
      </c>
      <c r="E84" s="37">
        <f t="shared" si="87"/>
        <v>0</v>
      </c>
      <c r="F84" s="37">
        <f t="shared" si="87"/>
        <v>0</v>
      </c>
      <c r="G84" s="37">
        <f t="shared" si="87"/>
        <v>0</v>
      </c>
      <c r="H84" s="37">
        <f t="shared" si="87"/>
        <v>0</v>
      </c>
      <c r="I84" s="37">
        <f t="shared" si="87"/>
        <v>0</v>
      </c>
      <c r="J84" s="37">
        <f t="shared" si="87"/>
        <v>0</v>
      </c>
      <c r="K84" s="37">
        <f t="shared" si="87"/>
        <v>0</v>
      </c>
      <c r="L84" s="37">
        <f t="shared" si="87"/>
        <v>0</v>
      </c>
      <c r="M84" s="37">
        <f t="shared" si="87"/>
        <v>0</v>
      </c>
      <c r="N84" s="37">
        <f>SUM(B84:M84)</f>
        <v>0</v>
      </c>
      <c r="P84" s="584"/>
    </row>
    <row r="85" spans="1:17" outlineLevel="1" x14ac:dyDescent="0.2">
      <c r="A85" s="159" t="str">
        <f>+$A$10</f>
        <v>General Service &lt; 50 kW</v>
      </c>
      <c r="B85" s="37">
        <f t="shared" ref="B85:M89" si="88">+$P85/12</f>
        <v>0</v>
      </c>
      <c r="C85" s="37">
        <f t="shared" si="88"/>
        <v>0</v>
      </c>
      <c r="D85" s="37">
        <f t="shared" si="88"/>
        <v>0</v>
      </c>
      <c r="E85" s="37">
        <f t="shared" si="88"/>
        <v>0</v>
      </c>
      <c r="F85" s="37">
        <f t="shared" si="88"/>
        <v>0</v>
      </c>
      <c r="G85" s="37">
        <f t="shared" si="88"/>
        <v>0</v>
      </c>
      <c r="H85" s="37">
        <f t="shared" si="88"/>
        <v>0</v>
      </c>
      <c r="I85" s="37">
        <f t="shared" si="88"/>
        <v>0</v>
      </c>
      <c r="J85" s="37">
        <f t="shared" si="88"/>
        <v>0</v>
      </c>
      <c r="K85" s="37">
        <f t="shared" si="88"/>
        <v>0</v>
      </c>
      <c r="L85" s="37">
        <f t="shared" si="88"/>
        <v>0</v>
      </c>
      <c r="M85" s="37">
        <f t="shared" si="88"/>
        <v>0</v>
      </c>
      <c r="N85" s="37">
        <f>SUM(B85:M85)</f>
        <v>0</v>
      </c>
      <c r="P85" s="584"/>
    </row>
    <row r="86" spans="1:17" outlineLevel="1" x14ac:dyDescent="0.2">
      <c r="A86" s="159" t="str">
        <f>+$A$11</f>
        <v>General Service &gt; 50 kW - 4999 kW</v>
      </c>
      <c r="B86" s="37">
        <f t="shared" si="88"/>
        <v>0</v>
      </c>
      <c r="C86" s="37">
        <f t="shared" si="88"/>
        <v>0</v>
      </c>
      <c r="D86" s="37">
        <f t="shared" si="88"/>
        <v>0</v>
      </c>
      <c r="E86" s="37">
        <f t="shared" si="88"/>
        <v>0</v>
      </c>
      <c r="F86" s="37">
        <f t="shared" si="88"/>
        <v>0</v>
      </c>
      <c r="G86" s="37">
        <f t="shared" si="88"/>
        <v>0</v>
      </c>
      <c r="H86" s="37">
        <f t="shared" si="88"/>
        <v>0</v>
      </c>
      <c r="I86" s="37">
        <f t="shared" si="88"/>
        <v>0</v>
      </c>
      <c r="J86" s="37">
        <f t="shared" si="88"/>
        <v>0</v>
      </c>
      <c r="K86" s="37">
        <f t="shared" si="88"/>
        <v>0</v>
      </c>
      <c r="L86" s="37">
        <f t="shared" si="88"/>
        <v>0</v>
      </c>
      <c r="M86" s="37">
        <f t="shared" si="88"/>
        <v>0</v>
      </c>
      <c r="N86" s="37">
        <f t="shared" ref="N86:N89" si="89">SUM(B86:M86)</f>
        <v>0</v>
      </c>
      <c r="P86" s="584"/>
    </row>
    <row r="87" spans="1:17" outlineLevel="1" x14ac:dyDescent="0.2">
      <c r="A87" s="159" t="str">
        <f>+$A$12</f>
        <v>Unmetered Scattered Load</v>
      </c>
      <c r="B87" s="37">
        <f t="shared" si="88"/>
        <v>0</v>
      </c>
      <c r="C87" s="37">
        <f t="shared" si="88"/>
        <v>0</v>
      </c>
      <c r="D87" s="37">
        <f t="shared" si="88"/>
        <v>0</v>
      </c>
      <c r="E87" s="37">
        <f t="shared" si="88"/>
        <v>0</v>
      </c>
      <c r="F87" s="37">
        <f t="shared" si="88"/>
        <v>0</v>
      </c>
      <c r="G87" s="37">
        <f t="shared" si="88"/>
        <v>0</v>
      </c>
      <c r="H87" s="37">
        <f t="shared" si="88"/>
        <v>0</v>
      </c>
      <c r="I87" s="37">
        <f t="shared" si="88"/>
        <v>0</v>
      </c>
      <c r="J87" s="37">
        <f t="shared" si="88"/>
        <v>0</v>
      </c>
      <c r="K87" s="37">
        <f t="shared" si="88"/>
        <v>0</v>
      </c>
      <c r="L87" s="37">
        <f t="shared" si="88"/>
        <v>0</v>
      </c>
      <c r="M87" s="37">
        <f t="shared" si="88"/>
        <v>0</v>
      </c>
      <c r="N87" s="37">
        <f t="shared" si="89"/>
        <v>0</v>
      </c>
      <c r="P87" s="584"/>
    </row>
    <row r="88" spans="1:17" outlineLevel="1" x14ac:dyDescent="0.2">
      <c r="A88" s="159" t="str">
        <f>+$A$13</f>
        <v>Street Lights</v>
      </c>
      <c r="B88" s="37">
        <f t="shared" si="88"/>
        <v>0</v>
      </c>
      <c r="C88" s="37">
        <f t="shared" si="88"/>
        <v>0</v>
      </c>
      <c r="D88" s="37">
        <f t="shared" si="88"/>
        <v>0</v>
      </c>
      <c r="E88" s="37">
        <f t="shared" si="88"/>
        <v>0</v>
      </c>
      <c r="F88" s="37">
        <f t="shared" si="88"/>
        <v>0</v>
      </c>
      <c r="G88" s="37">
        <f t="shared" si="88"/>
        <v>0</v>
      </c>
      <c r="H88" s="37">
        <f t="shared" si="88"/>
        <v>0</v>
      </c>
      <c r="I88" s="37">
        <f t="shared" si="88"/>
        <v>0</v>
      </c>
      <c r="J88" s="37">
        <f t="shared" si="88"/>
        <v>0</v>
      </c>
      <c r="K88" s="37">
        <f t="shared" si="88"/>
        <v>0</v>
      </c>
      <c r="L88" s="37">
        <f t="shared" si="88"/>
        <v>0</v>
      </c>
      <c r="M88" s="37">
        <f t="shared" si="88"/>
        <v>0</v>
      </c>
      <c r="N88" s="37">
        <f t="shared" si="89"/>
        <v>0</v>
      </c>
      <c r="P88" s="584"/>
    </row>
    <row r="89" spans="1:17" outlineLevel="1" x14ac:dyDescent="0.2">
      <c r="A89" s="159" t="str">
        <f>+$A$14</f>
        <v>Large User</v>
      </c>
      <c r="B89" s="37">
        <f t="shared" si="88"/>
        <v>0</v>
      </c>
      <c r="C89" s="37">
        <f t="shared" si="88"/>
        <v>0</v>
      </c>
      <c r="D89" s="37">
        <f t="shared" si="88"/>
        <v>0</v>
      </c>
      <c r="E89" s="37">
        <f t="shared" si="88"/>
        <v>0</v>
      </c>
      <c r="F89" s="37">
        <f t="shared" si="88"/>
        <v>0</v>
      </c>
      <c r="G89" s="37">
        <f t="shared" si="88"/>
        <v>0</v>
      </c>
      <c r="H89" s="37">
        <f t="shared" si="88"/>
        <v>0</v>
      </c>
      <c r="I89" s="37">
        <f t="shared" si="88"/>
        <v>0</v>
      </c>
      <c r="J89" s="37">
        <f t="shared" si="88"/>
        <v>0</v>
      </c>
      <c r="K89" s="37">
        <f t="shared" si="88"/>
        <v>0</v>
      </c>
      <c r="L89" s="37">
        <f t="shared" si="88"/>
        <v>0</v>
      </c>
      <c r="M89" s="37">
        <f t="shared" si="88"/>
        <v>0</v>
      </c>
      <c r="N89" s="37">
        <f t="shared" si="89"/>
        <v>0</v>
      </c>
      <c r="P89" s="584"/>
    </row>
    <row r="90" spans="1:17" outlineLevel="1" x14ac:dyDescent="0.2">
      <c r="A90" s="159" t="str">
        <f>+$A$15</f>
        <v>Total</v>
      </c>
      <c r="B90" s="412">
        <f>SUM(B84:B89)</f>
        <v>0</v>
      </c>
      <c r="C90" s="412">
        <f t="shared" ref="C90" si="90">SUM(C84:C89)</f>
        <v>0</v>
      </c>
      <c r="D90" s="412">
        <f t="shared" ref="D90" si="91">SUM(D84:D89)</f>
        <v>0</v>
      </c>
      <c r="E90" s="412">
        <f t="shared" ref="E90" si="92">SUM(E84:E89)</f>
        <v>0</v>
      </c>
      <c r="F90" s="412">
        <f t="shared" ref="F90" si="93">SUM(F84:F89)</f>
        <v>0</v>
      </c>
      <c r="G90" s="412">
        <f t="shared" ref="G90" si="94">SUM(G84:G89)</f>
        <v>0</v>
      </c>
      <c r="H90" s="412">
        <f t="shared" ref="H90" si="95">SUM(H84:H89)</f>
        <v>0</v>
      </c>
      <c r="I90" s="412">
        <f t="shared" ref="I90" si="96">SUM(I84:I89)</f>
        <v>0</v>
      </c>
      <c r="J90" s="412">
        <f t="shared" ref="J90" si="97">SUM(J84:J89)</f>
        <v>0</v>
      </c>
      <c r="K90" s="412">
        <f t="shared" ref="K90" si="98">SUM(K84:K89)</f>
        <v>0</v>
      </c>
      <c r="L90" s="412">
        <f t="shared" ref="L90" si="99">SUM(L84:L89)</f>
        <v>0</v>
      </c>
      <c r="M90" s="412">
        <f t="shared" ref="M90" si="100">SUM(M84:M89)</f>
        <v>0</v>
      </c>
      <c r="N90" s="412">
        <f t="shared" ref="N90" si="101">SUM(N84:N89)</f>
        <v>0</v>
      </c>
      <c r="P90" s="438">
        <f>SUM(P84:P89)</f>
        <v>0</v>
      </c>
    </row>
    <row r="92" spans="1:17" x14ac:dyDescent="0.2">
      <c r="B92" s="595" t="s">
        <v>228</v>
      </c>
      <c r="C92" s="595"/>
      <c r="D92" s="595"/>
      <c r="E92" s="595"/>
      <c r="F92" s="595"/>
      <c r="G92" s="595"/>
      <c r="H92" s="595"/>
      <c r="I92" s="595"/>
      <c r="J92" s="595"/>
      <c r="K92" s="595"/>
      <c r="L92" s="595"/>
      <c r="M92" s="595"/>
    </row>
    <row r="93" spans="1:17" x14ac:dyDescent="0.2">
      <c r="A93" s="1" t="s">
        <v>221</v>
      </c>
      <c r="B93" s="410">
        <f>+B64</f>
        <v>45322</v>
      </c>
      <c r="C93" s="410">
        <f t="shared" ref="C93:M93" si="102">+C64</f>
        <v>45351</v>
      </c>
      <c r="D93" s="410">
        <f t="shared" si="102"/>
        <v>45382</v>
      </c>
      <c r="E93" s="410">
        <f t="shared" si="102"/>
        <v>45412</v>
      </c>
      <c r="F93" s="410">
        <f t="shared" si="102"/>
        <v>45443</v>
      </c>
      <c r="G93" s="410">
        <f t="shared" si="102"/>
        <v>45473</v>
      </c>
      <c r="H93" s="410">
        <f t="shared" si="102"/>
        <v>45504</v>
      </c>
      <c r="I93" s="410">
        <f t="shared" si="102"/>
        <v>45535</v>
      </c>
      <c r="J93" s="410">
        <f t="shared" si="102"/>
        <v>45565</v>
      </c>
      <c r="K93" s="410">
        <f t="shared" si="102"/>
        <v>45596</v>
      </c>
      <c r="L93" s="410">
        <f t="shared" si="102"/>
        <v>45626</v>
      </c>
      <c r="M93" s="410">
        <f t="shared" si="102"/>
        <v>45657</v>
      </c>
      <c r="N93" s="411" t="s">
        <v>15</v>
      </c>
      <c r="P93" s="411" t="s">
        <v>232</v>
      </c>
      <c r="Q93" s="411" t="s">
        <v>371</v>
      </c>
    </row>
    <row r="94" spans="1:17" x14ac:dyDescent="0.2">
      <c r="A94" s="1" t="s">
        <v>226</v>
      </c>
      <c r="B94" s="414">
        <f>+'6. WS Regression Analysis'!$S$6</f>
        <v>19330955.945356783</v>
      </c>
      <c r="C94" s="414">
        <f>+'6. WS Regression Analysis'!$S$7</f>
        <v>18197876.630132355</v>
      </c>
      <c r="D94" s="414">
        <f>+'6. WS Regression Analysis'!$S$8</f>
        <v>17162452.296048105</v>
      </c>
      <c r="E94" s="414">
        <f>+'6. WS Regression Analysis'!$S$9</f>
        <v>16112779.715145564</v>
      </c>
      <c r="F94" s="414">
        <f>+'6. WS Regression Analysis'!$S$10</f>
        <v>16403916.03174039</v>
      </c>
      <c r="G94" s="414">
        <f>+'6. WS Regression Analysis'!$S$11</f>
        <v>18985094.790284436</v>
      </c>
      <c r="H94" s="414">
        <f>+'6. WS Regression Analysis'!$S$12</f>
        <v>22917472.084541991</v>
      </c>
      <c r="I94" s="414">
        <f>+'6. WS Regression Analysis'!$S$13</f>
        <v>22740465.611762777</v>
      </c>
      <c r="J94" s="414">
        <f>+'6. WS Regression Analysis'!$S$14</f>
        <v>17417804.439211436</v>
      </c>
      <c r="K94" s="414">
        <f>+'6. WS Regression Analysis'!$S$15</f>
        <v>16306885.38111797</v>
      </c>
      <c r="L94" s="414">
        <f>+'6. WS Regression Analysis'!$S$16</f>
        <v>16265109.912787596</v>
      </c>
      <c r="M94" s="414">
        <f>+'6. WS Regression Analysis'!$S$17</f>
        <v>19077096.948680386</v>
      </c>
      <c r="N94" s="426">
        <f>SUM(B94:M94)</f>
        <v>220917909.7868098</v>
      </c>
    </row>
    <row r="95" spans="1:17" x14ac:dyDescent="0.2">
      <c r="A95" s="1" t="s">
        <v>324</v>
      </c>
      <c r="B95" s="414">
        <f>+B94-B101</f>
        <v>19299365.666892674</v>
      </c>
      <c r="C95" s="414">
        <f t="shared" ref="C95:M95" si="103">+C94-C101</f>
        <v>18166286.351668246</v>
      </c>
      <c r="D95" s="414">
        <f t="shared" si="103"/>
        <v>17130862.017583996</v>
      </c>
      <c r="E95" s="414">
        <f t="shared" si="103"/>
        <v>16081189.436681457</v>
      </c>
      <c r="F95" s="414">
        <f t="shared" si="103"/>
        <v>16372325.753276283</v>
      </c>
      <c r="G95" s="414">
        <f t="shared" si="103"/>
        <v>18953504.511820327</v>
      </c>
      <c r="H95" s="414">
        <f t="shared" si="103"/>
        <v>22885881.806077883</v>
      </c>
      <c r="I95" s="414">
        <f t="shared" si="103"/>
        <v>22708875.333298668</v>
      </c>
      <c r="J95" s="414">
        <f t="shared" si="103"/>
        <v>17386214.160747327</v>
      </c>
      <c r="K95" s="414">
        <f t="shared" si="103"/>
        <v>16275295.102653863</v>
      </c>
      <c r="L95" s="414">
        <f t="shared" si="103"/>
        <v>16233519.634323489</v>
      </c>
      <c r="M95" s="414">
        <f t="shared" si="103"/>
        <v>19045506.670216277</v>
      </c>
      <c r="N95" s="426">
        <f>SUM(B95:M95)</f>
        <v>220538826.4452405</v>
      </c>
    </row>
    <row r="96" spans="1:17" x14ac:dyDescent="0.2">
      <c r="A96" s="33"/>
      <c r="B96" s="414"/>
      <c r="C96" s="414"/>
      <c r="D96" s="414"/>
      <c r="E96" s="414"/>
      <c r="F96" s="414"/>
      <c r="G96" s="414"/>
      <c r="H96" s="414"/>
      <c r="I96" s="414"/>
      <c r="J96" s="414"/>
      <c r="K96" s="414"/>
      <c r="L96" s="414"/>
      <c r="M96" s="414"/>
      <c r="N96" s="426"/>
    </row>
    <row r="97" spans="1:17" x14ac:dyDescent="0.2">
      <c r="B97" s="413"/>
      <c r="C97" s="413"/>
      <c r="D97" s="413"/>
      <c r="E97" s="413"/>
      <c r="F97" s="413"/>
      <c r="G97" s="413"/>
      <c r="H97" s="413"/>
      <c r="I97" s="413"/>
      <c r="J97" s="413"/>
      <c r="K97" s="413"/>
      <c r="L97" s="413"/>
      <c r="M97" s="413"/>
      <c r="N97" s="22"/>
    </row>
    <row r="98" spans="1:17" x14ac:dyDescent="0.2">
      <c r="A98" s="159" t="str">
        <f>+$A$9</f>
        <v>Residential</v>
      </c>
      <c r="B98" s="429">
        <f>+$Q98*B$95</f>
        <v>6970598.366597862</v>
      </c>
      <c r="C98" s="429">
        <f t="shared" ref="C98:M100" si="104">+$Q98*C$95</f>
        <v>6561349.6399685536</v>
      </c>
      <c r="D98" s="429">
        <f t="shared" si="104"/>
        <v>6187372.2100116331</v>
      </c>
      <c r="E98" s="429">
        <f t="shared" si="104"/>
        <v>5808248.5587895839</v>
      </c>
      <c r="F98" s="429">
        <f t="shared" si="104"/>
        <v>5913401.9803030463</v>
      </c>
      <c r="G98" s="429">
        <f t="shared" si="104"/>
        <v>6845679.276290522</v>
      </c>
      <c r="H98" s="429">
        <f t="shared" si="104"/>
        <v>8265986.2033322118</v>
      </c>
      <c r="I98" s="429">
        <f t="shared" si="104"/>
        <v>8202054.5150410961</v>
      </c>
      <c r="J98" s="429">
        <f t="shared" si="104"/>
        <v>6279601.004613677</v>
      </c>
      <c r="K98" s="429">
        <f t="shared" si="104"/>
        <v>5878356.1810569689</v>
      </c>
      <c r="L98" s="429">
        <f t="shared" si="104"/>
        <v>5863267.6016531857</v>
      </c>
      <c r="M98" s="429">
        <f t="shared" si="104"/>
        <v>6878908.8707812065</v>
      </c>
      <c r="N98" s="37">
        <f>SUM(B98:M98)</f>
        <v>79654824.408439562</v>
      </c>
      <c r="P98" s="586">
        <f>+'7. Weather Senstive Class'!H30</f>
        <v>79654824.408439547</v>
      </c>
      <c r="Q98" s="428">
        <f>+P98/$N$95</f>
        <v>0.361182770817989</v>
      </c>
    </row>
    <row r="99" spans="1:17" x14ac:dyDescent="0.2">
      <c r="A99" s="159" t="str">
        <f>+$A$10</f>
        <v>General Service &lt; 50 kW</v>
      </c>
      <c r="B99" s="429">
        <f>+$Q99*B$95</f>
        <v>3965643.7453925805</v>
      </c>
      <c r="C99" s="429">
        <f t="shared" si="104"/>
        <v>3732818.015417336</v>
      </c>
      <c r="D99" s="429">
        <f t="shared" si="104"/>
        <v>3520058.482012962</v>
      </c>
      <c r="E99" s="429">
        <f t="shared" si="104"/>
        <v>3304371.2114045257</v>
      </c>
      <c r="F99" s="429">
        <f t="shared" si="104"/>
        <v>3364194.0539211314</v>
      </c>
      <c r="G99" s="429">
        <f t="shared" si="104"/>
        <v>3894576.0144598605</v>
      </c>
      <c r="H99" s="429">
        <f t="shared" si="104"/>
        <v>4702602.956415154</v>
      </c>
      <c r="I99" s="429">
        <f t="shared" si="104"/>
        <v>4666231.5738637028</v>
      </c>
      <c r="J99" s="429">
        <f t="shared" si="104"/>
        <v>3572528.3738677697</v>
      </c>
      <c r="K99" s="429">
        <f t="shared" si="104"/>
        <v>3344256.1451113997</v>
      </c>
      <c r="L99" s="429">
        <f t="shared" si="104"/>
        <v>3335672.1000420125</v>
      </c>
      <c r="M99" s="429">
        <f t="shared" si="104"/>
        <v>3913480.6660584048</v>
      </c>
      <c r="N99" s="37">
        <f t="shared" ref="N99:N103" si="105">SUM(B99:M99)</f>
        <v>45316433.337966844</v>
      </c>
      <c r="P99" s="586">
        <f>+'7. Weather Senstive Class'!Q30</f>
        <v>45316433.337966844</v>
      </c>
      <c r="Q99" s="428">
        <f t="shared" ref="Q99:Q103" si="106">+P99/$N$95</f>
        <v>0.20548052271974365</v>
      </c>
    </row>
    <row r="100" spans="1:17" x14ac:dyDescent="0.2">
      <c r="A100" s="159" t="str">
        <f>+$A$11</f>
        <v>General Service &gt; 50 kW - 4999 kW</v>
      </c>
      <c r="B100" s="429">
        <f>+$Q100*B$95</f>
        <v>7590887.7531258296</v>
      </c>
      <c r="C100" s="429">
        <f t="shared" si="104"/>
        <v>7145221.4008885566</v>
      </c>
      <c r="D100" s="429">
        <f t="shared" si="104"/>
        <v>6737965.0157540049</v>
      </c>
      <c r="E100" s="429">
        <f t="shared" si="104"/>
        <v>6325104.4649622357</v>
      </c>
      <c r="F100" s="429">
        <f t="shared" si="104"/>
        <v>6439615.1249639252</v>
      </c>
      <c r="G100" s="429">
        <f t="shared" si="104"/>
        <v>7454852.5459778355</v>
      </c>
      <c r="H100" s="429">
        <f t="shared" si="104"/>
        <v>9001547.6632612348</v>
      </c>
      <c r="I100" s="429">
        <f t="shared" si="104"/>
        <v>8931926.9156348649</v>
      </c>
      <c r="J100" s="429">
        <f t="shared" si="104"/>
        <v>6838400.9310959335</v>
      </c>
      <c r="K100" s="429">
        <f t="shared" si="104"/>
        <v>6401450.7215218432</v>
      </c>
      <c r="L100" s="429">
        <f t="shared" si="104"/>
        <v>6385019.4617383089</v>
      </c>
      <c r="M100" s="429">
        <f t="shared" si="104"/>
        <v>7491039.1268988345</v>
      </c>
      <c r="N100" s="37">
        <f t="shared" si="105"/>
        <v>86743031.125823408</v>
      </c>
      <c r="P100" s="435">
        <f>+'8. KW and Non-Weather Sensitive'!H34</f>
        <v>86743031.125823408</v>
      </c>
      <c r="Q100" s="428">
        <f t="shared" si="106"/>
        <v>0.39332317362884667</v>
      </c>
    </row>
    <row r="101" spans="1:17" x14ac:dyDescent="0.2">
      <c r="A101" s="159" t="str">
        <f>+$A$12</f>
        <v>Unmetered Scattered Load</v>
      </c>
      <c r="B101" s="37">
        <f>+$P101/12</f>
        <v>31590.278464106854</v>
      </c>
      <c r="C101" s="37">
        <f t="shared" ref="C101:M101" si="107">+$P101/12</f>
        <v>31590.278464106854</v>
      </c>
      <c r="D101" s="37">
        <f t="shared" si="107"/>
        <v>31590.278464106854</v>
      </c>
      <c r="E101" s="37">
        <f t="shared" si="107"/>
        <v>31590.278464106854</v>
      </c>
      <c r="F101" s="37">
        <f t="shared" si="107"/>
        <v>31590.278464106854</v>
      </c>
      <c r="G101" s="37">
        <f t="shared" si="107"/>
        <v>31590.278464106854</v>
      </c>
      <c r="H101" s="37">
        <f t="shared" si="107"/>
        <v>31590.278464106854</v>
      </c>
      <c r="I101" s="37">
        <f t="shared" si="107"/>
        <v>31590.278464106854</v>
      </c>
      <c r="J101" s="37">
        <f t="shared" si="107"/>
        <v>31590.278464106854</v>
      </c>
      <c r="K101" s="37">
        <f t="shared" si="107"/>
        <v>31590.278464106854</v>
      </c>
      <c r="L101" s="37">
        <f t="shared" si="107"/>
        <v>31590.278464106854</v>
      </c>
      <c r="M101" s="37">
        <f t="shared" si="107"/>
        <v>31590.278464106854</v>
      </c>
      <c r="N101" s="37">
        <f t="shared" si="105"/>
        <v>379083.34156928217</v>
      </c>
      <c r="P101" s="435">
        <f>+'8. KW and Non-Weather Sensitive'!R64</f>
        <v>379083.34156928223</v>
      </c>
      <c r="Q101" s="428">
        <f t="shared" si="106"/>
        <v>1.7188961584658116E-3</v>
      </c>
    </row>
    <row r="102" spans="1:17" x14ac:dyDescent="0.2">
      <c r="A102" s="159" t="str">
        <f>+$A$13</f>
        <v>Street Lights</v>
      </c>
      <c r="B102" s="429">
        <f>+$Q102*B$95</f>
        <v>49298.365443296418</v>
      </c>
      <c r="C102" s="429">
        <f t="shared" ref="C102:M102" si="108">+$Q102*C$95</f>
        <v>46404.023778274866</v>
      </c>
      <c r="D102" s="429">
        <f t="shared" si="108"/>
        <v>43759.13232994439</v>
      </c>
      <c r="E102" s="429">
        <f t="shared" si="108"/>
        <v>41077.845111374729</v>
      </c>
      <c r="F102" s="429">
        <f t="shared" si="108"/>
        <v>41821.524710851321</v>
      </c>
      <c r="G102" s="429">
        <f t="shared" si="108"/>
        <v>48414.896529877857</v>
      </c>
      <c r="H102" s="429">
        <f t="shared" si="108"/>
        <v>58459.774494224075</v>
      </c>
      <c r="I102" s="429">
        <f t="shared" si="108"/>
        <v>58007.628556812881</v>
      </c>
      <c r="J102" s="429">
        <f t="shared" si="108"/>
        <v>44411.404714833698</v>
      </c>
      <c r="K102" s="429">
        <f t="shared" si="108"/>
        <v>41573.669286162898</v>
      </c>
      <c r="L102" s="429">
        <f t="shared" si="108"/>
        <v>41466.957887463999</v>
      </c>
      <c r="M102" s="429">
        <f t="shared" si="108"/>
        <v>48649.907156882873</v>
      </c>
      <c r="N102" s="37">
        <f t="shared" si="105"/>
        <v>563345.13</v>
      </c>
      <c r="P102" s="435">
        <f>+'8. KW and Non-Weather Sensitive'!H64</f>
        <v>563345.13</v>
      </c>
      <c r="Q102" s="428">
        <f t="shared" si="106"/>
        <v>2.5544034085983399E-3</v>
      </c>
    </row>
    <row r="103" spans="1:17" x14ac:dyDescent="0.2">
      <c r="A103" s="159" t="str">
        <f>+$A$14</f>
        <v>Large User</v>
      </c>
      <c r="B103" s="37">
        <f>+$P103/12</f>
        <v>3285000</v>
      </c>
      <c r="C103" s="37">
        <f t="shared" ref="C103:M103" si="109">+$P103/12</f>
        <v>3285000</v>
      </c>
      <c r="D103" s="37">
        <f t="shared" si="109"/>
        <v>3285000</v>
      </c>
      <c r="E103" s="37">
        <f t="shared" si="109"/>
        <v>3285000</v>
      </c>
      <c r="F103" s="37">
        <f t="shared" si="109"/>
        <v>3285000</v>
      </c>
      <c r="G103" s="37">
        <f t="shared" si="109"/>
        <v>3285000</v>
      </c>
      <c r="H103" s="37">
        <f t="shared" si="109"/>
        <v>3285000</v>
      </c>
      <c r="I103" s="37">
        <f t="shared" si="109"/>
        <v>3285000</v>
      </c>
      <c r="J103" s="37">
        <f t="shared" si="109"/>
        <v>3285000</v>
      </c>
      <c r="K103" s="37">
        <f t="shared" si="109"/>
        <v>3285000</v>
      </c>
      <c r="L103" s="37">
        <f t="shared" si="109"/>
        <v>3285000</v>
      </c>
      <c r="M103" s="37">
        <f t="shared" si="109"/>
        <v>3285000</v>
      </c>
      <c r="N103" s="37">
        <f t="shared" si="105"/>
        <v>39420000</v>
      </c>
      <c r="P103" s="435">
        <f>+'9. Weather Adj LF'!O29</f>
        <v>39420000</v>
      </c>
      <c r="Q103" s="428">
        <f t="shared" si="106"/>
        <v>0.17874403630141714</v>
      </c>
    </row>
    <row r="104" spans="1:17" x14ac:dyDescent="0.2">
      <c r="A104" s="159" t="str">
        <f>+$A$15</f>
        <v>Total</v>
      </c>
      <c r="B104" s="412">
        <f>SUM(B98:B103)</f>
        <v>21893018.509023678</v>
      </c>
      <c r="C104" s="412">
        <f t="shared" ref="C104" si="110">SUM(C98:C103)</f>
        <v>20802383.358516827</v>
      </c>
      <c r="D104" s="412">
        <f t="shared" ref="D104" si="111">SUM(D98:D103)</f>
        <v>19805745.118572652</v>
      </c>
      <c r="E104" s="412">
        <f t="shared" ref="E104" si="112">SUM(E98:E103)</f>
        <v>18795392.358731829</v>
      </c>
      <c r="F104" s="412">
        <f t="shared" ref="F104" si="113">SUM(F98:F103)</f>
        <v>19075622.962363061</v>
      </c>
      <c r="G104" s="412">
        <f t="shared" ref="G104" si="114">SUM(G98:G103)</f>
        <v>21560113.011722207</v>
      </c>
      <c r="H104" s="412">
        <f t="shared" ref="H104" si="115">SUM(H98:H103)</f>
        <v>25345186.875966933</v>
      </c>
      <c r="I104" s="412">
        <f t="shared" ref="I104" si="116">SUM(I98:I103)</f>
        <v>25174810.911560584</v>
      </c>
      <c r="J104" s="412">
        <f t="shared" ref="J104" si="117">SUM(J98:J103)</f>
        <v>20051531.992756322</v>
      </c>
      <c r="K104" s="412">
        <f t="shared" ref="K104" si="118">SUM(K98:K103)</f>
        <v>18982226.995440483</v>
      </c>
      <c r="L104" s="412">
        <f t="shared" ref="L104" si="119">SUM(L98:L103)</f>
        <v>18942016.399785079</v>
      </c>
      <c r="M104" s="412">
        <f t="shared" ref="M104" si="120">SUM(M98:M103)</f>
        <v>21648668.849359438</v>
      </c>
      <c r="N104" s="412">
        <f t="shared" ref="N104:P104" si="121">SUM(N98:N103)</f>
        <v>252076717.34379908</v>
      </c>
      <c r="P104" s="412">
        <f t="shared" si="121"/>
        <v>252076717.34379908</v>
      </c>
      <c r="Q104" s="427">
        <f>SUM(Q98:Q103)</f>
        <v>1.1430038030350607</v>
      </c>
    </row>
    <row r="105" spans="1:17" x14ac:dyDescent="0.2">
      <c r="N105" s="430"/>
    </row>
    <row r="106" spans="1:17" outlineLevel="1" x14ac:dyDescent="0.2"/>
    <row r="107" spans="1:17" outlineLevel="1" x14ac:dyDescent="0.2">
      <c r="A107" s="1" t="s">
        <v>352</v>
      </c>
      <c r="B107" s="410">
        <f t="shared" ref="B107:M107" si="122">+B8</f>
        <v>44957</v>
      </c>
      <c r="C107" s="410">
        <f t="shared" si="122"/>
        <v>44985</v>
      </c>
      <c r="D107" s="410">
        <f t="shared" si="122"/>
        <v>45016</v>
      </c>
      <c r="E107" s="410">
        <f t="shared" si="122"/>
        <v>45046</v>
      </c>
      <c r="F107" s="410">
        <f t="shared" si="122"/>
        <v>45077</v>
      </c>
      <c r="G107" s="410">
        <f t="shared" si="122"/>
        <v>45107</v>
      </c>
      <c r="H107" s="410">
        <f t="shared" si="122"/>
        <v>45138</v>
      </c>
      <c r="I107" s="410">
        <f t="shared" si="122"/>
        <v>45169</v>
      </c>
      <c r="J107" s="410">
        <f t="shared" si="122"/>
        <v>45199</v>
      </c>
      <c r="K107" s="410">
        <f t="shared" si="122"/>
        <v>45230</v>
      </c>
      <c r="L107" s="410">
        <f t="shared" si="122"/>
        <v>45260</v>
      </c>
      <c r="M107" s="410">
        <f t="shared" si="122"/>
        <v>45291</v>
      </c>
      <c r="N107" s="411" t="s">
        <v>265</v>
      </c>
    </row>
    <row r="108" spans="1:17" outlineLevel="1" x14ac:dyDescent="0.2">
      <c r="A108" s="159" t="s">
        <v>5</v>
      </c>
      <c r="B108" s="235">
        <f t="shared" ref="B108:H113" si="123">+B19-B29</f>
        <v>-6909419.0659501757</v>
      </c>
      <c r="C108" s="235">
        <f t="shared" si="123"/>
        <v>-6326666.5808542417</v>
      </c>
      <c r="D108" s="235">
        <f t="shared" si="123"/>
        <v>-6126862.8477964522</v>
      </c>
      <c r="E108" s="235">
        <f t="shared" si="123"/>
        <v>-5748074.407121053</v>
      </c>
      <c r="F108" s="235">
        <f t="shared" si="123"/>
        <v>-5853572.3967584008</v>
      </c>
      <c r="G108" s="235">
        <f t="shared" si="123"/>
        <v>-6786210.2431988334</v>
      </c>
      <c r="H108" s="235">
        <f t="shared" si="123"/>
        <v>-8206887.1507805604</v>
      </c>
      <c r="I108" s="235"/>
      <c r="J108" s="235"/>
      <c r="K108" s="235"/>
      <c r="L108" s="235"/>
      <c r="M108" s="235"/>
    </row>
    <row r="109" spans="1:17" outlineLevel="1" x14ac:dyDescent="0.2">
      <c r="A109" s="159" t="s">
        <v>48</v>
      </c>
      <c r="B109" s="235">
        <f t="shared" si="123"/>
        <v>-3930838.2239435813</v>
      </c>
      <c r="C109" s="235">
        <f t="shared" si="123"/>
        <v>-3599304.4550914536</v>
      </c>
      <c r="D109" s="235">
        <f t="shared" si="123"/>
        <v>-3485634.0952980183</v>
      </c>
      <c r="E109" s="235">
        <f t="shared" si="123"/>
        <v>-3270137.5293519082</v>
      </c>
      <c r="F109" s="235">
        <f t="shared" si="123"/>
        <v>-3330156.4001509487</v>
      </c>
      <c r="G109" s="235">
        <f t="shared" si="123"/>
        <v>-3860743.4814803866</v>
      </c>
      <c r="H109" s="235">
        <f t="shared" si="123"/>
        <v>-4668980.9090980804</v>
      </c>
      <c r="I109" s="235"/>
      <c r="J109" s="235"/>
    </row>
    <row r="110" spans="1:17" outlineLevel="1" x14ac:dyDescent="0.2">
      <c r="A110" s="159" t="s">
        <v>132</v>
      </c>
      <c r="B110" s="235">
        <f t="shared" si="123"/>
        <v>-7511200.2426306931</v>
      </c>
      <c r="C110" s="235">
        <f t="shared" si="123"/>
        <v>-6877692.4808831029</v>
      </c>
      <c r="D110" s="235">
        <f t="shared" si="123"/>
        <v>-6660486.6877625203</v>
      </c>
      <c r="E110" s="235">
        <f t="shared" si="123"/>
        <v>-6248707.3760215705</v>
      </c>
      <c r="F110" s="235">
        <f t="shared" si="123"/>
        <v>-6363393.7943437928</v>
      </c>
      <c r="G110" s="235">
        <f t="shared" si="123"/>
        <v>-7377260.4525396926</v>
      </c>
      <c r="H110" s="235">
        <f t="shared" si="123"/>
        <v>-8921672.3099004142</v>
      </c>
      <c r="I110" s="235"/>
      <c r="J110" s="235"/>
    </row>
    <row r="111" spans="1:17" outlineLevel="1" x14ac:dyDescent="0.2">
      <c r="A111" s="159" t="s">
        <v>52</v>
      </c>
      <c r="B111" s="235">
        <f t="shared" si="123"/>
        <v>-31590.278464106854</v>
      </c>
      <c r="C111" s="235">
        <f t="shared" si="123"/>
        <v>-31590.278464106854</v>
      </c>
      <c r="D111" s="235">
        <f t="shared" si="123"/>
        <v>-31590.278464106854</v>
      </c>
      <c r="E111" s="235">
        <f t="shared" si="123"/>
        <v>-31590.278464106854</v>
      </c>
      <c r="F111" s="235">
        <f t="shared" si="123"/>
        <v>-31590.278464106854</v>
      </c>
      <c r="G111" s="235">
        <f t="shared" si="123"/>
        <v>-31590.278464106854</v>
      </c>
      <c r="H111" s="235">
        <f t="shared" si="123"/>
        <v>-31590.278464106854</v>
      </c>
      <c r="I111" s="235"/>
      <c r="J111" s="235"/>
    </row>
    <row r="112" spans="1:17" outlineLevel="1" x14ac:dyDescent="0.2">
      <c r="A112" s="159" t="s">
        <v>163</v>
      </c>
      <c r="B112" s="235">
        <f t="shared" si="123"/>
        <v>-49414.992726344637</v>
      </c>
      <c r="C112" s="235">
        <f t="shared" si="123"/>
        <v>-45247.245838015646</v>
      </c>
      <c r="D112" s="235">
        <f t="shared" si="123"/>
        <v>-43818.283443130225</v>
      </c>
      <c r="E112" s="235">
        <f t="shared" si="123"/>
        <v>-41109.252790605431</v>
      </c>
      <c r="F112" s="235">
        <f t="shared" si="123"/>
        <v>-41863.75651093472</v>
      </c>
      <c r="G112" s="235">
        <f t="shared" si="123"/>
        <v>-48533.824132868715</v>
      </c>
      <c r="H112" s="235">
        <f t="shared" si="123"/>
        <v>-58694.264306572761</v>
      </c>
      <c r="I112" s="235"/>
      <c r="J112" s="235"/>
    </row>
    <row r="113" spans="1:14" outlineLevel="1" x14ac:dyDescent="0.2">
      <c r="A113" s="159" t="s">
        <v>147</v>
      </c>
      <c r="B113" s="235">
        <f t="shared" si="123"/>
        <v>0</v>
      </c>
      <c r="C113" s="235">
        <f t="shared" si="123"/>
        <v>0</v>
      </c>
      <c r="D113" s="235">
        <f t="shared" si="123"/>
        <v>0</v>
      </c>
      <c r="E113" s="235">
        <f t="shared" si="123"/>
        <v>0</v>
      </c>
      <c r="F113" s="235">
        <f t="shared" si="123"/>
        <v>0</v>
      </c>
      <c r="G113" s="235">
        <f t="shared" si="123"/>
        <v>0</v>
      </c>
      <c r="H113" s="235">
        <f t="shared" si="123"/>
        <v>-3285000</v>
      </c>
      <c r="I113" s="235"/>
      <c r="J113" s="235"/>
    </row>
    <row r="114" spans="1:14" outlineLevel="1" x14ac:dyDescent="0.2">
      <c r="A114" s="159" t="s">
        <v>15</v>
      </c>
    </row>
    <row r="115" spans="1:14" outlineLevel="1" x14ac:dyDescent="0.2"/>
    <row r="116" spans="1:14" outlineLevel="1" x14ac:dyDescent="0.2">
      <c r="A116" s="1" t="s">
        <v>352</v>
      </c>
      <c r="B116" s="410">
        <f>+B107</f>
        <v>44957</v>
      </c>
      <c r="C116" s="410">
        <f t="shared" ref="C116:M116" si="124">+C107</f>
        <v>44985</v>
      </c>
      <c r="D116" s="410">
        <f t="shared" si="124"/>
        <v>45016</v>
      </c>
      <c r="E116" s="410">
        <f t="shared" si="124"/>
        <v>45046</v>
      </c>
      <c r="F116" s="410">
        <f t="shared" si="124"/>
        <v>45077</v>
      </c>
      <c r="G116" s="410">
        <f t="shared" si="124"/>
        <v>45107</v>
      </c>
      <c r="H116" s="410">
        <f t="shared" si="124"/>
        <v>45138</v>
      </c>
      <c r="I116" s="410">
        <f t="shared" si="124"/>
        <v>45169</v>
      </c>
      <c r="J116" s="410">
        <f t="shared" si="124"/>
        <v>45199</v>
      </c>
      <c r="K116" s="410">
        <f t="shared" si="124"/>
        <v>45230</v>
      </c>
      <c r="L116" s="410">
        <f t="shared" si="124"/>
        <v>45260</v>
      </c>
      <c r="M116" s="410">
        <f t="shared" si="124"/>
        <v>45291</v>
      </c>
      <c r="N116" s="411" t="s">
        <v>265</v>
      </c>
    </row>
    <row r="117" spans="1:14" outlineLevel="1" x14ac:dyDescent="0.2">
      <c r="A117" s="159" t="s">
        <v>5</v>
      </c>
      <c r="B117" s="511">
        <f t="shared" ref="B117:H122" si="125">+B108/B29</f>
        <v>-1</v>
      </c>
      <c r="C117" s="511">
        <f t="shared" si="125"/>
        <v>-1</v>
      </c>
      <c r="D117" s="511">
        <f t="shared" si="125"/>
        <v>-1</v>
      </c>
      <c r="E117" s="511">
        <f t="shared" si="125"/>
        <v>-1</v>
      </c>
      <c r="F117" s="511">
        <f t="shared" si="125"/>
        <v>-1</v>
      </c>
      <c r="G117" s="511">
        <f t="shared" si="125"/>
        <v>-1</v>
      </c>
      <c r="H117" s="511">
        <f t="shared" si="125"/>
        <v>-1</v>
      </c>
      <c r="I117" s="511"/>
      <c r="J117" s="511"/>
      <c r="K117" s="235"/>
      <c r="L117" s="235"/>
      <c r="M117" s="235"/>
    </row>
    <row r="118" spans="1:14" outlineLevel="1" x14ac:dyDescent="0.2">
      <c r="A118" s="159" t="s">
        <v>48</v>
      </c>
      <c r="B118" s="511">
        <f t="shared" si="125"/>
        <v>-1</v>
      </c>
      <c r="C118" s="511">
        <f t="shared" si="125"/>
        <v>-1</v>
      </c>
      <c r="D118" s="511">
        <f t="shared" si="125"/>
        <v>-1</v>
      </c>
      <c r="E118" s="511">
        <f t="shared" si="125"/>
        <v>-1</v>
      </c>
      <c r="F118" s="511">
        <f t="shared" si="125"/>
        <v>-1</v>
      </c>
      <c r="G118" s="511">
        <f t="shared" si="125"/>
        <v>-1</v>
      </c>
      <c r="H118" s="511">
        <f t="shared" si="125"/>
        <v>-1</v>
      </c>
      <c r="I118" s="511"/>
      <c r="J118" s="511"/>
    </row>
    <row r="119" spans="1:14" outlineLevel="1" x14ac:dyDescent="0.2">
      <c r="A119" s="159" t="s">
        <v>132</v>
      </c>
      <c r="B119" s="511">
        <f t="shared" si="125"/>
        <v>-1</v>
      </c>
      <c r="C119" s="511">
        <f t="shared" si="125"/>
        <v>-1</v>
      </c>
      <c r="D119" s="511">
        <f t="shared" si="125"/>
        <v>-1</v>
      </c>
      <c r="E119" s="511">
        <f t="shared" si="125"/>
        <v>-1</v>
      </c>
      <c r="F119" s="511">
        <f t="shared" si="125"/>
        <v>-1</v>
      </c>
      <c r="G119" s="511">
        <f t="shared" si="125"/>
        <v>-1</v>
      </c>
      <c r="H119" s="511">
        <f t="shared" si="125"/>
        <v>-1</v>
      </c>
      <c r="I119" s="511"/>
      <c r="J119" s="511"/>
    </row>
    <row r="120" spans="1:14" outlineLevel="1" x14ac:dyDescent="0.2">
      <c r="A120" s="159" t="s">
        <v>52</v>
      </c>
      <c r="B120" s="511">
        <f t="shared" si="125"/>
        <v>-1</v>
      </c>
      <c r="C120" s="511">
        <f t="shared" si="125"/>
        <v>-1</v>
      </c>
      <c r="D120" s="511">
        <f t="shared" si="125"/>
        <v>-1</v>
      </c>
      <c r="E120" s="511">
        <f t="shared" si="125"/>
        <v>-1</v>
      </c>
      <c r="F120" s="511">
        <f t="shared" si="125"/>
        <v>-1</v>
      </c>
      <c r="G120" s="511">
        <f t="shared" si="125"/>
        <v>-1</v>
      </c>
      <c r="H120" s="511">
        <f t="shared" si="125"/>
        <v>-1</v>
      </c>
      <c r="I120" s="511"/>
      <c r="J120" s="511"/>
    </row>
    <row r="121" spans="1:14" outlineLevel="1" x14ac:dyDescent="0.2">
      <c r="A121" s="159" t="s">
        <v>163</v>
      </c>
      <c r="B121" s="511">
        <f t="shared" si="125"/>
        <v>-1</v>
      </c>
      <c r="C121" s="511">
        <f t="shared" si="125"/>
        <v>-1</v>
      </c>
      <c r="D121" s="511">
        <f t="shared" si="125"/>
        <v>-1</v>
      </c>
      <c r="E121" s="511">
        <f t="shared" si="125"/>
        <v>-1</v>
      </c>
      <c r="F121" s="511">
        <f t="shared" si="125"/>
        <v>-1</v>
      </c>
      <c r="G121" s="511">
        <f t="shared" si="125"/>
        <v>-1</v>
      </c>
      <c r="H121" s="511">
        <f t="shared" si="125"/>
        <v>-1</v>
      </c>
      <c r="I121" s="511"/>
      <c r="J121" s="511"/>
    </row>
    <row r="122" spans="1:14" outlineLevel="1" x14ac:dyDescent="0.2">
      <c r="A122" s="159" t="s">
        <v>147</v>
      </c>
      <c r="B122" s="511" t="e">
        <f t="shared" si="125"/>
        <v>#DIV/0!</v>
      </c>
      <c r="C122" s="511" t="e">
        <f t="shared" si="125"/>
        <v>#DIV/0!</v>
      </c>
      <c r="D122" s="511" t="e">
        <f t="shared" si="125"/>
        <v>#DIV/0!</v>
      </c>
      <c r="E122" s="511" t="e">
        <f t="shared" si="125"/>
        <v>#DIV/0!</v>
      </c>
      <c r="F122" s="511" t="e">
        <f t="shared" si="125"/>
        <v>#DIV/0!</v>
      </c>
      <c r="G122" s="511" t="e">
        <f t="shared" si="125"/>
        <v>#DIV/0!</v>
      </c>
      <c r="H122" s="511">
        <f t="shared" si="125"/>
        <v>-1</v>
      </c>
      <c r="I122" s="511"/>
      <c r="J122" s="511"/>
    </row>
  </sheetData>
  <mergeCells count="9">
    <mergeCell ref="B82:M82"/>
    <mergeCell ref="B92:M92"/>
    <mergeCell ref="B6:M6"/>
    <mergeCell ref="B17:M17"/>
    <mergeCell ref="B47:M47"/>
    <mergeCell ref="B37:M37"/>
    <mergeCell ref="B27:M27"/>
    <mergeCell ref="B62:M62"/>
    <mergeCell ref="B73:M7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5E55-0CD2-4A8C-A71C-27A5D73D5215}">
  <dimension ref="A1:Q70"/>
  <sheetViews>
    <sheetView workbookViewId="0"/>
  </sheetViews>
  <sheetFormatPr defaultRowHeight="12.75" x14ac:dyDescent="0.2"/>
  <cols>
    <col min="1" max="1" width="37" style="1" bestFit="1" customWidth="1"/>
    <col min="2" max="13" width="15.33203125" style="1" customWidth="1"/>
    <col min="14" max="14" width="18.1640625" style="1" customWidth="1"/>
    <col min="15" max="15" width="1.83203125" style="1" customWidth="1"/>
    <col min="16" max="17" width="19.33203125" style="1" customWidth="1"/>
    <col min="18" max="16384" width="9.33203125" style="1"/>
  </cols>
  <sheetData>
    <row r="1" spans="1:14" x14ac:dyDescent="0.2">
      <c r="A1" s="1" t="str">
        <f>+'1. Assumptions'!A1</f>
        <v>Niagara-on-the-Lake Hydro Inc.</v>
      </c>
    </row>
    <row r="2" spans="1:14" x14ac:dyDescent="0.2">
      <c r="A2" s="33" t="s">
        <v>223</v>
      </c>
    </row>
    <row r="3" spans="1:14" x14ac:dyDescent="0.2">
      <c r="A3" s="1" t="str">
        <f>+'1. Assumptions'!A3</f>
        <v>2024 Test &amp; 2023 Bridge</v>
      </c>
    </row>
    <row r="6" spans="1:14" x14ac:dyDescent="0.2">
      <c r="B6" s="595" t="s">
        <v>235</v>
      </c>
      <c r="C6" s="595"/>
      <c r="D6" s="595"/>
      <c r="E6" s="595"/>
      <c r="F6" s="595"/>
      <c r="G6" s="595"/>
      <c r="H6" s="595"/>
      <c r="I6" s="595"/>
      <c r="J6" s="595"/>
      <c r="K6" s="595"/>
      <c r="L6" s="595"/>
      <c r="M6" s="595"/>
    </row>
    <row r="7" spans="1:14" x14ac:dyDescent="0.2">
      <c r="B7" s="22" t="str">
        <f>+'1. Assumptions'!C8</f>
        <v>Bridge</v>
      </c>
      <c r="C7" s="22" t="str">
        <f>+'1. Assumptions'!D8</f>
        <v>Bridge</v>
      </c>
      <c r="D7" s="22" t="str">
        <f>+'1. Assumptions'!E8</f>
        <v>Bridge</v>
      </c>
      <c r="E7" s="22" t="str">
        <f>+'1. Assumptions'!F8</f>
        <v>Bridge</v>
      </c>
      <c r="F7" s="22" t="str">
        <f>+'1. Assumptions'!G8</f>
        <v>Bridge</v>
      </c>
      <c r="G7" s="22" t="str">
        <f>+'1. Assumptions'!H8</f>
        <v>Bridge</v>
      </c>
      <c r="H7" s="22" t="str">
        <f>+'1. Assumptions'!I8</f>
        <v>Bridge</v>
      </c>
      <c r="I7" s="22" t="str">
        <f>+'1. Assumptions'!J8</f>
        <v>Bridge</v>
      </c>
      <c r="J7" s="22" t="str">
        <f>+'1. Assumptions'!K8</f>
        <v>Bridge</v>
      </c>
      <c r="K7" s="22" t="str">
        <f>+'1. Assumptions'!L8</f>
        <v>Bridge</v>
      </c>
      <c r="L7" s="22" t="str">
        <f>+'1. Assumptions'!M8</f>
        <v>Bridge</v>
      </c>
      <c r="M7" s="22" t="str">
        <f>+'1. Assumptions'!N8</f>
        <v>Bridge</v>
      </c>
    </row>
    <row r="8" spans="1:14" x14ac:dyDescent="0.2">
      <c r="A8" s="1" t="s">
        <v>221</v>
      </c>
      <c r="B8" s="410">
        <f>+'1. Assumptions'!C9</f>
        <v>44957</v>
      </c>
      <c r="C8" s="410">
        <f>+'1. Assumptions'!D9</f>
        <v>44985</v>
      </c>
      <c r="D8" s="410">
        <f>+'1. Assumptions'!E9</f>
        <v>45016</v>
      </c>
      <c r="E8" s="410">
        <f>+'1. Assumptions'!F9</f>
        <v>45046</v>
      </c>
      <c r="F8" s="410">
        <f>+'1. Assumptions'!G9</f>
        <v>45077</v>
      </c>
      <c r="G8" s="410">
        <f>+'1. Assumptions'!H9</f>
        <v>45107</v>
      </c>
      <c r="H8" s="410">
        <f>+'1. Assumptions'!I9</f>
        <v>45138</v>
      </c>
      <c r="I8" s="410">
        <f>+'1. Assumptions'!J9</f>
        <v>45169</v>
      </c>
      <c r="J8" s="410">
        <f>+'1. Assumptions'!K9</f>
        <v>45199</v>
      </c>
      <c r="K8" s="410">
        <f>+'1. Assumptions'!L9</f>
        <v>45230</v>
      </c>
      <c r="L8" s="410">
        <f>+'1. Assumptions'!M9</f>
        <v>45260</v>
      </c>
      <c r="M8" s="410">
        <f>+'1. Assumptions'!N9</f>
        <v>45291</v>
      </c>
      <c r="N8" s="411" t="s">
        <v>15</v>
      </c>
    </row>
    <row r="9" spans="1:14" x14ac:dyDescent="0.2">
      <c r="A9" s="159" t="str">
        <f>+'10. Final Load Forecast'!A14</f>
        <v>General Service &gt; 50 kW - 4999 kW</v>
      </c>
      <c r="B9" s="37">
        <f>IF(B$7="actual",B16,B45)</f>
        <v>19139.77776486758</v>
      </c>
      <c r="C9" s="37">
        <f t="shared" ref="C9:M9" si="0">IF(C$7="actual",C16,C45)</f>
        <v>17525.495442403379</v>
      </c>
      <c r="D9" s="37">
        <f t="shared" si="0"/>
        <v>16972.019236833105</v>
      </c>
      <c r="E9" s="37">
        <f t="shared" si="0"/>
        <v>15922.737596042822</v>
      </c>
      <c r="F9" s="37">
        <f t="shared" si="0"/>
        <v>16214.977516219304</v>
      </c>
      <c r="G9" s="37">
        <f t="shared" si="0"/>
        <v>18798.477076108829</v>
      </c>
      <c r="H9" s="37">
        <f t="shared" si="0"/>
        <v>22733.893357456389</v>
      </c>
      <c r="I9" s="37">
        <f t="shared" si="0"/>
        <v>22557.741662147171</v>
      </c>
      <c r="J9" s="37">
        <f t="shared" si="0"/>
        <v>17233.200261251397</v>
      </c>
      <c r="K9" s="37">
        <f t="shared" si="0"/>
        <v>16122.639589692273</v>
      </c>
      <c r="L9" s="37">
        <f t="shared" si="0"/>
        <v>16081.790776484984</v>
      </c>
      <c r="M9" s="37">
        <f t="shared" si="0"/>
        <v>18896.221292374936</v>
      </c>
      <c r="N9" s="37">
        <f t="shared" ref="N9:N11" si="1">SUM(B9:M9)</f>
        <v>218198.97157188217</v>
      </c>
    </row>
    <row r="10" spans="1:14" x14ac:dyDescent="0.2">
      <c r="A10" s="159" t="str">
        <f>+'10. Final Load Forecast'!A22</f>
        <v>Street Lights</v>
      </c>
      <c r="B10" s="37">
        <f>IF(B$7="actual",B17,B46)</f>
        <v>137.89125782593305</v>
      </c>
      <c r="C10" s="37">
        <f t="shared" ref="C10:M10" si="2">IF(C$7="actual",C17,C46)</f>
        <v>126.2612680389384</v>
      </c>
      <c r="D10" s="37">
        <f t="shared" si="2"/>
        <v>122.27378547250548</v>
      </c>
      <c r="E10" s="37">
        <f t="shared" si="2"/>
        <v>114.71430557468693</v>
      </c>
      <c r="F10" s="37">
        <f t="shared" si="2"/>
        <v>116.81972867181683</v>
      </c>
      <c r="G10" s="37">
        <f t="shared" si="2"/>
        <v>135.43237967969941</v>
      </c>
      <c r="H10" s="37">
        <f t="shared" si="2"/>
        <v>163.78482492594262</v>
      </c>
      <c r="I10" s="37">
        <f t="shared" si="2"/>
        <v>162.51575173539888</v>
      </c>
      <c r="J10" s="37">
        <f t="shared" si="2"/>
        <v>124.15544681778044</v>
      </c>
      <c r="K10" s="37">
        <f t="shared" si="2"/>
        <v>116.15448621235512</v>
      </c>
      <c r="L10" s="37">
        <f t="shared" si="2"/>
        <v>115.86019365039087</v>
      </c>
      <c r="M10" s="37">
        <f t="shared" si="2"/>
        <v>136.13657139455219</v>
      </c>
      <c r="N10" s="37">
        <f t="shared" si="1"/>
        <v>1572</v>
      </c>
    </row>
    <row r="11" spans="1:14" x14ac:dyDescent="0.2">
      <c r="A11" s="159" t="str">
        <f>+'10. Final Load Forecast'!A26</f>
        <v>Large User</v>
      </c>
      <c r="B11" s="37">
        <f>IF(B$7="actual",B18,B47)</f>
        <v>0</v>
      </c>
      <c r="C11" s="37">
        <f t="shared" ref="C11:M11" si="3">IF(C$7="actual",C18,C47)</f>
        <v>0</v>
      </c>
      <c r="D11" s="37">
        <f t="shared" si="3"/>
        <v>0</v>
      </c>
      <c r="E11" s="37">
        <f t="shared" si="3"/>
        <v>0</v>
      </c>
      <c r="F11" s="37">
        <f t="shared" si="3"/>
        <v>0</v>
      </c>
      <c r="G11" s="37">
        <f t="shared" si="3"/>
        <v>0</v>
      </c>
      <c r="H11" s="37">
        <f t="shared" si="3"/>
        <v>5000</v>
      </c>
      <c r="I11" s="37">
        <f t="shared" si="3"/>
        <v>5000</v>
      </c>
      <c r="J11" s="37">
        <f t="shared" si="3"/>
        <v>5000</v>
      </c>
      <c r="K11" s="37">
        <f t="shared" si="3"/>
        <v>5000</v>
      </c>
      <c r="L11" s="37">
        <f t="shared" si="3"/>
        <v>5000</v>
      </c>
      <c r="M11" s="37">
        <f t="shared" si="3"/>
        <v>5000</v>
      </c>
      <c r="N11" s="37">
        <f t="shared" si="1"/>
        <v>30000</v>
      </c>
    </row>
    <row r="12" spans="1:14" x14ac:dyDescent="0.2">
      <c r="A12" s="1" t="str">
        <f>+'10. Final Load Forecast'!A30</f>
        <v>Total</v>
      </c>
      <c r="B12" s="412">
        <f t="shared" ref="B12:N12" si="4">SUM(B9:B11)</f>
        <v>19277.669022693513</v>
      </c>
      <c r="C12" s="412">
        <f t="shared" si="4"/>
        <v>17651.756710442318</v>
      </c>
      <c r="D12" s="412">
        <f t="shared" si="4"/>
        <v>17094.29302230561</v>
      </c>
      <c r="E12" s="412">
        <f t="shared" si="4"/>
        <v>16037.451901617509</v>
      </c>
      <c r="F12" s="412">
        <f t="shared" si="4"/>
        <v>16331.79724489112</v>
      </c>
      <c r="G12" s="412">
        <f t="shared" si="4"/>
        <v>18933.909455788529</v>
      </c>
      <c r="H12" s="412">
        <f t="shared" si="4"/>
        <v>27897.678182382333</v>
      </c>
      <c r="I12" s="412">
        <f t="shared" si="4"/>
        <v>27720.257413882569</v>
      </c>
      <c r="J12" s="412">
        <f t="shared" si="4"/>
        <v>22357.355708069179</v>
      </c>
      <c r="K12" s="412">
        <f t="shared" si="4"/>
        <v>21238.794075904629</v>
      </c>
      <c r="L12" s="412">
        <f t="shared" si="4"/>
        <v>21197.650970135375</v>
      </c>
      <c r="M12" s="412">
        <f t="shared" si="4"/>
        <v>24032.357863769488</v>
      </c>
      <c r="N12" s="412">
        <f t="shared" si="4"/>
        <v>249770.97157188217</v>
      </c>
    </row>
    <row r="14" spans="1:14" x14ac:dyDescent="0.2">
      <c r="B14" s="595" t="s">
        <v>236</v>
      </c>
      <c r="C14" s="595"/>
      <c r="D14" s="595"/>
      <c r="E14" s="595"/>
      <c r="F14" s="595"/>
      <c r="G14" s="595"/>
      <c r="H14" s="595"/>
      <c r="I14" s="595"/>
      <c r="J14" s="595"/>
      <c r="K14" s="595"/>
      <c r="L14" s="595"/>
      <c r="M14" s="595"/>
    </row>
    <row r="15" spans="1:14" x14ac:dyDescent="0.2">
      <c r="A15" s="436" t="s">
        <v>393</v>
      </c>
      <c r="B15" s="410">
        <f t="shared" ref="B15:M15" si="5">+B8</f>
        <v>44957</v>
      </c>
      <c r="C15" s="410">
        <f t="shared" si="5"/>
        <v>44985</v>
      </c>
      <c r="D15" s="410">
        <f t="shared" si="5"/>
        <v>45016</v>
      </c>
      <c r="E15" s="410">
        <f t="shared" si="5"/>
        <v>45046</v>
      </c>
      <c r="F15" s="410">
        <f t="shared" si="5"/>
        <v>45077</v>
      </c>
      <c r="G15" s="410">
        <f t="shared" si="5"/>
        <v>45107</v>
      </c>
      <c r="H15" s="410">
        <f t="shared" si="5"/>
        <v>45138</v>
      </c>
      <c r="I15" s="410">
        <f t="shared" si="5"/>
        <v>45169</v>
      </c>
      <c r="J15" s="410">
        <f t="shared" si="5"/>
        <v>45199</v>
      </c>
      <c r="K15" s="410">
        <f t="shared" si="5"/>
        <v>45230</v>
      </c>
      <c r="L15" s="410">
        <f t="shared" si="5"/>
        <v>45260</v>
      </c>
      <c r="M15" s="410">
        <f t="shared" si="5"/>
        <v>45291</v>
      </c>
      <c r="N15" s="411" t="s">
        <v>15</v>
      </c>
    </row>
    <row r="16" spans="1:14" x14ac:dyDescent="0.2">
      <c r="A16" s="159" t="str">
        <f>+A9</f>
        <v>General Service &gt; 50 kW - 4999 kW</v>
      </c>
      <c r="B16" s="435">
        <f>+'3. Consumption by Rate Class'!$J$142</f>
        <v>0</v>
      </c>
      <c r="C16" s="435">
        <f>+'3. Consumption by Rate Class'!$J$143</f>
        <v>0</v>
      </c>
      <c r="D16" s="435">
        <f>+'3. Consumption by Rate Class'!$J$144</f>
        <v>0</v>
      </c>
      <c r="E16" s="435">
        <f>+'3. Consumption by Rate Class'!$J$145</f>
        <v>0</v>
      </c>
      <c r="F16" s="435">
        <f>+'3. Consumption by Rate Class'!$J$146</f>
        <v>0</v>
      </c>
      <c r="G16" s="435">
        <f>+'3. Consumption by Rate Class'!$J$147</f>
        <v>0</v>
      </c>
      <c r="H16" s="435">
        <f>+'3. Consumption by Rate Class'!$J$148</f>
        <v>0</v>
      </c>
      <c r="I16" s="435">
        <f>+'3. Consumption by Rate Class'!$J$149</f>
        <v>0</v>
      </c>
      <c r="J16" s="435">
        <f>+'3. Consumption by Rate Class'!$J$150</f>
        <v>0</v>
      </c>
      <c r="K16" s="435">
        <f>+'3. Consumption by Rate Class'!$J$151</f>
        <v>0</v>
      </c>
      <c r="L16" s="435">
        <f>+'3. Consumption by Rate Class'!$J$152</f>
        <v>0</v>
      </c>
      <c r="M16" s="435">
        <f>+'3. Consumption by Rate Class'!$J$153</f>
        <v>0</v>
      </c>
      <c r="N16" s="37">
        <f t="shared" ref="N16:N18" si="6">SUM(B16:M16)</f>
        <v>0</v>
      </c>
    </row>
    <row r="17" spans="1:17" x14ac:dyDescent="0.2">
      <c r="A17" s="159" t="str">
        <f>+A10</f>
        <v>Street Lights</v>
      </c>
      <c r="B17" s="435">
        <f>+'3. Consumption by Rate Class'!$P$142</f>
        <v>0</v>
      </c>
      <c r="C17" s="435">
        <f>+'3. Consumption by Rate Class'!$P$143</f>
        <v>0</v>
      </c>
      <c r="D17" s="435">
        <f>+'3. Consumption by Rate Class'!$P$144</f>
        <v>0</v>
      </c>
      <c r="E17" s="435">
        <f>+'3. Consumption by Rate Class'!$P$145</f>
        <v>0</v>
      </c>
      <c r="F17" s="435">
        <f>+'3. Consumption by Rate Class'!$P$146</f>
        <v>0</v>
      </c>
      <c r="G17" s="435">
        <f>+'3. Consumption by Rate Class'!$P$147</f>
        <v>0</v>
      </c>
      <c r="H17" s="435">
        <f>+'3. Consumption by Rate Class'!$P$148</f>
        <v>0</v>
      </c>
      <c r="I17" s="435">
        <f>+'3. Consumption by Rate Class'!$P$149</f>
        <v>0</v>
      </c>
      <c r="J17" s="435">
        <f>+'3. Consumption by Rate Class'!$P$150</f>
        <v>0</v>
      </c>
      <c r="K17" s="435">
        <f>+'3. Consumption by Rate Class'!$P$151</f>
        <v>0</v>
      </c>
      <c r="L17" s="435">
        <f>+'3. Consumption by Rate Class'!$P$152</f>
        <v>0</v>
      </c>
      <c r="M17" s="435">
        <f>+'3. Consumption by Rate Class'!$P$153</f>
        <v>0</v>
      </c>
      <c r="N17" s="37">
        <f t="shared" si="6"/>
        <v>0</v>
      </c>
    </row>
    <row r="18" spans="1:17" x14ac:dyDescent="0.2">
      <c r="A18" s="159" t="str">
        <f>+A11</f>
        <v>Large User</v>
      </c>
      <c r="B18" s="435">
        <f>+'3. Consumption by Rate Class'!$S$142</f>
        <v>0</v>
      </c>
      <c r="C18" s="435">
        <f>+'3. Consumption by Rate Class'!$S$143</f>
        <v>0</v>
      </c>
      <c r="D18" s="435">
        <f>+'3. Consumption by Rate Class'!$S$144</f>
        <v>0</v>
      </c>
      <c r="E18" s="435">
        <f>+'3. Consumption by Rate Class'!$S$145</f>
        <v>0</v>
      </c>
      <c r="F18" s="435">
        <f>+'3. Consumption by Rate Class'!$S$146</f>
        <v>0</v>
      </c>
      <c r="G18" s="435">
        <f>+'3. Consumption by Rate Class'!$S$147</f>
        <v>0</v>
      </c>
      <c r="H18" s="435">
        <f>+'3. Consumption by Rate Class'!$S$148</f>
        <v>0</v>
      </c>
      <c r="I18" s="435">
        <f>+'3. Consumption by Rate Class'!$S$149</f>
        <v>0</v>
      </c>
      <c r="J18" s="435">
        <f>+'3. Consumption by Rate Class'!$S$150</f>
        <v>0</v>
      </c>
      <c r="K18" s="435">
        <f>+'3. Consumption by Rate Class'!$S$151</f>
        <v>0</v>
      </c>
      <c r="L18" s="435">
        <f>+'3. Consumption by Rate Class'!$S$152</f>
        <v>0</v>
      </c>
      <c r="M18" s="435">
        <f>+'3. Consumption by Rate Class'!$S$153</f>
        <v>0</v>
      </c>
      <c r="N18" s="37">
        <f t="shared" si="6"/>
        <v>0</v>
      </c>
    </row>
    <row r="19" spans="1:17" x14ac:dyDescent="0.2">
      <c r="A19" s="159" t="str">
        <f>+A12</f>
        <v>Total</v>
      </c>
      <c r="B19" s="412">
        <f t="shared" ref="B19:N19" si="7">SUM(B16:B18)</f>
        <v>0</v>
      </c>
      <c r="C19" s="412">
        <f t="shared" si="7"/>
        <v>0</v>
      </c>
      <c r="D19" s="412">
        <f t="shared" si="7"/>
        <v>0</v>
      </c>
      <c r="E19" s="412">
        <f t="shared" si="7"/>
        <v>0</v>
      </c>
      <c r="F19" s="412">
        <f t="shared" si="7"/>
        <v>0</v>
      </c>
      <c r="G19" s="412">
        <f t="shared" si="7"/>
        <v>0</v>
      </c>
      <c r="H19" s="412">
        <f t="shared" si="7"/>
        <v>0</v>
      </c>
      <c r="I19" s="412">
        <f t="shared" si="7"/>
        <v>0</v>
      </c>
      <c r="J19" s="412">
        <f t="shared" si="7"/>
        <v>0</v>
      </c>
      <c r="K19" s="412">
        <f t="shared" si="7"/>
        <v>0</v>
      </c>
      <c r="L19" s="412">
        <f t="shared" si="7"/>
        <v>0</v>
      </c>
      <c r="M19" s="412">
        <f t="shared" si="7"/>
        <v>0</v>
      </c>
      <c r="N19" s="412">
        <f t="shared" si="7"/>
        <v>0</v>
      </c>
    </row>
    <row r="21" spans="1:17" x14ac:dyDescent="0.2">
      <c r="B21" s="595" t="s">
        <v>225</v>
      </c>
      <c r="C21" s="595"/>
      <c r="D21" s="595"/>
      <c r="E21" s="595"/>
      <c r="F21" s="595"/>
      <c r="G21" s="595"/>
      <c r="H21" s="595"/>
      <c r="I21" s="595"/>
      <c r="J21" s="595"/>
      <c r="K21" s="595"/>
      <c r="L21" s="595"/>
      <c r="M21" s="595"/>
    </row>
    <row r="22" spans="1:17" x14ac:dyDescent="0.2">
      <c r="A22" s="1" t="s">
        <v>221</v>
      </c>
      <c r="B22" s="410">
        <f t="shared" ref="B22:M22" si="8">+B15</f>
        <v>44957</v>
      </c>
      <c r="C22" s="410">
        <f t="shared" si="8"/>
        <v>44985</v>
      </c>
      <c r="D22" s="410">
        <f t="shared" si="8"/>
        <v>45016</v>
      </c>
      <c r="E22" s="410">
        <f t="shared" si="8"/>
        <v>45046</v>
      </c>
      <c r="F22" s="410">
        <f t="shared" si="8"/>
        <v>45077</v>
      </c>
      <c r="G22" s="410">
        <f t="shared" si="8"/>
        <v>45107</v>
      </c>
      <c r="H22" s="410">
        <f t="shared" si="8"/>
        <v>45138</v>
      </c>
      <c r="I22" s="410">
        <f t="shared" si="8"/>
        <v>45169</v>
      </c>
      <c r="J22" s="410">
        <f t="shared" si="8"/>
        <v>45199</v>
      </c>
      <c r="K22" s="410">
        <f t="shared" si="8"/>
        <v>45230</v>
      </c>
      <c r="L22" s="410">
        <f t="shared" si="8"/>
        <v>45260</v>
      </c>
      <c r="M22" s="410">
        <f t="shared" si="8"/>
        <v>45291</v>
      </c>
      <c r="N22" s="411" t="s">
        <v>15</v>
      </c>
    </row>
    <row r="23" spans="1:17" x14ac:dyDescent="0.2">
      <c r="A23" s="159" t="str">
        <f>+A16</f>
        <v>General Service &gt; 50 kW - 4999 kW</v>
      </c>
      <c r="B23" s="37">
        <f>+'12. Load Forecast by Month'!B21</f>
        <v>0</v>
      </c>
      <c r="C23" s="37">
        <f>+'12. Load Forecast by Month'!C21</f>
        <v>0</v>
      </c>
      <c r="D23" s="37">
        <f>+'12. Load Forecast by Month'!D21</f>
        <v>0</v>
      </c>
      <c r="E23" s="37">
        <f>+'12. Load Forecast by Month'!E21</f>
        <v>0</v>
      </c>
      <c r="F23" s="37">
        <f>+'12. Load Forecast by Month'!F21</f>
        <v>0</v>
      </c>
      <c r="G23" s="37">
        <f>+'12. Load Forecast by Month'!G21</f>
        <v>0</v>
      </c>
      <c r="H23" s="37">
        <f>+'12. Load Forecast by Month'!H21</f>
        <v>0</v>
      </c>
      <c r="I23" s="37">
        <f>+'12. Load Forecast by Month'!I21</f>
        <v>0</v>
      </c>
      <c r="J23" s="37">
        <f>+'12. Load Forecast by Month'!J21</f>
        <v>0</v>
      </c>
      <c r="K23" s="37">
        <f>+'12. Load Forecast by Month'!K21</f>
        <v>0</v>
      </c>
      <c r="L23" s="37">
        <f>+'12. Load Forecast by Month'!L21</f>
        <v>0</v>
      </c>
      <c r="M23" s="37">
        <f>+'12. Load Forecast by Month'!M21</f>
        <v>0</v>
      </c>
      <c r="N23" s="37">
        <f t="shared" ref="N23:N25" si="9">SUM(B23:M23)</f>
        <v>0</v>
      </c>
    </row>
    <row r="24" spans="1:17" x14ac:dyDescent="0.2">
      <c r="A24" s="159" t="str">
        <f>+A17</f>
        <v>Street Lights</v>
      </c>
      <c r="B24" s="37">
        <f>+'12. Load Forecast by Month'!B23</f>
        <v>0</v>
      </c>
      <c r="C24" s="37">
        <f>+'12. Load Forecast by Month'!C23</f>
        <v>0</v>
      </c>
      <c r="D24" s="37">
        <f>+'12. Load Forecast by Month'!D23</f>
        <v>0</v>
      </c>
      <c r="E24" s="37">
        <f>+'12. Load Forecast by Month'!E23</f>
        <v>0</v>
      </c>
      <c r="F24" s="37">
        <f>+'12. Load Forecast by Month'!F23</f>
        <v>0</v>
      </c>
      <c r="G24" s="37">
        <f>+'12. Load Forecast by Month'!G23</f>
        <v>0</v>
      </c>
      <c r="H24" s="37">
        <f>+'12. Load Forecast by Month'!H23</f>
        <v>0</v>
      </c>
      <c r="I24" s="37">
        <f>+'12. Load Forecast by Month'!I22</f>
        <v>0</v>
      </c>
      <c r="J24" s="37">
        <f>+'12. Load Forecast by Month'!J22</f>
        <v>0</v>
      </c>
      <c r="K24" s="37">
        <f>+'12. Load Forecast by Month'!K23</f>
        <v>0</v>
      </c>
      <c r="L24" s="37">
        <f>+'12. Load Forecast by Month'!L23</f>
        <v>0</v>
      </c>
      <c r="M24" s="37">
        <f>+'12. Load Forecast by Month'!M23</f>
        <v>0</v>
      </c>
      <c r="N24" s="37">
        <f t="shared" si="9"/>
        <v>0</v>
      </c>
    </row>
    <row r="25" spans="1:17" x14ac:dyDescent="0.2">
      <c r="A25" s="159" t="str">
        <f>+A18</f>
        <v>Large User</v>
      </c>
      <c r="B25" s="37">
        <f>+'12. Load Forecast by Month'!B24</f>
        <v>0</v>
      </c>
      <c r="C25" s="37">
        <f>+'12. Load Forecast by Month'!C24</f>
        <v>0</v>
      </c>
      <c r="D25" s="37">
        <f>+'12. Load Forecast by Month'!D24</f>
        <v>0</v>
      </c>
      <c r="E25" s="37">
        <f>+'12. Load Forecast by Month'!E24</f>
        <v>0</v>
      </c>
      <c r="F25" s="37">
        <f>+'12. Load Forecast by Month'!F24</f>
        <v>0</v>
      </c>
      <c r="G25" s="37">
        <f>+'12. Load Forecast by Month'!G24</f>
        <v>0</v>
      </c>
      <c r="H25" s="37">
        <f>+'12. Load Forecast by Month'!H24</f>
        <v>0</v>
      </c>
      <c r="I25" s="37">
        <f>+'12. Load Forecast by Month'!I24</f>
        <v>0</v>
      </c>
      <c r="J25" s="37">
        <f>+'12. Load Forecast by Month'!J24</f>
        <v>0</v>
      </c>
      <c r="K25" s="37">
        <f>+'12. Load Forecast by Month'!K24</f>
        <v>0</v>
      </c>
      <c r="L25" s="37">
        <f>+'12. Load Forecast by Month'!L24</f>
        <v>0</v>
      </c>
      <c r="M25" s="37">
        <f>+'12. Load Forecast by Month'!M24</f>
        <v>0</v>
      </c>
      <c r="N25" s="37">
        <f t="shared" si="9"/>
        <v>0</v>
      </c>
    </row>
    <row r="26" spans="1:17" x14ac:dyDescent="0.2">
      <c r="A26" s="159" t="str">
        <f>+A19</f>
        <v>Total</v>
      </c>
      <c r="B26" s="412">
        <f t="shared" ref="B26:N26" si="10">SUM(B23:B25)</f>
        <v>0</v>
      </c>
      <c r="C26" s="412">
        <f t="shared" si="10"/>
        <v>0</v>
      </c>
      <c r="D26" s="412">
        <f t="shared" si="10"/>
        <v>0</v>
      </c>
      <c r="E26" s="412">
        <f t="shared" si="10"/>
        <v>0</v>
      </c>
      <c r="F26" s="412">
        <f t="shared" si="10"/>
        <v>0</v>
      </c>
      <c r="G26" s="412">
        <f t="shared" si="10"/>
        <v>0</v>
      </c>
      <c r="H26" s="412">
        <f t="shared" si="10"/>
        <v>0</v>
      </c>
      <c r="I26" s="412">
        <f t="shared" si="10"/>
        <v>0</v>
      </c>
      <c r="J26" s="412">
        <f t="shared" si="10"/>
        <v>0</v>
      </c>
      <c r="K26" s="412">
        <f t="shared" si="10"/>
        <v>0</v>
      </c>
      <c r="L26" s="412">
        <f t="shared" si="10"/>
        <v>0</v>
      </c>
      <c r="M26" s="412">
        <f t="shared" si="10"/>
        <v>0</v>
      </c>
      <c r="N26" s="412">
        <f t="shared" si="10"/>
        <v>0</v>
      </c>
    </row>
    <row r="28" spans="1:17" x14ac:dyDescent="0.2">
      <c r="B28" s="595" t="s">
        <v>237</v>
      </c>
      <c r="C28" s="595"/>
      <c r="D28" s="595"/>
      <c r="E28" s="595"/>
      <c r="F28" s="595"/>
      <c r="G28" s="595"/>
      <c r="H28" s="595"/>
      <c r="I28" s="595"/>
      <c r="J28" s="595"/>
      <c r="K28" s="595"/>
      <c r="L28" s="595"/>
      <c r="M28" s="595"/>
    </row>
    <row r="29" spans="1:17" x14ac:dyDescent="0.2">
      <c r="A29" s="1" t="s">
        <v>221</v>
      </c>
      <c r="B29" s="410">
        <f t="shared" ref="B29:M29" si="11">+B22</f>
        <v>44957</v>
      </c>
      <c r="C29" s="410">
        <f t="shared" si="11"/>
        <v>44985</v>
      </c>
      <c r="D29" s="410">
        <f t="shared" si="11"/>
        <v>45016</v>
      </c>
      <c r="E29" s="410">
        <f t="shared" si="11"/>
        <v>45046</v>
      </c>
      <c r="F29" s="410">
        <f t="shared" si="11"/>
        <v>45077</v>
      </c>
      <c r="G29" s="410">
        <f t="shared" si="11"/>
        <v>45107</v>
      </c>
      <c r="H29" s="410">
        <f t="shared" si="11"/>
        <v>45138</v>
      </c>
      <c r="I29" s="410">
        <f t="shared" si="11"/>
        <v>45169</v>
      </c>
      <c r="J29" s="410">
        <f t="shared" si="11"/>
        <v>45199</v>
      </c>
      <c r="K29" s="410">
        <f t="shared" si="11"/>
        <v>45230</v>
      </c>
      <c r="L29" s="410">
        <f t="shared" si="11"/>
        <v>45260</v>
      </c>
      <c r="M29" s="410">
        <f t="shared" si="11"/>
        <v>45291</v>
      </c>
      <c r="N29" s="411" t="s">
        <v>15</v>
      </c>
      <c r="P29" s="272" t="s">
        <v>448</v>
      </c>
    </row>
    <row r="30" spans="1:17" x14ac:dyDescent="0.2">
      <c r="A30" s="159" t="str">
        <f>+A23</f>
        <v>General Service &gt; 50 kW - 4999 kW</v>
      </c>
      <c r="B30" s="433">
        <f>IF(B23=0,0,B16/B23)</f>
        <v>0</v>
      </c>
      <c r="C30" s="433">
        <f t="shared" ref="C30:M30" si="12">IF(C23=0,0,C16/C23)</f>
        <v>0</v>
      </c>
      <c r="D30" s="433">
        <f t="shared" si="12"/>
        <v>0</v>
      </c>
      <c r="E30" s="433">
        <f t="shared" si="12"/>
        <v>0</v>
      </c>
      <c r="F30" s="433">
        <f t="shared" si="12"/>
        <v>0</v>
      </c>
      <c r="G30" s="433">
        <f t="shared" si="12"/>
        <v>0</v>
      </c>
      <c r="H30" s="433">
        <f t="shared" si="12"/>
        <v>0</v>
      </c>
      <c r="I30" s="433">
        <f t="shared" si="12"/>
        <v>0</v>
      </c>
      <c r="J30" s="433">
        <f t="shared" si="12"/>
        <v>0</v>
      </c>
      <c r="K30" s="433">
        <f t="shared" si="12"/>
        <v>0</v>
      </c>
      <c r="L30" s="433">
        <f t="shared" si="12"/>
        <v>0</v>
      </c>
      <c r="M30" s="433">
        <f t="shared" si="12"/>
        <v>0</v>
      </c>
      <c r="N30" s="433">
        <f>IF(N23=0,0,N16/N23)</f>
        <v>0</v>
      </c>
      <c r="P30" s="436">
        <f>+'8. KW and Non-Weather Sensitive'!I26+Q30</f>
        <v>2.5481650264411191E-3</v>
      </c>
      <c r="Q30" s="436"/>
    </row>
    <row r="31" spans="1:17" x14ac:dyDescent="0.2">
      <c r="A31" s="159" t="str">
        <f>+A24</f>
        <v>Street Lights</v>
      </c>
      <c r="B31" s="433">
        <f t="shared" ref="B31:M32" si="13">IF(B24=0,0,B17/B24)</f>
        <v>0</v>
      </c>
      <c r="C31" s="433">
        <f t="shared" si="13"/>
        <v>0</v>
      </c>
      <c r="D31" s="433">
        <f t="shared" si="13"/>
        <v>0</v>
      </c>
      <c r="E31" s="433">
        <f t="shared" si="13"/>
        <v>0</v>
      </c>
      <c r="F31" s="433">
        <f t="shared" si="13"/>
        <v>0</v>
      </c>
      <c r="G31" s="433">
        <f t="shared" si="13"/>
        <v>0</v>
      </c>
      <c r="H31" s="433">
        <f t="shared" si="13"/>
        <v>0</v>
      </c>
      <c r="I31" s="433">
        <f t="shared" si="13"/>
        <v>0</v>
      </c>
      <c r="J31" s="433">
        <f t="shared" si="13"/>
        <v>0</v>
      </c>
      <c r="K31" s="433">
        <f t="shared" si="13"/>
        <v>0</v>
      </c>
      <c r="L31" s="433">
        <f t="shared" si="13"/>
        <v>0</v>
      </c>
      <c r="M31" s="433">
        <f t="shared" si="13"/>
        <v>0</v>
      </c>
      <c r="N31" s="433">
        <f t="shared" ref="N31" si="14">IF(N24=0,0,N17/N24)</f>
        <v>0</v>
      </c>
      <c r="P31" s="436">
        <f>+'8. KW and Non-Weather Sensitive'!I56</f>
        <v>2.7904741095392091E-3</v>
      </c>
    </row>
    <row r="32" spans="1:17" x14ac:dyDescent="0.2">
      <c r="A32" s="159" t="str">
        <f>+A25</f>
        <v>Large User</v>
      </c>
      <c r="B32" s="433">
        <f t="shared" si="13"/>
        <v>0</v>
      </c>
      <c r="C32" s="433">
        <f t="shared" si="13"/>
        <v>0</v>
      </c>
      <c r="D32" s="433">
        <f t="shared" si="13"/>
        <v>0</v>
      </c>
      <c r="E32" s="433">
        <f t="shared" si="13"/>
        <v>0</v>
      </c>
      <c r="F32" s="433">
        <f t="shared" si="13"/>
        <v>0</v>
      </c>
      <c r="G32" s="433">
        <f t="shared" si="13"/>
        <v>0</v>
      </c>
      <c r="H32" s="433">
        <f t="shared" si="13"/>
        <v>0</v>
      </c>
      <c r="I32" s="433">
        <f t="shared" si="13"/>
        <v>0</v>
      </c>
      <c r="J32" s="433">
        <f t="shared" si="13"/>
        <v>0</v>
      </c>
      <c r="K32" s="433">
        <f t="shared" si="13"/>
        <v>0</v>
      </c>
      <c r="L32" s="433">
        <f t="shared" si="13"/>
        <v>0</v>
      </c>
      <c r="M32" s="433">
        <f t="shared" si="13"/>
        <v>0</v>
      </c>
      <c r="N32" s="433">
        <f t="shared" ref="N32" si="15">IF(N25=0,0,N18/N25)</f>
        <v>0</v>
      </c>
      <c r="P32" s="436">
        <f>+'8. KW and Non-Weather Sensitive'!S23</f>
        <v>1.5220700152207001E-3</v>
      </c>
    </row>
    <row r="33" spans="1:17" x14ac:dyDescent="0.2">
      <c r="A33" s="159"/>
      <c r="B33" s="434"/>
      <c r="C33" s="434"/>
      <c r="D33" s="434"/>
      <c r="E33" s="434"/>
      <c r="F33" s="434"/>
      <c r="G33" s="434"/>
      <c r="H33" s="434"/>
      <c r="I33" s="434"/>
      <c r="J33" s="434"/>
      <c r="K33" s="434"/>
      <c r="L33" s="434"/>
      <c r="M33" s="434"/>
      <c r="N33" s="434"/>
    </row>
    <row r="36" spans="1:17" x14ac:dyDescent="0.2">
      <c r="B36" s="595" t="s">
        <v>373</v>
      </c>
      <c r="C36" s="595"/>
      <c r="D36" s="595"/>
      <c r="E36" s="595"/>
      <c r="F36" s="595"/>
      <c r="G36" s="595"/>
      <c r="H36" s="595"/>
      <c r="I36" s="595"/>
      <c r="J36" s="595"/>
      <c r="K36" s="595"/>
      <c r="L36" s="595"/>
      <c r="M36" s="595"/>
    </row>
    <row r="37" spans="1:17" x14ac:dyDescent="0.2">
      <c r="A37" s="1" t="s">
        <v>221</v>
      </c>
      <c r="B37" s="410">
        <f>+B8</f>
        <v>44957</v>
      </c>
      <c r="C37" s="410">
        <f t="shared" ref="C37:M37" si="16">+C8</f>
        <v>44985</v>
      </c>
      <c r="D37" s="410">
        <f t="shared" si="16"/>
        <v>45016</v>
      </c>
      <c r="E37" s="410">
        <f t="shared" si="16"/>
        <v>45046</v>
      </c>
      <c r="F37" s="410">
        <f t="shared" si="16"/>
        <v>45077</v>
      </c>
      <c r="G37" s="410">
        <f t="shared" si="16"/>
        <v>45107</v>
      </c>
      <c r="H37" s="410">
        <f t="shared" si="16"/>
        <v>45138</v>
      </c>
      <c r="I37" s="410">
        <f t="shared" si="16"/>
        <v>45169</v>
      </c>
      <c r="J37" s="410">
        <f t="shared" si="16"/>
        <v>45199</v>
      </c>
      <c r="K37" s="410">
        <f t="shared" si="16"/>
        <v>45230</v>
      </c>
      <c r="L37" s="410">
        <f t="shared" si="16"/>
        <v>45260</v>
      </c>
      <c r="M37" s="410">
        <f t="shared" si="16"/>
        <v>45291</v>
      </c>
      <c r="N37" s="411" t="s">
        <v>15</v>
      </c>
      <c r="P37" s="22"/>
      <c r="Q37" s="22"/>
    </row>
    <row r="38" spans="1:17" x14ac:dyDescent="0.2">
      <c r="A38" s="159" t="str">
        <f>+A9</f>
        <v>General Service &gt; 50 kW - 4999 kW</v>
      </c>
      <c r="B38" s="429">
        <f>+'12. Load Forecast by Month'!B31</f>
        <v>7511200.2426306931</v>
      </c>
      <c r="C38" s="429">
        <f>+'12. Load Forecast by Month'!C31</f>
        <v>6877692.4808831029</v>
      </c>
      <c r="D38" s="429">
        <f>+'12. Load Forecast by Month'!D31</f>
        <v>6660486.6877625203</v>
      </c>
      <c r="E38" s="429">
        <f>+'12. Load Forecast by Month'!E31</f>
        <v>6248707.3760215705</v>
      </c>
      <c r="F38" s="429">
        <f>+'12. Load Forecast by Month'!F31</f>
        <v>6363393.7943437928</v>
      </c>
      <c r="G38" s="429">
        <f>+'12. Load Forecast by Month'!G31</f>
        <v>7377260.4525396926</v>
      </c>
      <c r="H38" s="429">
        <f>+'12. Load Forecast by Month'!H31</f>
        <v>8921672.3099004142</v>
      </c>
      <c r="I38" s="429">
        <f>+'12. Load Forecast by Month'!I31</f>
        <v>8852543.4687612522</v>
      </c>
      <c r="J38" s="429">
        <f>+'12. Load Forecast by Month'!J31</f>
        <v>6762984.3759844918</v>
      </c>
      <c r="K38" s="429">
        <f>+'12. Load Forecast by Month'!K31</f>
        <v>6327156.7666909983</v>
      </c>
      <c r="L38" s="429">
        <f>+'12. Load Forecast by Month'!L31</f>
        <v>6311126.0886213211</v>
      </c>
      <c r="M38" s="429">
        <f>+'12. Load Forecast by Month'!M31</f>
        <v>7415619.1205426911</v>
      </c>
      <c r="N38" s="37">
        <f>SUM(B38:M38)</f>
        <v>85629843.164682537</v>
      </c>
      <c r="P38" s="140"/>
      <c r="Q38" s="60"/>
    </row>
    <row r="39" spans="1:17" x14ac:dyDescent="0.2">
      <c r="A39" s="159" t="str">
        <f>+A10</f>
        <v>Street Lights</v>
      </c>
      <c r="B39" s="429">
        <f>+'12. Load Forecast by Month'!B33</f>
        <v>49414.992726344637</v>
      </c>
      <c r="C39" s="429">
        <f>+'12. Load Forecast by Month'!C33</f>
        <v>45247.245838015646</v>
      </c>
      <c r="D39" s="429">
        <f>+'12. Load Forecast by Month'!D33</f>
        <v>43818.283443130225</v>
      </c>
      <c r="E39" s="429">
        <f>+'12. Load Forecast by Month'!E33</f>
        <v>41109.252790605431</v>
      </c>
      <c r="F39" s="429">
        <f>+'12. Load Forecast by Month'!F33</f>
        <v>41863.75651093472</v>
      </c>
      <c r="G39" s="429">
        <f>+'12. Load Forecast by Month'!G33</f>
        <v>48533.824132868715</v>
      </c>
      <c r="H39" s="429">
        <f>+'12. Load Forecast by Month'!H33</f>
        <v>58694.264306572761</v>
      </c>
      <c r="I39" s="429">
        <f>+'12. Load Forecast by Month'!I33</f>
        <v>58239.476646581432</v>
      </c>
      <c r="J39" s="429">
        <f>+'12. Load Forecast by Month'!J33</f>
        <v>44492.599445146698</v>
      </c>
      <c r="K39" s="429">
        <f>+'12. Load Forecast by Month'!K33</f>
        <v>41625.358864747075</v>
      </c>
      <c r="L39" s="429">
        <f>+'12. Load Forecast by Month'!L33</f>
        <v>41519.895581300647</v>
      </c>
      <c r="M39" s="429">
        <f>+'12. Load Forecast by Month'!M33</f>
        <v>48786.179713752092</v>
      </c>
      <c r="N39" s="37">
        <f t="shared" ref="N39:N40" si="17">SUM(B39:M39)</f>
        <v>563345.13</v>
      </c>
      <c r="P39" s="140"/>
      <c r="Q39" s="60"/>
    </row>
    <row r="40" spans="1:17" x14ac:dyDescent="0.2">
      <c r="A40" s="159" t="str">
        <f>+A11</f>
        <v>Large User</v>
      </c>
      <c r="B40" s="429">
        <f>+'12. Load Forecast by Month'!B34</f>
        <v>0</v>
      </c>
      <c r="C40" s="429">
        <f>+'12. Load Forecast by Month'!C34</f>
        <v>0</v>
      </c>
      <c r="D40" s="429">
        <f>+'12. Load Forecast by Month'!D34</f>
        <v>0</v>
      </c>
      <c r="E40" s="429">
        <f>+'12. Load Forecast by Month'!E34</f>
        <v>0</v>
      </c>
      <c r="F40" s="429">
        <f>+'12. Load Forecast by Month'!F34</f>
        <v>0</v>
      </c>
      <c r="G40" s="429">
        <f>+'12. Load Forecast by Month'!G34</f>
        <v>0</v>
      </c>
      <c r="H40" s="429">
        <f>+'12. Load Forecast by Month'!H34</f>
        <v>3285000</v>
      </c>
      <c r="I40" s="429">
        <f>+'12. Load Forecast by Month'!I34</f>
        <v>3285000</v>
      </c>
      <c r="J40" s="429">
        <f>+'12. Load Forecast by Month'!J34</f>
        <v>3285000</v>
      </c>
      <c r="K40" s="429">
        <f>+'12. Load Forecast by Month'!K34</f>
        <v>3285000</v>
      </c>
      <c r="L40" s="429">
        <f>+'12. Load Forecast by Month'!L34</f>
        <v>3285000</v>
      </c>
      <c r="M40" s="429">
        <f>+'12. Load Forecast by Month'!M34</f>
        <v>3285000</v>
      </c>
      <c r="N40" s="37">
        <f t="shared" si="17"/>
        <v>19710000</v>
      </c>
      <c r="P40" s="140"/>
      <c r="Q40" s="60"/>
    </row>
    <row r="41" spans="1:17" x14ac:dyDescent="0.2">
      <c r="A41" s="159" t="str">
        <f>+A12</f>
        <v>Total</v>
      </c>
      <c r="B41" s="412">
        <f t="shared" ref="B41:N41" si="18">SUM(B38:B40)</f>
        <v>7560615.2353570377</v>
      </c>
      <c r="C41" s="412">
        <f t="shared" si="18"/>
        <v>6922939.7267211182</v>
      </c>
      <c r="D41" s="412">
        <f t="shared" si="18"/>
        <v>6704304.9712056508</v>
      </c>
      <c r="E41" s="412">
        <f t="shared" si="18"/>
        <v>6289816.6288121762</v>
      </c>
      <c r="F41" s="412">
        <f t="shared" si="18"/>
        <v>6405257.5508547276</v>
      </c>
      <c r="G41" s="412">
        <f t="shared" si="18"/>
        <v>7425794.2766725617</v>
      </c>
      <c r="H41" s="412">
        <f t="shared" si="18"/>
        <v>12265366.574206987</v>
      </c>
      <c r="I41" s="412">
        <f t="shared" si="18"/>
        <v>12195782.945407834</v>
      </c>
      <c r="J41" s="412">
        <f t="shared" si="18"/>
        <v>10092476.975429639</v>
      </c>
      <c r="K41" s="412">
        <f t="shared" si="18"/>
        <v>9653782.1255557463</v>
      </c>
      <c r="L41" s="412">
        <f t="shared" si="18"/>
        <v>9637645.9842026215</v>
      </c>
      <c r="M41" s="412">
        <f t="shared" si="18"/>
        <v>10749405.300256442</v>
      </c>
      <c r="N41" s="412">
        <f t="shared" si="18"/>
        <v>105903188.29468253</v>
      </c>
      <c r="P41" s="140"/>
    </row>
    <row r="42" spans="1:17" x14ac:dyDescent="0.2">
      <c r="A42" s="159"/>
      <c r="B42" s="60"/>
      <c r="C42" s="60"/>
      <c r="D42" s="60"/>
      <c r="E42" s="60"/>
      <c r="F42" s="60"/>
      <c r="G42" s="60"/>
      <c r="H42" s="60"/>
      <c r="I42" s="60"/>
      <c r="J42" s="60"/>
      <c r="K42" s="60"/>
      <c r="L42" s="60"/>
      <c r="M42" s="60"/>
      <c r="N42" s="60"/>
      <c r="P42" s="140"/>
    </row>
    <row r="43" spans="1:17" x14ac:dyDescent="0.2">
      <c r="B43" s="595" t="s">
        <v>239</v>
      </c>
      <c r="C43" s="595"/>
      <c r="D43" s="595"/>
      <c r="E43" s="595"/>
      <c r="F43" s="595"/>
      <c r="G43" s="595"/>
      <c r="H43" s="595"/>
      <c r="I43" s="595"/>
      <c r="J43" s="595"/>
      <c r="K43" s="595"/>
      <c r="L43" s="595"/>
      <c r="M43" s="595"/>
    </row>
    <row r="44" spans="1:17" x14ac:dyDescent="0.2">
      <c r="A44" s="1" t="s">
        <v>221</v>
      </c>
      <c r="B44" s="410">
        <f t="shared" ref="B44:M44" si="19">+B8</f>
        <v>44957</v>
      </c>
      <c r="C44" s="410">
        <f t="shared" si="19"/>
        <v>44985</v>
      </c>
      <c r="D44" s="410">
        <f t="shared" si="19"/>
        <v>45016</v>
      </c>
      <c r="E44" s="410">
        <f t="shared" si="19"/>
        <v>45046</v>
      </c>
      <c r="F44" s="410">
        <f t="shared" si="19"/>
        <v>45077</v>
      </c>
      <c r="G44" s="410">
        <f t="shared" si="19"/>
        <v>45107</v>
      </c>
      <c r="H44" s="410">
        <f t="shared" si="19"/>
        <v>45138</v>
      </c>
      <c r="I44" s="410">
        <f t="shared" si="19"/>
        <v>45169</v>
      </c>
      <c r="J44" s="410">
        <f t="shared" si="19"/>
        <v>45199</v>
      </c>
      <c r="K44" s="410">
        <f t="shared" si="19"/>
        <v>45230</v>
      </c>
      <c r="L44" s="410">
        <f t="shared" si="19"/>
        <v>45260</v>
      </c>
      <c r="M44" s="410">
        <f t="shared" si="19"/>
        <v>45291</v>
      </c>
      <c r="N44" s="411" t="s">
        <v>15</v>
      </c>
      <c r="P44" s="22"/>
    </row>
    <row r="45" spans="1:17" x14ac:dyDescent="0.2">
      <c r="A45" s="159" t="str">
        <f>+A16</f>
        <v>General Service &gt; 50 kW - 4999 kW</v>
      </c>
      <c r="B45" s="37">
        <f>+B38*$P$30</f>
        <v>19139.77776486758</v>
      </c>
      <c r="C45" s="37">
        <f t="shared" ref="C45:M45" si="20">+C38*$P$30</f>
        <v>17525.495442403379</v>
      </c>
      <c r="D45" s="37">
        <f t="shared" si="20"/>
        <v>16972.019236833105</v>
      </c>
      <c r="E45" s="37">
        <f t="shared" si="20"/>
        <v>15922.737596042822</v>
      </c>
      <c r="F45" s="37">
        <f t="shared" si="20"/>
        <v>16214.977516219304</v>
      </c>
      <c r="G45" s="37">
        <f t="shared" si="20"/>
        <v>18798.477076108829</v>
      </c>
      <c r="H45" s="37">
        <f t="shared" si="20"/>
        <v>22733.893357456389</v>
      </c>
      <c r="I45" s="37">
        <f t="shared" si="20"/>
        <v>22557.741662147171</v>
      </c>
      <c r="J45" s="37">
        <f t="shared" si="20"/>
        <v>17233.200261251397</v>
      </c>
      <c r="K45" s="37">
        <f t="shared" si="20"/>
        <v>16122.639589692273</v>
      </c>
      <c r="L45" s="37">
        <f t="shared" si="20"/>
        <v>16081.790776484984</v>
      </c>
      <c r="M45" s="37">
        <f t="shared" si="20"/>
        <v>18896.221292374936</v>
      </c>
      <c r="N45" s="37">
        <f t="shared" ref="N45:N47" si="21">SUM(B45:M45)</f>
        <v>218198.97157188217</v>
      </c>
      <c r="P45" s="140"/>
    </row>
    <row r="46" spans="1:17" x14ac:dyDescent="0.2">
      <c r="A46" s="159" t="str">
        <f>+A17</f>
        <v>Street Lights</v>
      </c>
      <c r="B46" s="37">
        <f>+B39*$P$31</f>
        <v>137.89125782593305</v>
      </c>
      <c r="C46" s="37">
        <f t="shared" ref="C46:M46" si="22">+C39*$P$31</f>
        <v>126.2612680389384</v>
      </c>
      <c r="D46" s="37">
        <f t="shared" si="22"/>
        <v>122.27378547250548</v>
      </c>
      <c r="E46" s="37">
        <f t="shared" si="22"/>
        <v>114.71430557468693</v>
      </c>
      <c r="F46" s="37">
        <f t="shared" si="22"/>
        <v>116.81972867181683</v>
      </c>
      <c r="G46" s="37">
        <f t="shared" si="22"/>
        <v>135.43237967969941</v>
      </c>
      <c r="H46" s="37">
        <f t="shared" si="22"/>
        <v>163.78482492594262</v>
      </c>
      <c r="I46" s="37">
        <f t="shared" si="22"/>
        <v>162.51575173539888</v>
      </c>
      <c r="J46" s="37">
        <f t="shared" si="22"/>
        <v>124.15544681778044</v>
      </c>
      <c r="K46" s="37">
        <f t="shared" si="22"/>
        <v>116.15448621235512</v>
      </c>
      <c r="L46" s="37">
        <f t="shared" si="22"/>
        <v>115.86019365039087</v>
      </c>
      <c r="M46" s="37">
        <f t="shared" si="22"/>
        <v>136.13657139455219</v>
      </c>
      <c r="N46" s="37">
        <f t="shared" si="21"/>
        <v>1572</v>
      </c>
      <c r="P46" s="140"/>
    </row>
    <row r="47" spans="1:17" x14ac:dyDescent="0.2">
      <c r="A47" s="159" t="str">
        <f>+A18</f>
        <v>Large User</v>
      </c>
      <c r="B47" s="37">
        <f>+B40*$P$32</f>
        <v>0</v>
      </c>
      <c r="C47" s="37">
        <f t="shared" ref="C47:M47" si="23">+C40*$P$32</f>
        <v>0</v>
      </c>
      <c r="D47" s="37">
        <f t="shared" si="23"/>
        <v>0</v>
      </c>
      <c r="E47" s="37">
        <f t="shared" si="23"/>
        <v>0</v>
      </c>
      <c r="F47" s="37">
        <f t="shared" si="23"/>
        <v>0</v>
      </c>
      <c r="G47" s="37">
        <f t="shared" si="23"/>
        <v>0</v>
      </c>
      <c r="H47" s="435">
        <f t="shared" si="23"/>
        <v>5000</v>
      </c>
      <c r="I47" s="435">
        <f t="shared" si="23"/>
        <v>5000</v>
      </c>
      <c r="J47" s="435">
        <f t="shared" si="23"/>
        <v>5000</v>
      </c>
      <c r="K47" s="435">
        <f t="shared" si="23"/>
        <v>5000</v>
      </c>
      <c r="L47" s="435">
        <f t="shared" si="23"/>
        <v>5000</v>
      </c>
      <c r="M47" s="435">
        <f t="shared" si="23"/>
        <v>5000</v>
      </c>
      <c r="N47" s="37">
        <f t="shared" si="21"/>
        <v>30000</v>
      </c>
      <c r="P47" s="140"/>
    </row>
    <row r="48" spans="1:17" x14ac:dyDescent="0.2">
      <c r="A48" s="159" t="str">
        <f>+A19</f>
        <v>Total</v>
      </c>
      <c r="B48" s="412">
        <f t="shared" ref="B48:N48" si="24">SUM(B45:B47)</f>
        <v>19277.669022693513</v>
      </c>
      <c r="C48" s="412">
        <f t="shared" si="24"/>
        <v>17651.756710442318</v>
      </c>
      <c r="D48" s="412">
        <f t="shared" si="24"/>
        <v>17094.29302230561</v>
      </c>
      <c r="E48" s="412">
        <f t="shared" si="24"/>
        <v>16037.451901617509</v>
      </c>
      <c r="F48" s="412">
        <f t="shared" si="24"/>
        <v>16331.79724489112</v>
      </c>
      <c r="G48" s="412">
        <f t="shared" si="24"/>
        <v>18933.909455788529</v>
      </c>
      <c r="H48" s="412">
        <f t="shared" si="24"/>
        <v>27897.678182382333</v>
      </c>
      <c r="I48" s="412">
        <f t="shared" si="24"/>
        <v>27720.257413882569</v>
      </c>
      <c r="J48" s="412">
        <f t="shared" si="24"/>
        <v>22357.355708069179</v>
      </c>
      <c r="K48" s="412">
        <f t="shared" si="24"/>
        <v>21238.794075904629</v>
      </c>
      <c r="L48" s="412">
        <f t="shared" si="24"/>
        <v>21197.650970135375</v>
      </c>
      <c r="M48" s="412">
        <f t="shared" si="24"/>
        <v>24032.357863769488</v>
      </c>
      <c r="N48" s="412">
        <f t="shared" si="24"/>
        <v>249770.97157188217</v>
      </c>
      <c r="P48" s="140"/>
    </row>
    <row r="51" spans="1:17" x14ac:dyDescent="0.2">
      <c r="B51" s="595" t="s">
        <v>238</v>
      </c>
      <c r="C51" s="595"/>
      <c r="D51" s="595"/>
      <c r="E51" s="595"/>
      <c r="F51" s="595"/>
      <c r="G51" s="595"/>
      <c r="H51" s="595"/>
      <c r="I51" s="595"/>
      <c r="J51" s="595"/>
      <c r="K51" s="595"/>
      <c r="L51" s="595"/>
      <c r="M51" s="595"/>
    </row>
    <row r="52" spans="1:17" x14ac:dyDescent="0.2">
      <c r="B52" s="22" t="str">
        <f>+'1. Assumptions'!C11</f>
        <v>Test</v>
      </c>
      <c r="C52" s="22" t="str">
        <f>+'1. Assumptions'!D11</f>
        <v>Test</v>
      </c>
      <c r="D52" s="22" t="str">
        <f>+'1. Assumptions'!E11</f>
        <v>Test</v>
      </c>
      <c r="E52" s="22" t="str">
        <f>+'1. Assumptions'!F11</f>
        <v>Test</v>
      </c>
      <c r="F52" s="22" t="str">
        <f>+'1. Assumptions'!G11</f>
        <v>Test</v>
      </c>
      <c r="G52" s="22" t="str">
        <f>+'1. Assumptions'!H11</f>
        <v>Test</v>
      </c>
      <c r="H52" s="22" t="str">
        <f>+'1. Assumptions'!I11</f>
        <v>Test</v>
      </c>
      <c r="I52" s="22" t="str">
        <f>+'1. Assumptions'!J11</f>
        <v>Test</v>
      </c>
      <c r="J52" s="22" t="str">
        <f>+'1. Assumptions'!K11</f>
        <v>Test</v>
      </c>
      <c r="K52" s="22" t="str">
        <f>+'1. Assumptions'!L11</f>
        <v>Test</v>
      </c>
      <c r="L52" s="22" t="str">
        <f>+'1. Assumptions'!M11</f>
        <v>Test</v>
      </c>
      <c r="M52" s="22" t="str">
        <f>+'1. Assumptions'!N11</f>
        <v>Test</v>
      </c>
    </row>
    <row r="53" spans="1:17" x14ac:dyDescent="0.2">
      <c r="A53" s="1" t="s">
        <v>221</v>
      </c>
      <c r="B53" s="410">
        <f>+'1. Assumptions'!C12</f>
        <v>45322</v>
      </c>
      <c r="C53" s="410">
        <f>+'1. Assumptions'!D12</f>
        <v>45351</v>
      </c>
      <c r="D53" s="410">
        <f>+'1. Assumptions'!E12</f>
        <v>45382</v>
      </c>
      <c r="E53" s="410">
        <f>+'1. Assumptions'!F12</f>
        <v>45412</v>
      </c>
      <c r="F53" s="410">
        <f>+'1. Assumptions'!G12</f>
        <v>45443</v>
      </c>
      <c r="G53" s="410">
        <f>+'1. Assumptions'!H12</f>
        <v>45473</v>
      </c>
      <c r="H53" s="410">
        <f>+'1. Assumptions'!I12</f>
        <v>45504</v>
      </c>
      <c r="I53" s="410">
        <f>+'1. Assumptions'!J12</f>
        <v>45535</v>
      </c>
      <c r="J53" s="410">
        <f>+'1. Assumptions'!K12</f>
        <v>45565</v>
      </c>
      <c r="K53" s="410">
        <f>+'1. Assumptions'!L12</f>
        <v>45596</v>
      </c>
      <c r="L53" s="410">
        <f>+'1. Assumptions'!M12</f>
        <v>45626</v>
      </c>
      <c r="M53" s="410">
        <f>+'1. Assumptions'!N12</f>
        <v>45657</v>
      </c>
      <c r="N53" s="411" t="s">
        <v>15</v>
      </c>
      <c r="P53" s="272" t="s">
        <v>448</v>
      </c>
      <c r="Q53" s="22"/>
    </row>
    <row r="54" spans="1:17" x14ac:dyDescent="0.2">
      <c r="A54" s="159" t="str">
        <f>+$A$9</f>
        <v>General Service &gt; 50 kW - 4999 kW</v>
      </c>
      <c r="B54" s="429">
        <f>+'12. Load Forecast by Month'!B67</f>
        <v>7590887.7531258296</v>
      </c>
      <c r="C54" s="429">
        <f>+'12. Load Forecast by Month'!C67</f>
        <v>7145221.4008885566</v>
      </c>
      <c r="D54" s="429">
        <f>+'12. Load Forecast by Month'!D67</f>
        <v>6737965.0157540049</v>
      </c>
      <c r="E54" s="429">
        <f>+'12. Load Forecast by Month'!E67</f>
        <v>6325104.4649622357</v>
      </c>
      <c r="F54" s="429">
        <f>+'12. Load Forecast by Month'!F67</f>
        <v>6439615.1249639252</v>
      </c>
      <c r="G54" s="429">
        <f>+'12. Load Forecast by Month'!G67</f>
        <v>7454852.5459778355</v>
      </c>
      <c r="H54" s="429">
        <f>+'12. Load Forecast by Month'!H67</f>
        <v>9001547.6632612348</v>
      </c>
      <c r="I54" s="429">
        <f>+'12. Load Forecast by Month'!I67</f>
        <v>8931926.9156348649</v>
      </c>
      <c r="J54" s="429">
        <f>+'12. Load Forecast by Month'!J67</f>
        <v>6838400.9310959335</v>
      </c>
      <c r="K54" s="429">
        <f>+'12. Load Forecast by Month'!K67</f>
        <v>6401450.7215218432</v>
      </c>
      <c r="L54" s="429">
        <f>+'12. Load Forecast by Month'!L67</f>
        <v>6385019.4617383089</v>
      </c>
      <c r="M54" s="429">
        <f>+'12. Load Forecast by Month'!M67</f>
        <v>7491039.1268988345</v>
      </c>
      <c r="N54" s="37">
        <f t="shared" ref="N54:N56" si="25">SUM(B54:M54)</f>
        <v>86743031.125823408</v>
      </c>
      <c r="P54" s="436">
        <f>'8. KW and Non-Weather Sensitive'!I26</f>
        <v>2.5481650264411191E-3</v>
      </c>
      <c r="Q54" s="60"/>
    </row>
    <row r="55" spans="1:17" x14ac:dyDescent="0.2">
      <c r="A55" s="159" t="str">
        <f>+$A$10</f>
        <v>Street Lights</v>
      </c>
      <c r="B55" s="429">
        <f>+'12. Load Forecast by Month'!B69</f>
        <v>49298.365443296418</v>
      </c>
      <c r="C55" s="429">
        <f>+'12. Load Forecast by Month'!C69</f>
        <v>46404.023778274866</v>
      </c>
      <c r="D55" s="429">
        <f>+'12. Load Forecast by Month'!D69</f>
        <v>43759.13232994439</v>
      </c>
      <c r="E55" s="429">
        <f>+'12. Load Forecast by Month'!E69</f>
        <v>41077.845111374729</v>
      </c>
      <c r="F55" s="429">
        <f>+'12. Load Forecast by Month'!F69</f>
        <v>41821.524710851321</v>
      </c>
      <c r="G55" s="429">
        <f>+'12. Load Forecast by Month'!G69</f>
        <v>48414.896529877857</v>
      </c>
      <c r="H55" s="429">
        <f>+'12. Load Forecast by Month'!H69</f>
        <v>58459.774494224075</v>
      </c>
      <c r="I55" s="429">
        <f>+'12. Load Forecast by Month'!I69</f>
        <v>58007.628556812881</v>
      </c>
      <c r="J55" s="429">
        <f>+'12. Load Forecast by Month'!J69</f>
        <v>44411.404714833698</v>
      </c>
      <c r="K55" s="429">
        <f>+'12. Load Forecast by Month'!K69</f>
        <v>41573.669286162898</v>
      </c>
      <c r="L55" s="429">
        <f>+'12. Load Forecast by Month'!L69</f>
        <v>41466.957887463999</v>
      </c>
      <c r="M55" s="429">
        <f>+'12. Load Forecast by Month'!M69</f>
        <v>48649.907156882873</v>
      </c>
      <c r="N55" s="37">
        <f t="shared" si="25"/>
        <v>563345.13</v>
      </c>
      <c r="P55" s="436">
        <f>'8. KW and Non-Weather Sensitive'!I56</f>
        <v>2.7904741095392091E-3</v>
      </c>
      <c r="Q55" s="60"/>
    </row>
    <row r="56" spans="1:17" x14ac:dyDescent="0.2">
      <c r="A56" s="159" t="str">
        <f>+$A$11</f>
        <v>Large User</v>
      </c>
      <c r="B56" s="429">
        <f>+'12. Load Forecast by Month'!B70</f>
        <v>3285000</v>
      </c>
      <c r="C56" s="429">
        <f>+'12. Load Forecast by Month'!C70</f>
        <v>3285000</v>
      </c>
      <c r="D56" s="429">
        <f>+'12. Load Forecast by Month'!D70</f>
        <v>3285000</v>
      </c>
      <c r="E56" s="429">
        <f>+'12. Load Forecast by Month'!E70</f>
        <v>3285000</v>
      </c>
      <c r="F56" s="429">
        <f>+'12. Load Forecast by Month'!F70</f>
        <v>3285000</v>
      </c>
      <c r="G56" s="429">
        <f>+'12. Load Forecast by Month'!G70</f>
        <v>3285000</v>
      </c>
      <c r="H56" s="429">
        <f>+'12. Load Forecast by Month'!H70</f>
        <v>3285000</v>
      </c>
      <c r="I56" s="429">
        <f>+'12. Load Forecast by Month'!I70</f>
        <v>3285000</v>
      </c>
      <c r="J56" s="429">
        <f>+'12. Load Forecast by Month'!J70</f>
        <v>3285000</v>
      </c>
      <c r="K56" s="429">
        <f>+'12. Load Forecast by Month'!K70</f>
        <v>3285000</v>
      </c>
      <c r="L56" s="429">
        <f>+'12. Load Forecast by Month'!L70</f>
        <v>3285000</v>
      </c>
      <c r="M56" s="429">
        <f>+'12. Load Forecast by Month'!M70</f>
        <v>3285000</v>
      </c>
      <c r="N56" s="37">
        <f t="shared" si="25"/>
        <v>39420000</v>
      </c>
      <c r="P56" s="436">
        <f>'8. KW and Non-Weather Sensitive'!S24</f>
        <v>1.5220700152207001E-3</v>
      </c>
      <c r="Q56" s="60"/>
    </row>
    <row r="57" spans="1:17" x14ac:dyDescent="0.2">
      <c r="A57" s="159" t="str">
        <f>+$A$12</f>
        <v>Total</v>
      </c>
      <c r="B57" s="412">
        <f t="shared" ref="B57:N57" si="26">SUM(B54:B56)</f>
        <v>10925186.118569126</v>
      </c>
      <c r="C57" s="412">
        <f t="shared" si="26"/>
        <v>10476625.424666831</v>
      </c>
      <c r="D57" s="412">
        <f t="shared" si="26"/>
        <v>10066724.148083949</v>
      </c>
      <c r="E57" s="412">
        <f t="shared" si="26"/>
        <v>9651182.3100736104</v>
      </c>
      <c r="F57" s="412">
        <f t="shared" si="26"/>
        <v>9766436.6496747769</v>
      </c>
      <c r="G57" s="412">
        <f t="shared" si="26"/>
        <v>10788267.442507714</v>
      </c>
      <c r="H57" s="412">
        <f t="shared" si="26"/>
        <v>12345007.437755458</v>
      </c>
      <c r="I57" s="412">
        <f t="shared" si="26"/>
        <v>12274934.544191677</v>
      </c>
      <c r="J57" s="412">
        <f t="shared" si="26"/>
        <v>10167812.335810767</v>
      </c>
      <c r="K57" s="412">
        <f t="shared" si="26"/>
        <v>9728024.3908080049</v>
      </c>
      <c r="L57" s="412">
        <f t="shared" si="26"/>
        <v>9711486.419625774</v>
      </c>
      <c r="M57" s="412">
        <f t="shared" si="26"/>
        <v>10824689.034055717</v>
      </c>
      <c r="N57" s="412">
        <f t="shared" si="26"/>
        <v>126726376.2558234</v>
      </c>
      <c r="P57" s="140"/>
    </row>
    <row r="58" spans="1:17" x14ac:dyDescent="0.2">
      <c r="A58" s="159"/>
      <c r="B58" s="60"/>
      <c r="C58" s="60"/>
      <c r="D58" s="60"/>
      <c r="E58" s="60"/>
      <c r="F58" s="60"/>
      <c r="G58" s="60"/>
      <c r="H58" s="60"/>
      <c r="I58" s="60"/>
      <c r="J58" s="60"/>
      <c r="K58" s="60"/>
      <c r="L58" s="60"/>
      <c r="M58" s="60"/>
      <c r="N58" s="60"/>
      <c r="P58" s="140"/>
    </row>
    <row r="59" spans="1:17" x14ac:dyDescent="0.2">
      <c r="B59" s="595" t="s">
        <v>239</v>
      </c>
      <c r="C59" s="595"/>
      <c r="D59" s="595"/>
      <c r="E59" s="595"/>
      <c r="F59" s="595"/>
      <c r="G59" s="595"/>
      <c r="H59" s="595"/>
      <c r="I59" s="595"/>
      <c r="J59" s="595"/>
      <c r="K59" s="595"/>
      <c r="L59" s="595"/>
      <c r="M59" s="595"/>
    </row>
    <row r="60" spans="1:17" x14ac:dyDescent="0.2">
      <c r="A60" s="1" t="s">
        <v>221</v>
      </c>
      <c r="B60" s="410">
        <f t="shared" ref="B60:M60" si="27">+B53</f>
        <v>45322</v>
      </c>
      <c r="C60" s="410">
        <f t="shared" si="27"/>
        <v>45351</v>
      </c>
      <c r="D60" s="410">
        <f t="shared" si="27"/>
        <v>45382</v>
      </c>
      <c r="E60" s="410">
        <f t="shared" si="27"/>
        <v>45412</v>
      </c>
      <c r="F60" s="410">
        <f t="shared" si="27"/>
        <v>45443</v>
      </c>
      <c r="G60" s="410">
        <f t="shared" si="27"/>
        <v>45473</v>
      </c>
      <c r="H60" s="410">
        <f t="shared" si="27"/>
        <v>45504</v>
      </c>
      <c r="I60" s="410">
        <f t="shared" si="27"/>
        <v>45535</v>
      </c>
      <c r="J60" s="410">
        <f t="shared" si="27"/>
        <v>45565</v>
      </c>
      <c r="K60" s="410">
        <f t="shared" si="27"/>
        <v>45596</v>
      </c>
      <c r="L60" s="410">
        <f t="shared" si="27"/>
        <v>45626</v>
      </c>
      <c r="M60" s="410">
        <f t="shared" si="27"/>
        <v>45657</v>
      </c>
      <c r="N60" s="411" t="s">
        <v>15</v>
      </c>
      <c r="P60" s="22"/>
    </row>
    <row r="61" spans="1:17" x14ac:dyDescent="0.2">
      <c r="A61" s="159" t="str">
        <f>+$A$9</f>
        <v>General Service &gt; 50 kW - 4999 kW</v>
      </c>
      <c r="B61" s="460">
        <f>+B54*$P$30</f>
        <v>19342.834692155448</v>
      </c>
      <c r="C61" s="460">
        <f t="shared" ref="C61:M61" si="28">+C54*$P$30</f>
        <v>18207.20327992284</v>
      </c>
      <c r="D61" s="460">
        <f t="shared" si="28"/>
        <v>17169.446802528139</v>
      </c>
      <c r="E61" s="460">
        <f t="shared" si="28"/>
        <v>16117.409986203336</v>
      </c>
      <c r="F61" s="460">
        <f t="shared" si="28"/>
        <v>16409.20204517433</v>
      </c>
      <c r="G61" s="460">
        <f t="shared" si="28"/>
        <v>18996.194534936254</v>
      </c>
      <c r="H61" s="460">
        <f t="shared" si="28"/>
        <v>22937.428939365058</v>
      </c>
      <c r="I61" s="460">
        <f t="shared" si="28"/>
        <v>22760.02378514886</v>
      </c>
      <c r="J61" s="460">
        <f t="shared" si="28"/>
        <v>17425.374089401044</v>
      </c>
      <c r="K61" s="460">
        <f t="shared" si="28"/>
        <v>16311.952847068229</v>
      </c>
      <c r="L61" s="460">
        <f t="shared" si="28"/>
        <v>16270.083285547458</v>
      </c>
      <c r="M61" s="460">
        <f t="shared" si="28"/>
        <v>19088.403914865627</v>
      </c>
      <c r="N61" s="37">
        <f t="shared" ref="N61:N63" si="29">SUM(B61:M61)</f>
        <v>221035.55820231664</v>
      </c>
    </row>
    <row r="62" spans="1:17" x14ac:dyDescent="0.2">
      <c r="A62" s="159" t="str">
        <f>+$A$10</f>
        <v>Street Lights</v>
      </c>
      <c r="B62" s="460">
        <f>+B55*$P$31</f>
        <v>137.56581241212109</v>
      </c>
      <c r="C62" s="460">
        <f t="shared" ref="C62:M62" si="30">+C55*$P$31</f>
        <v>129.48922693171784</v>
      </c>
      <c r="D62" s="460">
        <f t="shared" si="30"/>
        <v>122.10872582260998</v>
      </c>
      <c r="E62" s="460">
        <f t="shared" si="30"/>
        <v>114.62666325895295</v>
      </c>
      <c r="F62" s="460">
        <f t="shared" si="30"/>
        <v>116.70188192708487</v>
      </c>
      <c r="G62" s="460">
        <f t="shared" si="30"/>
        <v>135.10051528264387</v>
      </c>
      <c r="H62" s="460">
        <f t="shared" si="30"/>
        <v>163.13048717563291</v>
      </c>
      <c r="I62" s="460">
        <f t="shared" si="30"/>
        <v>161.86878564355362</v>
      </c>
      <c r="J62" s="460">
        <f t="shared" si="30"/>
        <v>123.928875025011</v>
      </c>
      <c r="K62" s="460">
        <f t="shared" si="30"/>
        <v>116.01024778158298</v>
      </c>
      <c r="L62" s="460">
        <f t="shared" si="30"/>
        <v>115.71247238632098</v>
      </c>
      <c r="M62" s="460">
        <f t="shared" si="30"/>
        <v>135.75630635276792</v>
      </c>
      <c r="N62" s="37">
        <f t="shared" si="29"/>
        <v>1572</v>
      </c>
      <c r="P62" s="140"/>
    </row>
    <row r="63" spans="1:17" x14ac:dyDescent="0.2">
      <c r="B63" s="460">
        <f>+B56*$P$32</f>
        <v>5000</v>
      </c>
      <c r="C63" s="460">
        <f t="shared" ref="C63:M63" si="31">+C56*$P$32</f>
        <v>5000</v>
      </c>
      <c r="D63" s="460">
        <f t="shared" si="31"/>
        <v>5000</v>
      </c>
      <c r="E63" s="460">
        <f t="shared" si="31"/>
        <v>5000</v>
      </c>
      <c r="F63" s="460">
        <f t="shared" si="31"/>
        <v>5000</v>
      </c>
      <c r="G63" s="460">
        <f t="shared" si="31"/>
        <v>5000</v>
      </c>
      <c r="H63" s="460">
        <f t="shared" si="31"/>
        <v>5000</v>
      </c>
      <c r="I63" s="460">
        <f t="shared" si="31"/>
        <v>5000</v>
      </c>
      <c r="J63" s="460">
        <f t="shared" si="31"/>
        <v>5000</v>
      </c>
      <c r="K63" s="460">
        <f t="shared" si="31"/>
        <v>5000</v>
      </c>
      <c r="L63" s="460">
        <f t="shared" si="31"/>
        <v>5000</v>
      </c>
      <c r="M63" s="460">
        <f t="shared" si="31"/>
        <v>5000</v>
      </c>
      <c r="N63" s="37">
        <f t="shared" si="29"/>
        <v>60000</v>
      </c>
    </row>
    <row r="64" spans="1:17" x14ac:dyDescent="0.2">
      <c r="A64" s="159" t="str">
        <f>+$A$12</f>
        <v>Total</v>
      </c>
      <c r="B64" s="412">
        <f>SUM(B61:B63)</f>
        <v>24480.400504567569</v>
      </c>
      <c r="C64" s="412">
        <f>SUM(C61:C63)</f>
        <v>23336.692506854557</v>
      </c>
      <c r="D64" s="412">
        <f>SUM(D61:D63)</f>
        <v>22291.555528350749</v>
      </c>
      <c r="E64" s="412">
        <f>SUM(E61:E63)</f>
        <v>21232.036649462287</v>
      </c>
      <c r="F64" s="412">
        <f t="shared" ref="F64:O64" si="32">SUM(F61:F63)</f>
        <v>21525.903927101415</v>
      </c>
      <c r="G64" s="412">
        <f t="shared" si="32"/>
        <v>24131.295050218898</v>
      </c>
      <c r="H64" s="412">
        <f t="shared" si="32"/>
        <v>28100.559426540691</v>
      </c>
      <c r="I64" s="412">
        <f t="shared" si="32"/>
        <v>27921.892570792414</v>
      </c>
      <c r="J64" s="412">
        <f t="shared" si="32"/>
        <v>22549.302964426057</v>
      </c>
      <c r="K64" s="412">
        <f t="shared" si="32"/>
        <v>21427.963094849812</v>
      </c>
      <c r="L64" s="412">
        <f t="shared" si="32"/>
        <v>21385.795757933778</v>
      </c>
      <c r="M64" s="412">
        <f t="shared" si="32"/>
        <v>24224.160221218393</v>
      </c>
      <c r="N64" s="412">
        <f t="shared" si="32"/>
        <v>282607.55820231664</v>
      </c>
      <c r="O64" s="412">
        <f t="shared" si="32"/>
        <v>0</v>
      </c>
      <c r="P64" s="140"/>
    </row>
    <row r="66" spans="2:16" x14ac:dyDescent="0.2">
      <c r="N66" s="430"/>
    </row>
    <row r="67" spans="2:16" x14ac:dyDescent="0.2">
      <c r="B67" s="429"/>
      <c r="C67" s="429"/>
      <c r="D67" s="429"/>
      <c r="E67" s="429"/>
      <c r="F67" s="429"/>
      <c r="G67" s="429"/>
      <c r="H67" s="429"/>
      <c r="I67" s="429"/>
      <c r="J67" s="429"/>
      <c r="K67" s="429"/>
      <c r="L67" s="429"/>
      <c r="M67" s="429"/>
      <c r="N67" s="431"/>
    </row>
    <row r="68" spans="2:16" x14ac:dyDescent="0.2">
      <c r="B68" s="428"/>
      <c r="C68" s="428"/>
      <c r="D68" s="428"/>
      <c r="E68" s="428"/>
      <c r="F68" s="428"/>
      <c r="G68" s="428"/>
      <c r="H68" s="428"/>
      <c r="I68" s="428"/>
      <c r="J68" s="428"/>
      <c r="K68" s="428"/>
      <c r="L68" s="428"/>
      <c r="M68" s="428"/>
      <c r="N68" s="427"/>
    </row>
    <row r="70" spans="2:16" x14ac:dyDescent="0.2">
      <c r="B70" s="37"/>
      <c r="C70" s="37"/>
      <c r="D70" s="37"/>
      <c r="E70" s="37"/>
      <c r="F70" s="37"/>
      <c r="G70" s="37"/>
      <c r="H70" s="37"/>
      <c r="I70" s="37"/>
      <c r="J70" s="37"/>
      <c r="K70" s="37"/>
      <c r="L70" s="37"/>
      <c r="M70" s="37"/>
      <c r="N70" s="37"/>
      <c r="P70" s="140"/>
    </row>
  </sheetData>
  <mergeCells count="8">
    <mergeCell ref="B59:M59"/>
    <mergeCell ref="B6:M6"/>
    <mergeCell ref="B14:M14"/>
    <mergeCell ref="B36:M36"/>
    <mergeCell ref="B43:M43"/>
    <mergeCell ref="B51:M51"/>
    <mergeCell ref="B21:M21"/>
    <mergeCell ref="B28:M2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10940-941A-4A9D-B0F9-7328B54713B7}">
  <sheetPr>
    <pageSetUpPr fitToPage="1"/>
  </sheetPr>
  <dimension ref="A1:U63"/>
  <sheetViews>
    <sheetView zoomScale="80" zoomScaleNormal="80" workbookViewId="0"/>
  </sheetViews>
  <sheetFormatPr defaultRowHeight="12.75" x14ac:dyDescent="0.2"/>
  <cols>
    <col min="1" max="1" width="37" style="1" bestFit="1" customWidth="1"/>
    <col min="2" max="14" width="15.33203125" style="1" customWidth="1"/>
    <col min="15" max="15" width="18.1640625" style="1" customWidth="1"/>
    <col min="16" max="16" width="1.83203125" style="1" customWidth="1"/>
    <col min="17" max="18" width="19.33203125" style="1" customWidth="1"/>
    <col min="19" max="19" width="18.83203125" style="1" customWidth="1"/>
    <col min="20" max="20" width="21.5" style="1" bestFit="1" customWidth="1"/>
    <col min="21" max="21" width="22.5" style="1" bestFit="1" customWidth="1"/>
    <col min="22" max="16384" width="9.33203125" style="1"/>
  </cols>
  <sheetData>
    <row r="1" spans="1:15" x14ac:dyDescent="0.2">
      <c r="A1" s="1" t="str">
        <f>+'1. Assumptions'!A1</f>
        <v>Niagara-on-the-Lake Hydro Inc.</v>
      </c>
    </row>
    <row r="2" spans="1:15" x14ac:dyDescent="0.2">
      <c r="A2" s="33" t="s">
        <v>223</v>
      </c>
    </row>
    <row r="3" spans="1:15" x14ac:dyDescent="0.2">
      <c r="A3" s="1" t="str">
        <f>+'1. Assumptions'!A3</f>
        <v>2024 Test &amp; 2023 Bridge</v>
      </c>
    </row>
    <row r="6" spans="1:15" x14ac:dyDescent="0.2">
      <c r="C6" s="595" t="s">
        <v>437</v>
      </c>
      <c r="D6" s="595"/>
      <c r="E6" s="595"/>
      <c r="F6" s="595"/>
      <c r="G6" s="595"/>
      <c r="H6" s="595"/>
      <c r="I6" s="595"/>
      <c r="J6" s="595"/>
      <c r="K6" s="595"/>
      <c r="L6" s="595"/>
      <c r="M6" s="595"/>
      <c r="N6" s="595"/>
    </row>
    <row r="7" spans="1:15" x14ac:dyDescent="0.2">
      <c r="B7" s="22"/>
      <c r="C7" s="22" t="str">
        <f>+'1. Assumptions'!C5</f>
        <v>Actual</v>
      </c>
      <c r="D7" s="22" t="str">
        <f>+'1. Assumptions'!D5</f>
        <v>Actual</v>
      </c>
      <c r="E7" s="22" t="str">
        <f>+'1. Assumptions'!E5</f>
        <v>Actual</v>
      </c>
      <c r="F7" s="22" t="str">
        <f>+'1. Assumptions'!F5</f>
        <v>Actual</v>
      </c>
      <c r="G7" s="22" t="str">
        <f>+'1. Assumptions'!G5</f>
        <v>Actual</v>
      </c>
      <c r="H7" s="22" t="str">
        <f>+'1. Assumptions'!H5</f>
        <v>Actual</v>
      </c>
      <c r="I7" s="22" t="str">
        <f>+'1. Assumptions'!I5</f>
        <v>Actual</v>
      </c>
      <c r="J7" s="22" t="str">
        <f>+'1. Assumptions'!J5</f>
        <v>Actual</v>
      </c>
      <c r="K7" s="22" t="str">
        <f>+'1. Assumptions'!K5</f>
        <v>Actual</v>
      </c>
      <c r="L7" s="22" t="str">
        <f>+'1. Assumptions'!L5</f>
        <v>Actual</v>
      </c>
      <c r="M7" s="22" t="str">
        <f>+'1. Assumptions'!M5</f>
        <v>Actual</v>
      </c>
      <c r="N7" s="22" t="str">
        <f>+'1. Assumptions'!N5</f>
        <v>Actual</v>
      </c>
    </row>
    <row r="8" spans="1:15" x14ac:dyDescent="0.2">
      <c r="A8" s="1" t="s">
        <v>221</v>
      </c>
      <c r="B8" s="410">
        <f>+C8-31</f>
        <v>44561</v>
      </c>
      <c r="C8" s="410">
        <f>+'1. Assumptions'!C6</f>
        <v>44592</v>
      </c>
      <c r="D8" s="410">
        <f>+'1. Assumptions'!D6</f>
        <v>44620</v>
      </c>
      <c r="E8" s="410">
        <f>+'1. Assumptions'!E6</f>
        <v>44651</v>
      </c>
      <c r="F8" s="410">
        <f>+'1. Assumptions'!F6</f>
        <v>44681</v>
      </c>
      <c r="G8" s="410">
        <f>+'1. Assumptions'!G6</f>
        <v>44712</v>
      </c>
      <c r="H8" s="410">
        <f>+'1. Assumptions'!H6</f>
        <v>44742</v>
      </c>
      <c r="I8" s="410">
        <f>+'1. Assumptions'!I6</f>
        <v>44773</v>
      </c>
      <c r="J8" s="410">
        <f>+'1. Assumptions'!J6</f>
        <v>44804</v>
      </c>
      <c r="K8" s="410">
        <f>+'1. Assumptions'!K6</f>
        <v>44834</v>
      </c>
      <c r="L8" s="410">
        <f>+'1. Assumptions'!L6</f>
        <v>44865</v>
      </c>
      <c r="M8" s="410">
        <f>+'1. Assumptions'!M6</f>
        <v>44895</v>
      </c>
      <c r="N8" s="410">
        <f>+'1. Assumptions'!N6</f>
        <v>44926</v>
      </c>
      <c r="O8" s="411" t="s">
        <v>241</v>
      </c>
    </row>
    <row r="9" spans="1:15" x14ac:dyDescent="0.2">
      <c r="A9" s="159" t="str">
        <f>+'10. Final Load Forecast'!A6</f>
        <v>Residential</v>
      </c>
      <c r="B9" s="37"/>
      <c r="C9" s="37">
        <f>IF(C$7="actual",C19,C29)</f>
        <v>8130.5</v>
      </c>
      <c r="D9" s="37">
        <f t="shared" ref="D9:N9" si="0">IF(D$7="actual",D19,D29)</f>
        <v>8136</v>
      </c>
      <c r="E9" s="37">
        <f t="shared" si="0"/>
        <v>8142</v>
      </c>
      <c r="F9" s="37">
        <f t="shared" si="0"/>
        <v>8155.5</v>
      </c>
      <c r="G9" s="37">
        <f t="shared" si="0"/>
        <v>8168.5</v>
      </c>
      <c r="H9" s="37">
        <f t="shared" si="0"/>
        <v>8174</v>
      </c>
      <c r="I9" s="37">
        <f t="shared" si="0"/>
        <v>8182</v>
      </c>
      <c r="J9" s="37">
        <f t="shared" si="0"/>
        <v>8189.5</v>
      </c>
      <c r="K9" s="37">
        <f t="shared" si="0"/>
        <v>8191</v>
      </c>
      <c r="L9" s="37">
        <f t="shared" si="0"/>
        <v>8192.5</v>
      </c>
      <c r="M9" s="37">
        <f t="shared" si="0"/>
        <v>8199.5</v>
      </c>
      <c r="N9" s="37">
        <f t="shared" si="0"/>
        <v>8212.5</v>
      </c>
      <c r="O9" s="37">
        <f>AVERAGE(C9:N9)</f>
        <v>8172.791666666667</v>
      </c>
    </row>
    <row r="10" spans="1:15" x14ac:dyDescent="0.2">
      <c r="A10" s="159" t="str">
        <f>+'10. Final Load Forecast'!A10</f>
        <v>General Service &lt; 50 kW</v>
      </c>
      <c r="B10" s="37"/>
      <c r="C10" s="37">
        <f t="shared" ref="C10:N14" si="1">IF(C$7="actual",C20,C30)</f>
        <v>1479</v>
      </c>
      <c r="D10" s="37">
        <f t="shared" si="1"/>
        <v>1480</v>
      </c>
      <c r="E10" s="37">
        <f t="shared" si="1"/>
        <v>1481</v>
      </c>
      <c r="F10" s="37">
        <f t="shared" si="1"/>
        <v>1473.5</v>
      </c>
      <c r="G10" s="37">
        <f t="shared" si="1"/>
        <v>1464</v>
      </c>
      <c r="H10" s="37">
        <f t="shared" si="1"/>
        <v>1464</v>
      </c>
      <c r="I10" s="37">
        <f t="shared" si="1"/>
        <v>1465.5</v>
      </c>
      <c r="J10" s="37">
        <f t="shared" si="1"/>
        <v>1465</v>
      </c>
      <c r="K10" s="37">
        <f t="shared" si="1"/>
        <v>1466.5</v>
      </c>
      <c r="L10" s="37">
        <f t="shared" si="1"/>
        <v>1468.5</v>
      </c>
      <c r="M10" s="37">
        <f t="shared" si="1"/>
        <v>1468</v>
      </c>
      <c r="N10" s="37">
        <f t="shared" si="1"/>
        <v>1467</v>
      </c>
      <c r="O10" s="37">
        <f t="shared" ref="O10:O14" si="2">AVERAGE(C10:N10)</f>
        <v>1470.1666666666667</v>
      </c>
    </row>
    <row r="11" spans="1:15" x14ac:dyDescent="0.2">
      <c r="A11" s="159" t="str">
        <f>+'10. Final Load Forecast'!A14</f>
        <v>General Service &gt; 50 kW - 4999 kW</v>
      </c>
      <c r="B11" s="37"/>
      <c r="C11" s="37">
        <f t="shared" si="1"/>
        <v>125</v>
      </c>
      <c r="D11" s="37">
        <f t="shared" si="1"/>
        <v>125</v>
      </c>
      <c r="E11" s="37">
        <f t="shared" si="1"/>
        <v>126.5</v>
      </c>
      <c r="F11" s="37">
        <f t="shared" si="1"/>
        <v>128</v>
      </c>
      <c r="G11" s="37">
        <f t="shared" si="1"/>
        <v>128</v>
      </c>
      <c r="H11" s="37">
        <f t="shared" si="1"/>
        <v>128</v>
      </c>
      <c r="I11" s="37">
        <f t="shared" si="1"/>
        <v>126.5</v>
      </c>
      <c r="J11" s="37">
        <f t="shared" si="1"/>
        <v>125</v>
      </c>
      <c r="K11" s="37">
        <f t="shared" si="1"/>
        <v>125</v>
      </c>
      <c r="L11" s="37">
        <f t="shared" si="1"/>
        <v>125</v>
      </c>
      <c r="M11" s="37">
        <f t="shared" si="1"/>
        <v>125</v>
      </c>
      <c r="N11" s="37">
        <f t="shared" si="1"/>
        <v>125</v>
      </c>
      <c r="O11" s="37">
        <f t="shared" si="2"/>
        <v>126</v>
      </c>
    </row>
    <row r="12" spans="1:15" x14ac:dyDescent="0.2">
      <c r="A12" s="159" t="str">
        <f>+'10. Final Load Forecast'!A18</f>
        <v>Unmetered Scattered Load</v>
      </c>
      <c r="B12" s="37"/>
      <c r="C12" s="37">
        <f t="shared" si="1"/>
        <v>45</v>
      </c>
      <c r="D12" s="37">
        <f t="shared" si="1"/>
        <v>45</v>
      </c>
      <c r="E12" s="37">
        <f t="shared" si="1"/>
        <v>45.5</v>
      </c>
      <c r="F12" s="37">
        <f t="shared" si="1"/>
        <v>46</v>
      </c>
      <c r="G12" s="37">
        <f t="shared" si="1"/>
        <v>47.5</v>
      </c>
      <c r="H12" s="37">
        <f t="shared" si="1"/>
        <v>50</v>
      </c>
      <c r="I12" s="37">
        <f t="shared" si="1"/>
        <v>51.5</v>
      </c>
      <c r="J12" s="37">
        <f t="shared" si="1"/>
        <v>52</v>
      </c>
      <c r="K12" s="37">
        <f t="shared" si="1"/>
        <v>52</v>
      </c>
      <c r="L12" s="37">
        <f t="shared" si="1"/>
        <v>52</v>
      </c>
      <c r="M12" s="37">
        <f t="shared" si="1"/>
        <v>52.5</v>
      </c>
      <c r="N12" s="37">
        <f t="shared" si="1"/>
        <v>60</v>
      </c>
      <c r="O12" s="37">
        <f t="shared" si="2"/>
        <v>49.916666666666664</v>
      </c>
    </row>
    <row r="13" spans="1:15" x14ac:dyDescent="0.2">
      <c r="A13" s="159" t="str">
        <f>+'10. Final Load Forecast'!A22</f>
        <v>Street Lights</v>
      </c>
      <c r="B13" s="37"/>
      <c r="C13" s="37">
        <f t="shared" si="1"/>
        <v>2254</v>
      </c>
      <c r="D13" s="37">
        <f t="shared" si="1"/>
        <v>2254</v>
      </c>
      <c r="E13" s="37">
        <f t="shared" si="1"/>
        <v>2254</v>
      </c>
      <c r="F13" s="37">
        <f t="shared" si="1"/>
        <v>2254</v>
      </c>
      <c r="G13" s="37">
        <f t="shared" si="1"/>
        <v>2254</v>
      </c>
      <c r="H13" s="37">
        <f t="shared" si="1"/>
        <v>2254</v>
      </c>
      <c r="I13" s="37">
        <f t="shared" si="1"/>
        <v>2254</v>
      </c>
      <c r="J13" s="37">
        <f t="shared" si="1"/>
        <v>2254</v>
      </c>
      <c r="K13" s="37">
        <f t="shared" si="1"/>
        <v>2254</v>
      </c>
      <c r="L13" s="37">
        <f t="shared" si="1"/>
        <v>2254</v>
      </c>
      <c r="M13" s="37">
        <f t="shared" si="1"/>
        <v>2254</v>
      </c>
      <c r="N13" s="37">
        <f t="shared" si="1"/>
        <v>2254</v>
      </c>
      <c r="O13" s="37">
        <f t="shared" si="2"/>
        <v>2254</v>
      </c>
    </row>
    <row r="14" spans="1:15" x14ac:dyDescent="0.2">
      <c r="A14" s="159" t="str">
        <f>+'10. Final Load Forecast'!A26</f>
        <v>Large User</v>
      </c>
      <c r="B14" s="37"/>
      <c r="C14" s="37">
        <f t="shared" si="1"/>
        <v>1</v>
      </c>
      <c r="D14" s="37">
        <f t="shared" si="1"/>
        <v>1</v>
      </c>
      <c r="E14" s="37">
        <f t="shared" si="1"/>
        <v>1</v>
      </c>
      <c r="F14" s="37">
        <f t="shared" si="1"/>
        <v>1</v>
      </c>
      <c r="G14" s="37">
        <f t="shared" si="1"/>
        <v>1</v>
      </c>
      <c r="H14" s="37">
        <f t="shared" si="1"/>
        <v>1</v>
      </c>
      <c r="I14" s="37">
        <f t="shared" si="1"/>
        <v>0</v>
      </c>
      <c r="J14" s="37">
        <f t="shared" si="1"/>
        <v>0</v>
      </c>
      <c r="K14" s="37">
        <f t="shared" si="1"/>
        <v>0</v>
      </c>
      <c r="L14" s="37">
        <f t="shared" si="1"/>
        <v>0</v>
      </c>
      <c r="M14" s="37">
        <f t="shared" si="1"/>
        <v>0</v>
      </c>
      <c r="N14" s="37">
        <f t="shared" si="1"/>
        <v>0</v>
      </c>
      <c r="O14" s="37">
        <f t="shared" si="2"/>
        <v>0.5</v>
      </c>
    </row>
    <row r="15" spans="1:15" x14ac:dyDescent="0.2">
      <c r="A15" s="1" t="str">
        <f>+'10. Final Load Forecast'!A30</f>
        <v>Total</v>
      </c>
      <c r="B15" s="412"/>
      <c r="C15" s="412">
        <f>SUM(C9:C14)</f>
        <v>12034.5</v>
      </c>
      <c r="D15" s="412">
        <f t="shared" ref="D15:O15" si="3">SUM(D9:D14)</f>
        <v>12041</v>
      </c>
      <c r="E15" s="412">
        <f t="shared" si="3"/>
        <v>12050</v>
      </c>
      <c r="F15" s="412">
        <f t="shared" si="3"/>
        <v>12058</v>
      </c>
      <c r="G15" s="412">
        <f t="shared" si="3"/>
        <v>12063</v>
      </c>
      <c r="H15" s="412">
        <f t="shared" si="3"/>
        <v>12071</v>
      </c>
      <c r="I15" s="412">
        <f t="shared" si="3"/>
        <v>12079.5</v>
      </c>
      <c r="J15" s="412">
        <f t="shared" si="3"/>
        <v>12085.5</v>
      </c>
      <c r="K15" s="412">
        <f t="shared" si="3"/>
        <v>12088.5</v>
      </c>
      <c r="L15" s="412">
        <f t="shared" si="3"/>
        <v>12092</v>
      </c>
      <c r="M15" s="412">
        <f t="shared" si="3"/>
        <v>12099</v>
      </c>
      <c r="N15" s="412">
        <f t="shared" si="3"/>
        <v>12118.5</v>
      </c>
      <c r="O15" s="412">
        <f t="shared" si="3"/>
        <v>12073.375</v>
      </c>
    </row>
    <row r="17" spans="1:21" x14ac:dyDescent="0.2">
      <c r="A17" s="451" t="s">
        <v>376</v>
      </c>
      <c r="C17" s="595" t="s">
        <v>240</v>
      </c>
      <c r="D17" s="595"/>
      <c r="E17" s="595"/>
      <c r="F17" s="595"/>
      <c r="G17" s="595"/>
      <c r="H17" s="595"/>
      <c r="I17" s="595"/>
      <c r="J17" s="595"/>
      <c r="K17" s="595"/>
      <c r="L17" s="595"/>
      <c r="M17" s="595"/>
      <c r="N17" s="595"/>
    </row>
    <row r="18" spans="1:21" x14ac:dyDescent="0.2">
      <c r="A18" s="1" t="s">
        <v>221</v>
      </c>
      <c r="B18" s="410">
        <f>+B8</f>
        <v>44561</v>
      </c>
      <c r="C18" s="410">
        <f t="shared" ref="C18:N18" si="4">+C8</f>
        <v>44592</v>
      </c>
      <c r="D18" s="410">
        <f t="shared" si="4"/>
        <v>44620</v>
      </c>
      <c r="E18" s="410">
        <f t="shared" si="4"/>
        <v>44651</v>
      </c>
      <c r="F18" s="410">
        <f t="shared" si="4"/>
        <v>44681</v>
      </c>
      <c r="G18" s="410">
        <f t="shared" si="4"/>
        <v>44712</v>
      </c>
      <c r="H18" s="410">
        <f t="shared" si="4"/>
        <v>44742</v>
      </c>
      <c r="I18" s="410">
        <f t="shared" si="4"/>
        <v>44773</v>
      </c>
      <c r="J18" s="410">
        <f t="shared" si="4"/>
        <v>44804</v>
      </c>
      <c r="K18" s="410">
        <f t="shared" si="4"/>
        <v>44834</v>
      </c>
      <c r="L18" s="410">
        <f t="shared" si="4"/>
        <v>44865</v>
      </c>
      <c r="M18" s="410">
        <f t="shared" si="4"/>
        <v>44895</v>
      </c>
      <c r="N18" s="410">
        <f t="shared" si="4"/>
        <v>44926</v>
      </c>
      <c r="O18" s="411" t="s">
        <v>241</v>
      </c>
      <c r="Q18" s="411" t="s">
        <v>242</v>
      </c>
      <c r="R18" s="411" t="s">
        <v>243</v>
      </c>
      <c r="S18" s="503"/>
      <c r="T18" s="503"/>
      <c r="U18" s="503"/>
    </row>
    <row r="19" spans="1:21" x14ac:dyDescent="0.2">
      <c r="A19" s="159" t="str">
        <f t="shared" ref="A19:A25" si="5">+A9</f>
        <v>Residential</v>
      </c>
      <c r="B19" s="37">
        <f>+'3. Consumption by Rate Class'!$D$129</f>
        <v>8124.5</v>
      </c>
      <c r="C19" s="37">
        <f>+'3. Consumption by Rate Class'!$D$130</f>
        <v>8130.5</v>
      </c>
      <c r="D19" s="37">
        <f>+'3. Consumption by Rate Class'!$D$131</f>
        <v>8136</v>
      </c>
      <c r="E19" s="37">
        <f>+'3. Consumption by Rate Class'!$D$132</f>
        <v>8142</v>
      </c>
      <c r="F19" s="37">
        <f>+'3. Consumption by Rate Class'!$D$133</f>
        <v>8155.5</v>
      </c>
      <c r="G19" s="37">
        <f>+'3. Consumption by Rate Class'!$D$134</f>
        <v>8168.5</v>
      </c>
      <c r="H19" s="37">
        <f>+'3. Consumption by Rate Class'!$D$135</f>
        <v>8174</v>
      </c>
      <c r="I19" s="37">
        <f>+'3. Consumption by Rate Class'!$D$136</f>
        <v>8182</v>
      </c>
      <c r="J19" s="37">
        <f>+'3. Consumption by Rate Class'!$D$137</f>
        <v>8189.5</v>
      </c>
      <c r="K19" s="37">
        <f>+'3. Consumption by Rate Class'!$D$138</f>
        <v>8191</v>
      </c>
      <c r="L19" s="37">
        <f>+'3. Consumption by Rate Class'!$D$139</f>
        <v>8192.5</v>
      </c>
      <c r="M19" s="37">
        <f>+'3. Consumption by Rate Class'!$D$140</f>
        <v>8199.5</v>
      </c>
      <c r="N19" s="37">
        <f>+'3. Consumption by Rate Class'!$D$141</f>
        <v>8212.5</v>
      </c>
      <c r="O19" s="37">
        <f>AVERAGE(C19:N19)</f>
        <v>8172.791666666667</v>
      </c>
      <c r="Q19" s="60">
        <f>SUMIF($C$7:$N$7,"actual",C19:N19)/COUNTIF($C$7:$N$7,"actual")</f>
        <v>8172.791666666667</v>
      </c>
      <c r="R19" s="566">
        <f>+N19-B19</f>
        <v>88</v>
      </c>
      <c r="S19" s="505"/>
      <c r="T19" s="505"/>
      <c r="U19" s="505"/>
    </row>
    <row r="20" spans="1:21" x14ac:dyDescent="0.2">
      <c r="A20" s="159" t="str">
        <f t="shared" si="5"/>
        <v>General Service &lt; 50 kW</v>
      </c>
      <c r="B20" s="37">
        <f>+'3. Consumption by Rate Class'!$F$129</f>
        <v>1477</v>
      </c>
      <c r="C20" s="37">
        <f>+'3. Consumption by Rate Class'!$F$130</f>
        <v>1479</v>
      </c>
      <c r="D20" s="37">
        <f>+'3. Consumption by Rate Class'!$F$131</f>
        <v>1480</v>
      </c>
      <c r="E20" s="37">
        <f>+'3. Consumption by Rate Class'!$F$132</f>
        <v>1481</v>
      </c>
      <c r="F20" s="37">
        <f>+'3. Consumption by Rate Class'!$F$133</f>
        <v>1473.5</v>
      </c>
      <c r="G20" s="37">
        <f>+'3. Consumption by Rate Class'!$F$134</f>
        <v>1464</v>
      </c>
      <c r="H20" s="37">
        <f>+'3. Consumption by Rate Class'!$F$135</f>
        <v>1464</v>
      </c>
      <c r="I20" s="37">
        <f>+'3. Consumption by Rate Class'!$F$136</f>
        <v>1465.5</v>
      </c>
      <c r="J20" s="37">
        <f>+'3. Consumption by Rate Class'!$F$137</f>
        <v>1465</v>
      </c>
      <c r="K20" s="37">
        <f>+'3. Consumption by Rate Class'!$F$138</f>
        <v>1466.5</v>
      </c>
      <c r="L20" s="37">
        <f>+'3. Consumption by Rate Class'!$F$139</f>
        <v>1468.5</v>
      </c>
      <c r="M20" s="37">
        <f>+'3. Consumption by Rate Class'!$F$140</f>
        <v>1468</v>
      </c>
      <c r="N20" s="37">
        <f>+'3. Consumption by Rate Class'!$F$141</f>
        <v>1467</v>
      </c>
      <c r="O20" s="37">
        <f t="shared" ref="O20:O24" si="6">AVERAGE(C20:N20)</f>
        <v>1470.1666666666667</v>
      </c>
      <c r="Q20" s="60">
        <f t="shared" ref="Q20:Q24" si="7">SUMIF($C$7:$N$7,"actual",C20:N20)/COUNTIF($C$7:$N$7,"actual")</f>
        <v>1470.1666666666667</v>
      </c>
      <c r="R20" s="566">
        <f t="shared" ref="R20:R24" si="8">+N20-B20</f>
        <v>-10</v>
      </c>
      <c r="S20" s="505"/>
      <c r="T20" s="505"/>
      <c r="U20" s="505"/>
    </row>
    <row r="21" spans="1:21" x14ac:dyDescent="0.2">
      <c r="A21" s="159" t="str">
        <f t="shared" si="5"/>
        <v>General Service &gt; 50 kW - 4999 kW</v>
      </c>
      <c r="B21" s="37">
        <f>+'3. Consumption by Rate Class'!$K$129</f>
        <v>125</v>
      </c>
      <c r="C21" s="37">
        <f>+'3. Consumption by Rate Class'!$K$130</f>
        <v>125</v>
      </c>
      <c r="D21" s="37">
        <f>+'3. Consumption by Rate Class'!$K$131</f>
        <v>125</v>
      </c>
      <c r="E21" s="37">
        <f>+'3. Consumption by Rate Class'!$K$132</f>
        <v>126.5</v>
      </c>
      <c r="F21" s="37">
        <f>+'3. Consumption by Rate Class'!$K$133</f>
        <v>128</v>
      </c>
      <c r="G21" s="37">
        <f>+'3. Consumption by Rate Class'!$K$134</f>
        <v>128</v>
      </c>
      <c r="H21" s="37">
        <f>+'3. Consumption by Rate Class'!$K$135</f>
        <v>128</v>
      </c>
      <c r="I21" s="37">
        <f>+'3. Consumption by Rate Class'!$K$136</f>
        <v>126.5</v>
      </c>
      <c r="J21" s="37">
        <f>+'3. Consumption by Rate Class'!$K$137</f>
        <v>125</v>
      </c>
      <c r="K21" s="37">
        <f>+'3. Consumption by Rate Class'!$K$138</f>
        <v>125</v>
      </c>
      <c r="L21" s="37">
        <f>+'3. Consumption by Rate Class'!$K$139</f>
        <v>125</v>
      </c>
      <c r="M21" s="37">
        <f>+'3. Consumption by Rate Class'!$K$140</f>
        <v>125</v>
      </c>
      <c r="N21" s="37">
        <f>+'3. Consumption by Rate Class'!$K$141</f>
        <v>125</v>
      </c>
      <c r="O21" s="37">
        <f t="shared" si="6"/>
        <v>126</v>
      </c>
      <c r="Q21" s="60">
        <f t="shared" si="7"/>
        <v>126</v>
      </c>
      <c r="R21" s="566">
        <f t="shared" si="8"/>
        <v>0</v>
      </c>
      <c r="S21" s="505"/>
      <c r="T21" s="505"/>
      <c r="U21" s="505"/>
    </row>
    <row r="22" spans="1:21" x14ac:dyDescent="0.2">
      <c r="A22" s="159" t="str">
        <f t="shared" si="5"/>
        <v>Unmetered Scattered Load</v>
      </c>
      <c r="B22" s="37">
        <f>+'3. Consumption by Rate Class'!$H$129</f>
        <v>40</v>
      </c>
      <c r="C22" s="37">
        <f>+'3. Consumption by Rate Class'!$H$130</f>
        <v>45</v>
      </c>
      <c r="D22" s="37">
        <f>+'3. Consumption by Rate Class'!$H$131</f>
        <v>45</v>
      </c>
      <c r="E22" s="37">
        <f>+'3. Consumption by Rate Class'!$H$132</f>
        <v>45.5</v>
      </c>
      <c r="F22" s="37">
        <f>+'3. Consumption by Rate Class'!$H$133</f>
        <v>46</v>
      </c>
      <c r="G22" s="37">
        <f>+'3. Consumption by Rate Class'!$H$134</f>
        <v>47.5</v>
      </c>
      <c r="H22" s="37">
        <f>+'3. Consumption by Rate Class'!$H$135</f>
        <v>50</v>
      </c>
      <c r="I22" s="37">
        <f>+'3. Consumption by Rate Class'!$H$136</f>
        <v>51.5</v>
      </c>
      <c r="J22" s="37">
        <f>+'3. Consumption by Rate Class'!$H$137</f>
        <v>52</v>
      </c>
      <c r="K22" s="37">
        <f>+'3. Consumption by Rate Class'!$H$138</f>
        <v>52</v>
      </c>
      <c r="L22" s="37">
        <f>+'3. Consumption by Rate Class'!$H$139</f>
        <v>52</v>
      </c>
      <c r="M22" s="37">
        <f>+'3. Consumption by Rate Class'!$H$140</f>
        <v>52.5</v>
      </c>
      <c r="N22" s="37">
        <f>+'3. Consumption by Rate Class'!$H$141</f>
        <v>60</v>
      </c>
      <c r="O22" s="37">
        <f t="shared" si="6"/>
        <v>49.916666666666664</v>
      </c>
      <c r="Q22" s="60">
        <f t="shared" si="7"/>
        <v>49.916666666666664</v>
      </c>
      <c r="R22" s="566">
        <f t="shared" si="8"/>
        <v>20</v>
      </c>
      <c r="S22" s="505"/>
      <c r="T22" s="505"/>
      <c r="U22" s="505"/>
    </row>
    <row r="23" spans="1:21" x14ac:dyDescent="0.2">
      <c r="A23" s="159" t="str">
        <f t="shared" si="5"/>
        <v>Street Lights</v>
      </c>
      <c r="B23" s="37">
        <f>+'3. Consumption by Rate Class'!$Q$129</f>
        <v>2254</v>
      </c>
      <c r="C23" s="37">
        <f>+'3. Consumption by Rate Class'!$Q$130</f>
        <v>2254</v>
      </c>
      <c r="D23" s="37">
        <f>+'3. Consumption by Rate Class'!$Q$131</f>
        <v>2254</v>
      </c>
      <c r="E23" s="37">
        <f>+'3. Consumption by Rate Class'!$Q$132</f>
        <v>2254</v>
      </c>
      <c r="F23" s="37">
        <f>+'3. Consumption by Rate Class'!$Q$133</f>
        <v>2254</v>
      </c>
      <c r="G23" s="37">
        <f>+'3. Consumption by Rate Class'!$Q$134</f>
        <v>2254</v>
      </c>
      <c r="H23" s="37">
        <f>+'3. Consumption by Rate Class'!$Q$135</f>
        <v>2254</v>
      </c>
      <c r="I23" s="37">
        <f>+'3. Consumption by Rate Class'!$Q$136</f>
        <v>2254</v>
      </c>
      <c r="J23" s="37">
        <f>+'3. Consumption by Rate Class'!$Q$137</f>
        <v>2254</v>
      </c>
      <c r="K23" s="37">
        <f>+'3. Consumption by Rate Class'!$Q$138</f>
        <v>2254</v>
      </c>
      <c r="L23" s="37">
        <f>+'3. Consumption by Rate Class'!$Q$139</f>
        <v>2254</v>
      </c>
      <c r="M23" s="37">
        <f>+'3. Consumption by Rate Class'!$Q$140</f>
        <v>2254</v>
      </c>
      <c r="N23" s="37">
        <f>+'3. Consumption by Rate Class'!$Q$141</f>
        <v>2254</v>
      </c>
      <c r="O23" s="37">
        <f t="shared" si="6"/>
        <v>2254</v>
      </c>
      <c r="Q23" s="60">
        <f t="shared" si="7"/>
        <v>2254</v>
      </c>
      <c r="R23" s="566">
        <f t="shared" si="8"/>
        <v>0</v>
      </c>
      <c r="S23" s="505"/>
      <c r="T23" s="505"/>
      <c r="U23" s="505"/>
    </row>
    <row r="24" spans="1:21" x14ac:dyDescent="0.2">
      <c r="A24" s="159" t="str">
        <f t="shared" si="5"/>
        <v>Large User</v>
      </c>
      <c r="B24" s="37">
        <f>+'3. Consumption by Rate Class'!$T$129</f>
        <v>1</v>
      </c>
      <c r="C24" s="37">
        <f>+'3. Consumption by Rate Class'!$T$130</f>
        <v>1</v>
      </c>
      <c r="D24" s="37">
        <f>+'3. Consumption by Rate Class'!$T$131</f>
        <v>1</v>
      </c>
      <c r="E24" s="37">
        <f>+'3. Consumption by Rate Class'!$T$132</f>
        <v>1</v>
      </c>
      <c r="F24" s="37">
        <f>+'3. Consumption by Rate Class'!$T$133</f>
        <v>1</v>
      </c>
      <c r="G24" s="37">
        <f>+'3. Consumption by Rate Class'!$T$134</f>
        <v>1</v>
      </c>
      <c r="H24" s="37">
        <f>+'3. Consumption by Rate Class'!$T$135</f>
        <v>1</v>
      </c>
      <c r="I24" s="37">
        <f>+'3. Consumption by Rate Class'!$T$136</f>
        <v>0</v>
      </c>
      <c r="J24" s="37">
        <f>+'3. Consumption by Rate Class'!$T$137</f>
        <v>0</v>
      </c>
      <c r="K24" s="37">
        <f>+'3. Consumption by Rate Class'!$T$138</f>
        <v>0</v>
      </c>
      <c r="L24" s="37">
        <f>+'3. Consumption by Rate Class'!$T$139</f>
        <v>0</v>
      </c>
      <c r="M24" s="37">
        <f>+'3. Consumption by Rate Class'!$T$140</f>
        <v>0</v>
      </c>
      <c r="N24" s="37">
        <f>+'3. Consumption by Rate Class'!$T$141</f>
        <v>0</v>
      </c>
      <c r="O24" s="37">
        <f t="shared" si="6"/>
        <v>0.5</v>
      </c>
      <c r="Q24" s="60">
        <f t="shared" si="7"/>
        <v>0.5</v>
      </c>
      <c r="R24" s="566">
        <f t="shared" si="8"/>
        <v>-1</v>
      </c>
      <c r="S24" s="505"/>
      <c r="T24" s="505"/>
      <c r="U24" s="505"/>
    </row>
    <row r="25" spans="1:21" x14ac:dyDescent="0.2">
      <c r="A25" s="159" t="str">
        <f t="shared" si="5"/>
        <v>Total</v>
      </c>
      <c r="B25" s="412"/>
      <c r="C25" s="412">
        <f>SUM(C19:C24)</f>
        <v>12034.5</v>
      </c>
      <c r="D25" s="412">
        <f t="shared" ref="D25:R25" si="9">SUM(D19:D24)</f>
        <v>12041</v>
      </c>
      <c r="E25" s="412">
        <f t="shared" si="9"/>
        <v>12050</v>
      </c>
      <c r="F25" s="412">
        <f t="shared" si="9"/>
        <v>12058</v>
      </c>
      <c r="G25" s="412">
        <f t="shared" si="9"/>
        <v>12063</v>
      </c>
      <c r="H25" s="412">
        <f t="shared" si="9"/>
        <v>12071</v>
      </c>
      <c r="I25" s="412">
        <f t="shared" si="9"/>
        <v>12079.5</v>
      </c>
      <c r="J25" s="412">
        <f t="shared" si="9"/>
        <v>12085.5</v>
      </c>
      <c r="K25" s="412">
        <f t="shared" si="9"/>
        <v>12088.5</v>
      </c>
      <c r="L25" s="412">
        <f t="shared" si="9"/>
        <v>12092</v>
      </c>
      <c r="M25" s="412">
        <f t="shared" si="9"/>
        <v>12099</v>
      </c>
      <c r="N25" s="412">
        <f t="shared" si="9"/>
        <v>12118.5</v>
      </c>
      <c r="O25" s="412">
        <f t="shared" si="9"/>
        <v>12073.375</v>
      </c>
      <c r="Q25" s="412">
        <f t="shared" si="9"/>
        <v>12073.375</v>
      </c>
      <c r="R25" s="412">
        <f t="shared" si="9"/>
        <v>97</v>
      </c>
    </row>
    <row r="27" spans="1:21" x14ac:dyDescent="0.2">
      <c r="C27" s="595" t="s">
        <v>245</v>
      </c>
      <c r="D27" s="595"/>
      <c r="E27" s="595"/>
      <c r="F27" s="595"/>
      <c r="G27" s="595"/>
      <c r="H27" s="595"/>
      <c r="I27" s="595"/>
      <c r="J27" s="595"/>
      <c r="K27" s="595"/>
      <c r="L27" s="595"/>
      <c r="M27" s="595"/>
      <c r="N27" s="595"/>
      <c r="Q27" s="22" t="s">
        <v>244</v>
      </c>
    </row>
    <row r="28" spans="1:21" x14ac:dyDescent="0.2">
      <c r="A28" s="1" t="s">
        <v>221</v>
      </c>
      <c r="B28" s="410">
        <f>+B8</f>
        <v>44561</v>
      </c>
      <c r="C28" s="410">
        <f>+C8</f>
        <v>44592</v>
      </c>
      <c r="D28" s="410">
        <f t="shared" ref="D28:N28" si="10">+D8</f>
        <v>44620</v>
      </c>
      <c r="E28" s="410">
        <f t="shared" si="10"/>
        <v>44651</v>
      </c>
      <c r="F28" s="410">
        <f t="shared" si="10"/>
        <v>44681</v>
      </c>
      <c r="G28" s="410">
        <f t="shared" si="10"/>
        <v>44712</v>
      </c>
      <c r="H28" s="410">
        <f t="shared" si="10"/>
        <v>44742</v>
      </c>
      <c r="I28" s="410">
        <f t="shared" si="10"/>
        <v>44773</v>
      </c>
      <c r="J28" s="410">
        <f t="shared" si="10"/>
        <v>44804</v>
      </c>
      <c r="K28" s="410">
        <f t="shared" si="10"/>
        <v>44834</v>
      </c>
      <c r="L28" s="410">
        <f t="shared" si="10"/>
        <v>44865</v>
      </c>
      <c r="M28" s="410">
        <f t="shared" si="10"/>
        <v>44895</v>
      </c>
      <c r="N28" s="410">
        <f t="shared" si="10"/>
        <v>44926</v>
      </c>
      <c r="O28" s="411" t="s">
        <v>15</v>
      </c>
      <c r="Q28" s="411" t="s">
        <v>170</v>
      </c>
      <c r="R28" s="411" t="s">
        <v>230</v>
      </c>
    </row>
    <row r="29" spans="1:21" x14ac:dyDescent="0.2">
      <c r="A29" s="159" t="str">
        <f>+A9</f>
        <v>Residential</v>
      </c>
      <c r="B29" s="510"/>
      <c r="C29" s="510">
        <f t="shared" ref="C29:C34" si="11">+C19</f>
        <v>8130.5</v>
      </c>
      <c r="D29" s="510">
        <f t="shared" ref="D29:H29" si="12">+D19</f>
        <v>8136</v>
      </c>
      <c r="E29" s="510">
        <f t="shared" si="12"/>
        <v>8142</v>
      </c>
      <c r="F29" s="510">
        <f t="shared" si="12"/>
        <v>8155.5</v>
      </c>
      <c r="G29" s="510">
        <f t="shared" si="12"/>
        <v>8168.5</v>
      </c>
      <c r="H29" s="510">
        <f t="shared" si="12"/>
        <v>8174</v>
      </c>
      <c r="I29" s="510">
        <f>+I19</f>
        <v>8182</v>
      </c>
      <c r="J29" s="510">
        <f>+J19</f>
        <v>8189.5</v>
      </c>
      <c r="K29" s="510">
        <f>+K19</f>
        <v>8191</v>
      </c>
      <c r="L29" s="510">
        <f>+L19</f>
        <v>8192.5</v>
      </c>
      <c r="M29" s="510">
        <f t="shared" ref="M29:N29" si="13">+M19</f>
        <v>8199.5</v>
      </c>
      <c r="N29" s="510">
        <f t="shared" si="13"/>
        <v>8212.5</v>
      </c>
      <c r="O29" s="37">
        <f>AVERAGE(C29:N29)</f>
        <v>8172.791666666667</v>
      </c>
      <c r="Q29" s="140">
        <f>+'10. Final Load Forecast'!N6</f>
        <v>8282.375</v>
      </c>
      <c r="R29" s="60">
        <f t="shared" ref="R29:R34" si="14">+Q29-O29</f>
        <v>109.58333333333303</v>
      </c>
    </row>
    <row r="30" spans="1:21" x14ac:dyDescent="0.2">
      <c r="A30" s="159" t="str">
        <f t="shared" ref="A30:A34" si="15">+A10</f>
        <v>General Service &lt; 50 kW</v>
      </c>
      <c r="B30" s="510"/>
      <c r="C30" s="510">
        <f t="shared" si="11"/>
        <v>1479</v>
      </c>
      <c r="D30" s="510">
        <f t="shared" ref="D30:J31" si="16">+D20</f>
        <v>1480</v>
      </c>
      <c r="E30" s="510">
        <f t="shared" si="16"/>
        <v>1481</v>
      </c>
      <c r="F30" s="510">
        <f t="shared" si="16"/>
        <v>1473.5</v>
      </c>
      <c r="G30" s="510">
        <f t="shared" si="16"/>
        <v>1464</v>
      </c>
      <c r="H30" s="510">
        <f t="shared" si="16"/>
        <v>1464</v>
      </c>
      <c r="I30" s="510">
        <f t="shared" si="16"/>
        <v>1465.5</v>
      </c>
      <c r="J30" s="510">
        <f t="shared" si="16"/>
        <v>1465</v>
      </c>
      <c r="K30" s="510">
        <f t="shared" ref="K30:L30" si="17">+K20</f>
        <v>1466.5</v>
      </c>
      <c r="L30" s="510">
        <f t="shared" si="17"/>
        <v>1468.5</v>
      </c>
      <c r="M30" s="510">
        <f t="shared" ref="M30:N30" si="18">+M20</f>
        <v>1468</v>
      </c>
      <c r="N30" s="510">
        <f t="shared" si="18"/>
        <v>1467</v>
      </c>
      <c r="O30" s="37">
        <f t="shared" ref="O30:O34" si="19">AVERAGE(C30:N30)</f>
        <v>1470.1666666666667</v>
      </c>
      <c r="Q30" s="140">
        <f>+'10. Final Load Forecast'!N10</f>
        <v>1486.5</v>
      </c>
      <c r="R30" s="60">
        <f t="shared" si="14"/>
        <v>16.333333333333258</v>
      </c>
    </row>
    <row r="31" spans="1:21" x14ac:dyDescent="0.2">
      <c r="A31" s="159" t="str">
        <f t="shared" si="15"/>
        <v>General Service &gt; 50 kW - 4999 kW</v>
      </c>
      <c r="B31" s="510"/>
      <c r="C31" s="510">
        <f t="shared" si="11"/>
        <v>125</v>
      </c>
      <c r="D31" s="510">
        <f t="shared" ref="D31:G31" si="20">+D21</f>
        <v>125</v>
      </c>
      <c r="E31" s="510">
        <f t="shared" si="20"/>
        <v>126.5</v>
      </c>
      <c r="F31" s="510">
        <f t="shared" si="20"/>
        <v>128</v>
      </c>
      <c r="G31" s="510">
        <f t="shared" si="20"/>
        <v>128</v>
      </c>
      <c r="H31" s="510">
        <f t="shared" si="16"/>
        <v>128</v>
      </c>
      <c r="I31" s="510">
        <f t="shared" si="16"/>
        <v>126.5</v>
      </c>
      <c r="J31" s="510">
        <f t="shared" si="16"/>
        <v>125</v>
      </c>
      <c r="K31" s="510">
        <f t="shared" ref="K31:L31" si="21">+K21</f>
        <v>125</v>
      </c>
      <c r="L31" s="510">
        <f t="shared" si="21"/>
        <v>125</v>
      </c>
      <c r="M31" s="510">
        <f t="shared" ref="M31:N31" si="22">+M21</f>
        <v>125</v>
      </c>
      <c r="N31" s="510">
        <f t="shared" si="22"/>
        <v>125</v>
      </c>
      <c r="O31" s="37">
        <f t="shared" si="19"/>
        <v>126</v>
      </c>
      <c r="Q31" s="140">
        <f>+'10. Final Load Forecast'!N14</f>
        <v>125</v>
      </c>
      <c r="R31" s="60">
        <f t="shared" si="14"/>
        <v>-1</v>
      </c>
    </row>
    <row r="32" spans="1:21" x14ac:dyDescent="0.2">
      <c r="A32" s="159" t="str">
        <f t="shared" si="15"/>
        <v>Unmetered Scattered Load</v>
      </c>
      <c r="B32" s="510"/>
      <c r="C32" s="510">
        <f t="shared" si="11"/>
        <v>45</v>
      </c>
      <c r="D32" s="510">
        <f t="shared" ref="D32:J33" si="23">+D22</f>
        <v>45</v>
      </c>
      <c r="E32" s="510">
        <f t="shared" si="23"/>
        <v>45.5</v>
      </c>
      <c r="F32" s="510">
        <f t="shared" si="23"/>
        <v>46</v>
      </c>
      <c r="G32" s="510">
        <f t="shared" si="23"/>
        <v>47.5</v>
      </c>
      <c r="H32" s="510">
        <f t="shared" si="23"/>
        <v>50</v>
      </c>
      <c r="I32" s="510">
        <f t="shared" si="23"/>
        <v>51.5</v>
      </c>
      <c r="J32" s="510">
        <f t="shared" si="23"/>
        <v>52</v>
      </c>
      <c r="K32" s="510">
        <f t="shared" ref="K32:L32" si="24">+K22</f>
        <v>52</v>
      </c>
      <c r="L32" s="510">
        <f t="shared" si="24"/>
        <v>52</v>
      </c>
      <c r="M32" s="510">
        <f t="shared" ref="M32:N32" si="25">+M22</f>
        <v>52.5</v>
      </c>
      <c r="N32" s="510">
        <f t="shared" si="25"/>
        <v>60</v>
      </c>
      <c r="O32" s="37">
        <f t="shared" si="19"/>
        <v>49.916666666666664</v>
      </c>
      <c r="Q32" s="140">
        <f>+'10. Final Load Forecast'!N18</f>
        <v>60</v>
      </c>
      <c r="R32" s="60">
        <f t="shared" si="14"/>
        <v>10.083333333333336</v>
      </c>
    </row>
    <row r="33" spans="1:21" x14ac:dyDescent="0.2">
      <c r="A33" s="159" t="str">
        <f t="shared" si="15"/>
        <v>Street Lights</v>
      </c>
      <c r="B33" s="510"/>
      <c r="C33" s="510">
        <f t="shared" si="11"/>
        <v>2254</v>
      </c>
      <c r="D33" s="510">
        <f t="shared" si="23"/>
        <v>2254</v>
      </c>
      <c r="E33" s="510">
        <f t="shared" si="23"/>
        <v>2254</v>
      </c>
      <c r="F33" s="510">
        <f t="shared" si="23"/>
        <v>2254</v>
      </c>
      <c r="G33" s="510">
        <f t="shared" si="23"/>
        <v>2254</v>
      </c>
      <c r="H33" s="510">
        <f t="shared" si="23"/>
        <v>2254</v>
      </c>
      <c r="I33" s="510">
        <f t="shared" si="23"/>
        <v>2254</v>
      </c>
      <c r="J33" s="510">
        <f t="shared" si="23"/>
        <v>2254</v>
      </c>
      <c r="K33" s="510">
        <f t="shared" ref="K33:L33" si="26">+K23</f>
        <v>2254</v>
      </c>
      <c r="L33" s="510">
        <f t="shared" si="26"/>
        <v>2254</v>
      </c>
      <c r="M33" s="510">
        <f t="shared" ref="M33:N33" si="27">+M23</f>
        <v>2254</v>
      </c>
      <c r="N33" s="510">
        <f t="shared" si="27"/>
        <v>2254</v>
      </c>
      <c r="O33" s="37">
        <f t="shared" si="19"/>
        <v>2254</v>
      </c>
      <c r="Q33" s="140">
        <f>+'10. Final Load Forecast'!N22</f>
        <v>2254</v>
      </c>
      <c r="R33" s="60">
        <f t="shared" si="14"/>
        <v>0</v>
      </c>
    </row>
    <row r="34" spans="1:21" x14ac:dyDescent="0.2">
      <c r="A34" s="159" t="str">
        <f t="shared" si="15"/>
        <v>Large User</v>
      </c>
      <c r="B34" s="510"/>
      <c r="C34" s="510">
        <f t="shared" si="11"/>
        <v>1</v>
      </c>
      <c r="D34" s="510">
        <f t="shared" ref="D34:N34" si="28">+D24</f>
        <v>1</v>
      </c>
      <c r="E34" s="510">
        <f t="shared" si="28"/>
        <v>1</v>
      </c>
      <c r="F34" s="510">
        <f t="shared" si="28"/>
        <v>1</v>
      </c>
      <c r="G34" s="510">
        <f t="shared" si="28"/>
        <v>1</v>
      </c>
      <c r="H34" s="510">
        <f t="shared" si="28"/>
        <v>1</v>
      </c>
      <c r="I34" s="510">
        <f t="shared" si="28"/>
        <v>0</v>
      </c>
      <c r="J34" s="510">
        <f t="shared" si="28"/>
        <v>0</v>
      </c>
      <c r="K34" s="510">
        <f t="shared" si="28"/>
        <v>0</v>
      </c>
      <c r="L34" s="510">
        <f t="shared" si="28"/>
        <v>0</v>
      </c>
      <c r="M34" s="510">
        <f t="shared" si="28"/>
        <v>0</v>
      </c>
      <c r="N34" s="510">
        <f t="shared" si="28"/>
        <v>0</v>
      </c>
      <c r="O34" s="37">
        <f t="shared" si="19"/>
        <v>0.5</v>
      </c>
      <c r="Q34" s="140">
        <f>+'10. Final Load Forecast'!N26</f>
        <v>0.5</v>
      </c>
      <c r="R34" s="60">
        <f t="shared" si="14"/>
        <v>0</v>
      </c>
    </row>
    <row r="35" spans="1:21" x14ac:dyDescent="0.2">
      <c r="A35" s="159" t="str">
        <f>+A15</f>
        <v>Total</v>
      </c>
      <c r="B35" s="412"/>
      <c r="C35" s="412">
        <f>SUM(C29:C34)</f>
        <v>12034.5</v>
      </c>
      <c r="D35" s="412">
        <f t="shared" ref="D35:O35" si="29">SUM(D29:D34)</f>
        <v>12041</v>
      </c>
      <c r="E35" s="412">
        <f t="shared" si="29"/>
        <v>12050</v>
      </c>
      <c r="F35" s="412">
        <f t="shared" si="29"/>
        <v>12058</v>
      </c>
      <c r="G35" s="412">
        <f t="shared" si="29"/>
        <v>12063</v>
      </c>
      <c r="H35" s="412">
        <f t="shared" si="29"/>
        <v>12071</v>
      </c>
      <c r="I35" s="412">
        <f t="shared" si="29"/>
        <v>12079.5</v>
      </c>
      <c r="J35" s="412">
        <f t="shared" si="29"/>
        <v>12085.5</v>
      </c>
      <c r="K35" s="412">
        <f t="shared" si="29"/>
        <v>12088.5</v>
      </c>
      <c r="L35" s="412">
        <f t="shared" si="29"/>
        <v>12092</v>
      </c>
      <c r="M35" s="412">
        <f t="shared" si="29"/>
        <v>12099</v>
      </c>
      <c r="N35" s="412">
        <f t="shared" si="29"/>
        <v>12118.5</v>
      </c>
      <c r="O35" s="412">
        <f t="shared" si="29"/>
        <v>12073.375</v>
      </c>
      <c r="Q35" s="140">
        <f>SUM(Q29:Q34)</f>
        <v>12208.375</v>
      </c>
    </row>
    <row r="36" spans="1:21" x14ac:dyDescent="0.2">
      <c r="A36" s="159"/>
      <c r="B36" s="60"/>
      <c r="C36" s="60"/>
      <c r="D36" s="60"/>
      <c r="E36" s="60"/>
      <c r="F36" s="60"/>
      <c r="G36" s="60"/>
      <c r="H36" s="60"/>
      <c r="I36" s="60"/>
      <c r="J36" s="60"/>
      <c r="K36" s="60"/>
      <c r="L36" s="60"/>
      <c r="M36" s="60"/>
      <c r="N36" s="60"/>
      <c r="O36" s="60"/>
      <c r="Q36" s="140"/>
    </row>
    <row r="37" spans="1:21" x14ac:dyDescent="0.2">
      <c r="A37" s="159" t="s">
        <v>247</v>
      </c>
      <c r="B37" s="60"/>
      <c r="C37" s="60">
        <f>+C29+C30+C31</f>
        <v>9734.5</v>
      </c>
      <c r="D37" s="60">
        <f t="shared" ref="D37:N37" si="30">+D29+D30+D31</f>
        <v>9741</v>
      </c>
      <c r="E37" s="60">
        <f t="shared" si="30"/>
        <v>9749.5</v>
      </c>
      <c r="F37" s="60">
        <f t="shared" si="30"/>
        <v>9757</v>
      </c>
      <c r="G37" s="60">
        <f t="shared" si="30"/>
        <v>9760.5</v>
      </c>
      <c r="H37" s="60">
        <f t="shared" si="30"/>
        <v>9766</v>
      </c>
      <c r="I37" s="60">
        <f t="shared" si="30"/>
        <v>9774</v>
      </c>
      <c r="J37" s="60">
        <f t="shared" si="30"/>
        <v>9779.5</v>
      </c>
      <c r="K37" s="60">
        <f t="shared" si="30"/>
        <v>9782.5</v>
      </c>
      <c r="L37" s="60">
        <f t="shared" si="30"/>
        <v>9786</v>
      </c>
      <c r="M37" s="60">
        <f t="shared" si="30"/>
        <v>9792.5</v>
      </c>
      <c r="N37" s="60">
        <f t="shared" si="30"/>
        <v>9804.5</v>
      </c>
      <c r="O37" s="60"/>
      <c r="Q37" s="140"/>
    </row>
    <row r="38" spans="1:21" x14ac:dyDescent="0.2">
      <c r="A38" s="159"/>
      <c r="B38" s="60"/>
      <c r="C38" s="60"/>
      <c r="D38" s="60"/>
      <c r="E38" s="60"/>
      <c r="F38" s="60"/>
      <c r="G38" s="60"/>
      <c r="H38" s="60"/>
      <c r="I38" s="60"/>
      <c r="J38" s="60"/>
      <c r="K38" s="60"/>
      <c r="L38" s="60"/>
      <c r="M38" s="60"/>
      <c r="N38" s="60"/>
      <c r="O38" s="60"/>
      <c r="Q38" s="140"/>
    </row>
    <row r="40" spans="1:21" x14ac:dyDescent="0.2">
      <c r="C40" s="595" t="s">
        <v>434</v>
      </c>
      <c r="D40" s="595"/>
      <c r="E40" s="595"/>
      <c r="F40" s="595"/>
      <c r="G40" s="595"/>
      <c r="H40" s="595"/>
      <c r="I40" s="595"/>
      <c r="J40" s="595"/>
      <c r="K40" s="595"/>
      <c r="L40" s="595"/>
      <c r="M40" s="595"/>
      <c r="N40" s="595"/>
    </row>
    <row r="41" spans="1:21" x14ac:dyDescent="0.2">
      <c r="B41" s="22"/>
      <c r="C41" s="22" t="str">
        <f>+'1. Assumptions'!C8</f>
        <v>Bridge</v>
      </c>
      <c r="D41" s="22" t="str">
        <f>+'1. Assumptions'!D8</f>
        <v>Bridge</v>
      </c>
      <c r="E41" s="22" t="str">
        <f>+'1. Assumptions'!E8</f>
        <v>Bridge</v>
      </c>
      <c r="F41" s="22" t="str">
        <f>+'1. Assumptions'!F8</f>
        <v>Bridge</v>
      </c>
      <c r="G41" s="22" t="str">
        <f>+'1. Assumptions'!G8</f>
        <v>Bridge</v>
      </c>
      <c r="H41" s="22" t="str">
        <f>+'1. Assumptions'!H8</f>
        <v>Bridge</v>
      </c>
      <c r="I41" s="22" t="str">
        <f>+'1. Assumptions'!I8</f>
        <v>Bridge</v>
      </c>
      <c r="J41" s="22" t="str">
        <f>+'1. Assumptions'!J8</f>
        <v>Bridge</v>
      </c>
      <c r="K41" s="22" t="str">
        <f>+'1. Assumptions'!K8</f>
        <v>Bridge</v>
      </c>
      <c r="L41" s="22" t="str">
        <f>+'1. Assumptions'!L8</f>
        <v>Bridge</v>
      </c>
      <c r="M41" s="22" t="str">
        <f>+'1. Assumptions'!M8</f>
        <v>Bridge</v>
      </c>
      <c r="N41" s="22" t="str">
        <f>+'1. Assumptions'!N8</f>
        <v>Bridge</v>
      </c>
      <c r="Q41" s="22" t="s">
        <v>244</v>
      </c>
    </row>
    <row r="42" spans="1:21" x14ac:dyDescent="0.2">
      <c r="A42" s="1" t="s">
        <v>221</v>
      </c>
      <c r="B42" s="410"/>
      <c r="C42" s="410">
        <f>+'1. Assumptions'!C9</f>
        <v>44957</v>
      </c>
      <c r="D42" s="410">
        <f>+'1. Assumptions'!D9</f>
        <v>44985</v>
      </c>
      <c r="E42" s="410">
        <f>+'1. Assumptions'!E9</f>
        <v>45016</v>
      </c>
      <c r="F42" s="410">
        <f>+'1. Assumptions'!F9</f>
        <v>45046</v>
      </c>
      <c r="G42" s="410">
        <f>+'1. Assumptions'!G9</f>
        <v>45077</v>
      </c>
      <c r="H42" s="410">
        <f>+'1. Assumptions'!H9</f>
        <v>45107</v>
      </c>
      <c r="I42" s="410">
        <f>+'1. Assumptions'!I9</f>
        <v>45138</v>
      </c>
      <c r="J42" s="410">
        <f>+'1. Assumptions'!J9</f>
        <v>45169</v>
      </c>
      <c r="K42" s="410">
        <f>+'1. Assumptions'!K9</f>
        <v>45199</v>
      </c>
      <c r="L42" s="410">
        <f>+'1. Assumptions'!L9</f>
        <v>45230</v>
      </c>
      <c r="M42" s="410">
        <f>+'1. Assumptions'!M9</f>
        <v>45260</v>
      </c>
      <c r="N42" s="410">
        <f>+'1. Assumptions'!N9</f>
        <v>45291</v>
      </c>
      <c r="O42" s="411" t="s">
        <v>15</v>
      </c>
      <c r="Q42" s="411" t="s">
        <v>170</v>
      </c>
      <c r="R42" s="411" t="s">
        <v>230</v>
      </c>
      <c r="S42" s="1" t="s">
        <v>248</v>
      </c>
      <c r="U42" s="411" t="s">
        <v>325</v>
      </c>
    </row>
    <row r="43" spans="1:21" x14ac:dyDescent="0.2">
      <c r="A43" s="159" t="str">
        <f>+$A$9</f>
        <v>Residential</v>
      </c>
      <c r="B43" s="429"/>
      <c r="C43" s="510">
        <f>+N29+$S43</f>
        <v>8223.25</v>
      </c>
      <c r="D43" s="510">
        <f>+C43+$S43</f>
        <v>8234</v>
      </c>
      <c r="E43" s="510">
        <f t="shared" ref="E43:N43" si="31">+D43+$S43</f>
        <v>8244.75</v>
      </c>
      <c r="F43" s="510">
        <f t="shared" si="31"/>
        <v>8255.5</v>
      </c>
      <c r="G43" s="510">
        <f t="shared" si="31"/>
        <v>8266.25</v>
      </c>
      <c r="H43" s="510">
        <f t="shared" si="31"/>
        <v>8277</v>
      </c>
      <c r="I43" s="510">
        <f t="shared" si="31"/>
        <v>8287.75</v>
      </c>
      <c r="J43" s="510">
        <f t="shared" si="31"/>
        <v>8298.5</v>
      </c>
      <c r="K43" s="510">
        <f t="shared" si="31"/>
        <v>8309.25</v>
      </c>
      <c r="L43" s="510">
        <f t="shared" si="31"/>
        <v>8320</v>
      </c>
      <c r="M43" s="510">
        <f t="shared" si="31"/>
        <v>8330.75</v>
      </c>
      <c r="N43" s="510">
        <f t="shared" si="31"/>
        <v>8341.5</v>
      </c>
      <c r="O43" s="37">
        <f>AVERAGE(C43:N43)</f>
        <v>8282.375</v>
      </c>
      <c r="Q43" s="140">
        <f>+'10. Final Load Forecast'!O6</f>
        <v>8403.7916666666715</v>
      </c>
      <c r="R43" s="60">
        <f t="shared" ref="R43:R48" si="32">+Q43-O43</f>
        <v>121.41666666667152</v>
      </c>
      <c r="S43" s="450">
        <f>+U43/12</f>
        <v>10.75</v>
      </c>
      <c r="U43" s="436">
        <f>+'1. Assumptions'!C26</f>
        <v>129</v>
      </c>
    </row>
    <row r="44" spans="1:21" x14ac:dyDescent="0.2">
      <c r="A44" s="159" t="str">
        <f>+$A$10</f>
        <v>General Service &lt; 50 kW</v>
      </c>
      <c r="B44" s="429"/>
      <c r="C44" s="510">
        <f>+N30+$S44</f>
        <v>1470</v>
      </c>
      <c r="D44" s="510">
        <f>+C44+$S44</f>
        <v>1473</v>
      </c>
      <c r="E44" s="510">
        <f t="shared" ref="E44:N44" si="33">+D44+$S44</f>
        <v>1476</v>
      </c>
      <c r="F44" s="510">
        <f t="shared" si="33"/>
        <v>1479</v>
      </c>
      <c r="G44" s="510">
        <f t="shared" si="33"/>
        <v>1482</v>
      </c>
      <c r="H44" s="510">
        <f t="shared" si="33"/>
        <v>1485</v>
      </c>
      <c r="I44" s="510">
        <f t="shared" si="33"/>
        <v>1488</v>
      </c>
      <c r="J44" s="510">
        <f t="shared" si="33"/>
        <v>1491</v>
      </c>
      <c r="K44" s="510">
        <f t="shared" si="33"/>
        <v>1494</v>
      </c>
      <c r="L44" s="510">
        <f t="shared" si="33"/>
        <v>1497</v>
      </c>
      <c r="M44" s="510">
        <f t="shared" si="33"/>
        <v>1500</v>
      </c>
      <c r="N44" s="510">
        <f t="shared" si="33"/>
        <v>1503</v>
      </c>
      <c r="O44" s="37">
        <f t="shared" ref="O44:O48" si="34">AVERAGE(C44:N44)</f>
        <v>1486.5</v>
      </c>
      <c r="Q44" s="140">
        <f>+'10. Final Load Forecast'!O10</f>
        <v>1522.5</v>
      </c>
      <c r="R44" s="60">
        <f t="shared" si="32"/>
        <v>36</v>
      </c>
      <c r="S44" s="450">
        <f>+U44/12</f>
        <v>3</v>
      </c>
      <c r="U44" s="436">
        <f>+'1. Assumptions'!C28</f>
        <v>36</v>
      </c>
    </row>
    <row r="45" spans="1:21" x14ac:dyDescent="0.2">
      <c r="A45" s="159" t="str">
        <f>+$A$11</f>
        <v>General Service &gt; 50 kW - 4999 kW</v>
      </c>
      <c r="B45" s="429"/>
      <c r="C45" s="510">
        <f t="shared" ref="C45:C47" si="35">+N31+$S45</f>
        <v>125</v>
      </c>
      <c r="D45" s="510">
        <f t="shared" ref="D45:D47" si="36">+C45+$S45</f>
        <v>125</v>
      </c>
      <c r="E45" s="510">
        <f t="shared" ref="E45:E47" si="37">+D45+$S45</f>
        <v>125</v>
      </c>
      <c r="F45" s="510">
        <f t="shared" ref="F45:F47" si="38">+E45+$S45</f>
        <v>125</v>
      </c>
      <c r="G45" s="510">
        <f t="shared" ref="G45:G47" si="39">+F45+$S45</f>
        <v>125</v>
      </c>
      <c r="H45" s="510">
        <f t="shared" ref="H45:H47" si="40">+G45+$S45</f>
        <v>125</v>
      </c>
      <c r="I45" s="510">
        <f t="shared" ref="I45:I47" si="41">+H45+$S45</f>
        <v>125</v>
      </c>
      <c r="J45" s="510">
        <f t="shared" ref="J45:J47" si="42">+I45+$S45</f>
        <v>125</v>
      </c>
      <c r="K45" s="510">
        <f t="shared" ref="K45:K47" si="43">+J45+$S45</f>
        <v>125</v>
      </c>
      <c r="L45" s="510">
        <f t="shared" ref="L45:L47" si="44">+K45+$S45</f>
        <v>125</v>
      </c>
      <c r="M45" s="510">
        <f t="shared" ref="M45:M47" si="45">+L45+$S45</f>
        <v>125</v>
      </c>
      <c r="N45" s="510">
        <f t="shared" ref="N45:N47" si="46">+M45+$S45</f>
        <v>125</v>
      </c>
      <c r="O45" s="37">
        <f t="shared" si="34"/>
        <v>125</v>
      </c>
      <c r="Q45" s="140">
        <f>+'10. Final Load Forecast'!O14</f>
        <v>126.625</v>
      </c>
      <c r="R45" s="60">
        <f t="shared" si="32"/>
        <v>1.625</v>
      </c>
      <c r="S45" s="450">
        <f>+U45/12</f>
        <v>0</v>
      </c>
      <c r="U45" s="436">
        <f>+'1. Assumptions'!C29</f>
        <v>0</v>
      </c>
    </row>
    <row r="46" spans="1:21" x14ac:dyDescent="0.2">
      <c r="A46" s="159" t="str">
        <f>+$A$12</f>
        <v>Unmetered Scattered Load</v>
      </c>
      <c r="B46" s="429"/>
      <c r="C46" s="510">
        <f t="shared" si="35"/>
        <v>60</v>
      </c>
      <c r="D46" s="510">
        <f t="shared" si="36"/>
        <v>60</v>
      </c>
      <c r="E46" s="510">
        <f t="shared" si="37"/>
        <v>60</v>
      </c>
      <c r="F46" s="510">
        <f t="shared" si="38"/>
        <v>60</v>
      </c>
      <c r="G46" s="510">
        <f t="shared" si="39"/>
        <v>60</v>
      </c>
      <c r="H46" s="510">
        <f t="shared" si="40"/>
        <v>60</v>
      </c>
      <c r="I46" s="510">
        <f t="shared" si="41"/>
        <v>60</v>
      </c>
      <c r="J46" s="510">
        <f t="shared" si="42"/>
        <v>60</v>
      </c>
      <c r="K46" s="510">
        <f t="shared" si="43"/>
        <v>60</v>
      </c>
      <c r="L46" s="510">
        <f t="shared" si="44"/>
        <v>60</v>
      </c>
      <c r="M46" s="510">
        <f t="shared" si="45"/>
        <v>60</v>
      </c>
      <c r="N46" s="510">
        <f t="shared" si="46"/>
        <v>60</v>
      </c>
      <c r="O46" s="37">
        <f t="shared" si="34"/>
        <v>60</v>
      </c>
      <c r="Q46" s="140">
        <f>+'10. Final Load Forecast'!O18</f>
        <v>60</v>
      </c>
      <c r="R46" s="60">
        <f t="shared" si="32"/>
        <v>0</v>
      </c>
      <c r="U46" s="436"/>
    </row>
    <row r="47" spans="1:21" x14ac:dyDescent="0.2">
      <c r="A47" s="159" t="str">
        <f>+$A$13</f>
        <v>Street Lights</v>
      </c>
      <c r="B47" s="429"/>
      <c r="C47" s="510">
        <f t="shared" si="35"/>
        <v>2254</v>
      </c>
      <c r="D47" s="510">
        <f t="shared" si="36"/>
        <v>2254</v>
      </c>
      <c r="E47" s="510">
        <f t="shared" si="37"/>
        <v>2254</v>
      </c>
      <c r="F47" s="510">
        <f t="shared" si="38"/>
        <v>2254</v>
      </c>
      <c r="G47" s="510">
        <f t="shared" si="39"/>
        <v>2254</v>
      </c>
      <c r="H47" s="510">
        <f t="shared" si="40"/>
        <v>2254</v>
      </c>
      <c r="I47" s="510">
        <f t="shared" si="41"/>
        <v>2254</v>
      </c>
      <c r="J47" s="510">
        <f t="shared" si="42"/>
        <v>2254</v>
      </c>
      <c r="K47" s="510">
        <f t="shared" si="43"/>
        <v>2254</v>
      </c>
      <c r="L47" s="510">
        <f t="shared" si="44"/>
        <v>2254</v>
      </c>
      <c r="M47" s="510">
        <f t="shared" si="45"/>
        <v>2254</v>
      </c>
      <c r="N47" s="510">
        <f t="shared" si="46"/>
        <v>2254</v>
      </c>
      <c r="O47" s="37">
        <f t="shared" si="34"/>
        <v>2254</v>
      </c>
      <c r="Q47" s="140">
        <f>+'10. Final Load Forecast'!O22</f>
        <v>2254</v>
      </c>
      <c r="R47" s="60">
        <f t="shared" si="32"/>
        <v>0</v>
      </c>
      <c r="U47" s="436"/>
    </row>
    <row r="48" spans="1:21" x14ac:dyDescent="0.2">
      <c r="A48" s="159" t="str">
        <f>+$A$14</f>
        <v>Large User</v>
      </c>
      <c r="B48" s="429"/>
      <c r="C48" s="437">
        <f>+N34</f>
        <v>0</v>
      </c>
      <c r="D48" s="437">
        <f>+C48</f>
        <v>0</v>
      </c>
      <c r="E48" s="437">
        <f t="shared" ref="E48:N48" si="47">+D48</f>
        <v>0</v>
      </c>
      <c r="F48" s="437">
        <f t="shared" si="47"/>
        <v>0</v>
      </c>
      <c r="G48" s="437">
        <f t="shared" si="47"/>
        <v>0</v>
      </c>
      <c r="H48" s="437">
        <f t="shared" si="47"/>
        <v>0</v>
      </c>
      <c r="I48" s="437">
        <v>1</v>
      </c>
      <c r="J48" s="437">
        <v>1</v>
      </c>
      <c r="K48" s="437">
        <f t="shared" si="47"/>
        <v>1</v>
      </c>
      <c r="L48" s="437">
        <f t="shared" si="47"/>
        <v>1</v>
      </c>
      <c r="M48" s="437">
        <f t="shared" si="47"/>
        <v>1</v>
      </c>
      <c r="N48" s="437">
        <f t="shared" si="47"/>
        <v>1</v>
      </c>
      <c r="O48" s="37">
        <f t="shared" si="34"/>
        <v>0.5</v>
      </c>
      <c r="Q48" s="140">
        <f>+'10. Final Load Forecast'!O26</f>
        <v>1</v>
      </c>
      <c r="R48" s="60">
        <f t="shared" si="32"/>
        <v>0.5</v>
      </c>
      <c r="U48" s="436"/>
    </row>
    <row r="49" spans="1:21" x14ac:dyDescent="0.2">
      <c r="A49" s="159" t="str">
        <f>+$A$15</f>
        <v>Total</v>
      </c>
      <c r="B49" s="412"/>
      <c r="C49" s="412">
        <f>SUM(C43:C48)</f>
        <v>12132.25</v>
      </c>
      <c r="D49" s="412">
        <f t="shared" ref="D49:O49" si="48">SUM(D43:D48)</f>
        <v>12146</v>
      </c>
      <c r="E49" s="412">
        <f t="shared" si="48"/>
        <v>12159.75</v>
      </c>
      <c r="F49" s="412">
        <f t="shared" si="48"/>
        <v>12173.5</v>
      </c>
      <c r="G49" s="412">
        <f t="shared" si="48"/>
        <v>12187.25</v>
      </c>
      <c r="H49" s="412">
        <f t="shared" si="48"/>
        <v>12201</v>
      </c>
      <c r="I49" s="412">
        <f t="shared" si="48"/>
        <v>12215.75</v>
      </c>
      <c r="J49" s="412">
        <f t="shared" si="48"/>
        <v>12229.5</v>
      </c>
      <c r="K49" s="412">
        <f t="shared" si="48"/>
        <v>12243.25</v>
      </c>
      <c r="L49" s="412">
        <f t="shared" si="48"/>
        <v>12257</v>
      </c>
      <c r="M49" s="412">
        <f t="shared" si="48"/>
        <v>12270.75</v>
      </c>
      <c r="N49" s="412">
        <f t="shared" si="48"/>
        <v>12284.5</v>
      </c>
      <c r="O49" s="412">
        <f t="shared" si="48"/>
        <v>12208.375</v>
      </c>
      <c r="Q49" s="438">
        <f>SUM(Q43:Q48)</f>
        <v>12367.916666666672</v>
      </c>
      <c r="R49" s="439"/>
    </row>
    <row r="50" spans="1:21" x14ac:dyDescent="0.2">
      <c r="A50" s="159"/>
      <c r="B50" s="60"/>
      <c r="C50" s="60"/>
      <c r="D50" s="60"/>
      <c r="E50" s="60"/>
      <c r="F50" s="60"/>
      <c r="G50" s="60"/>
      <c r="H50" s="60"/>
      <c r="I50" s="60"/>
      <c r="J50" s="60"/>
      <c r="K50" s="60"/>
      <c r="L50" s="60"/>
      <c r="M50" s="60"/>
      <c r="N50" s="60"/>
      <c r="O50" s="60"/>
      <c r="Q50" s="140"/>
    </row>
    <row r="51" spans="1:21" x14ac:dyDescent="0.2">
      <c r="A51" s="159" t="s">
        <v>247</v>
      </c>
      <c r="B51" s="60"/>
      <c r="C51" s="60">
        <f>+C43+C44+C45</f>
        <v>9818.25</v>
      </c>
      <c r="D51" s="60">
        <f t="shared" ref="D51:N51" si="49">+D43+D44+D45</f>
        <v>9832</v>
      </c>
      <c r="E51" s="60">
        <f t="shared" si="49"/>
        <v>9845.75</v>
      </c>
      <c r="F51" s="60">
        <f t="shared" si="49"/>
        <v>9859.5</v>
      </c>
      <c r="G51" s="60">
        <f t="shared" si="49"/>
        <v>9873.25</v>
      </c>
      <c r="H51" s="60">
        <f t="shared" si="49"/>
        <v>9887</v>
      </c>
      <c r="I51" s="60">
        <f t="shared" si="49"/>
        <v>9900.75</v>
      </c>
      <c r="J51" s="60">
        <f t="shared" si="49"/>
        <v>9914.5</v>
      </c>
      <c r="K51" s="60">
        <f t="shared" si="49"/>
        <v>9928.25</v>
      </c>
      <c r="L51" s="60">
        <f t="shared" si="49"/>
        <v>9942</v>
      </c>
      <c r="M51" s="60">
        <f t="shared" si="49"/>
        <v>9955.75</v>
      </c>
      <c r="N51" s="60">
        <f t="shared" si="49"/>
        <v>9969.5</v>
      </c>
      <c r="O51" s="60"/>
      <c r="Q51" s="140"/>
    </row>
    <row r="53" spans="1:21" x14ac:dyDescent="0.2">
      <c r="B53" s="22"/>
      <c r="C53" s="413" t="str">
        <f>+'1. Assumptions'!C11</f>
        <v>Test</v>
      </c>
      <c r="D53" s="413" t="str">
        <f>+'1. Assumptions'!D11</f>
        <v>Test</v>
      </c>
      <c r="E53" s="413" t="str">
        <f>+'1. Assumptions'!E11</f>
        <v>Test</v>
      </c>
      <c r="F53" s="413" t="str">
        <f>+'1. Assumptions'!F11</f>
        <v>Test</v>
      </c>
      <c r="G53" s="413" t="str">
        <f>+'1. Assumptions'!G11</f>
        <v>Test</v>
      </c>
      <c r="H53" s="413" t="str">
        <f>+'1. Assumptions'!H11</f>
        <v>Test</v>
      </c>
      <c r="I53" s="413" t="str">
        <f>+'1. Assumptions'!I11</f>
        <v>Test</v>
      </c>
      <c r="J53" s="413" t="str">
        <f>+'1. Assumptions'!J11</f>
        <v>Test</v>
      </c>
      <c r="K53" s="413" t="str">
        <f>+'1. Assumptions'!K11</f>
        <v>Test</v>
      </c>
      <c r="L53" s="413" t="str">
        <f>+'1. Assumptions'!L11</f>
        <v>Test</v>
      </c>
      <c r="M53" s="413" t="str">
        <f>+'1. Assumptions'!M11</f>
        <v>Test</v>
      </c>
      <c r="N53" s="413" t="str">
        <f>+'1. Assumptions'!N11</f>
        <v>Test</v>
      </c>
      <c r="Q53" s="22" t="s">
        <v>244</v>
      </c>
    </row>
    <row r="54" spans="1:21" x14ac:dyDescent="0.2">
      <c r="A54" s="1" t="s">
        <v>221</v>
      </c>
      <c r="B54" s="410"/>
      <c r="C54" s="410">
        <f>+'1. Assumptions'!C12</f>
        <v>45322</v>
      </c>
      <c r="D54" s="410">
        <f>+'1. Assumptions'!D12</f>
        <v>45351</v>
      </c>
      <c r="E54" s="410">
        <f>+'1. Assumptions'!E12</f>
        <v>45382</v>
      </c>
      <c r="F54" s="410">
        <f>+'1. Assumptions'!F12</f>
        <v>45412</v>
      </c>
      <c r="G54" s="410">
        <f>+'1. Assumptions'!G12</f>
        <v>45443</v>
      </c>
      <c r="H54" s="410">
        <f>+'1. Assumptions'!H12</f>
        <v>45473</v>
      </c>
      <c r="I54" s="410">
        <f>+'1. Assumptions'!I12</f>
        <v>45504</v>
      </c>
      <c r="J54" s="410">
        <f>+'1. Assumptions'!J12</f>
        <v>45535</v>
      </c>
      <c r="K54" s="410">
        <f>+'1. Assumptions'!K12</f>
        <v>45565</v>
      </c>
      <c r="L54" s="410">
        <f>+'1. Assumptions'!L12</f>
        <v>45596</v>
      </c>
      <c r="M54" s="410">
        <f>+'1. Assumptions'!M12</f>
        <v>45626</v>
      </c>
      <c r="N54" s="410">
        <f>+'1. Assumptions'!N12</f>
        <v>45657</v>
      </c>
      <c r="O54" s="411" t="s">
        <v>15</v>
      </c>
      <c r="Q54" s="411" t="s">
        <v>170</v>
      </c>
      <c r="R54" s="411" t="s">
        <v>230</v>
      </c>
      <c r="S54" s="1" t="s">
        <v>248</v>
      </c>
      <c r="U54" s="411" t="s">
        <v>325</v>
      </c>
    </row>
    <row r="55" spans="1:21" x14ac:dyDescent="0.2">
      <c r="A55" s="159" t="str">
        <f>+$A$9</f>
        <v>Residential</v>
      </c>
      <c r="B55" s="429"/>
      <c r="C55" s="510">
        <f>+N43+$S55</f>
        <v>8351.0833333333339</v>
      </c>
      <c r="D55" s="510">
        <f>+C55+$S55</f>
        <v>8360.6666666666679</v>
      </c>
      <c r="E55" s="510">
        <f t="shared" ref="E55:E56" si="50">+D55+$S55</f>
        <v>8370.2500000000018</v>
      </c>
      <c r="F55" s="510">
        <f t="shared" ref="F55:F56" si="51">+E55+$S55</f>
        <v>8379.8333333333358</v>
      </c>
      <c r="G55" s="510">
        <f t="shared" ref="G55:G56" si="52">+F55+$S55</f>
        <v>8389.4166666666697</v>
      </c>
      <c r="H55" s="510">
        <f t="shared" ref="H55:H56" si="53">+G55+$S55</f>
        <v>8399.0000000000036</v>
      </c>
      <c r="I55" s="510">
        <f t="shared" ref="I55:I56" si="54">+H55+$S55</f>
        <v>8408.5833333333376</v>
      </c>
      <c r="J55" s="510">
        <f t="shared" ref="J55:J56" si="55">+I55+$S55</f>
        <v>8418.1666666666715</v>
      </c>
      <c r="K55" s="510">
        <f t="shared" ref="K55:K56" si="56">+J55+$S55</f>
        <v>8427.7500000000055</v>
      </c>
      <c r="L55" s="510">
        <f t="shared" ref="L55:L56" si="57">+K55+$S55</f>
        <v>8437.3333333333394</v>
      </c>
      <c r="M55" s="510">
        <f t="shared" ref="M55:M56" si="58">+L55+$S55</f>
        <v>8446.9166666666733</v>
      </c>
      <c r="N55" s="510">
        <f t="shared" ref="N55:N56" si="59">+M55+$S55</f>
        <v>8456.5000000000073</v>
      </c>
      <c r="O55" s="37">
        <f>AVERAGE(C55:N55)</f>
        <v>8403.7916666666715</v>
      </c>
      <c r="Q55" s="140">
        <f>+'10. Final Load Forecast'!O18</f>
        <v>60</v>
      </c>
      <c r="R55" s="60">
        <f t="shared" ref="R55:R60" si="60">+Q55-O55</f>
        <v>-8343.7916666666715</v>
      </c>
      <c r="S55" s="450">
        <f>+U55/12</f>
        <v>9.5833333333333339</v>
      </c>
      <c r="U55" s="436">
        <f>+'1. Assumptions'!D26</f>
        <v>115</v>
      </c>
    </row>
    <row r="56" spans="1:21" x14ac:dyDescent="0.2">
      <c r="A56" s="159" t="str">
        <f>+$A$10</f>
        <v>General Service &lt; 50 kW</v>
      </c>
      <c r="B56" s="429"/>
      <c r="C56" s="510">
        <f t="shared" ref="C56" si="61">+N44+$S56</f>
        <v>1506</v>
      </c>
      <c r="D56" s="510">
        <f>+C56+$S56</f>
        <v>1509</v>
      </c>
      <c r="E56" s="510">
        <f t="shared" si="50"/>
        <v>1512</v>
      </c>
      <c r="F56" s="510">
        <f t="shared" si="51"/>
        <v>1515</v>
      </c>
      <c r="G56" s="510">
        <f t="shared" si="52"/>
        <v>1518</v>
      </c>
      <c r="H56" s="510">
        <f t="shared" si="53"/>
        <v>1521</v>
      </c>
      <c r="I56" s="510">
        <f t="shared" si="54"/>
        <v>1524</v>
      </c>
      <c r="J56" s="510">
        <f t="shared" si="55"/>
        <v>1527</v>
      </c>
      <c r="K56" s="510">
        <f t="shared" si="56"/>
        <v>1530</v>
      </c>
      <c r="L56" s="510">
        <f t="shared" si="57"/>
        <v>1533</v>
      </c>
      <c r="M56" s="510">
        <f t="shared" si="58"/>
        <v>1536</v>
      </c>
      <c r="N56" s="510">
        <f t="shared" si="59"/>
        <v>1539</v>
      </c>
      <c r="O56" s="37">
        <f t="shared" ref="O56:O60" si="62">AVERAGE(C56:N56)</f>
        <v>1522.5</v>
      </c>
      <c r="Q56" s="140">
        <f>+'10. Final Load Forecast'!O22</f>
        <v>2254</v>
      </c>
      <c r="R56" s="60">
        <f t="shared" si="60"/>
        <v>731.5</v>
      </c>
      <c r="S56" s="450">
        <f>+U56/12</f>
        <v>3</v>
      </c>
      <c r="U56" s="436">
        <f>+'1. Assumptions'!D28</f>
        <v>36</v>
      </c>
    </row>
    <row r="57" spans="1:21" x14ac:dyDescent="0.2">
      <c r="A57" s="159" t="str">
        <f>+$A$11</f>
        <v>General Service &gt; 50 kW - 4999 kW</v>
      </c>
      <c r="B57" s="429"/>
      <c r="C57" s="510">
        <f t="shared" ref="C57:C59" si="63">+N45+$S57</f>
        <v>125.25</v>
      </c>
      <c r="D57" s="510">
        <f t="shared" ref="D57:D59" si="64">+C57+$S57</f>
        <v>125.5</v>
      </c>
      <c r="E57" s="510">
        <f t="shared" ref="E57:E59" si="65">+D57+$S57</f>
        <v>125.75</v>
      </c>
      <c r="F57" s="510">
        <f t="shared" ref="F57:F59" si="66">+E57+$S57</f>
        <v>126</v>
      </c>
      <c r="G57" s="510">
        <f t="shared" ref="G57:G59" si="67">+F57+$S57</f>
        <v>126.25</v>
      </c>
      <c r="H57" s="510">
        <f t="shared" ref="H57:H59" si="68">+G57+$S57</f>
        <v>126.5</v>
      </c>
      <c r="I57" s="510">
        <f t="shared" ref="I57:I59" si="69">+H57+$S57</f>
        <v>126.75</v>
      </c>
      <c r="J57" s="510">
        <f t="shared" ref="J57:J59" si="70">+I57+$S57</f>
        <v>127</v>
      </c>
      <c r="K57" s="510">
        <f t="shared" ref="K57:K59" si="71">+J57+$S57</f>
        <v>127.25</v>
      </c>
      <c r="L57" s="510">
        <f t="shared" ref="L57:L59" si="72">+K57+$S57</f>
        <v>127.5</v>
      </c>
      <c r="M57" s="510">
        <f t="shared" ref="M57:M59" si="73">+L57+$S57</f>
        <v>127.75</v>
      </c>
      <c r="N57" s="510">
        <f t="shared" ref="N57:N59" si="74">+M57+$S57</f>
        <v>128</v>
      </c>
      <c r="O57" s="37">
        <f t="shared" si="62"/>
        <v>126.625</v>
      </c>
      <c r="Q57" s="140">
        <f>+'10. Final Load Forecast'!O26</f>
        <v>1</v>
      </c>
      <c r="R57" s="60">
        <f t="shared" si="60"/>
        <v>-125.625</v>
      </c>
      <c r="S57" s="450">
        <f>+U57/12</f>
        <v>0.25</v>
      </c>
      <c r="U57" s="436">
        <f>+'1. Assumptions'!D29</f>
        <v>3</v>
      </c>
    </row>
    <row r="58" spans="1:21" x14ac:dyDescent="0.2">
      <c r="A58" s="159" t="str">
        <f>+$A$12</f>
        <v>Unmetered Scattered Load</v>
      </c>
      <c r="B58" s="429"/>
      <c r="C58" s="510">
        <f t="shared" si="63"/>
        <v>60</v>
      </c>
      <c r="D58" s="510">
        <f t="shared" si="64"/>
        <v>60</v>
      </c>
      <c r="E58" s="510">
        <f t="shared" si="65"/>
        <v>60</v>
      </c>
      <c r="F58" s="510">
        <f t="shared" si="66"/>
        <v>60</v>
      </c>
      <c r="G58" s="510">
        <f t="shared" si="67"/>
        <v>60</v>
      </c>
      <c r="H58" s="510">
        <f t="shared" si="68"/>
        <v>60</v>
      </c>
      <c r="I58" s="510">
        <f t="shared" si="69"/>
        <v>60</v>
      </c>
      <c r="J58" s="510">
        <f t="shared" si="70"/>
        <v>60</v>
      </c>
      <c r="K58" s="510">
        <f t="shared" si="71"/>
        <v>60</v>
      </c>
      <c r="L58" s="510">
        <f t="shared" si="72"/>
        <v>60</v>
      </c>
      <c r="M58" s="510">
        <f t="shared" si="73"/>
        <v>60</v>
      </c>
      <c r="N58" s="510">
        <f t="shared" si="74"/>
        <v>60</v>
      </c>
      <c r="O58" s="37">
        <f t="shared" si="62"/>
        <v>60</v>
      </c>
      <c r="Q58" s="140">
        <f>+'10. Final Load Forecast'!O30</f>
        <v>12367.916666666672</v>
      </c>
      <c r="R58" s="60">
        <f t="shared" si="60"/>
        <v>12307.916666666672</v>
      </c>
      <c r="U58" s="436"/>
    </row>
    <row r="59" spans="1:21" x14ac:dyDescent="0.2">
      <c r="A59" s="159" t="str">
        <f>+$A$13</f>
        <v>Street Lights</v>
      </c>
      <c r="B59" s="429"/>
      <c r="C59" s="510">
        <f t="shared" si="63"/>
        <v>2254</v>
      </c>
      <c r="D59" s="510">
        <f t="shared" si="64"/>
        <v>2254</v>
      </c>
      <c r="E59" s="510">
        <f t="shared" si="65"/>
        <v>2254</v>
      </c>
      <c r="F59" s="510">
        <f t="shared" si="66"/>
        <v>2254</v>
      </c>
      <c r="G59" s="510">
        <f t="shared" si="67"/>
        <v>2254</v>
      </c>
      <c r="H59" s="510">
        <f t="shared" si="68"/>
        <v>2254</v>
      </c>
      <c r="I59" s="510">
        <f t="shared" si="69"/>
        <v>2254</v>
      </c>
      <c r="J59" s="510">
        <f t="shared" si="70"/>
        <v>2254</v>
      </c>
      <c r="K59" s="510">
        <f t="shared" si="71"/>
        <v>2254</v>
      </c>
      <c r="L59" s="510">
        <f t="shared" si="72"/>
        <v>2254</v>
      </c>
      <c r="M59" s="510">
        <f t="shared" si="73"/>
        <v>2254</v>
      </c>
      <c r="N59" s="510">
        <f t="shared" si="74"/>
        <v>2254</v>
      </c>
      <c r="O59" s="37">
        <f t="shared" si="62"/>
        <v>2254</v>
      </c>
      <c r="Q59" s="140">
        <f>+'10. Final Load Forecast'!O34</f>
        <v>789.86989412952983</v>
      </c>
      <c r="R59" s="60">
        <f t="shared" si="60"/>
        <v>-1464.1301058704703</v>
      </c>
      <c r="U59" s="436"/>
    </row>
    <row r="60" spans="1:21" x14ac:dyDescent="0.2">
      <c r="A60" s="159" t="str">
        <f>+$A$14</f>
        <v>Large User</v>
      </c>
      <c r="B60" s="429"/>
      <c r="C60" s="437">
        <v>1</v>
      </c>
      <c r="D60" s="437">
        <v>1</v>
      </c>
      <c r="E60" s="437">
        <v>1</v>
      </c>
      <c r="F60" s="437">
        <v>1</v>
      </c>
      <c r="G60" s="437">
        <v>1</v>
      </c>
      <c r="H60" s="437">
        <v>1</v>
      </c>
      <c r="I60" s="437">
        <v>1</v>
      </c>
      <c r="J60" s="437">
        <v>1</v>
      </c>
      <c r="K60" s="437">
        <v>1</v>
      </c>
      <c r="L60" s="437">
        <v>1</v>
      </c>
      <c r="M60" s="437">
        <v>1</v>
      </c>
      <c r="N60" s="437">
        <v>1</v>
      </c>
      <c r="O60" s="37">
        <f t="shared" si="62"/>
        <v>1</v>
      </c>
      <c r="Q60" s="140">
        <f>+'10. Final Load Forecast'!O38</f>
        <v>0</v>
      </c>
      <c r="R60" s="60">
        <f t="shared" si="60"/>
        <v>-1</v>
      </c>
      <c r="U60" s="436"/>
    </row>
    <row r="61" spans="1:21" x14ac:dyDescent="0.2">
      <c r="A61" s="159" t="str">
        <f>+$A$15</f>
        <v>Total</v>
      </c>
      <c r="B61" s="412"/>
      <c r="C61" s="412">
        <f>SUM(C55:C60)</f>
        <v>12297.333333333334</v>
      </c>
      <c r="D61" s="412">
        <f t="shared" ref="D61:O61" si="75">SUM(D55:D60)</f>
        <v>12310.166666666668</v>
      </c>
      <c r="E61" s="412">
        <f t="shared" si="75"/>
        <v>12323.000000000002</v>
      </c>
      <c r="F61" s="412">
        <f t="shared" si="75"/>
        <v>12335.833333333336</v>
      </c>
      <c r="G61" s="412">
        <f t="shared" si="75"/>
        <v>12348.66666666667</v>
      </c>
      <c r="H61" s="412">
        <f t="shared" si="75"/>
        <v>12361.500000000004</v>
      </c>
      <c r="I61" s="412">
        <f t="shared" si="75"/>
        <v>12374.333333333338</v>
      </c>
      <c r="J61" s="412">
        <f t="shared" si="75"/>
        <v>12387.166666666672</v>
      </c>
      <c r="K61" s="412">
        <f t="shared" si="75"/>
        <v>12400.000000000005</v>
      </c>
      <c r="L61" s="412">
        <f t="shared" si="75"/>
        <v>12412.833333333339</v>
      </c>
      <c r="M61" s="412">
        <f t="shared" si="75"/>
        <v>12425.666666666673</v>
      </c>
      <c r="N61" s="412">
        <f t="shared" si="75"/>
        <v>12438.500000000007</v>
      </c>
      <c r="O61" s="412">
        <f t="shared" si="75"/>
        <v>12367.916666666672</v>
      </c>
      <c r="Q61" s="438">
        <f>SUM(Q55:Q60)</f>
        <v>15472.786560796201</v>
      </c>
      <c r="R61" s="439"/>
    </row>
    <row r="62" spans="1:21" x14ac:dyDescent="0.2">
      <c r="A62" s="159"/>
      <c r="B62" s="60"/>
      <c r="C62" s="60"/>
      <c r="D62" s="60"/>
      <c r="E62" s="60"/>
      <c r="F62" s="60"/>
      <c r="G62" s="60"/>
      <c r="H62" s="60"/>
      <c r="I62" s="60"/>
      <c r="J62" s="60"/>
      <c r="K62" s="60"/>
      <c r="L62" s="60"/>
      <c r="M62" s="60"/>
      <c r="N62" s="60"/>
      <c r="O62" s="60"/>
      <c r="Q62" s="140"/>
    </row>
    <row r="63" spans="1:21" x14ac:dyDescent="0.2">
      <c r="A63" s="159" t="s">
        <v>247</v>
      </c>
      <c r="B63" s="60"/>
      <c r="C63" s="60">
        <f>+C55+C56+C57</f>
        <v>9982.3333333333339</v>
      </c>
      <c r="D63" s="60">
        <f t="shared" ref="D63:N63" si="76">+D55+D56+D57</f>
        <v>9995.1666666666679</v>
      </c>
      <c r="E63" s="60">
        <f t="shared" si="76"/>
        <v>10008.000000000002</v>
      </c>
      <c r="F63" s="60">
        <f t="shared" si="76"/>
        <v>10020.833333333336</v>
      </c>
      <c r="G63" s="60">
        <f t="shared" si="76"/>
        <v>10033.66666666667</v>
      </c>
      <c r="H63" s="60">
        <f t="shared" si="76"/>
        <v>10046.500000000004</v>
      </c>
      <c r="I63" s="60">
        <f t="shared" si="76"/>
        <v>10059.333333333338</v>
      </c>
      <c r="J63" s="60">
        <f t="shared" si="76"/>
        <v>10072.166666666672</v>
      </c>
      <c r="K63" s="60">
        <f t="shared" si="76"/>
        <v>10085.000000000005</v>
      </c>
      <c r="L63" s="60">
        <f t="shared" si="76"/>
        <v>10097.833333333339</v>
      </c>
      <c r="M63" s="60">
        <f t="shared" si="76"/>
        <v>10110.666666666673</v>
      </c>
      <c r="N63" s="60">
        <f t="shared" si="76"/>
        <v>10123.500000000007</v>
      </c>
      <c r="O63" s="60"/>
      <c r="Q63" s="140"/>
    </row>
  </sheetData>
  <mergeCells count="4">
    <mergeCell ref="C6:N6"/>
    <mergeCell ref="C17:N17"/>
    <mergeCell ref="C27:N27"/>
    <mergeCell ref="C40:N40"/>
  </mergeCells>
  <printOptions horizontalCentered="1"/>
  <pageMargins left="0.11811023622047245" right="0.11811023622047245" top="0.19685039370078741" bottom="0.19685039370078741" header="0.31496062992125984" footer="0.31496062992125984"/>
  <pageSetup scale="4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228A0-3E37-4BB7-BDB7-AF856D072DFD}">
  <sheetPr>
    <tabColor rgb="FFFF0000"/>
  </sheetPr>
  <dimension ref="A1:Y48"/>
  <sheetViews>
    <sheetView workbookViewId="0">
      <pane xSplit="1" ySplit="5" topLeftCell="B6" activePane="bottomRight" state="frozen"/>
      <selection pane="topRight" activeCell="B1" sqref="B1"/>
      <selection pane="bottomLeft" activeCell="A6" sqref="A6"/>
      <selection pane="bottomRight" activeCell="E20" sqref="E20"/>
    </sheetView>
  </sheetViews>
  <sheetFormatPr defaultRowHeight="12.75" x14ac:dyDescent="0.2"/>
  <cols>
    <col min="1" max="1" width="32.6640625" style="1" bestFit="1" customWidth="1"/>
    <col min="2" max="7" width="11.83203125" style="1" customWidth="1"/>
    <col min="8" max="8" width="13.33203125" style="1" bestFit="1" customWidth="1"/>
    <col min="9" max="13" width="11.83203125" style="1" customWidth="1"/>
    <col min="14" max="14" width="13.33203125" style="1" bestFit="1" customWidth="1"/>
    <col min="15" max="25" width="11.83203125" style="1" customWidth="1"/>
    <col min="26" max="16384" width="9.33203125" style="1"/>
  </cols>
  <sheetData>
    <row r="1" spans="1:25" x14ac:dyDescent="0.2">
      <c r="A1" s="1" t="str">
        <f>+'1. Assumptions'!A1:N1</f>
        <v>Niagara-on-the-Lake Hydro Inc.</v>
      </c>
    </row>
    <row r="2" spans="1:25" x14ac:dyDescent="0.2">
      <c r="A2" s="1" t="s">
        <v>249</v>
      </c>
    </row>
    <row r="3" spans="1:25" x14ac:dyDescent="0.2">
      <c r="A3" s="1" t="str">
        <f>+'1. Assumptions'!A3:N3</f>
        <v>2024 Test &amp; 2023 Bridge</v>
      </c>
    </row>
    <row r="5" spans="1:25" x14ac:dyDescent="0.2">
      <c r="B5" s="410">
        <f>'1. Assumptions'!C9</f>
        <v>44957</v>
      </c>
      <c r="C5" s="410">
        <f>'1. Assumptions'!D9</f>
        <v>44985</v>
      </c>
      <c r="D5" s="410">
        <f>'1. Assumptions'!E9</f>
        <v>45016</v>
      </c>
      <c r="E5" s="410">
        <f>'1. Assumptions'!F9</f>
        <v>45046</v>
      </c>
      <c r="F5" s="410">
        <f>'1. Assumptions'!G9</f>
        <v>45077</v>
      </c>
      <c r="G5" s="410">
        <f>'1. Assumptions'!H9</f>
        <v>45107</v>
      </c>
      <c r="H5" s="410">
        <f>'1. Assumptions'!I9</f>
        <v>45138</v>
      </c>
      <c r="I5" s="410">
        <f>'1. Assumptions'!J9</f>
        <v>45169</v>
      </c>
      <c r="J5" s="410">
        <f>'1. Assumptions'!K9</f>
        <v>45199</v>
      </c>
      <c r="K5" s="410">
        <f>'1. Assumptions'!L9</f>
        <v>45230</v>
      </c>
      <c r="L5" s="410">
        <f>'1. Assumptions'!M9</f>
        <v>45260</v>
      </c>
      <c r="M5" s="410">
        <f>'1. Assumptions'!N9</f>
        <v>45291</v>
      </c>
      <c r="N5" s="410">
        <f>'1. Assumptions'!C12</f>
        <v>45322</v>
      </c>
      <c r="O5" s="410">
        <f>'1. Assumptions'!D12</f>
        <v>45351</v>
      </c>
      <c r="P5" s="410">
        <f>'1. Assumptions'!E12</f>
        <v>45382</v>
      </c>
      <c r="Q5" s="410">
        <f>'1. Assumptions'!F12</f>
        <v>45412</v>
      </c>
      <c r="R5" s="410">
        <f>'1. Assumptions'!G12</f>
        <v>45443</v>
      </c>
      <c r="S5" s="410">
        <f>'1. Assumptions'!H12</f>
        <v>45473</v>
      </c>
      <c r="T5" s="410">
        <f>'1. Assumptions'!I12</f>
        <v>45504</v>
      </c>
      <c r="U5" s="410">
        <f>'1. Assumptions'!J12</f>
        <v>45535</v>
      </c>
      <c r="V5" s="410">
        <f>'1. Assumptions'!K12</f>
        <v>45565</v>
      </c>
      <c r="W5" s="410">
        <f>'1. Assumptions'!L12</f>
        <v>45596</v>
      </c>
      <c r="X5" s="410">
        <f>'1. Assumptions'!M12</f>
        <v>45626</v>
      </c>
      <c r="Y5" s="410">
        <f>'1. Assumptions'!N12</f>
        <v>45657</v>
      </c>
    </row>
    <row r="6" spans="1:25" x14ac:dyDescent="0.2">
      <c r="A6" s="33" t="s">
        <v>5</v>
      </c>
      <c r="B6" s="37"/>
      <c r="C6" s="37"/>
      <c r="D6" s="37"/>
      <c r="E6" s="37"/>
      <c r="F6" s="37"/>
      <c r="G6" s="37"/>
      <c r="H6" s="37"/>
      <c r="I6" s="37"/>
      <c r="J6" s="37"/>
      <c r="K6" s="37"/>
      <c r="L6" s="37"/>
      <c r="M6" s="37"/>
    </row>
    <row r="7" spans="1:25" x14ac:dyDescent="0.2">
      <c r="A7" s="1" t="s">
        <v>149</v>
      </c>
      <c r="B7" s="37">
        <f>+'12c. Monthly Customer Forecast'!C9</f>
        <v>8130.5</v>
      </c>
      <c r="C7" s="37">
        <f>+'12c. Monthly Customer Forecast'!D9</f>
        <v>8136</v>
      </c>
      <c r="D7" s="37">
        <f>+'12c. Monthly Customer Forecast'!E9</f>
        <v>8142</v>
      </c>
      <c r="E7" s="37">
        <f>+'12c. Monthly Customer Forecast'!F9</f>
        <v>8155.5</v>
      </c>
      <c r="F7" s="37">
        <f>+'12c. Monthly Customer Forecast'!G9</f>
        <v>8168.5</v>
      </c>
      <c r="G7" s="37">
        <f>+'12c. Monthly Customer Forecast'!H9</f>
        <v>8174</v>
      </c>
      <c r="H7" s="37">
        <f>+'12c. Monthly Customer Forecast'!I9</f>
        <v>8182</v>
      </c>
      <c r="I7" s="37">
        <f>+'12c. Monthly Customer Forecast'!J9</f>
        <v>8189.5</v>
      </c>
      <c r="J7" s="37">
        <f>+'12c. Monthly Customer Forecast'!K9</f>
        <v>8191</v>
      </c>
      <c r="K7" s="37">
        <f>+'12c. Monthly Customer Forecast'!L9</f>
        <v>8192.5</v>
      </c>
      <c r="L7" s="37">
        <f>+'12c. Monthly Customer Forecast'!M9</f>
        <v>8199.5</v>
      </c>
      <c r="M7" s="37">
        <f>+'12c. Monthly Customer Forecast'!N9</f>
        <v>8212.5</v>
      </c>
      <c r="N7" s="37">
        <f>+'12c. Monthly Customer Forecast'!C43</f>
        <v>8223.25</v>
      </c>
      <c r="O7" s="37">
        <f>+'12c. Monthly Customer Forecast'!D43</f>
        <v>8234</v>
      </c>
      <c r="P7" s="37">
        <f>+'12c. Monthly Customer Forecast'!E43</f>
        <v>8244.75</v>
      </c>
      <c r="Q7" s="37">
        <f>+'12c. Monthly Customer Forecast'!F43</f>
        <v>8255.5</v>
      </c>
      <c r="R7" s="37">
        <f>+'12c. Monthly Customer Forecast'!G43</f>
        <v>8266.25</v>
      </c>
      <c r="S7" s="37">
        <f>+'12c. Monthly Customer Forecast'!H43</f>
        <v>8277</v>
      </c>
      <c r="T7" s="37">
        <f>+'12c. Monthly Customer Forecast'!I43</f>
        <v>8287.75</v>
      </c>
      <c r="U7" s="37">
        <f>+'12c. Monthly Customer Forecast'!J43</f>
        <v>8298.5</v>
      </c>
      <c r="V7" s="37">
        <f>+'12c. Monthly Customer Forecast'!K43</f>
        <v>8309.25</v>
      </c>
      <c r="W7" s="37">
        <f>+'12c. Monthly Customer Forecast'!L43</f>
        <v>8320</v>
      </c>
      <c r="X7" s="37">
        <f>+'12c. Monthly Customer Forecast'!M43</f>
        <v>8330.75</v>
      </c>
      <c r="Y7" s="37">
        <f>+'12c. Monthly Customer Forecast'!N43</f>
        <v>8341.5</v>
      </c>
    </row>
    <row r="8" spans="1:25" x14ac:dyDescent="0.2">
      <c r="A8" s="1" t="s">
        <v>33</v>
      </c>
      <c r="B8" s="37">
        <f>+'12. Load Forecast by Month'!B9</f>
        <v>6909419.0659501757</v>
      </c>
      <c r="C8" s="37">
        <f>+'12. Load Forecast by Month'!C9</f>
        <v>6326666.5808542417</v>
      </c>
      <c r="D8" s="37">
        <f>+'12. Load Forecast by Month'!D9</f>
        <v>6126862.8477964522</v>
      </c>
      <c r="E8" s="37">
        <f>+'12. Load Forecast by Month'!E9</f>
        <v>5748074.407121053</v>
      </c>
      <c r="F8" s="37">
        <f>+'12. Load Forecast by Month'!F9</f>
        <v>5853572.3967584008</v>
      </c>
      <c r="G8" s="37">
        <f>+'12. Load Forecast by Month'!G9</f>
        <v>6786210.2431988334</v>
      </c>
      <c r="H8" s="37">
        <f>+'12. Load Forecast by Month'!H9</f>
        <v>8206887.1507805604</v>
      </c>
      <c r="I8" s="37">
        <f>+'12. Load Forecast by Month'!I9</f>
        <v>8143296.7634196877</v>
      </c>
      <c r="J8" s="37">
        <f>+'12. Load Forecast by Month'!J9</f>
        <v>6221148.6421222696</v>
      </c>
      <c r="K8" s="37">
        <f>+'12. Load Forecast by Month'!K9</f>
        <v>5820238.6016697632</v>
      </c>
      <c r="L8" s="37">
        <f>+'12. Load Forecast by Month'!L9</f>
        <v>5805492.2669806564</v>
      </c>
      <c r="M8" s="37">
        <f>+'12. Load Forecast by Month'!M9</f>
        <v>6821495.697384987</v>
      </c>
      <c r="N8" s="37">
        <f>+'12. Load Forecast by Month'!B65</f>
        <v>6970598.366597862</v>
      </c>
      <c r="O8" s="37">
        <f>+'12. Load Forecast by Month'!C65</f>
        <v>6561349.6399685536</v>
      </c>
      <c r="P8" s="37">
        <f>+'12. Load Forecast by Month'!D65</f>
        <v>6187372.2100116331</v>
      </c>
      <c r="Q8" s="37">
        <f>+'12. Load Forecast by Month'!E65</f>
        <v>5808248.5587895839</v>
      </c>
      <c r="R8" s="37">
        <f>+'12. Load Forecast by Month'!F65</f>
        <v>5913401.9803030463</v>
      </c>
      <c r="S8" s="37">
        <f>+'12. Load Forecast by Month'!G65</f>
        <v>6845679.276290522</v>
      </c>
      <c r="T8" s="37">
        <f>+'12. Load Forecast by Month'!H65</f>
        <v>8265986.2033322118</v>
      </c>
      <c r="U8" s="37">
        <f>+'12. Load Forecast by Month'!I65</f>
        <v>8202054.5150410961</v>
      </c>
      <c r="V8" s="37">
        <f>+'12. Load Forecast by Month'!J65</f>
        <v>6279601.004613677</v>
      </c>
      <c r="W8" s="37">
        <f>+'12. Load Forecast by Month'!K65</f>
        <v>5878356.1810569689</v>
      </c>
      <c r="X8" s="37">
        <f>+'12. Load Forecast by Month'!L65</f>
        <v>5863267.6016531857</v>
      </c>
      <c r="Y8" s="37">
        <f>+'12. Load Forecast by Month'!M65</f>
        <v>6878908.8707812065</v>
      </c>
    </row>
    <row r="9" spans="1:25" x14ac:dyDescent="0.2">
      <c r="A9" s="1" t="s">
        <v>34</v>
      </c>
      <c r="B9" s="441"/>
      <c r="C9" s="441"/>
      <c r="D9" s="441"/>
      <c r="E9" s="441"/>
      <c r="F9" s="441"/>
      <c r="G9" s="441"/>
      <c r="H9" s="441"/>
      <c r="I9" s="441"/>
      <c r="J9" s="441"/>
      <c r="K9" s="441"/>
      <c r="L9" s="441"/>
      <c r="M9" s="441"/>
      <c r="N9" s="441"/>
      <c r="O9" s="441"/>
      <c r="P9" s="441"/>
      <c r="Q9" s="441"/>
      <c r="R9" s="441"/>
      <c r="S9" s="441"/>
      <c r="T9" s="441"/>
      <c r="U9" s="441"/>
      <c r="V9" s="441"/>
      <c r="W9" s="441"/>
      <c r="X9" s="441"/>
      <c r="Y9" s="441"/>
    </row>
    <row r="10" spans="1:25" x14ac:dyDescent="0.2">
      <c r="B10" s="37"/>
      <c r="C10" s="37"/>
      <c r="D10" s="37"/>
      <c r="E10" s="37"/>
      <c r="F10" s="37"/>
      <c r="G10" s="37"/>
      <c r="H10" s="37"/>
      <c r="I10" s="37"/>
      <c r="J10" s="37"/>
      <c r="K10" s="37"/>
      <c r="L10" s="37"/>
      <c r="M10" s="37"/>
    </row>
    <row r="11" spans="1:25" x14ac:dyDescent="0.2">
      <c r="A11" s="33" t="s">
        <v>250</v>
      </c>
      <c r="B11" s="37"/>
      <c r="C11" s="37"/>
      <c r="D11" s="37"/>
      <c r="E11" s="37"/>
      <c r="F11" s="37"/>
      <c r="G11" s="37"/>
      <c r="H11" s="37"/>
      <c r="I11" s="37"/>
      <c r="J11" s="37"/>
      <c r="K11" s="37"/>
      <c r="L11" s="37"/>
      <c r="M11" s="37"/>
    </row>
    <row r="12" spans="1:25" x14ac:dyDescent="0.2">
      <c r="A12" s="1" t="s">
        <v>149</v>
      </c>
      <c r="B12" s="37">
        <f>+'12c. Monthly Customer Forecast'!C10</f>
        <v>1479</v>
      </c>
      <c r="C12" s="37">
        <f>+'12c. Monthly Customer Forecast'!D10</f>
        <v>1480</v>
      </c>
      <c r="D12" s="37">
        <f>+'12c. Monthly Customer Forecast'!E10</f>
        <v>1481</v>
      </c>
      <c r="E12" s="37">
        <f>+'12c. Monthly Customer Forecast'!F10</f>
        <v>1473.5</v>
      </c>
      <c r="F12" s="37">
        <f>+'12c. Monthly Customer Forecast'!G10</f>
        <v>1464</v>
      </c>
      <c r="G12" s="37">
        <f>+'12c. Monthly Customer Forecast'!H10</f>
        <v>1464</v>
      </c>
      <c r="H12" s="37">
        <f>+'12c. Monthly Customer Forecast'!I10</f>
        <v>1465.5</v>
      </c>
      <c r="I12" s="37">
        <f>+'12c. Monthly Customer Forecast'!J10</f>
        <v>1465</v>
      </c>
      <c r="J12" s="37">
        <f>+'12c. Monthly Customer Forecast'!K10</f>
        <v>1466.5</v>
      </c>
      <c r="K12" s="37">
        <f>+'12c. Monthly Customer Forecast'!L10</f>
        <v>1468.5</v>
      </c>
      <c r="L12" s="37">
        <f>+'12c. Monthly Customer Forecast'!M10</f>
        <v>1468</v>
      </c>
      <c r="M12" s="37">
        <f>+'12c. Monthly Customer Forecast'!N10</f>
        <v>1467</v>
      </c>
      <c r="N12" s="37">
        <f>+'12c. Monthly Customer Forecast'!C44</f>
        <v>1470</v>
      </c>
      <c r="O12" s="37">
        <f>+'12c. Monthly Customer Forecast'!D44</f>
        <v>1473</v>
      </c>
      <c r="P12" s="37">
        <f>+'12c. Monthly Customer Forecast'!E44</f>
        <v>1476</v>
      </c>
      <c r="Q12" s="37">
        <f>+'12c. Monthly Customer Forecast'!F44</f>
        <v>1479</v>
      </c>
      <c r="R12" s="37">
        <f>+'12c. Monthly Customer Forecast'!G44</f>
        <v>1482</v>
      </c>
      <c r="S12" s="37">
        <f>+'12c. Monthly Customer Forecast'!H44</f>
        <v>1485</v>
      </c>
      <c r="T12" s="37">
        <f>+'12c. Monthly Customer Forecast'!I44</f>
        <v>1488</v>
      </c>
      <c r="U12" s="37">
        <f>+'12c. Monthly Customer Forecast'!J44</f>
        <v>1491</v>
      </c>
      <c r="V12" s="37">
        <f>+'12c. Monthly Customer Forecast'!K44</f>
        <v>1494</v>
      </c>
      <c r="W12" s="37">
        <f>+'12c. Monthly Customer Forecast'!L44</f>
        <v>1497</v>
      </c>
      <c r="X12" s="37">
        <f>+'12c. Monthly Customer Forecast'!M44</f>
        <v>1500</v>
      </c>
      <c r="Y12" s="37">
        <f>+'12c. Monthly Customer Forecast'!N44</f>
        <v>1503</v>
      </c>
    </row>
    <row r="13" spans="1:25" x14ac:dyDescent="0.2">
      <c r="A13" s="1" t="s">
        <v>33</v>
      </c>
      <c r="B13" s="37">
        <f>+'12. Load Forecast by Month'!B10</f>
        <v>3930838.2239435813</v>
      </c>
      <c r="C13" s="37">
        <f>+'12. Load Forecast by Month'!C10</f>
        <v>3599304.4550914536</v>
      </c>
      <c r="D13" s="37">
        <f>+'12. Load Forecast by Month'!D10</f>
        <v>3485634.0952980183</v>
      </c>
      <c r="E13" s="37">
        <f>+'12. Load Forecast by Month'!E10</f>
        <v>3270137.5293519082</v>
      </c>
      <c r="F13" s="37">
        <f>+'12. Load Forecast by Month'!F10</f>
        <v>3330156.4001509487</v>
      </c>
      <c r="G13" s="37">
        <f>+'12. Load Forecast by Month'!G10</f>
        <v>3860743.4814803866</v>
      </c>
      <c r="H13" s="37">
        <f>+'12. Load Forecast by Month'!H10</f>
        <v>4668980.9090980804</v>
      </c>
      <c r="I13" s="37">
        <f>+'12. Load Forecast by Month'!I10</f>
        <v>4632803.6960896337</v>
      </c>
      <c r="J13" s="37">
        <f>+'12. Load Forecast by Month'!J10</f>
        <v>3539274.2350511914</v>
      </c>
      <c r="K13" s="37">
        <f>+'12. Load Forecast by Month'!K10</f>
        <v>3311192.4677808248</v>
      </c>
      <c r="L13" s="37">
        <f>+'12. Load Forecast by Month'!L10</f>
        <v>3302803.1291829301</v>
      </c>
      <c r="M13" s="37">
        <f>+'12. Load Forecast by Month'!M10</f>
        <v>3880817.7324036905</v>
      </c>
      <c r="N13" s="37">
        <f>+'12. Load Forecast by Month'!B66</f>
        <v>3965643.7453925805</v>
      </c>
      <c r="O13" s="37">
        <f>+'12. Load Forecast by Month'!C66</f>
        <v>3732818.015417336</v>
      </c>
      <c r="P13" s="37">
        <f>+'12. Load Forecast by Month'!D66</f>
        <v>3520058.482012962</v>
      </c>
      <c r="Q13" s="37">
        <f>+'12. Load Forecast by Month'!E66</f>
        <v>3304371.2114045257</v>
      </c>
      <c r="R13" s="37">
        <f>+'12. Load Forecast by Month'!F66</f>
        <v>3364194.0539211314</v>
      </c>
      <c r="S13" s="37">
        <f>+'12. Load Forecast by Month'!G66</f>
        <v>3894576.0144598605</v>
      </c>
      <c r="T13" s="37">
        <f>+'12. Load Forecast by Month'!H66</f>
        <v>4702602.956415154</v>
      </c>
      <c r="U13" s="37">
        <f>+'12. Load Forecast by Month'!I66</f>
        <v>4666231.5738637028</v>
      </c>
      <c r="V13" s="37">
        <f>+'12. Load Forecast by Month'!J66</f>
        <v>3572528.3738677697</v>
      </c>
      <c r="W13" s="37">
        <f>+'12. Load Forecast by Month'!K66</f>
        <v>3344256.1451113997</v>
      </c>
      <c r="X13" s="37">
        <f>+'12. Load Forecast by Month'!L66</f>
        <v>3335672.1000420125</v>
      </c>
      <c r="Y13" s="37">
        <f>+'12. Load Forecast by Month'!M66</f>
        <v>3913480.6660584048</v>
      </c>
    </row>
    <row r="14" spans="1:25" x14ac:dyDescent="0.2">
      <c r="A14" s="1" t="s">
        <v>34</v>
      </c>
      <c r="B14" s="441"/>
      <c r="C14" s="441"/>
      <c r="D14" s="441"/>
      <c r="E14" s="441"/>
      <c r="F14" s="441"/>
      <c r="G14" s="441"/>
      <c r="H14" s="441"/>
      <c r="I14" s="441"/>
      <c r="J14" s="441"/>
      <c r="K14" s="441"/>
      <c r="L14" s="441"/>
      <c r="M14" s="441"/>
      <c r="N14" s="441"/>
      <c r="O14" s="441"/>
      <c r="P14" s="441"/>
      <c r="Q14" s="441"/>
      <c r="R14" s="441"/>
      <c r="S14" s="441"/>
      <c r="T14" s="441"/>
      <c r="U14" s="441"/>
      <c r="V14" s="441"/>
      <c r="W14" s="441"/>
      <c r="X14" s="441"/>
      <c r="Y14" s="441"/>
    </row>
    <row r="15" spans="1:25" x14ac:dyDescent="0.2">
      <c r="B15" s="37"/>
      <c r="C15" s="37"/>
      <c r="D15" s="37"/>
      <c r="E15" s="37"/>
      <c r="F15" s="37"/>
      <c r="G15" s="37"/>
      <c r="H15" s="37"/>
      <c r="I15" s="37"/>
      <c r="J15" s="37"/>
      <c r="K15" s="37"/>
      <c r="L15" s="37"/>
      <c r="M15" s="37"/>
    </row>
    <row r="16" spans="1:25" x14ac:dyDescent="0.2">
      <c r="A16" s="33" t="s">
        <v>173</v>
      </c>
      <c r="B16" s="37"/>
      <c r="C16" s="37"/>
      <c r="D16" s="37"/>
      <c r="E16" s="37"/>
      <c r="F16" s="37"/>
      <c r="G16" s="37"/>
      <c r="H16" s="37"/>
      <c r="I16" s="37"/>
      <c r="J16" s="37"/>
      <c r="K16" s="37"/>
      <c r="L16" s="37"/>
      <c r="M16" s="37"/>
    </row>
    <row r="17" spans="1:25" x14ac:dyDescent="0.2">
      <c r="A17" s="1" t="s">
        <v>149</v>
      </c>
      <c r="B17" s="37">
        <f>+'12c. Monthly Customer Forecast'!C11</f>
        <v>125</v>
      </c>
      <c r="C17" s="37">
        <f>+'12c. Monthly Customer Forecast'!D11</f>
        <v>125</v>
      </c>
      <c r="D17" s="37">
        <f>+'12c. Monthly Customer Forecast'!E11</f>
        <v>126.5</v>
      </c>
      <c r="E17" s="37">
        <f>+'12c. Monthly Customer Forecast'!F11</f>
        <v>128</v>
      </c>
      <c r="F17" s="37">
        <f>+'12c. Monthly Customer Forecast'!G11</f>
        <v>128</v>
      </c>
      <c r="G17" s="37">
        <f>+'12c. Monthly Customer Forecast'!H11</f>
        <v>128</v>
      </c>
      <c r="H17" s="37">
        <f>+'12c. Monthly Customer Forecast'!I11</f>
        <v>126.5</v>
      </c>
      <c r="I17" s="37">
        <f>+'12c. Monthly Customer Forecast'!J11</f>
        <v>125</v>
      </c>
      <c r="J17" s="37">
        <f>+'12c. Monthly Customer Forecast'!K11</f>
        <v>125</v>
      </c>
      <c r="K17" s="37">
        <f>+'12c. Monthly Customer Forecast'!L11</f>
        <v>125</v>
      </c>
      <c r="L17" s="37">
        <f>+'12c. Monthly Customer Forecast'!M11</f>
        <v>125</v>
      </c>
      <c r="M17" s="37">
        <f>+'12c. Monthly Customer Forecast'!N11</f>
        <v>125</v>
      </c>
      <c r="N17" s="37">
        <f>+'12c. Monthly Customer Forecast'!C45</f>
        <v>125</v>
      </c>
      <c r="O17" s="37">
        <f>+'12c. Monthly Customer Forecast'!D45</f>
        <v>125</v>
      </c>
      <c r="P17" s="37">
        <f>+'12c. Monthly Customer Forecast'!E45</f>
        <v>125</v>
      </c>
      <c r="Q17" s="37">
        <f>+'12c. Monthly Customer Forecast'!F45</f>
        <v>125</v>
      </c>
      <c r="R17" s="37">
        <f>+'12c. Monthly Customer Forecast'!G45</f>
        <v>125</v>
      </c>
      <c r="S17" s="37">
        <f>+'12c. Monthly Customer Forecast'!H45</f>
        <v>125</v>
      </c>
      <c r="T17" s="37">
        <f>+'12c. Monthly Customer Forecast'!I45</f>
        <v>125</v>
      </c>
      <c r="U17" s="37">
        <f>+'12c. Monthly Customer Forecast'!J45</f>
        <v>125</v>
      </c>
      <c r="V17" s="37">
        <f>+'12c. Monthly Customer Forecast'!K45</f>
        <v>125</v>
      </c>
      <c r="W17" s="37">
        <f>+'12c. Monthly Customer Forecast'!L45</f>
        <v>125</v>
      </c>
      <c r="X17" s="37">
        <f>+'12c. Monthly Customer Forecast'!M45</f>
        <v>125</v>
      </c>
      <c r="Y17" s="37">
        <f>+'12c. Monthly Customer Forecast'!N45</f>
        <v>125</v>
      </c>
    </row>
    <row r="18" spans="1:25" x14ac:dyDescent="0.2">
      <c r="A18" s="1" t="s">
        <v>33</v>
      </c>
      <c r="B18" s="37">
        <f>+'12. Load Forecast by Month'!B11</f>
        <v>7511200.2426306931</v>
      </c>
      <c r="C18" s="37">
        <f>+'12. Load Forecast by Month'!C11</f>
        <v>6877692.4808831029</v>
      </c>
      <c r="D18" s="37">
        <f>+'12. Load Forecast by Month'!D11</f>
        <v>6660486.6877625203</v>
      </c>
      <c r="E18" s="37">
        <f>+'12. Load Forecast by Month'!E11</f>
        <v>6248707.3760215705</v>
      </c>
      <c r="F18" s="37">
        <f>+'12. Load Forecast by Month'!F11</f>
        <v>6363393.7943437928</v>
      </c>
      <c r="G18" s="37">
        <f>+'12. Load Forecast by Month'!G11</f>
        <v>7377260.4525396926</v>
      </c>
      <c r="H18" s="37">
        <f>+'12. Load Forecast by Month'!H11</f>
        <v>8921672.3099004142</v>
      </c>
      <c r="I18" s="37">
        <f>+'12. Load Forecast by Month'!I11</f>
        <v>8852543.4687612522</v>
      </c>
      <c r="J18" s="37">
        <f>+'12. Load Forecast by Month'!J11</f>
        <v>6762984.3759844918</v>
      </c>
      <c r="K18" s="37">
        <f>+'12. Load Forecast by Month'!K11</f>
        <v>6327156.7666909983</v>
      </c>
      <c r="L18" s="37">
        <f>+'12. Load Forecast by Month'!L11</f>
        <v>6311126.0886213211</v>
      </c>
      <c r="M18" s="37">
        <f>+'12. Load Forecast by Month'!M11</f>
        <v>7415619.1205426911</v>
      </c>
      <c r="N18" s="37">
        <f>+'12. Load Forecast by Month'!B67</f>
        <v>7590887.7531258296</v>
      </c>
      <c r="O18" s="37">
        <f>+'12. Load Forecast by Month'!C67</f>
        <v>7145221.4008885566</v>
      </c>
      <c r="P18" s="37">
        <f>+'12. Load Forecast by Month'!D67</f>
        <v>6737965.0157540049</v>
      </c>
      <c r="Q18" s="37">
        <f>+'12. Load Forecast by Month'!E67</f>
        <v>6325104.4649622357</v>
      </c>
      <c r="R18" s="37">
        <f>+'12. Load Forecast by Month'!F67</f>
        <v>6439615.1249639252</v>
      </c>
      <c r="S18" s="37">
        <f>+'12. Load Forecast by Month'!G67</f>
        <v>7454852.5459778355</v>
      </c>
      <c r="T18" s="37">
        <f>+'12. Load Forecast by Month'!H67</f>
        <v>9001547.6632612348</v>
      </c>
      <c r="U18" s="37">
        <f>+'12. Load Forecast by Month'!I67</f>
        <v>8931926.9156348649</v>
      </c>
      <c r="V18" s="37">
        <f>+'12. Load Forecast by Month'!J67</f>
        <v>6838400.9310959335</v>
      </c>
      <c r="W18" s="37">
        <f>+'12. Load Forecast by Month'!K67</f>
        <v>6401450.7215218432</v>
      </c>
      <c r="X18" s="37">
        <f>+'12. Load Forecast by Month'!L67</f>
        <v>6385019.4617383089</v>
      </c>
      <c r="Y18" s="37">
        <f>+'12. Load Forecast by Month'!M67</f>
        <v>7491039.1268988345</v>
      </c>
    </row>
    <row r="19" spans="1:25" x14ac:dyDescent="0.2">
      <c r="A19" s="1" t="s">
        <v>34</v>
      </c>
      <c r="B19" s="37">
        <f>+'12b. Monthly kW Forecast'!B9</f>
        <v>19139.77776486758</v>
      </c>
      <c r="C19" s="37">
        <f>+'12b. Monthly kW Forecast'!C9</f>
        <v>17525.495442403379</v>
      </c>
      <c r="D19" s="520">
        <f>+'12b. Monthly kW Forecast'!D9*0+'Harris Data kW'!M126</f>
        <v>23133.200000000001</v>
      </c>
      <c r="E19" s="520">
        <f>+'12b. Monthly kW Forecast'!E9*0+'Harris Data kW'!M127</f>
        <v>22392.2</v>
      </c>
      <c r="F19" s="37">
        <f>+'12b. Monthly kW Forecast'!F9</f>
        <v>16214.977516219304</v>
      </c>
      <c r="G19" s="37">
        <f>+'12b. Monthly kW Forecast'!G9</f>
        <v>18798.477076108829</v>
      </c>
      <c r="H19" s="37">
        <f>+'12b. Monthly kW Forecast'!H9</f>
        <v>22733.893357456389</v>
      </c>
      <c r="I19" s="37">
        <f>+'12b. Monthly kW Forecast'!I9</f>
        <v>22557.741662147171</v>
      </c>
      <c r="J19" s="37">
        <f>+'12b. Monthly kW Forecast'!J9</f>
        <v>17233.200261251397</v>
      </c>
      <c r="K19" s="37">
        <f>+'12b. Monthly kW Forecast'!K9</f>
        <v>16122.639589692273</v>
      </c>
      <c r="L19" s="37">
        <f>+'12b. Monthly kW Forecast'!L9</f>
        <v>16081.790776484984</v>
      </c>
      <c r="M19" s="37">
        <f>+'12b. Monthly kW Forecast'!M9</f>
        <v>18896.221292374936</v>
      </c>
      <c r="N19" s="37">
        <f>+'12b. Monthly kW Forecast'!B61</f>
        <v>19342.834692155448</v>
      </c>
      <c r="O19" s="37">
        <f>+'12b. Monthly kW Forecast'!C61</f>
        <v>18207.20327992284</v>
      </c>
      <c r="P19" s="37">
        <f>+'12b. Monthly kW Forecast'!D61</f>
        <v>17169.446802528139</v>
      </c>
      <c r="Q19" s="37">
        <f>+'12b. Monthly kW Forecast'!E61</f>
        <v>16117.409986203336</v>
      </c>
      <c r="R19" s="37">
        <f>+'12b. Monthly kW Forecast'!F61</f>
        <v>16409.20204517433</v>
      </c>
      <c r="S19" s="37">
        <f>+'12b. Monthly kW Forecast'!G61</f>
        <v>18996.194534936254</v>
      </c>
      <c r="T19" s="37">
        <f>+'12b. Monthly kW Forecast'!H61</f>
        <v>22937.428939365058</v>
      </c>
      <c r="U19" s="37">
        <f>+'12b. Monthly kW Forecast'!I61</f>
        <v>22760.02378514886</v>
      </c>
      <c r="V19" s="37">
        <f>+'12b. Monthly kW Forecast'!J61</f>
        <v>17425.374089401044</v>
      </c>
      <c r="W19" s="37">
        <f>+'12b. Monthly kW Forecast'!K61</f>
        <v>16311.952847068229</v>
      </c>
      <c r="X19" s="37">
        <f>+'12b. Monthly kW Forecast'!L61</f>
        <v>16270.083285547458</v>
      </c>
      <c r="Y19" s="37">
        <f>+'12b. Monthly kW Forecast'!M61</f>
        <v>19088.403914865627</v>
      </c>
    </row>
    <row r="20" spans="1:25" x14ac:dyDescent="0.2">
      <c r="B20" s="37"/>
      <c r="C20" s="37"/>
      <c r="D20" s="37"/>
      <c r="E20" s="37"/>
      <c r="F20" s="37"/>
      <c r="G20" s="37"/>
      <c r="H20" s="37"/>
      <c r="I20" s="37"/>
      <c r="J20" s="37"/>
      <c r="K20" s="37"/>
      <c r="L20" s="37"/>
      <c r="M20" s="37"/>
    </row>
    <row r="21" spans="1:25" x14ac:dyDescent="0.2">
      <c r="A21" s="33" t="s">
        <v>174</v>
      </c>
      <c r="B21" s="37"/>
      <c r="C21" s="37"/>
      <c r="D21" s="37"/>
      <c r="E21" s="37"/>
      <c r="F21" s="37"/>
      <c r="G21" s="37"/>
      <c r="H21" s="37"/>
      <c r="I21" s="37"/>
      <c r="J21" s="37"/>
      <c r="K21" s="37"/>
      <c r="L21" s="37"/>
      <c r="M21" s="37"/>
    </row>
    <row r="22" spans="1:25" x14ac:dyDescent="0.2">
      <c r="A22" s="1" t="s">
        <v>149</v>
      </c>
      <c r="B22" s="37">
        <f>+'12c. Monthly Customer Forecast'!C12</f>
        <v>45</v>
      </c>
      <c r="C22" s="37">
        <f>+'12c. Monthly Customer Forecast'!D12</f>
        <v>45</v>
      </c>
      <c r="D22" s="37">
        <f>+'12c. Monthly Customer Forecast'!E12</f>
        <v>45.5</v>
      </c>
      <c r="E22" s="37">
        <f>+'12c. Monthly Customer Forecast'!F12</f>
        <v>46</v>
      </c>
      <c r="F22" s="37">
        <f>+'12c. Monthly Customer Forecast'!G12</f>
        <v>47.5</v>
      </c>
      <c r="G22" s="37">
        <f>+'12c. Monthly Customer Forecast'!H12</f>
        <v>50</v>
      </c>
      <c r="H22" s="37">
        <f>+'12c. Monthly Customer Forecast'!I12</f>
        <v>51.5</v>
      </c>
      <c r="I22" s="37">
        <f>+'12c. Monthly Customer Forecast'!J12</f>
        <v>52</v>
      </c>
      <c r="J22" s="37">
        <f>+'12c. Monthly Customer Forecast'!K12</f>
        <v>52</v>
      </c>
      <c r="K22" s="37">
        <f>+'12c. Monthly Customer Forecast'!L12</f>
        <v>52</v>
      </c>
      <c r="L22" s="37">
        <f>+'12c. Monthly Customer Forecast'!M12</f>
        <v>52.5</v>
      </c>
      <c r="M22" s="37">
        <f>+'12c. Monthly Customer Forecast'!N12</f>
        <v>60</v>
      </c>
      <c r="N22" s="37">
        <f>+'12c. Monthly Customer Forecast'!C46</f>
        <v>60</v>
      </c>
      <c r="O22" s="37">
        <f>+'12c. Monthly Customer Forecast'!D46</f>
        <v>60</v>
      </c>
      <c r="P22" s="37">
        <f>+'12c. Monthly Customer Forecast'!E46</f>
        <v>60</v>
      </c>
      <c r="Q22" s="37">
        <f>+'12c. Monthly Customer Forecast'!F46</f>
        <v>60</v>
      </c>
      <c r="R22" s="37">
        <f>+'12c. Monthly Customer Forecast'!G46</f>
        <v>60</v>
      </c>
      <c r="S22" s="37">
        <f>+'12c. Monthly Customer Forecast'!H46</f>
        <v>60</v>
      </c>
      <c r="T22" s="37">
        <f>+'12c. Monthly Customer Forecast'!I46</f>
        <v>60</v>
      </c>
      <c r="U22" s="37">
        <f>+'12c. Monthly Customer Forecast'!J46</f>
        <v>60</v>
      </c>
      <c r="V22" s="37">
        <f>+'12c. Monthly Customer Forecast'!K46</f>
        <v>60</v>
      </c>
      <c r="W22" s="37">
        <f>+'12c. Monthly Customer Forecast'!L46</f>
        <v>60</v>
      </c>
      <c r="X22" s="37">
        <f>+'12c. Monthly Customer Forecast'!M46</f>
        <v>60</v>
      </c>
      <c r="Y22" s="37">
        <f>+'12c. Monthly Customer Forecast'!N46</f>
        <v>60</v>
      </c>
    </row>
    <row r="23" spans="1:25" x14ac:dyDescent="0.2">
      <c r="A23" s="1" t="s">
        <v>33</v>
      </c>
      <c r="B23" s="37">
        <f>+'12. Load Forecast by Month'!B12</f>
        <v>31590.278464106854</v>
      </c>
      <c r="C23" s="37">
        <f>+'12. Load Forecast by Month'!C12</f>
        <v>31590.278464106854</v>
      </c>
      <c r="D23" s="37">
        <f>+'12. Load Forecast by Month'!D12</f>
        <v>31590.278464106854</v>
      </c>
      <c r="E23" s="37">
        <f>+'12. Load Forecast by Month'!E12</f>
        <v>31590.278464106854</v>
      </c>
      <c r="F23" s="37">
        <f>+'12. Load Forecast by Month'!F12</f>
        <v>31590.278464106854</v>
      </c>
      <c r="G23" s="37">
        <f>+'12. Load Forecast by Month'!G12</f>
        <v>31590.278464106854</v>
      </c>
      <c r="H23" s="37">
        <f>+'12. Load Forecast by Month'!H12</f>
        <v>31590.278464106854</v>
      </c>
      <c r="I23" s="37">
        <f>+'12. Load Forecast by Month'!I12</f>
        <v>31590.278464106854</v>
      </c>
      <c r="J23" s="37">
        <f>+'12. Load Forecast by Month'!J12</f>
        <v>31590.278464106854</v>
      </c>
      <c r="K23" s="37">
        <f>+'12. Load Forecast by Month'!K12</f>
        <v>31590.278464106854</v>
      </c>
      <c r="L23" s="37">
        <f>+'12. Load Forecast by Month'!L12</f>
        <v>31590.278464106854</v>
      </c>
      <c r="M23" s="37">
        <f>+'12. Load Forecast by Month'!M12</f>
        <v>31590.278464106854</v>
      </c>
      <c r="N23" s="37">
        <f>+'12. Load Forecast by Month'!B68</f>
        <v>31590.278464106854</v>
      </c>
      <c r="O23" s="37">
        <f>+'12. Load Forecast by Month'!C68</f>
        <v>31590.278464106854</v>
      </c>
      <c r="P23" s="37">
        <f>+'12. Load Forecast by Month'!D68</f>
        <v>31590.278464106854</v>
      </c>
      <c r="Q23" s="37">
        <f>+'12. Load Forecast by Month'!E68</f>
        <v>31590.278464106854</v>
      </c>
      <c r="R23" s="37">
        <f>+'12. Load Forecast by Month'!F68</f>
        <v>31590.278464106854</v>
      </c>
      <c r="S23" s="37">
        <f>+'12. Load Forecast by Month'!G68</f>
        <v>31590.278464106854</v>
      </c>
      <c r="T23" s="37">
        <f>+'12. Load Forecast by Month'!H68</f>
        <v>31590.278464106854</v>
      </c>
      <c r="U23" s="37">
        <f>+'12. Load Forecast by Month'!I68</f>
        <v>31590.278464106854</v>
      </c>
      <c r="V23" s="37">
        <f>+'12. Load Forecast by Month'!J68</f>
        <v>31590.278464106854</v>
      </c>
      <c r="W23" s="37">
        <f>+'12. Load Forecast by Month'!K68</f>
        <v>31590.278464106854</v>
      </c>
      <c r="X23" s="37">
        <f>+'12. Load Forecast by Month'!L68</f>
        <v>31590.278464106854</v>
      </c>
      <c r="Y23" s="37">
        <f>+'12. Load Forecast by Month'!M68</f>
        <v>31590.278464106854</v>
      </c>
    </row>
    <row r="24" spans="1:25" x14ac:dyDescent="0.2">
      <c r="A24" s="1" t="s">
        <v>34</v>
      </c>
      <c r="B24" s="441"/>
      <c r="C24" s="441"/>
      <c r="D24" s="441"/>
      <c r="E24" s="441"/>
      <c r="F24" s="441"/>
      <c r="G24" s="441"/>
      <c r="H24" s="441"/>
      <c r="I24" s="441"/>
      <c r="J24" s="441"/>
      <c r="K24" s="441"/>
      <c r="L24" s="441"/>
      <c r="M24" s="441"/>
      <c r="N24" s="441"/>
      <c r="O24" s="441"/>
      <c r="P24" s="441"/>
      <c r="Q24" s="441"/>
      <c r="R24" s="441"/>
      <c r="S24" s="441"/>
      <c r="T24" s="441"/>
      <c r="U24" s="441"/>
      <c r="V24" s="441"/>
      <c r="W24" s="441"/>
      <c r="X24" s="441"/>
      <c r="Y24" s="441"/>
    </row>
    <row r="25" spans="1:25" x14ac:dyDescent="0.2">
      <c r="B25" s="37"/>
      <c r="C25" s="37"/>
      <c r="D25" s="37"/>
      <c r="E25" s="37"/>
      <c r="F25" s="37"/>
      <c r="G25" s="37"/>
      <c r="H25" s="37"/>
      <c r="I25" s="37"/>
      <c r="J25" s="37"/>
      <c r="K25" s="37"/>
      <c r="L25" s="37"/>
      <c r="M25" s="37"/>
    </row>
    <row r="26" spans="1:25" x14ac:dyDescent="0.2">
      <c r="A26" s="33" t="s">
        <v>195</v>
      </c>
      <c r="B26" s="37"/>
      <c r="C26" s="37"/>
      <c r="D26" s="37"/>
      <c r="E26" s="37"/>
      <c r="F26" s="37"/>
      <c r="G26" s="37"/>
      <c r="H26" s="37"/>
      <c r="I26" s="37"/>
      <c r="J26" s="37"/>
      <c r="K26" s="37"/>
      <c r="L26" s="37"/>
      <c r="M26" s="37"/>
    </row>
    <row r="27" spans="1:25" x14ac:dyDescent="0.2">
      <c r="A27" s="1" t="s">
        <v>149</v>
      </c>
      <c r="B27" s="435">
        <v>5</v>
      </c>
      <c r="C27" s="37">
        <f>+B27</f>
        <v>5</v>
      </c>
      <c r="D27" s="37">
        <f t="shared" ref="D27:Y27" si="0">+C27</f>
        <v>5</v>
      </c>
      <c r="E27" s="37">
        <f t="shared" si="0"/>
        <v>5</v>
      </c>
      <c r="F27" s="37">
        <f t="shared" si="0"/>
        <v>5</v>
      </c>
      <c r="G27" s="37">
        <f t="shared" si="0"/>
        <v>5</v>
      </c>
      <c r="H27" s="37">
        <f t="shared" si="0"/>
        <v>5</v>
      </c>
      <c r="I27" s="37">
        <f t="shared" si="0"/>
        <v>5</v>
      </c>
      <c r="J27" s="37">
        <f t="shared" si="0"/>
        <v>5</v>
      </c>
      <c r="K27" s="37">
        <f t="shared" si="0"/>
        <v>5</v>
      </c>
      <c r="L27" s="37">
        <f t="shared" si="0"/>
        <v>5</v>
      </c>
      <c r="M27" s="37">
        <f t="shared" si="0"/>
        <v>5</v>
      </c>
      <c r="N27" s="37">
        <f t="shared" si="0"/>
        <v>5</v>
      </c>
      <c r="O27" s="37">
        <f t="shared" si="0"/>
        <v>5</v>
      </c>
      <c r="P27" s="37">
        <f t="shared" si="0"/>
        <v>5</v>
      </c>
      <c r="Q27" s="37">
        <f t="shared" si="0"/>
        <v>5</v>
      </c>
      <c r="R27" s="37">
        <f t="shared" si="0"/>
        <v>5</v>
      </c>
      <c r="S27" s="37">
        <f t="shared" si="0"/>
        <v>5</v>
      </c>
      <c r="T27" s="37">
        <f t="shared" si="0"/>
        <v>5</v>
      </c>
      <c r="U27" s="37">
        <f t="shared" si="0"/>
        <v>5</v>
      </c>
      <c r="V27" s="37">
        <f t="shared" si="0"/>
        <v>5</v>
      </c>
      <c r="W27" s="37">
        <f t="shared" si="0"/>
        <v>5</v>
      </c>
      <c r="X27" s="37">
        <f t="shared" si="0"/>
        <v>5</v>
      </c>
      <c r="Y27" s="37">
        <f t="shared" si="0"/>
        <v>5</v>
      </c>
    </row>
    <row r="28" spans="1:25" x14ac:dyDescent="0.2">
      <c r="A28" s="1" t="s">
        <v>252</v>
      </c>
      <c r="B28" s="37">
        <f>+'12c. Monthly Customer Forecast'!C13</f>
        <v>2254</v>
      </c>
      <c r="C28" s="37">
        <f>+'12c. Monthly Customer Forecast'!D13</f>
        <v>2254</v>
      </c>
      <c r="D28" s="37">
        <f>+'12c. Monthly Customer Forecast'!E13</f>
        <v>2254</v>
      </c>
      <c r="E28" s="37">
        <f>+'12c. Monthly Customer Forecast'!F13</f>
        <v>2254</v>
      </c>
      <c r="F28" s="37">
        <f>+'12c. Monthly Customer Forecast'!G13</f>
        <v>2254</v>
      </c>
      <c r="G28" s="37">
        <f>+'12c. Monthly Customer Forecast'!H13</f>
        <v>2254</v>
      </c>
      <c r="H28" s="37">
        <f>+'12c. Monthly Customer Forecast'!I13</f>
        <v>2254</v>
      </c>
      <c r="I28" s="37">
        <f>+'12c. Monthly Customer Forecast'!J13</f>
        <v>2254</v>
      </c>
      <c r="J28" s="37">
        <f>+'12c. Monthly Customer Forecast'!K13</f>
        <v>2254</v>
      </c>
      <c r="K28" s="37">
        <f>+'12c. Monthly Customer Forecast'!L13</f>
        <v>2254</v>
      </c>
      <c r="L28" s="37">
        <f>+'12c. Monthly Customer Forecast'!M13</f>
        <v>2254</v>
      </c>
      <c r="M28" s="37">
        <f>+'12c. Monthly Customer Forecast'!N13</f>
        <v>2254</v>
      </c>
      <c r="N28" s="37">
        <f>+'12c. Monthly Customer Forecast'!C47</f>
        <v>2254</v>
      </c>
      <c r="O28" s="37">
        <f>+'12c. Monthly Customer Forecast'!D47</f>
        <v>2254</v>
      </c>
      <c r="P28" s="37">
        <f>+'12c. Monthly Customer Forecast'!E47</f>
        <v>2254</v>
      </c>
      <c r="Q28" s="37">
        <f>+'12c. Monthly Customer Forecast'!F47</f>
        <v>2254</v>
      </c>
      <c r="R28" s="37">
        <f>+'12c. Monthly Customer Forecast'!G47</f>
        <v>2254</v>
      </c>
      <c r="S28" s="37">
        <f>+'12c. Monthly Customer Forecast'!H47</f>
        <v>2254</v>
      </c>
      <c r="T28" s="37">
        <f>+'12c. Monthly Customer Forecast'!I47</f>
        <v>2254</v>
      </c>
      <c r="U28" s="37">
        <f>+'12c. Monthly Customer Forecast'!J47</f>
        <v>2254</v>
      </c>
      <c r="V28" s="37">
        <f>+'12c. Monthly Customer Forecast'!K47</f>
        <v>2254</v>
      </c>
      <c r="W28" s="37">
        <f>+'12c. Monthly Customer Forecast'!L47</f>
        <v>2254</v>
      </c>
      <c r="X28" s="37">
        <f>+'12c. Monthly Customer Forecast'!M47</f>
        <v>2254</v>
      </c>
      <c r="Y28" s="37">
        <f>+'12c. Monthly Customer Forecast'!N47</f>
        <v>2254</v>
      </c>
    </row>
    <row r="29" spans="1:25" x14ac:dyDescent="0.2">
      <c r="A29" s="1" t="s">
        <v>33</v>
      </c>
      <c r="B29" s="37">
        <f>+'12. Load Forecast by Month'!B13</f>
        <v>49414.992726344637</v>
      </c>
      <c r="C29" s="37">
        <f>+'12. Load Forecast by Month'!C13</f>
        <v>45247.245838015646</v>
      </c>
      <c r="D29" s="37">
        <f>+'12. Load Forecast by Month'!D13</f>
        <v>43818.283443130225</v>
      </c>
      <c r="E29" s="37">
        <f>+'12. Load Forecast by Month'!E13</f>
        <v>41109.252790605431</v>
      </c>
      <c r="F29" s="37">
        <f>+'12. Load Forecast by Month'!F13</f>
        <v>41863.75651093472</v>
      </c>
      <c r="G29" s="37">
        <f>+'12. Load Forecast by Month'!G13</f>
        <v>48533.824132868715</v>
      </c>
      <c r="H29" s="37">
        <f>+'12. Load Forecast by Month'!H13</f>
        <v>58694.264306572761</v>
      </c>
      <c r="I29" s="37">
        <f>+'12. Load Forecast by Month'!I13</f>
        <v>58239.476646581432</v>
      </c>
      <c r="J29" s="37">
        <f>+'12. Load Forecast by Month'!J13</f>
        <v>44492.599445146698</v>
      </c>
      <c r="K29" s="37">
        <f>+'12. Load Forecast by Month'!K13</f>
        <v>41625.358864747075</v>
      </c>
      <c r="L29" s="37">
        <f>+'12. Load Forecast by Month'!L13</f>
        <v>41519.895581300647</v>
      </c>
      <c r="M29" s="37">
        <f>+'12. Load Forecast by Month'!M13</f>
        <v>48786.179713752092</v>
      </c>
      <c r="N29" s="37">
        <f>+'12. Load Forecast by Month'!B69</f>
        <v>49298.365443296418</v>
      </c>
      <c r="O29" s="37">
        <f>+'12. Load Forecast by Month'!C69</f>
        <v>46404.023778274866</v>
      </c>
      <c r="P29" s="37">
        <f>+'12. Load Forecast by Month'!D69</f>
        <v>43759.13232994439</v>
      </c>
      <c r="Q29" s="37">
        <f>+'12. Load Forecast by Month'!E69</f>
        <v>41077.845111374729</v>
      </c>
      <c r="R29" s="37">
        <f>+'12. Load Forecast by Month'!F69</f>
        <v>41821.524710851321</v>
      </c>
      <c r="S29" s="37">
        <f>+'12. Load Forecast by Month'!G69</f>
        <v>48414.896529877857</v>
      </c>
      <c r="T29" s="37">
        <f>+'12. Load Forecast by Month'!H69</f>
        <v>58459.774494224075</v>
      </c>
      <c r="U29" s="37">
        <f>+'12. Load Forecast by Month'!I69</f>
        <v>58007.628556812881</v>
      </c>
      <c r="V29" s="37">
        <f>+'12. Load Forecast by Month'!J69</f>
        <v>44411.404714833698</v>
      </c>
      <c r="W29" s="37">
        <f>+'12. Load Forecast by Month'!K69</f>
        <v>41573.669286162898</v>
      </c>
      <c r="X29" s="37">
        <f>+'12. Load Forecast by Month'!L69</f>
        <v>41466.957887463999</v>
      </c>
      <c r="Y29" s="37">
        <f>+'12. Load Forecast by Month'!M69</f>
        <v>48649.907156882873</v>
      </c>
    </row>
    <row r="30" spans="1:25" x14ac:dyDescent="0.2">
      <c r="A30" s="1" t="s">
        <v>34</v>
      </c>
      <c r="B30" s="37">
        <f>+'12b. Monthly kW Forecast'!B10</f>
        <v>137.89125782593305</v>
      </c>
      <c r="C30" s="37">
        <f>+'12b. Monthly kW Forecast'!C10</f>
        <v>126.2612680389384</v>
      </c>
      <c r="D30" s="37">
        <f>+'12b. Monthly kW Forecast'!D10</f>
        <v>122.27378547250548</v>
      </c>
      <c r="E30" s="37">
        <f>+'12b. Monthly kW Forecast'!E10</f>
        <v>114.71430557468693</v>
      </c>
      <c r="F30" s="37">
        <f>+'12b. Monthly kW Forecast'!F10</f>
        <v>116.81972867181683</v>
      </c>
      <c r="G30" s="37">
        <f>+'12b. Monthly kW Forecast'!G10</f>
        <v>135.43237967969941</v>
      </c>
      <c r="H30" s="37">
        <f>+'12b. Monthly kW Forecast'!H10</f>
        <v>163.78482492594262</v>
      </c>
      <c r="I30" s="37">
        <f>+'12b. Monthly kW Forecast'!I10</f>
        <v>162.51575173539888</v>
      </c>
      <c r="J30" s="37">
        <f>+'12b. Monthly kW Forecast'!J10</f>
        <v>124.15544681778044</v>
      </c>
      <c r="K30" s="37">
        <f>+'12b. Monthly kW Forecast'!K10</f>
        <v>116.15448621235512</v>
      </c>
      <c r="L30" s="37">
        <f>+'12b. Monthly kW Forecast'!L10</f>
        <v>115.86019365039087</v>
      </c>
      <c r="M30" s="37">
        <f>+'12b. Monthly kW Forecast'!M10</f>
        <v>136.13657139455219</v>
      </c>
      <c r="N30" s="37">
        <f>+'12b. Monthly kW Forecast'!B62</f>
        <v>137.56581241212109</v>
      </c>
      <c r="O30" s="37">
        <f>+'12b. Monthly kW Forecast'!C62</f>
        <v>129.48922693171784</v>
      </c>
      <c r="P30" s="37">
        <f>+'12b. Monthly kW Forecast'!D62</f>
        <v>122.10872582260998</v>
      </c>
      <c r="Q30" s="37">
        <f>+'12b. Monthly kW Forecast'!E62</f>
        <v>114.62666325895295</v>
      </c>
      <c r="R30" s="37">
        <f>+'12b. Monthly kW Forecast'!F62</f>
        <v>116.70188192708487</v>
      </c>
      <c r="S30" s="37">
        <f>+'12b. Monthly kW Forecast'!G62</f>
        <v>135.10051528264387</v>
      </c>
      <c r="T30" s="37">
        <f>+'12b. Monthly kW Forecast'!H62</f>
        <v>163.13048717563291</v>
      </c>
      <c r="U30" s="37">
        <f>+'12b. Monthly kW Forecast'!I62</f>
        <v>161.86878564355362</v>
      </c>
      <c r="V30" s="37">
        <f>+'12b. Monthly kW Forecast'!J62</f>
        <v>123.928875025011</v>
      </c>
      <c r="W30" s="37">
        <f>+'12b. Monthly kW Forecast'!K62</f>
        <v>116.01024778158298</v>
      </c>
      <c r="X30" s="37">
        <f>+'12b. Monthly kW Forecast'!L62</f>
        <v>115.71247238632098</v>
      </c>
      <c r="Y30" s="37">
        <f>+'12b. Monthly kW Forecast'!M62</f>
        <v>135.75630635276792</v>
      </c>
    </row>
    <row r="31" spans="1:25" x14ac:dyDescent="0.2">
      <c r="B31" s="37"/>
      <c r="C31" s="37"/>
      <c r="D31" s="37"/>
      <c r="E31" s="37"/>
      <c r="F31" s="37"/>
      <c r="G31" s="37"/>
      <c r="H31" s="37"/>
      <c r="I31" s="37"/>
      <c r="J31" s="37"/>
      <c r="K31" s="37"/>
      <c r="L31" s="37"/>
      <c r="M31" s="37"/>
    </row>
    <row r="32" spans="1:25" x14ac:dyDescent="0.2">
      <c r="A32" s="33" t="s">
        <v>251</v>
      </c>
      <c r="B32" s="37"/>
      <c r="C32" s="37"/>
      <c r="D32" s="37"/>
      <c r="E32" s="37"/>
      <c r="F32" s="37"/>
      <c r="G32" s="37"/>
      <c r="H32" s="37"/>
      <c r="I32" s="37"/>
      <c r="J32" s="37"/>
      <c r="K32" s="37"/>
      <c r="L32" s="37"/>
      <c r="M32" s="37"/>
    </row>
    <row r="33" spans="1:25" x14ac:dyDescent="0.2">
      <c r="A33" s="1" t="s">
        <v>149</v>
      </c>
      <c r="B33" s="37">
        <f>+'12c. Monthly Customer Forecast'!C14</f>
        <v>1</v>
      </c>
      <c r="C33" s="37">
        <f>+'12c. Monthly Customer Forecast'!D14</f>
        <v>1</v>
      </c>
      <c r="D33" s="37">
        <f>+'12c. Monthly Customer Forecast'!E14</f>
        <v>1</v>
      </c>
      <c r="E33" s="37">
        <f>+'12c. Monthly Customer Forecast'!F14</f>
        <v>1</v>
      </c>
      <c r="F33" s="37">
        <f>+'12c. Monthly Customer Forecast'!G14</f>
        <v>1</v>
      </c>
      <c r="G33" s="37">
        <f>+'12c. Monthly Customer Forecast'!H14</f>
        <v>1</v>
      </c>
      <c r="H33" s="37">
        <f>+'12c. Monthly Customer Forecast'!I14</f>
        <v>0</v>
      </c>
      <c r="I33" s="37">
        <f>+'12c. Monthly Customer Forecast'!J14</f>
        <v>0</v>
      </c>
      <c r="J33" s="37">
        <f>+'12c. Monthly Customer Forecast'!K14</f>
        <v>0</v>
      </c>
      <c r="K33" s="37">
        <f>+'12c. Monthly Customer Forecast'!L14</f>
        <v>0</v>
      </c>
      <c r="L33" s="37">
        <f>+'12c. Monthly Customer Forecast'!M14</f>
        <v>0</v>
      </c>
      <c r="M33" s="37">
        <f>+'12c. Monthly Customer Forecast'!N14</f>
        <v>0</v>
      </c>
      <c r="N33" s="37">
        <f>+'12c. Monthly Customer Forecast'!C48</f>
        <v>0</v>
      </c>
      <c r="O33" s="37">
        <f>+'12c. Monthly Customer Forecast'!D48</f>
        <v>0</v>
      </c>
      <c r="P33" s="37">
        <f>+'12c. Monthly Customer Forecast'!E48</f>
        <v>0</v>
      </c>
      <c r="Q33" s="37">
        <f>+'12c. Monthly Customer Forecast'!F48</f>
        <v>0</v>
      </c>
      <c r="R33" s="37">
        <f>+'12c. Monthly Customer Forecast'!G48</f>
        <v>0</v>
      </c>
      <c r="S33" s="37">
        <f>+'12c. Monthly Customer Forecast'!H48</f>
        <v>0</v>
      </c>
      <c r="T33" s="37">
        <f>+'12c. Monthly Customer Forecast'!I48</f>
        <v>1</v>
      </c>
      <c r="U33" s="37">
        <f>+'12c. Monthly Customer Forecast'!J48</f>
        <v>1</v>
      </c>
      <c r="V33" s="37">
        <f>+'12c. Monthly Customer Forecast'!K48</f>
        <v>1</v>
      </c>
      <c r="W33" s="37">
        <f>+'12c. Monthly Customer Forecast'!L48</f>
        <v>1</v>
      </c>
      <c r="X33" s="37">
        <f>+'12c. Monthly Customer Forecast'!M48</f>
        <v>1</v>
      </c>
      <c r="Y33" s="37">
        <f>+'12c. Monthly Customer Forecast'!N48</f>
        <v>1</v>
      </c>
    </row>
    <row r="34" spans="1:25" x14ac:dyDescent="0.2">
      <c r="A34" s="1" t="s">
        <v>33</v>
      </c>
      <c r="B34" s="37">
        <f>+'12. Load Forecast by Month'!B14</f>
        <v>0</v>
      </c>
      <c r="C34" s="37">
        <f>+'12. Load Forecast by Month'!C14</f>
        <v>0</v>
      </c>
      <c r="D34" s="37">
        <f>+'12. Load Forecast by Month'!D14</f>
        <v>0</v>
      </c>
      <c r="E34" s="37">
        <f>+'12. Load Forecast by Month'!E14</f>
        <v>0</v>
      </c>
      <c r="F34" s="37">
        <f>+'12. Load Forecast by Month'!F14</f>
        <v>0</v>
      </c>
      <c r="G34" s="37">
        <f>+'12. Load Forecast by Month'!G14</f>
        <v>0</v>
      </c>
      <c r="H34" s="37">
        <f>+'12. Load Forecast by Month'!H14</f>
        <v>3285000</v>
      </c>
      <c r="I34" s="37">
        <f>+'12. Load Forecast by Month'!I14</f>
        <v>3285000</v>
      </c>
      <c r="J34" s="37">
        <f>+'12. Load Forecast by Month'!J14</f>
        <v>3285000</v>
      </c>
      <c r="K34" s="37">
        <f>+'12. Load Forecast by Month'!K14</f>
        <v>3285000</v>
      </c>
      <c r="L34" s="37">
        <f>+'12. Load Forecast by Month'!L14</f>
        <v>3285000</v>
      </c>
      <c r="M34" s="37">
        <f>+'12. Load Forecast by Month'!M14</f>
        <v>3285000</v>
      </c>
      <c r="N34" s="37">
        <f>+'12. Load Forecast by Month'!B70</f>
        <v>3285000</v>
      </c>
      <c r="O34" s="37">
        <f>+'12. Load Forecast by Month'!C70</f>
        <v>3285000</v>
      </c>
      <c r="P34" s="37">
        <f>+'12. Load Forecast by Month'!D70</f>
        <v>3285000</v>
      </c>
      <c r="Q34" s="37">
        <f>+'12. Load Forecast by Month'!E70</f>
        <v>3285000</v>
      </c>
      <c r="R34" s="37">
        <f>+'12. Load Forecast by Month'!F70</f>
        <v>3285000</v>
      </c>
      <c r="S34" s="37">
        <f>+'12. Load Forecast by Month'!G70</f>
        <v>3285000</v>
      </c>
      <c r="T34" s="37">
        <f>+'12. Load Forecast by Month'!H70</f>
        <v>3285000</v>
      </c>
      <c r="U34" s="37">
        <f>+'12. Load Forecast by Month'!I70</f>
        <v>3285000</v>
      </c>
      <c r="V34" s="37">
        <f>+'12. Load Forecast by Month'!J70</f>
        <v>3285000</v>
      </c>
      <c r="W34" s="37">
        <f>+'12. Load Forecast by Month'!K70</f>
        <v>3285000</v>
      </c>
      <c r="X34" s="37">
        <f>+'12. Load Forecast by Month'!L70</f>
        <v>3285000</v>
      </c>
      <c r="Y34" s="37">
        <f>+'12. Load Forecast by Month'!M70</f>
        <v>3285000</v>
      </c>
    </row>
    <row r="35" spans="1:25" x14ac:dyDescent="0.2">
      <c r="A35" s="1" t="s">
        <v>34</v>
      </c>
      <c r="B35" s="37">
        <f>+'12b. Monthly kW Forecast'!B11</f>
        <v>0</v>
      </c>
      <c r="C35" s="37">
        <f>+'12b. Monthly kW Forecast'!C11</f>
        <v>0</v>
      </c>
      <c r="D35" s="37">
        <f>+'12b. Monthly kW Forecast'!D11</f>
        <v>0</v>
      </c>
      <c r="E35" s="37">
        <f>+'12b. Monthly kW Forecast'!E11</f>
        <v>0</v>
      </c>
      <c r="F35" s="37">
        <f>+'12b. Monthly kW Forecast'!F11</f>
        <v>0</v>
      </c>
      <c r="G35" s="37">
        <f>+'12b. Monthly kW Forecast'!G11</f>
        <v>0</v>
      </c>
      <c r="H35" s="37">
        <f>+'12b. Monthly kW Forecast'!H11</f>
        <v>5000</v>
      </c>
      <c r="I35" s="37">
        <f>+'12b. Monthly kW Forecast'!I11</f>
        <v>5000</v>
      </c>
      <c r="J35" s="37">
        <f>+'12b. Monthly kW Forecast'!J11</f>
        <v>5000</v>
      </c>
      <c r="K35" s="37">
        <f>+'12b. Monthly kW Forecast'!K11</f>
        <v>5000</v>
      </c>
      <c r="L35" s="37">
        <f>+'12b. Monthly kW Forecast'!L11</f>
        <v>5000</v>
      </c>
      <c r="M35" s="37">
        <f>+'12b. Monthly kW Forecast'!M11</f>
        <v>5000</v>
      </c>
      <c r="N35" s="37">
        <f>+'12b. Monthly kW Forecast'!B63</f>
        <v>5000</v>
      </c>
      <c r="O35" s="37">
        <f>+'12b. Monthly kW Forecast'!C63</f>
        <v>5000</v>
      </c>
      <c r="P35" s="37">
        <f>+'12b. Monthly kW Forecast'!D63</f>
        <v>5000</v>
      </c>
      <c r="Q35" s="37">
        <f>+'12b. Monthly kW Forecast'!E63</f>
        <v>5000</v>
      </c>
      <c r="R35" s="37">
        <f>+'12b. Monthly kW Forecast'!F63</f>
        <v>5000</v>
      </c>
      <c r="S35" s="37">
        <f>+'12b. Monthly kW Forecast'!G63</f>
        <v>5000</v>
      </c>
      <c r="T35" s="37">
        <f>+'12b. Monthly kW Forecast'!H63</f>
        <v>5000</v>
      </c>
      <c r="U35" s="37">
        <f>+'12b. Monthly kW Forecast'!I63</f>
        <v>5000</v>
      </c>
      <c r="V35" s="37">
        <f>+'12b. Monthly kW Forecast'!J63</f>
        <v>5000</v>
      </c>
      <c r="W35" s="37">
        <f>+'12b. Monthly kW Forecast'!K63</f>
        <v>5000</v>
      </c>
      <c r="X35" s="37">
        <f>+'12b. Monthly kW Forecast'!L63</f>
        <v>5000</v>
      </c>
      <c r="Y35" s="37">
        <f>+'12b. Monthly kW Forecast'!M63</f>
        <v>5000</v>
      </c>
    </row>
    <row r="36" spans="1:25" x14ac:dyDescent="0.2">
      <c r="B36" s="37"/>
      <c r="C36" s="37"/>
      <c r="D36" s="37"/>
      <c r="E36" s="37"/>
      <c r="F36" s="37"/>
      <c r="G36" s="37"/>
      <c r="H36" s="37"/>
      <c r="I36" s="37"/>
      <c r="J36" s="37"/>
      <c r="K36" s="37"/>
      <c r="L36" s="37"/>
      <c r="M36" s="37"/>
    </row>
    <row r="37" spans="1:25" x14ac:dyDescent="0.2">
      <c r="B37" s="37"/>
      <c r="C37" s="37"/>
      <c r="D37" s="37"/>
      <c r="E37" s="37"/>
      <c r="F37" s="37"/>
      <c r="G37" s="37"/>
      <c r="H37" s="37"/>
      <c r="I37" s="37"/>
      <c r="J37" s="37"/>
      <c r="K37" s="37"/>
      <c r="L37" s="37"/>
      <c r="M37" s="37"/>
    </row>
    <row r="38" spans="1:25" x14ac:dyDescent="0.2">
      <c r="A38" s="1" t="s">
        <v>253</v>
      </c>
    </row>
    <row r="39" spans="1:25" x14ac:dyDescent="0.2">
      <c r="A39" s="1" t="s">
        <v>254</v>
      </c>
    </row>
    <row r="42" spans="1:25" x14ac:dyDescent="0.2">
      <c r="A42" s="33" t="s">
        <v>255</v>
      </c>
    </row>
    <row r="43" spans="1:25" x14ac:dyDescent="0.2">
      <c r="A43" s="1" t="s">
        <v>5</v>
      </c>
    </row>
    <row r="44" spans="1:25" x14ac:dyDescent="0.2">
      <c r="A44" s="1" t="s">
        <v>172</v>
      </c>
    </row>
    <row r="45" spans="1:25" x14ac:dyDescent="0.2">
      <c r="A45" s="1" t="s">
        <v>173</v>
      </c>
      <c r="B45" s="235">
        <f>+'14. Transformer Allowance'!B54</f>
        <v>-1335.88</v>
      </c>
      <c r="C45" s="235">
        <f>+'14. Transformer Allowance'!C54</f>
        <v>-1356.6559999999999</v>
      </c>
      <c r="D45" s="235">
        <f>+'14. Transformer Allowance'!D54</f>
        <v>-1429.3440000000003</v>
      </c>
      <c r="E45" s="235">
        <f>+'14. Transformer Allowance'!E54</f>
        <v>-1246.3920000000001</v>
      </c>
      <c r="F45" s="235">
        <f>+'14. Transformer Allowance'!F54</f>
        <v>-1062.6559999999999</v>
      </c>
      <c r="G45" s="235">
        <f>+'14. Transformer Allowance'!G54</f>
        <v>-1101.9680000000001</v>
      </c>
      <c r="H45" s="235">
        <f>+'14. Transformer Allowance'!H54</f>
        <v>-1123.92</v>
      </c>
      <c r="I45" s="235">
        <f>+'14. Transformer Allowance'!I54</f>
        <v>-1228.4160000000002</v>
      </c>
      <c r="J45" s="235">
        <f>+'14. Transformer Allowance'!J54</f>
        <v>-1172.9760000000001</v>
      </c>
      <c r="K45" s="235">
        <f>+'14. Transformer Allowance'!K54</f>
        <v>-1359.5120000000002</v>
      </c>
      <c r="L45" s="235">
        <f>+'14. Transformer Allowance'!L54</f>
        <v>-1347.6960000000001</v>
      </c>
      <c r="M45" s="235">
        <f>+'14. Transformer Allowance'!M54</f>
        <v>-1390.144</v>
      </c>
      <c r="N45" s="235">
        <f>+'14. Transformer Allowance'!B29</f>
        <v>-1335.88</v>
      </c>
      <c r="O45" s="235">
        <f>+'14. Transformer Allowance'!C29</f>
        <v>-1356.6559999999999</v>
      </c>
      <c r="P45" s="235">
        <f>+'14. Transformer Allowance'!D29</f>
        <v>-1429.3440000000003</v>
      </c>
      <c r="Q45" s="235">
        <f>+'14. Transformer Allowance'!E29</f>
        <v>-1246.3920000000001</v>
      </c>
      <c r="R45" s="235">
        <f>+'14. Transformer Allowance'!F29</f>
        <v>-1062.6559999999999</v>
      </c>
      <c r="S45" s="235">
        <f>+'14. Transformer Allowance'!G29</f>
        <v>-1101.9680000000001</v>
      </c>
      <c r="T45" s="235">
        <f>+'14. Transformer Allowance'!H29</f>
        <v>-1123.92</v>
      </c>
      <c r="U45" s="235">
        <f>+'14. Transformer Allowance'!I29</f>
        <v>-1228.4160000000002</v>
      </c>
      <c r="V45" s="235">
        <f>+'14. Transformer Allowance'!J29</f>
        <v>-1172.9760000000001</v>
      </c>
      <c r="W45" s="235">
        <f>+'14. Transformer Allowance'!K29</f>
        <v>-1359.5120000000002</v>
      </c>
      <c r="X45" s="235">
        <f>+'14. Transformer Allowance'!L29</f>
        <v>-1347.6960000000001</v>
      </c>
      <c r="Y45" s="235">
        <f>+'14. Transformer Allowance'!M29</f>
        <v>-1390.144</v>
      </c>
    </row>
    <row r="46" spans="1:25" x14ac:dyDescent="0.2">
      <c r="A46" s="1" t="s">
        <v>174</v>
      </c>
    </row>
    <row r="47" spans="1:25" x14ac:dyDescent="0.2">
      <c r="A47" s="1" t="s">
        <v>163</v>
      </c>
    </row>
    <row r="48" spans="1:25" x14ac:dyDescent="0.2">
      <c r="A48" s="1" t="s">
        <v>147</v>
      </c>
      <c r="B48" s="235">
        <f>+'14. Transformer Allowance'!B55</f>
        <v>-2800.0000000000005</v>
      </c>
      <c r="C48" s="235">
        <f>+'14. Transformer Allowance'!C55</f>
        <v>-2800.0000000000005</v>
      </c>
      <c r="D48" s="235">
        <f>+'14. Transformer Allowance'!D55</f>
        <v>-2800.0000000000005</v>
      </c>
      <c r="E48" s="235">
        <f>+'14. Transformer Allowance'!E55</f>
        <v>-2800.0000000000005</v>
      </c>
      <c r="F48" s="235">
        <f>+'14. Transformer Allowance'!F55</f>
        <v>-2800.0000000000005</v>
      </c>
      <c r="G48" s="235">
        <f>+'14. Transformer Allowance'!G55</f>
        <v>-2800.0000000000005</v>
      </c>
      <c r="H48" s="235">
        <f>+'14. Transformer Allowance'!H55</f>
        <v>-2800.0000000000005</v>
      </c>
      <c r="I48" s="235">
        <f>+'14. Transformer Allowance'!I55</f>
        <v>-2800.0000000000005</v>
      </c>
      <c r="J48" s="235">
        <f>+'14. Transformer Allowance'!J55</f>
        <v>-2800.0000000000005</v>
      </c>
      <c r="K48" s="235">
        <f>+'14. Transformer Allowance'!K55</f>
        <v>-2800.0000000000005</v>
      </c>
      <c r="L48" s="235">
        <f>+'14. Transformer Allowance'!L55</f>
        <v>-2800.0000000000005</v>
      </c>
      <c r="M48" s="235">
        <f>+'14. Transformer Allowance'!M55</f>
        <v>-2800.0000000000005</v>
      </c>
      <c r="N48" s="235">
        <f>+'14. Transformer Allowance'!B30</f>
        <v>-2800.0000000000005</v>
      </c>
      <c r="O48" s="235">
        <f>+'14. Transformer Allowance'!C30</f>
        <v>-2800.0000000000005</v>
      </c>
      <c r="P48" s="235">
        <f>+'14. Transformer Allowance'!D30</f>
        <v>-2800.0000000000005</v>
      </c>
      <c r="Q48" s="235">
        <f>+'14. Transformer Allowance'!E30</f>
        <v>-2800.0000000000005</v>
      </c>
      <c r="R48" s="235">
        <f>+'14. Transformer Allowance'!F30</f>
        <v>-2800.0000000000005</v>
      </c>
      <c r="S48" s="235">
        <f>+'14. Transformer Allowance'!G30</f>
        <v>-2800.0000000000005</v>
      </c>
      <c r="T48" s="235">
        <f>+'14. Transformer Allowance'!H30</f>
        <v>-2800.0000000000005</v>
      </c>
      <c r="U48" s="235">
        <f>+'14. Transformer Allowance'!I30</f>
        <v>-2800.0000000000005</v>
      </c>
      <c r="V48" s="235">
        <f>+'14. Transformer Allowance'!J30</f>
        <v>-2800.0000000000005</v>
      </c>
      <c r="W48" s="235">
        <f>+'14. Transformer Allowance'!K30</f>
        <v>-2800.0000000000005</v>
      </c>
      <c r="X48" s="235">
        <f>+'14. Transformer Allowance'!L30</f>
        <v>-2800.0000000000005</v>
      </c>
      <c r="Y48" s="235">
        <f>+'14. Transformer Allowance'!M30</f>
        <v>-2800.0000000000005</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B032-9E86-416C-ABA7-6EF46B527A50}">
  <dimension ref="A1:O101"/>
  <sheetViews>
    <sheetView workbookViewId="0"/>
  </sheetViews>
  <sheetFormatPr defaultRowHeight="12.75" x14ac:dyDescent="0.2"/>
  <cols>
    <col min="1" max="1" width="32.6640625" style="1" bestFit="1" customWidth="1"/>
    <col min="2" max="5" width="12" style="22" bestFit="1" customWidth="1"/>
    <col min="6" max="6" width="13.33203125" style="22" bestFit="1" customWidth="1"/>
    <col min="7" max="13" width="12" style="22" bestFit="1" customWidth="1"/>
    <col min="14" max="14" width="13.33203125" style="22" bestFit="1" customWidth="1"/>
    <col min="15" max="15" width="13.33203125" style="1" customWidth="1"/>
    <col min="16" max="16384" width="9.33203125" style="1"/>
  </cols>
  <sheetData>
    <row r="1" spans="1:15" x14ac:dyDescent="0.2">
      <c r="A1" s="1" t="str">
        <f>+'1. Assumptions'!A1:N1</f>
        <v>Niagara-on-the-Lake Hydro Inc.</v>
      </c>
    </row>
    <row r="2" spans="1:15" x14ac:dyDescent="0.2">
      <c r="A2" s="1" t="s">
        <v>255</v>
      </c>
    </row>
    <row r="3" spans="1:15" x14ac:dyDescent="0.2">
      <c r="A3" s="1" t="str">
        <f>+'1. Assumptions'!A3:N3</f>
        <v>2024 Test &amp; 2023 Bridge</v>
      </c>
    </row>
    <row r="6" spans="1:15" x14ac:dyDescent="0.2">
      <c r="A6" s="33" t="s">
        <v>259</v>
      </c>
    </row>
    <row r="7" spans="1:15" x14ac:dyDescent="0.2">
      <c r="A7" s="33"/>
      <c r="B7" s="272" t="str">
        <f>+'1. Assumptions'!C11</f>
        <v>Test</v>
      </c>
      <c r="C7" s="272" t="str">
        <f>+'1. Assumptions'!D11</f>
        <v>Test</v>
      </c>
      <c r="D7" s="272" t="str">
        <f>+'1. Assumptions'!E11</f>
        <v>Test</v>
      </c>
      <c r="E7" s="272" t="str">
        <f>+'1. Assumptions'!F11</f>
        <v>Test</v>
      </c>
      <c r="F7" s="272" t="str">
        <f>+'1. Assumptions'!G11</f>
        <v>Test</v>
      </c>
      <c r="G7" s="272" t="str">
        <f>+'1. Assumptions'!H11</f>
        <v>Test</v>
      </c>
      <c r="H7" s="272" t="str">
        <f>+'1. Assumptions'!I11</f>
        <v>Test</v>
      </c>
      <c r="I7" s="272" t="str">
        <f>+'1. Assumptions'!J11</f>
        <v>Test</v>
      </c>
      <c r="J7" s="272" t="str">
        <f>+'1. Assumptions'!K11</f>
        <v>Test</v>
      </c>
      <c r="K7" s="272" t="str">
        <f>+'1. Assumptions'!L11</f>
        <v>Test</v>
      </c>
      <c r="L7" s="272" t="str">
        <f>+'1. Assumptions'!M11</f>
        <v>Test</v>
      </c>
      <c r="M7" s="272" t="str">
        <f>+'1. Assumptions'!N11</f>
        <v>Test</v>
      </c>
      <c r="N7" s="33"/>
      <c r="O7" s="33"/>
    </row>
    <row r="8" spans="1:15" x14ac:dyDescent="0.2">
      <c r="A8" s="33" t="s">
        <v>199</v>
      </c>
      <c r="B8" s="447">
        <f>+'1. Assumptions'!C12</f>
        <v>45322</v>
      </c>
      <c r="C8" s="447">
        <f>+'1. Assumptions'!D12</f>
        <v>45351</v>
      </c>
      <c r="D8" s="447">
        <f>+'1. Assumptions'!E12</f>
        <v>45382</v>
      </c>
      <c r="E8" s="447">
        <f>+'1. Assumptions'!F12</f>
        <v>45412</v>
      </c>
      <c r="F8" s="447">
        <f>+'1. Assumptions'!G12</f>
        <v>45443</v>
      </c>
      <c r="G8" s="447">
        <f>+'1. Assumptions'!H12</f>
        <v>45473</v>
      </c>
      <c r="H8" s="447">
        <f>+'1. Assumptions'!I12</f>
        <v>45504</v>
      </c>
      <c r="I8" s="447">
        <f>+'1. Assumptions'!J12</f>
        <v>45535</v>
      </c>
      <c r="J8" s="447">
        <f>+'1. Assumptions'!K12</f>
        <v>45565</v>
      </c>
      <c r="K8" s="447">
        <f>+'1. Assumptions'!L12</f>
        <v>45596</v>
      </c>
      <c r="L8" s="447">
        <f>+'1. Assumptions'!M12</f>
        <v>45626</v>
      </c>
      <c r="M8" s="447">
        <f>+'1. Assumptions'!N12</f>
        <v>45657</v>
      </c>
      <c r="N8" s="448" t="s">
        <v>15</v>
      </c>
      <c r="O8" s="448" t="s">
        <v>265</v>
      </c>
    </row>
    <row r="9" spans="1:15" x14ac:dyDescent="0.2">
      <c r="A9" s="1" t="s">
        <v>258</v>
      </c>
      <c r="B9" s="443">
        <v>-0.56000000000000005</v>
      </c>
      <c r="C9" s="444">
        <f>+B9</f>
        <v>-0.56000000000000005</v>
      </c>
      <c r="D9" s="444">
        <f>+C9</f>
        <v>-0.56000000000000005</v>
      </c>
      <c r="E9" s="444">
        <f>+D9</f>
        <v>-0.56000000000000005</v>
      </c>
      <c r="F9" s="443">
        <v>-0.56000000000000005</v>
      </c>
      <c r="G9" s="444">
        <f t="shared" ref="G9:M9" si="0">+F9</f>
        <v>-0.56000000000000005</v>
      </c>
      <c r="H9" s="444">
        <f t="shared" si="0"/>
        <v>-0.56000000000000005</v>
      </c>
      <c r="I9" s="444">
        <f t="shared" si="0"/>
        <v>-0.56000000000000005</v>
      </c>
      <c r="J9" s="444">
        <f t="shared" si="0"/>
        <v>-0.56000000000000005</v>
      </c>
      <c r="K9" s="444">
        <f t="shared" si="0"/>
        <v>-0.56000000000000005</v>
      </c>
      <c r="L9" s="444">
        <f t="shared" si="0"/>
        <v>-0.56000000000000005</v>
      </c>
      <c r="M9" s="444">
        <f t="shared" si="0"/>
        <v>-0.56000000000000005</v>
      </c>
    </row>
    <row r="11" spans="1:15" x14ac:dyDescent="0.2">
      <c r="A11" s="442" t="s">
        <v>263</v>
      </c>
    </row>
    <row r="12" spans="1:15" x14ac:dyDescent="0.2">
      <c r="A12" s="1" t="s">
        <v>467</v>
      </c>
      <c r="B12" s="446">
        <f>+B37</f>
        <v>770.4</v>
      </c>
      <c r="C12" s="446">
        <f t="shared" ref="C12:M12" si="1">+C37</f>
        <v>763.2</v>
      </c>
      <c r="D12" s="446">
        <f t="shared" si="1"/>
        <v>950.4</v>
      </c>
      <c r="E12" s="446">
        <f t="shared" si="1"/>
        <v>720</v>
      </c>
      <c r="F12" s="446">
        <f t="shared" si="1"/>
        <v>766.8</v>
      </c>
      <c r="G12" s="446">
        <f t="shared" si="1"/>
        <v>813.6</v>
      </c>
      <c r="H12" s="446">
        <f t="shared" si="1"/>
        <v>831.6</v>
      </c>
      <c r="I12" s="446">
        <f t="shared" si="1"/>
        <v>1004.4</v>
      </c>
      <c r="J12" s="446">
        <f t="shared" si="1"/>
        <v>910.8</v>
      </c>
      <c r="K12" s="446">
        <f t="shared" si="1"/>
        <v>990</v>
      </c>
      <c r="L12" s="446">
        <f t="shared" si="1"/>
        <v>900</v>
      </c>
      <c r="M12" s="446">
        <f t="shared" si="1"/>
        <v>896.4</v>
      </c>
      <c r="N12" s="445">
        <f>SUM(B12:M12)</f>
        <v>10317.6</v>
      </c>
    </row>
    <row r="13" spans="1:15" x14ac:dyDescent="0.2">
      <c r="A13" s="1" t="s">
        <v>468</v>
      </c>
      <c r="B13" s="446">
        <f>+B38</f>
        <v>902.4</v>
      </c>
      <c r="C13" s="446">
        <f t="shared" ref="C13:M13" si="2">+C38</f>
        <v>900</v>
      </c>
      <c r="D13" s="446">
        <f t="shared" si="2"/>
        <v>825.6</v>
      </c>
      <c r="E13" s="446">
        <f t="shared" si="2"/>
        <v>806.4</v>
      </c>
      <c r="F13" s="446">
        <f t="shared" si="2"/>
        <v>410.4</v>
      </c>
      <c r="G13" s="446">
        <f t="shared" si="2"/>
        <v>362.4</v>
      </c>
      <c r="H13" s="446">
        <f t="shared" si="2"/>
        <v>360</v>
      </c>
      <c r="I13" s="446">
        <f t="shared" si="2"/>
        <v>360</v>
      </c>
      <c r="J13" s="446">
        <f t="shared" si="2"/>
        <v>360</v>
      </c>
      <c r="K13" s="446">
        <f t="shared" si="2"/>
        <v>631.20000000000005</v>
      </c>
      <c r="L13" s="446">
        <f t="shared" si="2"/>
        <v>768</v>
      </c>
      <c r="M13" s="446">
        <f t="shared" si="2"/>
        <v>864</v>
      </c>
      <c r="N13" s="445">
        <f>SUM(B13:M13)</f>
        <v>7550.4</v>
      </c>
    </row>
    <row r="14" spans="1:15" x14ac:dyDescent="0.2">
      <c r="A14" s="1" t="s">
        <v>469</v>
      </c>
      <c r="B14" s="446">
        <f t="shared" ref="B14:M14" si="3">+B39</f>
        <v>333.1</v>
      </c>
      <c r="C14" s="446">
        <f t="shared" si="3"/>
        <v>330.2</v>
      </c>
      <c r="D14" s="446">
        <f t="shared" si="3"/>
        <v>369.6</v>
      </c>
      <c r="E14" s="446">
        <f t="shared" si="3"/>
        <v>334.1</v>
      </c>
      <c r="F14" s="446">
        <f t="shared" si="3"/>
        <v>355.2</v>
      </c>
      <c r="G14" s="446">
        <f t="shared" si="3"/>
        <v>423.4</v>
      </c>
      <c r="H14" s="446">
        <f t="shared" si="3"/>
        <v>440.6</v>
      </c>
      <c r="I14" s="446">
        <f t="shared" si="3"/>
        <v>451.2</v>
      </c>
      <c r="J14" s="446">
        <f t="shared" si="3"/>
        <v>442.6</v>
      </c>
      <c r="K14" s="446">
        <f t="shared" si="3"/>
        <v>425.3</v>
      </c>
      <c r="L14" s="446">
        <f t="shared" si="3"/>
        <v>344.6</v>
      </c>
      <c r="M14" s="446">
        <f t="shared" si="3"/>
        <v>321.60000000000002</v>
      </c>
      <c r="N14" s="445">
        <f>SUM(B14:M14)</f>
        <v>4571.5</v>
      </c>
    </row>
    <row r="15" spans="1:15" x14ac:dyDescent="0.2">
      <c r="A15" s="1" t="s">
        <v>470</v>
      </c>
      <c r="B15" s="446">
        <f>+B82</f>
        <v>330</v>
      </c>
      <c r="C15" s="446">
        <f t="shared" ref="C15:M15" si="4">+C82</f>
        <v>330</v>
      </c>
      <c r="D15" s="446">
        <f t="shared" si="4"/>
        <v>330</v>
      </c>
      <c r="E15" s="446">
        <f t="shared" si="4"/>
        <v>330</v>
      </c>
      <c r="F15" s="446">
        <f t="shared" si="4"/>
        <v>330</v>
      </c>
      <c r="G15" s="446">
        <f t="shared" si="4"/>
        <v>330</v>
      </c>
      <c r="H15" s="446">
        <f t="shared" si="4"/>
        <v>330</v>
      </c>
      <c r="I15" s="446">
        <f t="shared" si="4"/>
        <v>330</v>
      </c>
      <c r="J15" s="446">
        <f t="shared" si="4"/>
        <v>330</v>
      </c>
      <c r="K15" s="446">
        <f t="shared" si="4"/>
        <v>330</v>
      </c>
      <c r="L15" s="446">
        <f t="shared" si="4"/>
        <v>330</v>
      </c>
      <c r="M15" s="446">
        <f t="shared" si="4"/>
        <v>330</v>
      </c>
      <c r="N15" s="445">
        <f t="shared" ref="N15:N16" si="5">SUM(B15:M15)</f>
        <v>3960</v>
      </c>
    </row>
    <row r="16" spans="1:15" x14ac:dyDescent="0.2">
      <c r="A16" s="1" t="s">
        <v>471</v>
      </c>
      <c r="B16" s="446">
        <f t="shared" ref="B16:M16" si="6">+B41</f>
        <v>49.6</v>
      </c>
      <c r="C16" s="446">
        <f t="shared" si="6"/>
        <v>99.2</v>
      </c>
      <c r="D16" s="446">
        <f t="shared" si="6"/>
        <v>76.8</v>
      </c>
      <c r="E16" s="446">
        <f t="shared" si="6"/>
        <v>35.200000000000003</v>
      </c>
      <c r="F16" s="446">
        <f t="shared" si="6"/>
        <v>35.200000000000003</v>
      </c>
      <c r="G16" s="446">
        <f t="shared" si="6"/>
        <v>38.4</v>
      </c>
      <c r="H16" s="446">
        <f t="shared" si="6"/>
        <v>44.8</v>
      </c>
      <c r="I16" s="446">
        <f t="shared" si="6"/>
        <v>48</v>
      </c>
      <c r="J16" s="446">
        <f t="shared" si="6"/>
        <v>51.2</v>
      </c>
      <c r="K16" s="446">
        <f t="shared" si="6"/>
        <v>51.2</v>
      </c>
      <c r="L16" s="446">
        <f t="shared" si="6"/>
        <v>64</v>
      </c>
      <c r="M16" s="446">
        <f t="shared" si="6"/>
        <v>70.400000000000006</v>
      </c>
      <c r="N16" s="445">
        <f t="shared" si="5"/>
        <v>664</v>
      </c>
    </row>
    <row r="17" spans="1:15" x14ac:dyDescent="0.2">
      <c r="B17" s="445"/>
      <c r="C17" s="445"/>
      <c r="D17" s="445"/>
      <c r="E17" s="445"/>
      <c r="F17" s="445"/>
      <c r="G17" s="445"/>
      <c r="H17" s="445"/>
      <c r="I17" s="445"/>
      <c r="J17" s="445"/>
      <c r="K17" s="445"/>
      <c r="L17" s="445"/>
      <c r="M17" s="445"/>
      <c r="N17" s="445"/>
    </row>
    <row r="18" spans="1:15" x14ac:dyDescent="0.2">
      <c r="A18" s="1" t="s">
        <v>472</v>
      </c>
      <c r="B18" s="446">
        <f>+B85</f>
        <v>5000</v>
      </c>
      <c r="C18" s="446">
        <f t="shared" ref="C18:M18" si="7">+C85</f>
        <v>5000</v>
      </c>
      <c r="D18" s="446">
        <f t="shared" si="7"/>
        <v>5000</v>
      </c>
      <c r="E18" s="446">
        <f t="shared" si="7"/>
        <v>5000</v>
      </c>
      <c r="F18" s="446">
        <f t="shared" si="7"/>
        <v>5000</v>
      </c>
      <c r="G18" s="446">
        <f t="shared" si="7"/>
        <v>5000</v>
      </c>
      <c r="H18" s="446">
        <f t="shared" si="7"/>
        <v>5000</v>
      </c>
      <c r="I18" s="446">
        <f t="shared" si="7"/>
        <v>5000</v>
      </c>
      <c r="J18" s="446">
        <f t="shared" si="7"/>
        <v>5000</v>
      </c>
      <c r="K18" s="446">
        <f t="shared" si="7"/>
        <v>5000</v>
      </c>
      <c r="L18" s="446">
        <f t="shared" si="7"/>
        <v>5000</v>
      </c>
      <c r="M18" s="446">
        <f t="shared" si="7"/>
        <v>5000</v>
      </c>
      <c r="N18" s="445">
        <f>SUM(B18:M18)</f>
        <v>60000</v>
      </c>
    </row>
    <row r="19" spans="1:15" x14ac:dyDescent="0.2">
      <c r="B19" s="445"/>
      <c r="C19" s="445"/>
      <c r="D19" s="445"/>
      <c r="E19" s="445"/>
      <c r="F19" s="445"/>
      <c r="G19" s="445"/>
      <c r="H19" s="445"/>
      <c r="I19" s="445"/>
      <c r="J19" s="445"/>
      <c r="K19" s="445"/>
      <c r="L19" s="445"/>
      <c r="M19" s="445"/>
      <c r="N19" s="445"/>
    </row>
    <row r="20" spans="1:15" x14ac:dyDescent="0.2">
      <c r="A20" s="442" t="s">
        <v>264</v>
      </c>
      <c r="B20" s="445"/>
      <c r="C20" s="445"/>
      <c r="D20" s="445"/>
      <c r="E20" s="445"/>
      <c r="F20" s="445"/>
      <c r="G20" s="445"/>
      <c r="H20" s="445"/>
      <c r="I20" s="445"/>
      <c r="J20" s="445"/>
      <c r="K20" s="445"/>
      <c r="L20" s="445"/>
      <c r="M20" s="445"/>
      <c r="N20" s="445"/>
    </row>
    <row r="21" spans="1:15" x14ac:dyDescent="0.2">
      <c r="A21" s="1" t="s">
        <v>467</v>
      </c>
      <c r="B21" s="445">
        <f>+B12*B$9</f>
        <v>-431.42400000000004</v>
      </c>
      <c r="C21" s="445">
        <f t="shared" ref="C21:M21" si="8">+C12*C$9</f>
        <v>-427.39200000000005</v>
      </c>
      <c r="D21" s="445">
        <f t="shared" si="8"/>
        <v>-532.22400000000005</v>
      </c>
      <c r="E21" s="445">
        <f t="shared" si="8"/>
        <v>-403.20000000000005</v>
      </c>
      <c r="F21" s="445">
        <f t="shared" si="8"/>
        <v>-429.40800000000002</v>
      </c>
      <c r="G21" s="445">
        <f t="shared" si="8"/>
        <v>-455.61600000000004</v>
      </c>
      <c r="H21" s="445">
        <f t="shared" si="8"/>
        <v>-465.69600000000008</v>
      </c>
      <c r="I21" s="445">
        <f t="shared" si="8"/>
        <v>-562.46400000000006</v>
      </c>
      <c r="J21" s="445">
        <f t="shared" si="8"/>
        <v>-510.048</v>
      </c>
      <c r="K21" s="445">
        <f t="shared" si="8"/>
        <v>-554.40000000000009</v>
      </c>
      <c r="L21" s="445">
        <f t="shared" si="8"/>
        <v>-504.00000000000006</v>
      </c>
      <c r="M21" s="445">
        <f t="shared" si="8"/>
        <v>-501.98400000000004</v>
      </c>
      <c r="N21" s="445">
        <f>SUM(B21:M21)</f>
        <v>-5777.8559999999998</v>
      </c>
    </row>
    <row r="22" spans="1:15" x14ac:dyDescent="0.2">
      <c r="A22" s="1" t="s">
        <v>468</v>
      </c>
      <c r="B22" s="445">
        <f>+B13*B$9</f>
        <v>-505.34400000000005</v>
      </c>
      <c r="C22" s="445">
        <f t="shared" ref="C22:M22" si="9">+C13*C$9</f>
        <v>-504.00000000000006</v>
      </c>
      <c r="D22" s="445">
        <f t="shared" si="9"/>
        <v>-462.33600000000007</v>
      </c>
      <c r="E22" s="445">
        <f t="shared" si="9"/>
        <v>-451.584</v>
      </c>
      <c r="F22" s="445">
        <f t="shared" si="9"/>
        <v>-229.82400000000001</v>
      </c>
      <c r="G22" s="445">
        <f t="shared" si="9"/>
        <v>-202.94400000000002</v>
      </c>
      <c r="H22" s="445">
        <f t="shared" si="9"/>
        <v>-201.60000000000002</v>
      </c>
      <c r="I22" s="445">
        <f t="shared" si="9"/>
        <v>-201.60000000000002</v>
      </c>
      <c r="J22" s="445">
        <f t="shared" si="9"/>
        <v>-201.60000000000002</v>
      </c>
      <c r="K22" s="445">
        <f t="shared" si="9"/>
        <v>-353.47200000000004</v>
      </c>
      <c r="L22" s="445">
        <f t="shared" si="9"/>
        <v>-430.08000000000004</v>
      </c>
      <c r="M22" s="445">
        <f t="shared" si="9"/>
        <v>-483.84000000000003</v>
      </c>
      <c r="N22" s="445">
        <f>SUM(B22:M22)</f>
        <v>-4228.2240000000002</v>
      </c>
    </row>
    <row r="23" spans="1:15" x14ac:dyDescent="0.2">
      <c r="A23" s="1" t="s">
        <v>469</v>
      </c>
      <c r="B23" s="445">
        <f>+B14*B$9</f>
        <v>-186.53600000000003</v>
      </c>
      <c r="C23" s="445">
        <f t="shared" ref="C23:M23" si="10">+C14*C$9</f>
        <v>-184.91200000000001</v>
      </c>
      <c r="D23" s="445">
        <f t="shared" si="10"/>
        <v>-206.97600000000003</v>
      </c>
      <c r="E23" s="445">
        <f t="shared" si="10"/>
        <v>-187.09600000000003</v>
      </c>
      <c r="F23" s="445">
        <f t="shared" si="10"/>
        <v>-198.91200000000001</v>
      </c>
      <c r="G23" s="445">
        <f t="shared" si="10"/>
        <v>-237.10400000000001</v>
      </c>
      <c r="H23" s="445">
        <f t="shared" si="10"/>
        <v>-246.73600000000005</v>
      </c>
      <c r="I23" s="445">
        <f t="shared" si="10"/>
        <v>-252.67200000000003</v>
      </c>
      <c r="J23" s="445">
        <f t="shared" si="10"/>
        <v>-247.85600000000002</v>
      </c>
      <c r="K23" s="445">
        <f t="shared" si="10"/>
        <v>-238.16800000000003</v>
      </c>
      <c r="L23" s="445">
        <f t="shared" si="10"/>
        <v>-192.97600000000003</v>
      </c>
      <c r="M23" s="445">
        <f t="shared" si="10"/>
        <v>-180.09600000000003</v>
      </c>
      <c r="N23" s="445">
        <f>SUM(B23:M23)</f>
        <v>-2560.0400000000004</v>
      </c>
    </row>
    <row r="24" spans="1:15" x14ac:dyDescent="0.2">
      <c r="A24" s="1" t="s">
        <v>470</v>
      </c>
      <c r="B24" s="445">
        <f>+B15*B$9</f>
        <v>-184.8</v>
      </c>
      <c r="C24" s="445">
        <f t="shared" ref="C24:M24" si="11">+C15*C$9</f>
        <v>-184.8</v>
      </c>
      <c r="D24" s="445">
        <f t="shared" si="11"/>
        <v>-184.8</v>
      </c>
      <c r="E24" s="445">
        <f t="shared" si="11"/>
        <v>-184.8</v>
      </c>
      <c r="F24" s="445">
        <f t="shared" si="11"/>
        <v>-184.8</v>
      </c>
      <c r="G24" s="445">
        <f t="shared" si="11"/>
        <v>-184.8</v>
      </c>
      <c r="H24" s="445">
        <f t="shared" si="11"/>
        <v>-184.8</v>
      </c>
      <c r="I24" s="445">
        <f t="shared" si="11"/>
        <v>-184.8</v>
      </c>
      <c r="J24" s="445">
        <f t="shared" si="11"/>
        <v>-184.8</v>
      </c>
      <c r="K24" s="445">
        <f t="shared" si="11"/>
        <v>-184.8</v>
      </c>
      <c r="L24" s="445">
        <f t="shared" si="11"/>
        <v>-184.8</v>
      </c>
      <c r="M24" s="445">
        <f t="shared" si="11"/>
        <v>-184.8</v>
      </c>
      <c r="N24" s="445">
        <f>SUM(B24:M24)</f>
        <v>-2217.6</v>
      </c>
    </row>
    <row r="25" spans="1:15" x14ac:dyDescent="0.2">
      <c r="A25" s="1" t="s">
        <v>471</v>
      </c>
      <c r="B25" s="445">
        <f>+B16*B$9</f>
        <v>-27.776000000000003</v>
      </c>
      <c r="C25" s="445">
        <f t="shared" ref="C25:M25" si="12">+C16*C$9</f>
        <v>-55.552000000000007</v>
      </c>
      <c r="D25" s="445">
        <f t="shared" si="12"/>
        <v>-43.008000000000003</v>
      </c>
      <c r="E25" s="445">
        <f t="shared" si="12"/>
        <v>-19.712000000000003</v>
      </c>
      <c r="F25" s="445">
        <f t="shared" si="12"/>
        <v>-19.712000000000003</v>
      </c>
      <c r="G25" s="445">
        <f t="shared" si="12"/>
        <v>-21.504000000000001</v>
      </c>
      <c r="H25" s="445">
        <f t="shared" si="12"/>
        <v>-25.088000000000001</v>
      </c>
      <c r="I25" s="445">
        <f t="shared" si="12"/>
        <v>-26.880000000000003</v>
      </c>
      <c r="J25" s="445">
        <f t="shared" si="12"/>
        <v>-28.672000000000004</v>
      </c>
      <c r="K25" s="445">
        <f t="shared" si="12"/>
        <v>-28.672000000000004</v>
      </c>
      <c r="L25" s="445">
        <f t="shared" si="12"/>
        <v>-35.840000000000003</v>
      </c>
      <c r="M25" s="445">
        <f t="shared" si="12"/>
        <v>-39.424000000000007</v>
      </c>
      <c r="N25" s="445">
        <f>SUM(B25:M25)</f>
        <v>-371.84000000000003</v>
      </c>
    </row>
    <row r="26" spans="1:15" x14ac:dyDescent="0.2">
      <c r="B26" s="445"/>
      <c r="C26" s="445"/>
      <c r="D26" s="445"/>
      <c r="E26" s="445"/>
      <c r="F26" s="445"/>
      <c r="G26" s="445"/>
      <c r="H26" s="445"/>
      <c r="I26" s="445"/>
      <c r="J26" s="445"/>
      <c r="K26" s="445"/>
      <c r="L26" s="445"/>
      <c r="M26" s="445"/>
      <c r="N26" s="445"/>
    </row>
    <row r="27" spans="1:15" x14ac:dyDescent="0.2">
      <c r="A27" s="1" t="s">
        <v>472</v>
      </c>
      <c r="B27" s="445">
        <f t="shared" ref="B27:M27" si="13">+B18*B$9</f>
        <v>-2800.0000000000005</v>
      </c>
      <c r="C27" s="445">
        <f t="shared" si="13"/>
        <v>-2800.0000000000005</v>
      </c>
      <c r="D27" s="445">
        <f t="shared" si="13"/>
        <v>-2800.0000000000005</v>
      </c>
      <c r="E27" s="445">
        <f t="shared" si="13"/>
        <v>-2800.0000000000005</v>
      </c>
      <c r="F27" s="445">
        <f t="shared" si="13"/>
        <v>-2800.0000000000005</v>
      </c>
      <c r="G27" s="445">
        <f t="shared" si="13"/>
        <v>-2800.0000000000005</v>
      </c>
      <c r="H27" s="445">
        <f t="shared" si="13"/>
        <v>-2800.0000000000005</v>
      </c>
      <c r="I27" s="445">
        <f t="shared" si="13"/>
        <v>-2800.0000000000005</v>
      </c>
      <c r="J27" s="445">
        <f t="shared" si="13"/>
        <v>-2800.0000000000005</v>
      </c>
      <c r="K27" s="445">
        <f t="shared" si="13"/>
        <v>-2800.0000000000005</v>
      </c>
      <c r="L27" s="445">
        <f t="shared" si="13"/>
        <v>-2800.0000000000005</v>
      </c>
      <c r="M27" s="445">
        <f t="shared" si="13"/>
        <v>-2800.0000000000005</v>
      </c>
      <c r="N27" s="445">
        <f>SUM(B27:M27)</f>
        <v>-33600.000000000007</v>
      </c>
    </row>
    <row r="28" spans="1:15" x14ac:dyDescent="0.2">
      <c r="B28" s="445"/>
      <c r="C28" s="445"/>
      <c r="D28" s="445"/>
      <c r="E28" s="445"/>
      <c r="F28" s="445"/>
      <c r="G28" s="445"/>
      <c r="H28" s="445"/>
      <c r="I28" s="445"/>
      <c r="J28" s="445"/>
      <c r="K28" s="445"/>
      <c r="L28" s="445"/>
      <c r="M28" s="445"/>
      <c r="N28" s="445"/>
    </row>
    <row r="29" spans="1:15" x14ac:dyDescent="0.2">
      <c r="A29" s="1" t="s">
        <v>266</v>
      </c>
      <c r="B29" s="445">
        <f>+B21+B22+B23+B25+B24</f>
        <v>-1335.88</v>
      </c>
      <c r="C29" s="445">
        <f t="shared" ref="C29:M29" si="14">+C21+C22+C23+C25+C24</f>
        <v>-1356.6559999999999</v>
      </c>
      <c r="D29" s="445">
        <f t="shared" si="14"/>
        <v>-1429.3440000000003</v>
      </c>
      <c r="E29" s="445">
        <f t="shared" si="14"/>
        <v>-1246.3920000000001</v>
      </c>
      <c r="F29" s="445">
        <f t="shared" si="14"/>
        <v>-1062.6559999999999</v>
      </c>
      <c r="G29" s="445">
        <f t="shared" si="14"/>
        <v>-1101.9680000000001</v>
      </c>
      <c r="H29" s="445">
        <f t="shared" si="14"/>
        <v>-1123.92</v>
      </c>
      <c r="I29" s="445">
        <f t="shared" si="14"/>
        <v>-1228.4160000000002</v>
      </c>
      <c r="J29" s="445">
        <f t="shared" si="14"/>
        <v>-1172.9760000000001</v>
      </c>
      <c r="K29" s="445">
        <f t="shared" si="14"/>
        <v>-1359.5120000000002</v>
      </c>
      <c r="L29" s="445">
        <f t="shared" si="14"/>
        <v>-1347.6960000000001</v>
      </c>
      <c r="M29" s="445">
        <f t="shared" si="14"/>
        <v>-1390.144</v>
      </c>
      <c r="N29" s="445">
        <f>SUM(B29:M29)</f>
        <v>-15155.560000000001</v>
      </c>
    </row>
    <row r="30" spans="1:15" x14ac:dyDescent="0.2">
      <c r="A30" s="1" t="s">
        <v>267</v>
      </c>
      <c r="B30" s="445">
        <f>+B27</f>
        <v>-2800.0000000000005</v>
      </c>
      <c r="C30" s="445">
        <f t="shared" ref="C30:M30" si="15">+C27</f>
        <v>-2800.0000000000005</v>
      </c>
      <c r="D30" s="445">
        <f t="shared" si="15"/>
        <v>-2800.0000000000005</v>
      </c>
      <c r="E30" s="445">
        <f t="shared" si="15"/>
        <v>-2800.0000000000005</v>
      </c>
      <c r="F30" s="445">
        <f t="shared" si="15"/>
        <v>-2800.0000000000005</v>
      </c>
      <c r="G30" s="445">
        <f t="shared" si="15"/>
        <v>-2800.0000000000005</v>
      </c>
      <c r="H30" s="445">
        <f t="shared" si="15"/>
        <v>-2800.0000000000005</v>
      </c>
      <c r="I30" s="445">
        <f t="shared" si="15"/>
        <v>-2800.0000000000005</v>
      </c>
      <c r="J30" s="445">
        <f t="shared" si="15"/>
        <v>-2800.0000000000005</v>
      </c>
      <c r="K30" s="445">
        <f t="shared" si="15"/>
        <v>-2800.0000000000005</v>
      </c>
      <c r="L30" s="445">
        <f t="shared" si="15"/>
        <v>-2800.0000000000005</v>
      </c>
      <c r="M30" s="445">
        <f t="shared" si="15"/>
        <v>-2800.0000000000005</v>
      </c>
      <c r="N30" s="445">
        <f>SUM(B30:M30)</f>
        <v>-33600.000000000007</v>
      </c>
    </row>
    <row r="31" spans="1:15" x14ac:dyDescent="0.2">
      <c r="B31" s="445"/>
      <c r="C31" s="445"/>
      <c r="D31" s="445"/>
      <c r="E31" s="445"/>
      <c r="F31" s="445"/>
      <c r="G31" s="445"/>
      <c r="H31" s="445"/>
      <c r="I31" s="445"/>
      <c r="J31" s="445"/>
      <c r="K31" s="445"/>
      <c r="L31" s="445"/>
      <c r="M31" s="445"/>
      <c r="N31" s="445"/>
    </row>
    <row r="32" spans="1:15" x14ac:dyDescent="0.2">
      <c r="A32" s="33"/>
      <c r="B32" s="272" t="str">
        <f>+'1. Assumptions'!C8</f>
        <v>Bridge</v>
      </c>
      <c r="C32" s="272" t="str">
        <f>+'1. Assumptions'!D8</f>
        <v>Bridge</v>
      </c>
      <c r="D32" s="272" t="str">
        <f>+'1. Assumptions'!E8</f>
        <v>Bridge</v>
      </c>
      <c r="E32" s="272" t="str">
        <f>+'1. Assumptions'!F8</f>
        <v>Bridge</v>
      </c>
      <c r="F32" s="272" t="str">
        <f>+'1. Assumptions'!G8</f>
        <v>Bridge</v>
      </c>
      <c r="G32" s="272" t="str">
        <f>+'1. Assumptions'!H8</f>
        <v>Bridge</v>
      </c>
      <c r="H32" s="272" t="str">
        <f>+'1. Assumptions'!I8</f>
        <v>Bridge</v>
      </c>
      <c r="I32" s="272" t="str">
        <f>+'1. Assumptions'!J8</f>
        <v>Bridge</v>
      </c>
      <c r="J32" s="272" t="str">
        <f>+'1. Assumptions'!K8</f>
        <v>Bridge</v>
      </c>
      <c r="K32" s="272" t="str">
        <f>+'1. Assumptions'!L8</f>
        <v>Bridge</v>
      </c>
      <c r="L32" s="272" t="str">
        <f>+'1. Assumptions'!M8</f>
        <v>Bridge</v>
      </c>
      <c r="M32" s="272" t="str">
        <f>+'1. Assumptions'!N8</f>
        <v>Bridge</v>
      </c>
      <c r="N32" s="33"/>
      <c r="O32" s="33"/>
    </row>
    <row r="33" spans="1:15" x14ac:dyDescent="0.2">
      <c r="A33" s="33" t="s">
        <v>200</v>
      </c>
      <c r="B33" s="447">
        <f>+'1. Assumptions'!C9</f>
        <v>44957</v>
      </c>
      <c r="C33" s="447">
        <f>+'1. Assumptions'!D9</f>
        <v>44985</v>
      </c>
      <c r="D33" s="447">
        <f>+'1. Assumptions'!E9</f>
        <v>45016</v>
      </c>
      <c r="E33" s="447">
        <f>+'1. Assumptions'!F9</f>
        <v>45046</v>
      </c>
      <c r="F33" s="447">
        <f>+'1. Assumptions'!G9</f>
        <v>45077</v>
      </c>
      <c r="G33" s="447">
        <f>+'1. Assumptions'!H9</f>
        <v>45107</v>
      </c>
      <c r="H33" s="447">
        <f>+'1. Assumptions'!I9</f>
        <v>45138</v>
      </c>
      <c r="I33" s="447">
        <f>+'1. Assumptions'!J9</f>
        <v>45169</v>
      </c>
      <c r="J33" s="447">
        <f>+'1. Assumptions'!K9</f>
        <v>45199</v>
      </c>
      <c r="K33" s="447">
        <f>+'1. Assumptions'!L9</f>
        <v>45230</v>
      </c>
      <c r="L33" s="447">
        <f>+'1. Assumptions'!M9</f>
        <v>45260</v>
      </c>
      <c r="M33" s="447">
        <f>+'1. Assumptions'!N9</f>
        <v>45291</v>
      </c>
      <c r="N33" s="448" t="s">
        <v>15</v>
      </c>
      <c r="O33" s="448" t="s">
        <v>265</v>
      </c>
    </row>
    <row r="34" spans="1:15" x14ac:dyDescent="0.2">
      <c r="A34" s="1" t="s">
        <v>258</v>
      </c>
      <c r="B34" s="443">
        <v>-0.56000000000000005</v>
      </c>
      <c r="C34" s="444">
        <f>+B34</f>
        <v>-0.56000000000000005</v>
      </c>
      <c r="D34" s="444">
        <f>+C34</f>
        <v>-0.56000000000000005</v>
      </c>
      <c r="E34" s="444">
        <f>+D34</f>
        <v>-0.56000000000000005</v>
      </c>
      <c r="F34" s="443">
        <v>-0.56000000000000005</v>
      </c>
      <c r="G34" s="444">
        <f t="shared" ref="G34:M34" si="16">+F34</f>
        <v>-0.56000000000000005</v>
      </c>
      <c r="H34" s="444">
        <f t="shared" si="16"/>
        <v>-0.56000000000000005</v>
      </c>
      <c r="I34" s="444">
        <f t="shared" si="16"/>
        <v>-0.56000000000000005</v>
      </c>
      <c r="J34" s="444">
        <f t="shared" si="16"/>
        <v>-0.56000000000000005</v>
      </c>
      <c r="K34" s="444">
        <f t="shared" si="16"/>
        <v>-0.56000000000000005</v>
      </c>
      <c r="L34" s="444">
        <f t="shared" si="16"/>
        <v>-0.56000000000000005</v>
      </c>
      <c r="M34" s="444">
        <f t="shared" si="16"/>
        <v>-0.56000000000000005</v>
      </c>
    </row>
    <row r="36" spans="1:15" x14ac:dyDescent="0.2">
      <c r="A36" s="442" t="s">
        <v>256</v>
      </c>
    </row>
    <row r="37" spans="1:15" x14ac:dyDescent="0.2">
      <c r="A37" s="1" t="s">
        <v>467</v>
      </c>
      <c r="B37" s="445">
        <f>IF(B$32="actual",B64,B79)</f>
        <v>770.4</v>
      </c>
      <c r="C37" s="445">
        <f t="shared" ref="C37:M37" si="17">IF(C$32="actual",C64,C79)</f>
        <v>763.2</v>
      </c>
      <c r="D37" s="445">
        <f t="shared" si="17"/>
        <v>950.4</v>
      </c>
      <c r="E37" s="445">
        <f t="shared" si="17"/>
        <v>720</v>
      </c>
      <c r="F37" s="445">
        <f t="shared" si="17"/>
        <v>766.8</v>
      </c>
      <c r="G37" s="445">
        <f t="shared" si="17"/>
        <v>813.6</v>
      </c>
      <c r="H37" s="445">
        <f t="shared" si="17"/>
        <v>831.6</v>
      </c>
      <c r="I37" s="445">
        <f t="shared" si="17"/>
        <v>1004.4</v>
      </c>
      <c r="J37" s="445">
        <f t="shared" si="17"/>
        <v>910.8</v>
      </c>
      <c r="K37" s="445">
        <f t="shared" si="17"/>
        <v>990</v>
      </c>
      <c r="L37" s="445">
        <f t="shared" si="17"/>
        <v>900</v>
      </c>
      <c r="M37" s="445">
        <f t="shared" si="17"/>
        <v>896.4</v>
      </c>
      <c r="N37" s="445">
        <f>SUM(B37:M37)</f>
        <v>10317.6</v>
      </c>
      <c r="O37" s="445">
        <f>SUMIF($B$32:$M$32,"Actual",$B37:$M37)</f>
        <v>0</v>
      </c>
    </row>
    <row r="38" spans="1:15" x14ac:dyDescent="0.2">
      <c r="A38" s="1" t="s">
        <v>468</v>
      </c>
      <c r="B38" s="445">
        <f>IF(B$32="actual",B65,B80)</f>
        <v>902.4</v>
      </c>
      <c r="C38" s="445">
        <f t="shared" ref="C38:M38" si="18">IF(C$32="actual",C65,C80)</f>
        <v>900</v>
      </c>
      <c r="D38" s="445">
        <f t="shared" si="18"/>
        <v>825.6</v>
      </c>
      <c r="E38" s="445">
        <f t="shared" si="18"/>
        <v>806.4</v>
      </c>
      <c r="F38" s="445">
        <f t="shared" si="18"/>
        <v>410.4</v>
      </c>
      <c r="G38" s="445">
        <f t="shared" si="18"/>
        <v>362.4</v>
      </c>
      <c r="H38" s="445">
        <f t="shared" si="18"/>
        <v>360</v>
      </c>
      <c r="I38" s="445">
        <f t="shared" si="18"/>
        <v>360</v>
      </c>
      <c r="J38" s="445">
        <f t="shared" si="18"/>
        <v>360</v>
      </c>
      <c r="K38" s="445">
        <f t="shared" si="18"/>
        <v>631.20000000000005</v>
      </c>
      <c r="L38" s="445">
        <f t="shared" si="18"/>
        <v>768</v>
      </c>
      <c r="M38" s="445">
        <f t="shared" si="18"/>
        <v>864</v>
      </c>
      <c r="N38" s="445">
        <f>SUM(B38:M38)</f>
        <v>7550.4</v>
      </c>
      <c r="O38" s="445">
        <f t="shared" ref="O38:O43" si="19">SUMIF($B$32:$M$32,"Actual",$B38:$M38)</f>
        <v>0</v>
      </c>
    </row>
    <row r="39" spans="1:15" x14ac:dyDescent="0.2">
      <c r="A39" s="1" t="s">
        <v>469</v>
      </c>
      <c r="B39" s="445">
        <f>IF(B$32="actual",B66,B81)</f>
        <v>333.1</v>
      </c>
      <c r="C39" s="445">
        <f t="shared" ref="C39:M39" si="20">IF(C$32="actual",C66,C81)</f>
        <v>330.2</v>
      </c>
      <c r="D39" s="445">
        <f t="shared" si="20"/>
        <v>369.6</v>
      </c>
      <c r="E39" s="445">
        <f t="shared" si="20"/>
        <v>334.1</v>
      </c>
      <c r="F39" s="445">
        <f t="shared" si="20"/>
        <v>355.2</v>
      </c>
      <c r="G39" s="445">
        <f t="shared" si="20"/>
        <v>423.4</v>
      </c>
      <c r="H39" s="445">
        <f t="shared" si="20"/>
        <v>440.6</v>
      </c>
      <c r="I39" s="445">
        <f t="shared" si="20"/>
        <v>451.2</v>
      </c>
      <c r="J39" s="445">
        <f t="shared" si="20"/>
        <v>442.6</v>
      </c>
      <c r="K39" s="445">
        <f t="shared" si="20"/>
        <v>425.3</v>
      </c>
      <c r="L39" s="445">
        <f t="shared" si="20"/>
        <v>344.6</v>
      </c>
      <c r="M39" s="445">
        <f t="shared" si="20"/>
        <v>321.60000000000002</v>
      </c>
      <c r="N39" s="445">
        <f>SUM(B39:M39)</f>
        <v>4571.5</v>
      </c>
      <c r="O39" s="445">
        <f t="shared" si="19"/>
        <v>0</v>
      </c>
    </row>
    <row r="40" spans="1:15" x14ac:dyDescent="0.2">
      <c r="A40" s="1" t="s">
        <v>470</v>
      </c>
      <c r="B40" s="445">
        <f>IF(B$32="actual",B67,B82)</f>
        <v>330</v>
      </c>
      <c r="C40" s="445">
        <f t="shared" ref="C40:M40" si="21">IF(C$32="actual",C67,C82)</f>
        <v>330</v>
      </c>
      <c r="D40" s="445">
        <f t="shared" si="21"/>
        <v>330</v>
      </c>
      <c r="E40" s="445">
        <f t="shared" si="21"/>
        <v>330</v>
      </c>
      <c r="F40" s="445">
        <f t="shared" si="21"/>
        <v>330</v>
      </c>
      <c r="G40" s="445">
        <f t="shared" si="21"/>
        <v>330</v>
      </c>
      <c r="H40" s="445">
        <f t="shared" si="21"/>
        <v>330</v>
      </c>
      <c r="I40" s="445">
        <f t="shared" si="21"/>
        <v>330</v>
      </c>
      <c r="J40" s="445">
        <f t="shared" si="21"/>
        <v>330</v>
      </c>
      <c r="K40" s="445">
        <f t="shared" si="21"/>
        <v>330</v>
      </c>
      <c r="L40" s="445">
        <f t="shared" si="21"/>
        <v>330</v>
      </c>
      <c r="M40" s="445">
        <f t="shared" si="21"/>
        <v>330</v>
      </c>
      <c r="N40" s="445">
        <f>SUM(B40:M40)</f>
        <v>3960</v>
      </c>
      <c r="O40" s="445">
        <f t="shared" si="19"/>
        <v>0</v>
      </c>
    </row>
    <row r="41" spans="1:15" x14ac:dyDescent="0.2">
      <c r="A41" s="1" t="s">
        <v>471</v>
      </c>
      <c r="B41" s="445">
        <f>IF(B$32="actual",B68,B83)</f>
        <v>49.6</v>
      </c>
      <c r="C41" s="445">
        <f t="shared" ref="C41:M41" si="22">IF(C$32="actual",C68,C83)</f>
        <v>99.2</v>
      </c>
      <c r="D41" s="445">
        <f t="shared" si="22"/>
        <v>76.8</v>
      </c>
      <c r="E41" s="445">
        <f t="shared" si="22"/>
        <v>35.200000000000003</v>
      </c>
      <c r="F41" s="445">
        <f t="shared" si="22"/>
        <v>35.200000000000003</v>
      </c>
      <c r="G41" s="445">
        <f t="shared" si="22"/>
        <v>38.4</v>
      </c>
      <c r="H41" s="445">
        <f t="shared" si="22"/>
        <v>44.8</v>
      </c>
      <c r="I41" s="445">
        <f t="shared" si="22"/>
        <v>48</v>
      </c>
      <c r="J41" s="445">
        <f t="shared" si="22"/>
        <v>51.2</v>
      </c>
      <c r="K41" s="445">
        <f t="shared" si="22"/>
        <v>51.2</v>
      </c>
      <c r="L41" s="445">
        <f t="shared" si="22"/>
        <v>64</v>
      </c>
      <c r="M41" s="445">
        <f t="shared" si="22"/>
        <v>70.400000000000006</v>
      </c>
      <c r="N41" s="445">
        <f>SUM(B41:M41)</f>
        <v>664</v>
      </c>
      <c r="O41" s="445">
        <f t="shared" si="19"/>
        <v>0</v>
      </c>
    </row>
    <row r="42" spans="1:15" x14ac:dyDescent="0.2">
      <c r="B42" s="445"/>
      <c r="C42" s="445"/>
      <c r="D42" s="445"/>
      <c r="E42" s="445"/>
      <c r="F42" s="445"/>
      <c r="G42" s="445"/>
      <c r="H42" s="445"/>
      <c r="I42" s="445"/>
      <c r="J42" s="445"/>
      <c r="K42" s="445"/>
      <c r="L42" s="445"/>
      <c r="M42" s="445"/>
      <c r="N42" s="445"/>
    </row>
    <row r="43" spans="1:15" x14ac:dyDescent="0.2">
      <c r="A43" s="1" t="s">
        <v>472</v>
      </c>
      <c r="B43" s="445">
        <f>IF(B$32="actual",B70,B85)</f>
        <v>5000</v>
      </c>
      <c r="C43" s="445">
        <f t="shared" ref="C43:M43" si="23">IF(C$32="actual",C70,C85)</f>
        <v>5000</v>
      </c>
      <c r="D43" s="445">
        <f t="shared" si="23"/>
        <v>5000</v>
      </c>
      <c r="E43" s="445">
        <f t="shared" si="23"/>
        <v>5000</v>
      </c>
      <c r="F43" s="445">
        <f t="shared" si="23"/>
        <v>5000</v>
      </c>
      <c r="G43" s="445">
        <f t="shared" si="23"/>
        <v>5000</v>
      </c>
      <c r="H43" s="445">
        <f t="shared" si="23"/>
        <v>5000</v>
      </c>
      <c r="I43" s="445">
        <f t="shared" si="23"/>
        <v>5000</v>
      </c>
      <c r="J43" s="445">
        <f t="shared" si="23"/>
        <v>5000</v>
      </c>
      <c r="K43" s="445">
        <f t="shared" si="23"/>
        <v>5000</v>
      </c>
      <c r="L43" s="445">
        <f t="shared" si="23"/>
        <v>5000</v>
      </c>
      <c r="M43" s="445">
        <f t="shared" si="23"/>
        <v>5000</v>
      </c>
      <c r="N43" s="445">
        <f>SUM(B43:M43)</f>
        <v>60000</v>
      </c>
      <c r="O43" s="445">
        <f t="shared" si="19"/>
        <v>0</v>
      </c>
    </row>
    <row r="44" spans="1:15" x14ac:dyDescent="0.2">
      <c r="B44" s="445"/>
      <c r="C44" s="445"/>
      <c r="D44" s="445"/>
      <c r="E44" s="445"/>
      <c r="F44" s="445"/>
      <c r="G44" s="445"/>
      <c r="H44" s="445"/>
      <c r="I44" s="445"/>
      <c r="J44" s="445"/>
      <c r="K44" s="445"/>
      <c r="L44" s="445"/>
      <c r="M44" s="445"/>
      <c r="N44" s="445"/>
    </row>
    <row r="45" spans="1:15" x14ac:dyDescent="0.2">
      <c r="A45" s="442" t="s">
        <v>264</v>
      </c>
      <c r="B45" s="445"/>
      <c r="C45" s="445"/>
      <c r="D45" s="445"/>
      <c r="E45" s="445"/>
      <c r="F45" s="445"/>
      <c r="G45" s="445"/>
      <c r="H45" s="445"/>
      <c r="I45" s="445"/>
      <c r="J45" s="445"/>
      <c r="K45" s="445"/>
      <c r="L45" s="445"/>
      <c r="M45" s="445"/>
      <c r="N45" s="445"/>
    </row>
    <row r="46" spans="1:15" x14ac:dyDescent="0.2">
      <c r="A46" s="1" t="s">
        <v>467</v>
      </c>
      <c r="B46" s="445">
        <f>+B37*B$34</f>
        <v>-431.42400000000004</v>
      </c>
      <c r="C46" s="445">
        <f t="shared" ref="C46:M46" si="24">+C37*C$34</f>
        <v>-427.39200000000005</v>
      </c>
      <c r="D46" s="445">
        <f t="shared" si="24"/>
        <v>-532.22400000000005</v>
      </c>
      <c r="E46" s="445">
        <f t="shared" si="24"/>
        <v>-403.20000000000005</v>
      </c>
      <c r="F46" s="445">
        <f t="shared" si="24"/>
        <v>-429.40800000000002</v>
      </c>
      <c r="G46" s="445">
        <f t="shared" si="24"/>
        <v>-455.61600000000004</v>
      </c>
      <c r="H46" s="445">
        <f t="shared" si="24"/>
        <v>-465.69600000000008</v>
      </c>
      <c r="I46" s="445">
        <f t="shared" si="24"/>
        <v>-562.46400000000006</v>
      </c>
      <c r="J46" s="445">
        <f t="shared" si="24"/>
        <v>-510.048</v>
      </c>
      <c r="K46" s="445">
        <f t="shared" si="24"/>
        <v>-554.40000000000009</v>
      </c>
      <c r="L46" s="445">
        <f t="shared" si="24"/>
        <v>-504.00000000000006</v>
      </c>
      <c r="M46" s="445">
        <f t="shared" si="24"/>
        <v>-501.98400000000004</v>
      </c>
      <c r="N46" s="445">
        <f>SUM(B46:M46)</f>
        <v>-5777.8559999999998</v>
      </c>
      <c r="O46" s="445">
        <f>SUMIF($B$32:$M$32,"Actual",$B46:$M46)</f>
        <v>0</v>
      </c>
    </row>
    <row r="47" spans="1:15" x14ac:dyDescent="0.2">
      <c r="A47" s="1" t="s">
        <v>468</v>
      </c>
      <c r="B47" s="445">
        <f>+B38*B$34</f>
        <v>-505.34400000000005</v>
      </c>
      <c r="C47" s="445">
        <f t="shared" ref="C47:M47" si="25">+C38*C$34</f>
        <v>-504.00000000000006</v>
      </c>
      <c r="D47" s="445">
        <f t="shared" si="25"/>
        <v>-462.33600000000007</v>
      </c>
      <c r="E47" s="445">
        <f t="shared" si="25"/>
        <v>-451.584</v>
      </c>
      <c r="F47" s="445">
        <f t="shared" si="25"/>
        <v>-229.82400000000001</v>
      </c>
      <c r="G47" s="445">
        <f t="shared" si="25"/>
        <v>-202.94400000000002</v>
      </c>
      <c r="H47" s="445">
        <f t="shared" si="25"/>
        <v>-201.60000000000002</v>
      </c>
      <c r="I47" s="445">
        <f t="shared" si="25"/>
        <v>-201.60000000000002</v>
      </c>
      <c r="J47" s="445">
        <f t="shared" si="25"/>
        <v>-201.60000000000002</v>
      </c>
      <c r="K47" s="445">
        <f t="shared" si="25"/>
        <v>-353.47200000000004</v>
      </c>
      <c r="L47" s="445">
        <f t="shared" si="25"/>
        <v>-430.08000000000004</v>
      </c>
      <c r="M47" s="445">
        <f t="shared" si="25"/>
        <v>-483.84000000000003</v>
      </c>
      <c r="N47" s="445">
        <f>SUM(B47:M47)</f>
        <v>-4228.2240000000002</v>
      </c>
      <c r="O47" s="445">
        <f t="shared" ref="O47:O55" si="26">SUMIF($B$32:$M$32,"Actual",$B47:$M47)</f>
        <v>0</v>
      </c>
    </row>
    <row r="48" spans="1:15" x14ac:dyDescent="0.2">
      <c r="A48" s="1" t="s">
        <v>469</v>
      </c>
      <c r="B48" s="445">
        <f>+B39*B$34</f>
        <v>-186.53600000000003</v>
      </c>
      <c r="C48" s="445">
        <f t="shared" ref="C48:M48" si="27">+C39*C$34</f>
        <v>-184.91200000000001</v>
      </c>
      <c r="D48" s="445">
        <f t="shared" si="27"/>
        <v>-206.97600000000003</v>
      </c>
      <c r="E48" s="445">
        <f t="shared" si="27"/>
        <v>-187.09600000000003</v>
      </c>
      <c r="F48" s="445">
        <f t="shared" si="27"/>
        <v>-198.91200000000001</v>
      </c>
      <c r="G48" s="445">
        <f t="shared" si="27"/>
        <v>-237.10400000000001</v>
      </c>
      <c r="H48" s="445">
        <f t="shared" si="27"/>
        <v>-246.73600000000005</v>
      </c>
      <c r="I48" s="445">
        <f t="shared" si="27"/>
        <v>-252.67200000000003</v>
      </c>
      <c r="J48" s="445">
        <f t="shared" si="27"/>
        <v>-247.85600000000002</v>
      </c>
      <c r="K48" s="445">
        <f t="shared" si="27"/>
        <v>-238.16800000000003</v>
      </c>
      <c r="L48" s="445">
        <f t="shared" si="27"/>
        <v>-192.97600000000003</v>
      </c>
      <c r="M48" s="445">
        <f t="shared" si="27"/>
        <v>-180.09600000000003</v>
      </c>
      <c r="N48" s="445">
        <f>SUM(B48:M48)</f>
        <v>-2560.0400000000004</v>
      </c>
      <c r="O48" s="445">
        <f t="shared" si="26"/>
        <v>0</v>
      </c>
    </row>
    <row r="49" spans="1:15" x14ac:dyDescent="0.2">
      <c r="A49" s="1" t="s">
        <v>470</v>
      </c>
      <c r="B49" s="445">
        <f>+B40*B$34</f>
        <v>-184.8</v>
      </c>
      <c r="C49" s="445">
        <f t="shared" ref="C49:M49" si="28">+C40*C$34</f>
        <v>-184.8</v>
      </c>
      <c r="D49" s="445">
        <f t="shared" si="28"/>
        <v>-184.8</v>
      </c>
      <c r="E49" s="445">
        <f t="shared" si="28"/>
        <v>-184.8</v>
      </c>
      <c r="F49" s="445">
        <f t="shared" si="28"/>
        <v>-184.8</v>
      </c>
      <c r="G49" s="445">
        <f t="shared" si="28"/>
        <v>-184.8</v>
      </c>
      <c r="H49" s="445">
        <f t="shared" si="28"/>
        <v>-184.8</v>
      </c>
      <c r="I49" s="445">
        <f t="shared" si="28"/>
        <v>-184.8</v>
      </c>
      <c r="J49" s="445">
        <f t="shared" si="28"/>
        <v>-184.8</v>
      </c>
      <c r="K49" s="445">
        <f t="shared" si="28"/>
        <v>-184.8</v>
      </c>
      <c r="L49" s="445">
        <f t="shared" si="28"/>
        <v>-184.8</v>
      </c>
      <c r="M49" s="445">
        <f t="shared" si="28"/>
        <v>-184.8</v>
      </c>
      <c r="N49" s="445">
        <f>SUM(B49:M49)</f>
        <v>-2217.6</v>
      </c>
      <c r="O49" s="445">
        <f t="shared" si="26"/>
        <v>0</v>
      </c>
    </row>
    <row r="50" spans="1:15" x14ac:dyDescent="0.2">
      <c r="A50" s="1" t="s">
        <v>471</v>
      </c>
      <c r="B50" s="445">
        <f>+B41*B$34</f>
        <v>-27.776000000000003</v>
      </c>
      <c r="C50" s="445">
        <f t="shared" ref="C50:M50" si="29">+C41*C$34</f>
        <v>-55.552000000000007</v>
      </c>
      <c r="D50" s="445">
        <f t="shared" si="29"/>
        <v>-43.008000000000003</v>
      </c>
      <c r="E50" s="445">
        <f t="shared" si="29"/>
        <v>-19.712000000000003</v>
      </c>
      <c r="F50" s="445">
        <f t="shared" si="29"/>
        <v>-19.712000000000003</v>
      </c>
      <c r="G50" s="445">
        <f t="shared" si="29"/>
        <v>-21.504000000000001</v>
      </c>
      <c r="H50" s="445">
        <f t="shared" si="29"/>
        <v>-25.088000000000001</v>
      </c>
      <c r="I50" s="445">
        <f t="shared" si="29"/>
        <v>-26.880000000000003</v>
      </c>
      <c r="J50" s="445">
        <f t="shared" si="29"/>
        <v>-28.672000000000004</v>
      </c>
      <c r="K50" s="445">
        <f t="shared" si="29"/>
        <v>-28.672000000000004</v>
      </c>
      <c r="L50" s="445">
        <f t="shared" si="29"/>
        <v>-35.840000000000003</v>
      </c>
      <c r="M50" s="445">
        <f t="shared" si="29"/>
        <v>-39.424000000000007</v>
      </c>
      <c r="N50" s="445">
        <f>SUM(B50:M50)</f>
        <v>-371.84000000000003</v>
      </c>
      <c r="O50" s="445">
        <f t="shared" si="26"/>
        <v>0</v>
      </c>
    </row>
    <row r="51" spans="1:15" x14ac:dyDescent="0.2">
      <c r="B51" s="445"/>
      <c r="C51" s="445"/>
      <c r="D51" s="445"/>
      <c r="E51" s="445"/>
      <c r="F51" s="445"/>
      <c r="G51" s="445"/>
      <c r="H51" s="445"/>
      <c r="I51" s="445"/>
      <c r="J51" s="445"/>
      <c r="K51" s="445"/>
      <c r="L51" s="445"/>
      <c r="M51" s="445"/>
      <c r="N51" s="445"/>
    </row>
    <row r="52" spans="1:15" x14ac:dyDescent="0.2">
      <c r="A52" s="1" t="s">
        <v>472</v>
      </c>
      <c r="B52" s="445">
        <f>+B43*B$34</f>
        <v>-2800.0000000000005</v>
      </c>
      <c r="C52" s="445">
        <f t="shared" ref="C52:M52" si="30">+C43*C$34</f>
        <v>-2800.0000000000005</v>
      </c>
      <c r="D52" s="445">
        <f t="shared" si="30"/>
        <v>-2800.0000000000005</v>
      </c>
      <c r="E52" s="445">
        <f t="shared" si="30"/>
        <v>-2800.0000000000005</v>
      </c>
      <c r="F52" s="445">
        <f t="shared" si="30"/>
        <v>-2800.0000000000005</v>
      </c>
      <c r="G52" s="445">
        <f t="shared" si="30"/>
        <v>-2800.0000000000005</v>
      </c>
      <c r="H52" s="445">
        <f t="shared" si="30"/>
        <v>-2800.0000000000005</v>
      </c>
      <c r="I52" s="445">
        <f t="shared" si="30"/>
        <v>-2800.0000000000005</v>
      </c>
      <c r="J52" s="445">
        <f t="shared" si="30"/>
        <v>-2800.0000000000005</v>
      </c>
      <c r="K52" s="445">
        <f t="shared" si="30"/>
        <v>-2800.0000000000005</v>
      </c>
      <c r="L52" s="445">
        <f t="shared" si="30"/>
        <v>-2800.0000000000005</v>
      </c>
      <c r="M52" s="445">
        <f t="shared" si="30"/>
        <v>-2800.0000000000005</v>
      </c>
      <c r="N52" s="445">
        <f>SUM(B52:M52)</f>
        <v>-33600.000000000007</v>
      </c>
      <c r="O52" s="445">
        <f t="shared" si="26"/>
        <v>0</v>
      </c>
    </row>
    <row r="53" spans="1:15" x14ac:dyDescent="0.2">
      <c r="B53" s="445"/>
      <c r="C53" s="445"/>
      <c r="D53" s="445"/>
      <c r="E53" s="445"/>
      <c r="F53" s="445"/>
      <c r="G53" s="445"/>
      <c r="H53" s="445"/>
      <c r="I53" s="445"/>
      <c r="J53" s="445"/>
      <c r="K53" s="445"/>
      <c r="L53" s="445"/>
      <c r="M53" s="445"/>
      <c r="N53" s="445"/>
    </row>
    <row r="54" spans="1:15" x14ac:dyDescent="0.2">
      <c r="A54" s="1" t="s">
        <v>266</v>
      </c>
      <c r="B54" s="446">
        <f>+B46+B47+B48+B50+B49</f>
        <v>-1335.88</v>
      </c>
      <c r="C54" s="446">
        <f t="shared" ref="C54:M54" si="31">+C46+C47+C48+C50+C49</f>
        <v>-1356.6559999999999</v>
      </c>
      <c r="D54" s="446">
        <f t="shared" si="31"/>
        <v>-1429.3440000000003</v>
      </c>
      <c r="E54" s="446">
        <f t="shared" si="31"/>
        <v>-1246.3920000000001</v>
      </c>
      <c r="F54" s="446">
        <f t="shared" si="31"/>
        <v>-1062.6559999999999</v>
      </c>
      <c r="G54" s="446">
        <f t="shared" si="31"/>
        <v>-1101.9680000000001</v>
      </c>
      <c r="H54" s="446">
        <f t="shared" si="31"/>
        <v>-1123.92</v>
      </c>
      <c r="I54" s="446">
        <f t="shared" si="31"/>
        <v>-1228.4160000000002</v>
      </c>
      <c r="J54" s="446">
        <f t="shared" si="31"/>
        <v>-1172.9760000000001</v>
      </c>
      <c r="K54" s="446">
        <f t="shared" si="31"/>
        <v>-1359.5120000000002</v>
      </c>
      <c r="L54" s="446">
        <f t="shared" si="31"/>
        <v>-1347.6960000000001</v>
      </c>
      <c r="M54" s="446">
        <f t="shared" si="31"/>
        <v>-1390.144</v>
      </c>
      <c r="N54" s="445">
        <f>SUM(B54:M54)</f>
        <v>-15155.560000000001</v>
      </c>
      <c r="O54" s="445">
        <f t="shared" si="26"/>
        <v>0</v>
      </c>
    </row>
    <row r="55" spans="1:15" x14ac:dyDescent="0.2">
      <c r="A55" s="1" t="s">
        <v>267</v>
      </c>
      <c r="B55" s="446">
        <f>+B52</f>
        <v>-2800.0000000000005</v>
      </c>
      <c r="C55" s="446">
        <f>+C52</f>
        <v>-2800.0000000000005</v>
      </c>
      <c r="D55" s="446">
        <f>+D52</f>
        <v>-2800.0000000000005</v>
      </c>
      <c r="E55" s="446">
        <f>+E52</f>
        <v>-2800.0000000000005</v>
      </c>
      <c r="F55" s="446">
        <f>+F52</f>
        <v>-2800.0000000000005</v>
      </c>
      <c r="G55" s="446">
        <f t="shared" ref="G55:M55" si="32">+G52</f>
        <v>-2800.0000000000005</v>
      </c>
      <c r="H55" s="446">
        <f t="shared" si="32"/>
        <v>-2800.0000000000005</v>
      </c>
      <c r="I55" s="446">
        <f t="shared" si="32"/>
        <v>-2800.0000000000005</v>
      </c>
      <c r="J55" s="446">
        <f t="shared" si="32"/>
        <v>-2800.0000000000005</v>
      </c>
      <c r="K55" s="446">
        <f t="shared" si="32"/>
        <v>-2800.0000000000005</v>
      </c>
      <c r="L55" s="446">
        <f t="shared" si="32"/>
        <v>-2800.0000000000005</v>
      </c>
      <c r="M55" s="446">
        <f t="shared" si="32"/>
        <v>-2800.0000000000005</v>
      </c>
      <c r="N55" s="445">
        <f>SUM(B55:M55)</f>
        <v>-33600.000000000007</v>
      </c>
      <c r="O55" s="445">
        <f t="shared" si="26"/>
        <v>0</v>
      </c>
    </row>
    <row r="56" spans="1:15" x14ac:dyDescent="0.2">
      <c r="B56" s="445"/>
      <c r="C56" s="445"/>
      <c r="D56" s="445"/>
      <c r="E56" s="445"/>
      <c r="F56" s="445"/>
      <c r="G56" s="445"/>
      <c r="H56" s="445"/>
      <c r="I56" s="445"/>
      <c r="J56" s="445"/>
      <c r="K56" s="445"/>
      <c r="L56" s="445"/>
      <c r="M56" s="445"/>
      <c r="N56" s="445"/>
    </row>
    <row r="57" spans="1:15" x14ac:dyDescent="0.2">
      <c r="B57" s="445"/>
      <c r="C57" s="445"/>
      <c r="D57" s="445"/>
      <c r="E57" s="445"/>
      <c r="F57" s="445"/>
      <c r="G57" s="445"/>
      <c r="H57" s="445"/>
      <c r="I57" s="445"/>
      <c r="J57" s="445"/>
      <c r="K57" s="445"/>
      <c r="L57" s="445"/>
      <c r="M57" s="445"/>
      <c r="N57" s="445"/>
    </row>
    <row r="58" spans="1:15" x14ac:dyDescent="0.2">
      <c r="B58" s="445"/>
      <c r="C58" s="445"/>
      <c r="D58" s="445"/>
      <c r="E58" s="445"/>
      <c r="F58" s="445"/>
      <c r="G58" s="445"/>
      <c r="H58" s="445"/>
      <c r="I58" s="445"/>
      <c r="J58" s="445"/>
      <c r="K58" s="445"/>
      <c r="L58" s="445"/>
      <c r="M58" s="445"/>
      <c r="N58" s="445"/>
    </row>
    <row r="59" spans="1:15" x14ac:dyDescent="0.2">
      <c r="A59" s="33"/>
      <c r="B59" s="272" t="s">
        <v>224</v>
      </c>
      <c r="C59" s="272" t="s">
        <v>224</v>
      </c>
      <c r="D59" s="272" t="s">
        <v>224</v>
      </c>
      <c r="E59" s="272" t="s">
        <v>224</v>
      </c>
      <c r="F59" s="272" t="s">
        <v>224</v>
      </c>
      <c r="G59" s="272" t="s">
        <v>224</v>
      </c>
      <c r="H59" s="272" t="s">
        <v>224</v>
      </c>
      <c r="I59" s="272" t="s">
        <v>224</v>
      </c>
      <c r="J59" s="272" t="s">
        <v>224</v>
      </c>
      <c r="K59" s="272" t="s">
        <v>224</v>
      </c>
      <c r="L59" s="272" t="s">
        <v>224</v>
      </c>
      <c r="M59" s="272" t="s">
        <v>224</v>
      </c>
      <c r="N59" s="33"/>
      <c r="O59" s="33"/>
    </row>
    <row r="60" spans="1:15" x14ac:dyDescent="0.2">
      <c r="A60" s="33" t="s">
        <v>261</v>
      </c>
      <c r="B60" s="447">
        <f>+'1. Assumptions'!C9</f>
        <v>44957</v>
      </c>
      <c r="C60" s="447">
        <f>+'1. Assumptions'!D9</f>
        <v>44985</v>
      </c>
      <c r="D60" s="447">
        <f>+'1. Assumptions'!E9</f>
        <v>45016</v>
      </c>
      <c r="E60" s="447">
        <f>+'1. Assumptions'!F9</f>
        <v>45046</v>
      </c>
      <c r="F60" s="447">
        <f>+'1. Assumptions'!G9</f>
        <v>45077</v>
      </c>
      <c r="G60" s="447">
        <f>+'1. Assumptions'!H9</f>
        <v>45107</v>
      </c>
      <c r="H60" s="447">
        <f>+'1. Assumptions'!I9</f>
        <v>45138</v>
      </c>
      <c r="I60" s="447">
        <f>+'1. Assumptions'!J9</f>
        <v>45169</v>
      </c>
      <c r="J60" s="447">
        <f>+'1. Assumptions'!K9</f>
        <v>45199</v>
      </c>
      <c r="K60" s="447">
        <f>+'1. Assumptions'!L9</f>
        <v>45230</v>
      </c>
      <c r="L60" s="447">
        <f>+'1. Assumptions'!M9</f>
        <v>45260</v>
      </c>
      <c r="M60" s="447">
        <f>+'1. Assumptions'!N9</f>
        <v>45291</v>
      </c>
      <c r="N60" s="448" t="s">
        <v>15</v>
      </c>
      <c r="O60" s="206" t="s">
        <v>265</v>
      </c>
    </row>
    <row r="61" spans="1:15" x14ac:dyDescent="0.2">
      <c r="A61" s="1" t="s">
        <v>258</v>
      </c>
      <c r="B61" s="443">
        <v>-0.56000000000000005</v>
      </c>
      <c r="C61" s="444">
        <f>+B61</f>
        <v>-0.56000000000000005</v>
      </c>
      <c r="D61" s="444">
        <f>+C61</f>
        <v>-0.56000000000000005</v>
      </c>
      <c r="E61" s="444">
        <f>+D61</f>
        <v>-0.56000000000000005</v>
      </c>
      <c r="F61" s="443">
        <v>-0.56000000000000005</v>
      </c>
      <c r="G61" s="444">
        <f t="shared" ref="G61:M61" si="33">+F61</f>
        <v>-0.56000000000000005</v>
      </c>
      <c r="H61" s="444">
        <f t="shared" si="33"/>
        <v>-0.56000000000000005</v>
      </c>
      <c r="I61" s="444">
        <f t="shared" si="33"/>
        <v>-0.56000000000000005</v>
      </c>
      <c r="J61" s="444">
        <f t="shared" si="33"/>
        <v>-0.56000000000000005</v>
      </c>
      <c r="K61" s="444">
        <f t="shared" si="33"/>
        <v>-0.56000000000000005</v>
      </c>
      <c r="L61" s="444">
        <f t="shared" si="33"/>
        <v>-0.56000000000000005</v>
      </c>
      <c r="M61" s="444">
        <f t="shared" si="33"/>
        <v>-0.56000000000000005</v>
      </c>
    </row>
    <row r="63" spans="1:15" x14ac:dyDescent="0.2">
      <c r="A63" s="442" t="s">
        <v>256</v>
      </c>
    </row>
    <row r="64" spans="1:15" x14ac:dyDescent="0.2">
      <c r="A64" s="1" t="s">
        <v>467</v>
      </c>
      <c r="B64" s="446">
        <v>824.4</v>
      </c>
      <c r="C64" s="446">
        <v>835.2</v>
      </c>
      <c r="D64" s="446">
        <v>1130.4000000000001</v>
      </c>
      <c r="E64" s="446">
        <v>918</v>
      </c>
      <c r="F64" s="446">
        <v>1101.5999999999999</v>
      </c>
      <c r="G64" s="446">
        <v>1126.8</v>
      </c>
      <c r="H64" s="446">
        <v>1044</v>
      </c>
      <c r="I64" s="446"/>
      <c r="J64" s="446"/>
      <c r="K64" s="446"/>
      <c r="L64" s="446"/>
      <c r="M64" s="446"/>
      <c r="N64" s="445">
        <f>SUM(B64:M64)</f>
        <v>6980.4000000000005</v>
      </c>
    </row>
    <row r="65" spans="1:14" x14ac:dyDescent="0.2">
      <c r="A65" s="1" t="s">
        <v>468</v>
      </c>
      <c r="B65" s="446">
        <v>902.4</v>
      </c>
      <c r="C65" s="446">
        <v>900</v>
      </c>
      <c r="D65" s="446">
        <v>825.6</v>
      </c>
      <c r="E65" s="446">
        <v>806.4</v>
      </c>
      <c r="F65" s="446">
        <v>410.4</v>
      </c>
      <c r="G65" s="446">
        <v>362.4</v>
      </c>
      <c r="H65" s="446">
        <v>360</v>
      </c>
      <c r="I65" s="446"/>
      <c r="J65" s="446"/>
      <c r="K65" s="446"/>
      <c r="L65" s="446"/>
      <c r="M65" s="446"/>
      <c r="N65" s="445">
        <f>SUM(B65:M65)</f>
        <v>4567.2</v>
      </c>
    </row>
    <row r="66" spans="1:14" x14ac:dyDescent="0.2">
      <c r="A66" s="1" t="s">
        <v>469</v>
      </c>
      <c r="B66" s="446">
        <v>280.3</v>
      </c>
      <c r="C66" s="446">
        <v>331.2</v>
      </c>
      <c r="D66" s="446">
        <v>330.2</v>
      </c>
      <c r="E66" s="446">
        <v>340.8</v>
      </c>
      <c r="F66" s="446">
        <v>398.4</v>
      </c>
      <c r="G66" s="446">
        <v>444.5</v>
      </c>
      <c r="H66" s="446">
        <v>437.8</v>
      </c>
      <c r="I66" s="446"/>
      <c r="J66" s="446"/>
      <c r="K66" s="446"/>
      <c r="L66" s="446"/>
      <c r="M66" s="446"/>
      <c r="N66" s="445">
        <f>SUM(B66:M66)</f>
        <v>2563.2000000000003</v>
      </c>
    </row>
    <row r="67" spans="1:14" x14ac:dyDescent="0.2">
      <c r="A67" s="1" t="s">
        <v>470</v>
      </c>
      <c r="B67" s="446">
        <v>0</v>
      </c>
      <c r="C67" s="446">
        <v>0</v>
      </c>
      <c r="D67" s="446">
        <v>0</v>
      </c>
      <c r="E67" s="446">
        <v>0</v>
      </c>
      <c r="F67" s="446">
        <v>0</v>
      </c>
      <c r="G67" s="446">
        <v>0</v>
      </c>
      <c r="H67" s="446">
        <v>313.60000000000002</v>
      </c>
      <c r="I67" s="446"/>
      <c r="J67" s="446"/>
      <c r="K67" s="446"/>
      <c r="L67" s="446"/>
      <c r="M67" s="446"/>
      <c r="N67" s="445">
        <f t="shared" ref="N67:N68" si="34">SUM(B67:M67)</f>
        <v>313.60000000000002</v>
      </c>
    </row>
    <row r="68" spans="1:14" x14ac:dyDescent="0.2">
      <c r="A68" s="1" t="s">
        <v>471</v>
      </c>
      <c r="B68" s="446">
        <v>97.6</v>
      </c>
      <c r="C68" s="446">
        <v>70.400000000000006</v>
      </c>
      <c r="D68" s="446">
        <v>83.2</v>
      </c>
      <c r="E68" s="446">
        <v>48</v>
      </c>
      <c r="F68" s="446">
        <v>36.799999999999997</v>
      </c>
      <c r="G68" s="446">
        <v>38.4</v>
      </c>
      <c r="H68" s="446">
        <v>49.6</v>
      </c>
      <c r="I68" s="446"/>
      <c r="J68" s="446"/>
      <c r="K68" s="446"/>
      <c r="L68" s="446"/>
      <c r="M68" s="446"/>
      <c r="N68" s="445">
        <f t="shared" si="34"/>
        <v>424</v>
      </c>
    </row>
    <row r="69" spans="1:14" x14ac:dyDescent="0.2">
      <c r="B69" s="445"/>
      <c r="C69" s="445"/>
      <c r="D69" s="445"/>
      <c r="E69" s="445"/>
      <c r="F69" s="445"/>
      <c r="G69" s="445"/>
      <c r="H69" s="445"/>
      <c r="I69" s="445"/>
      <c r="J69" s="445"/>
      <c r="K69" s="445"/>
      <c r="L69" s="445"/>
      <c r="M69" s="445"/>
      <c r="N69" s="445"/>
    </row>
    <row r="70" spans="1:14" x14ac:dyDescent="0.2">
      <c r="A70" s="1" t="s">
        <v>374</v>
      </c>
      <c r="B70" s="446">
        <v>5000</v>
      </c>
      <c r="C70" s="446">
        <v>5000</v>
      </c>
      <c r="D70" s="446">
        <v>5000</v>
      </c>
      <c r="E70" s="446">
        <v>5000</v>
      </c>
      <c r="F70" s="446">
        <v>5000</v>
      </c>
      <c r="G70" s="446">
        <v>5000</v>
      </c>
      <c r="H70" s="446">
        <v>5000</v>
      </c>
      <c r="I70" s="446"/>
      <c r="J70" s="446"/>
      <c r="K70" s="446"/>
      <c r="L70" s="446"/>
      <c r="M70" s="446"/>
      <c r="N70" s="445">
        <f>SUM(B70:M70)</f>
        <v>35000</v>
      </c>
    </row>
    <row r="71" spans="1:14" x14ac:dyDescent="0.2">
      <c r="B71" s="445"/>
      <c r="C71" s="445"/>
      <c r="D71" s="445"/>
      <c r="E71" s="445"/>
      <c r="F71" s="445"/>
      <c r="G71" s="445"/>
      <c r="H71" s="445"/>
      <c r="I71" s="445"/>
      <c r="J71" s="445"/>
      <c r="K71" s="445"/>
      <c r="L71" s="445"/>
      <c r="M71" s="445"/>
      <c r="N71" s="445"/>
    </row>
    <row r="72" spans="1:14" x14ac:dyDescent="0.2">
      <c r="A72" s="1" t="s">
        <v>472</v>
      </c>
      <c r="B72" s="446">
        <v>6316.8</v>
      </c>
      <c r="C72" s="446">
        <v>336</v>
      </c>
      <c r="D72" s="446">
        <v>784</v>
      </c>
      <c r="E72" s="446">
        <v>380.8</v>
      </c>
      <c r="F72" s="446">
        <v>313.60000000000002</v>
      </c>
      <c r="G72" s="446">
        <v>380.8</v>
      </c>
      <c r="H72" s="446">
        <v>0</v>
      </c>
      <c r="I72" s="446"/>
      <c r="J72" s="446"/>
      <c r="K72" s="446"/>
      <c r="L72" s="446"/>
      <c r="M72" s="446"/>
      <c r="N72" s="445">
        <f>SUM(B72:M72)</f>
        <v>8512</v>
      </c>
    </row>
    <row r="74" spans="1:14" x14ac:dyDescent="0.2">
      <c r="A74" s="33"/>
      <c r="B74" s="22" t="s">
        <v>170</v>
      </c>
      <c r="C74" s="22" t="s">
        <v>170</v>
      </c>
      <c r="D74" s="22" t="s">
        <v>170</v>
      </c>
      <c r="E74" s="22" t="s">
        <v>170</v>
      </c>
      <c r="F74" s="22" t="s">
        <v>170</v>
      </c>
      <c r="G74" s="22" t="s">
        <v>170</v>
      </c>
      <c r="H74" s="22" t="s">
        <v>170</v>
      </c>
      <c r="I74" s="22" t="s">
        <v>170</v>
      </c>
      <c r="J74" s="22" t="s">
        <v>170</v>
      </c>
      <c r="K74" s="22" t="s">
        <v>170</v>
      </c>
      <c r="L74" s="22" t="s">
        <v>170</v>
      </c>
      <c r="M74" s="22" t="s">
        <v>170</v>
      </c>
      <c r="N74" s="22" t="s">
        <v>15</v>
      </c>
    </row>
    <row r="75" spans="1:14" x14ac:dyDescent="0.2">
      <c r="A75" s="33" t="s">
        <v>262</v>
      </c>
      <c r="B75" s="413">
        <f>+B60</f>
        <v>44957</v>
      </c>
      <c r="C75" s="413">
        <f t="shared" ref="C75:M75" si="35">+C60</f>
        <v>44985</v>
      </c>
      <c r="D75" s="413">
        <f t="shared" si="35"/>
        <v>45016</v>
      </c>
      <c r="E75" s="413">
        <f t="shared" si="35"/>
        <v>45046</v>
      </c>
      <c r="F75" s="413">
        <f t="shared" si="35"/>
        <v>45077</v>
      </c>
      <c r="G75" s="413">
        <f t="shared" si="35"/>
        <v>45107</v>
      </c>
      <c r="H75" s="413">
        <f t="shared" si="35"/>
        <v>45138</v>
      </c>
      <c r="I75" s="413">
        <f t="shared" si="35"/>
        <v>45169</v>
      </c>
      <c r="J75" s="413">
        <f t="shared" si="35"/>
        <v>45199</v>
      </c>
      <c r="K75" s="413">
        <f t="shared" si="35"/>
        <v>45230</v>
      </c>
      <c r="L75" s="413">
        <f t="shared" si="35"/>
        <v>45260</v>
      </c>
      <c r="M75" s="413">
        <f t="shared" si="35"/>
        <v>45291</v>
      </c>
    </row>
    <row r="76" spans="1:14" x14ac:dyDescent="0.2">
      <c r="A76" s="1" t="s">
        <v>258</v>
      </c>
      <c r="B76" s="443">
        <v>-0.56000000000000005</v>
      </c>
      <c r="C76" s="444">
        <f>+B76</f>
        <v>-0.56000000000000005</v>
      </c>
      <c r="D76" s="444">
        <f>+C76</f>
        <v>-0.56000000000000005</v>
      </c>
      <c r="E76" s="444">
        <f>+D76</f>
        <v>-0.56000000000000005</v>
      </c>
      <c r="F76" s="443">
        <v>-0.56000000000000005</v>
      </c>
      <c r="G76" s="444">
        <f t="shared" ref="G76:M76" si="36">+F76</f>
        <v>-0.56000000000000005</v>
      </c>
      <c r="H76" s="444">
        <f t="shared" si="36"/>
        <v>-0.56000000000000005</v>
      </c>
      <c r="I76" s="444">
        <f t="shared" si="36"/>
        <v>-0.56000000000000005</v>
      </c>
      <c r="J76" s="444">
        <f t="shared" si="36"/>
        <v>-0.56000000000000005</v>
      </c>
      <c r="K76" s="444">
        <f t="shared" si="36"/>
        <v>-0.56000000000000005</v>
      </c>
      <c r="L76" s="444">
        <f t="shared" si="36"/>
        <v>-0.56000000000000005</v>
      </c>
      <c r="M76" s="444">
        <f t="shared" si="36"/>
        <v>-0.56000000000000005</v>
      </c>
    </row>
    <row r="78" spans="1:14" x14ac:dyDescent="0.2">
      <c r="A78" s="442" t="s">
        <v>256</v>
      </c>
    </row>
    <row r="79" spans="1:14" x14ac:dyDescent="0.2">
      <c r="A79" s="1" t="s">
        <v>467</v>
      </c>
      <c r="B79" s="446">
        <f>+B93</f>
        <v>770.4</v>
      </c>
      <c r="C79" s="446">
        <f t="shared" ref="C79:M79" si="37">+C93</f>
        <v>763.2</v>
      </c>
      <c r="D79" s="446">
        <f t="shared" si="37"/>
        <v>950.4</v>
      </c>
      <c r="E79" s="446">
        <f t="shared" si="37"/>
        <v>720</v>
      </c>
      <c r="F79" s="446">
        <f t="shared" si="37"/>
        <v>766.8</v>
      </c>
      <c r="G79" s="446">
        <f t="shared" si="37"/>
        <v>813.6</v>
      </c>
      <c r="H79" s="446">
        <f t="shared" si="37"/>
        <v>831.6</v>
      </c>
      <c r="I79" s="446">
        <f t="shared" si="37"/>
        <v>1004.4</v>
      </c>
      <c r="J79" s="446">
        <f t="shared" si="37"/>
        <v>910.8</v>
      </c>
      <c r="K79" s="446">
        <f t="shared" si="37"/>
        <v>990</v>
      </c>
      <c r="L79" s="446">
        <f t="shared" si="37"/>
        <v>900</v>
      </c>
      <c r="M79" s="446">
        <f t="shared" si="37"/>
        <v>896.4</v>
      </c>
      <c r="N79" s="445">
        <f>SUM(B79:M79)</f>
        <v>10317.6</v>
      </c>
    </row>
    <row r="80" spans="1:14" x14ac:dyDescent="0.2">
      <c r="A80" s="1" t="s">
        <v>468</v>
      </c>
      <c r="B80" s="446">
        <f>+B65</f>
        <v>902.4</v>
      </c>
      <c r="C80" s="446">
        <f t="shared" ref="C80:H80" si="38">+C65</f>
        <v>900</v>
      </c>
      <c r="D80" s="446">
        <f t="shared" si="38"/>
        <v>825.6</v>
      </c>
      <c r="E80" s="446">
        <f t="shared" si="38"/>
        <v>806.4</v>
      </c>
      <c r="F80" s="446">
        <f t="shared" si="38"/>
        <v>410.4</v>
      </c>
      <c r="G80" s="446">
        <f t="shared" si="38"/>
        <v>362.4</v>
      </c>
      <c r="H80" s="446">
        <f t="shared" si="38"/>
        <v>360</v>
      </c>
      <c r="I80" s="446">
        <v>360</v>
      </c>
      <c r="J80" s="446">
        <v>360</v>
      </c>
      <c r="K80" s="446">
        <f>+K94</f>
        <v>631.20000000000005</v>
      </c>
      <c r="L80" s="446">
        <f t="shared" ref="L80:M80" si="39">+L94</f>
        <v>768</v>
      </c>
      <c r="M80" s="446">
        <f t="shared" si="39"/>
        <v>864</v>
      </c>
      <c r="N80" s="445">
        <f>SUM(B80:M80)</f>
        <v>7550.4</v>
      </c>
    </row>
    <row r="81" spans="1:14" x14ac:dyDescent="0.2">
      <c r="A81" s="1" t="s">
        <v>469</v>
      </c>
      <c r="B81" s="446">
        <f t="shared" ref="B81:J81" si="40">+B95</f>
        <v>333.1</v>
      </c>
      <c r="C81" s="446">
        <f t="shared" si="40"/>
        <v>330.2</v>
      </c>
      <c r="D81" s="446">
        <f t="shared" si="40"/>
        <v>369.6</v>
      </c>
      <c r="E81" s="446">
        <f t="shared" si="40"/>
        <v>334.1</v>
      </c>
      <c r="F81" s="446">
        <f t="shared" si="40"/>
        <v>355.2</v>
      </c>
      <c r="G81" s="446">
        <f t="shared" si="40"/>
        <v>423.4</v>
      </c>
      <c r="H81" s="446">
        <f t="shared" si="40"/>
        <v>440.6</v>
      </c>
      <c r="I81" s="446">
        <f t="shared" si="40"/>
        <v>451.2</v>
      </c>
      <c r="J81" s="446">
        <f t="shared" si="40"/>
        <v>442.6</v>
      </c>
      <c r="K81" s="446">
        <f>+K95</f>
        <v>425.3</v>
      </c>
      <c r="L81" s="446">
        <f>+L95</f>
        <v>344.6</v>
      </c>
      <c r="M81" s="446">
        <f>+M95</f>
        <v>321.60000000000002</v>
      </c>
      <c r="N81" s="445">
        <f>SUM(B81:M81)</f>
        <v>4571.5</v>
      </c>
    </row>
    <row r="82" spans="1:14" x14ac:dyDescent="0.2">
      <c r="A82" s="1" t="s">
        <v>470</v>
      </c>
      <c r="B82" s="446">
        <v>330</v>
      </c>
      <c r="C82" s="446">
        <v>330</v>
      </c>
      <c r="D82" s="446">
        <v>330</v>
      </c>
      <c r="E82" s="446">
        <v>330</v>
      </c>
      <c r="F82" s="446">
        <v>330</v>
      </c>
      <c r="G82" s="446">
        <v>330</v>
      </c>
      <c r="H82" s="446">
        <v>330</v>
      </c>
      <c r="I82" s="446">
        <v>330</v>
      </c>
      <c r="J82" s="446">
        <v>330</v>
      </c>
      <c r="K82" s="446">
        <v>330</v>
      </c>
      <c r="L82" s="446">
        <v>330</v>
      </c>
      <c r="M82" s="446">
        <v>330</v>
      </c>
      <c r="N82" s="445">
        <f>SUM(B82:M82)</f>
        <v>3960</v>
      </c>
    </row>
    <row r="83" spans="1:14" x14ac:dyDescent="0.2">
      <c r="A83" s="1" t="s">
        <v>471</v>
      </c>
      <c r="B83" s="446">
        <f t="shared" ref="B83:M83" si="41">+B97</f>
        <v>49.6</v>
      </c>
      <c r="C83" s="446">
        <f t="shared" si="41"/>
        <v>99.2</v>
      </c>
      <c r="D83" s="446">
        <f t="shared" si="41"/>
        <v>76.8</v>
      </c>
      <c r="E83" s="446">
        <f t="shared" si="41"/>
        <v>35.200000000000003</v>
      </c>
      <c r="F83" s="446">
        <f t="shared" si="41"/>
        <v>35.200000000000003</v>
      </c>
      <c r="G83" s="446">
        <f t="shared" si="41"/>
        <v>38.4</v>
      </c>
      <c r="H83" s="446">
        <f t="shared" si="41"/>
        <v>44.8</v>
      </c>
      <c r="I83" s="446">
        <f t="shared" si="41"/>
        <v>48</v>
      </c>
      <c r="J83" s="446">
        <f t="shared" si="41"/>
        <v>51.2</v>
      </c>
      <c r="K83" s="446">
        <f t="shared" si="41"/>
        <v>51.2</v>
      </c>
      <c r="L83" s="446">
        <f t="shared" si="41"/>
        <v>64</v>
      </c>
      <c r="M83" s="446">
        <f t="shared" si="41"/>
        <v>70.400000000000006</v>
      </c>
      <c r="N83" s="445">
        <f>SUM(B83:M83)</f>
        <v>664</v>
      </c>
    </row>
    <row r="84" spans="1:14" x14ac:dyDescent="0.2">
      <c r="B84" s="445"/>
      <c r="C84" s="445"/>
      <c r="D84" s="445"/>
      <c r="E84" s="445"/>
      <c r="F84" s="445"/>
      <c r="G84" s="445"/>
      <c r="H84" s="445"/>
      <c r="I84" s="445"/>
      <c r="J84" s="445"/>
      <c r="K84" s="445"/>
      <c r="L84" s="445"/>
      <c r="M84" s="445"/>
      <c r="N84" s="445"/>
    </row>
    <row r="85" spans="1:14" x14ac:dyDescent="0.2">
      <c r="A85" s="1" t="s">
        <v>374</v>
      </c>
      <c r="B85" s="446">
        <f>AVERAGE(B70:H70)</f>
        <v>5000</v>
      </c>
      <c r="C85" s="446">
        <f>+B85</f>
        <v>5000</v>
      </c>
      <c r="D85" s="446">
        <f t="shared" ref="D85:M85" si="42">+C85</f>
        <v>5000</v>
      </c>
      <c r="E85" s="446">
        <f t="shared" si="42"/>
        <v>5000</v>
      </c>
      <c r="F85" s="446">
        <f t="shared" si="42"/>
        <v>5000</v>
      </c>
      <c r="G85" s="446">
        <f t="shared" si="42"/>
        <v>5000</v>
      </c>
      <c r="H85" s="446">
        <f t="shared" si="42"/>
        <v>5000</v>
      </c>
      <c r="I85" s="446">
        <f t="shared" si="42"/>
        <v>5000</v>
      </c>
      <c r="J85" s="446">
        <f t="shared" si="42"/>
        <v>5000</v>
      </c>
      <c r="K85" s="446">
        <f t="shared" si="42"/>
        <v>5000</v>
      </c>
      <c r="L85" s="446">
        <f t="shared" si="42"/>
        <v>5000</v>
      </c>
      <c r="M85" s="446">
        <f t="shared" si="42"/>
        <v>5000</v>
      </c>
      <c r="N85" s="445">
        <f>SUM(B85:M85)</f>
        <v>60000</v>
      </c>
    </row>
    <row r="88" spans="1:14" x14ac:dyDescent="0.2">
      <c r="A88" s="33"/>
      <c r="B88" s="448" t="str">
        <f>+'1. Assumptions'!C5</f>
        <v>Actual</v>
      </c>
      <c r="C88" s="448" t="str">
        <f>+'1. Assumptions'!D5</f>
        <v>Actual</v>
      </c>
      <c r="D88" s="448" t="str">
        <f>+'1. Assumptions'!E5</f>
        <v>Actual</v>
      </c>
      <c r="E88" s="448" t="str">
        <f>+'1. Assumptions'!F5</f>
        <v>Actual</v>
      </c>
      <c r="F88" s="448" t="str">
        <f>+'1. Assumptions'!G5</f>
        <v>Actual</v>
      </c>
      <c r="G88" s="448" t="str">
        <f>+'1. Assumptions'!H5</f>
        <v>Actual</v>
      </c>
      <c r="H88" s="448" t="str">
        <f>+'1. Assumptions'!I5</f>
        <v>Actual</v>
      </c>
      <c r="I88" s="448" t="str">
        <f>+'1. Assumptions'!J5</f>
        <v>Actual</v>
      </c>
      <c r="J88" s="448" t="str">
        <f>+'1. Assumptions'!K5</f>
        <v>Actual</v>
      </c>
      <c r="K88" s="448" t="str">
        <f>+'1. Assumptions'!L5</f>
        <v>Actual</v>
      </c>
      <c r="L88" s="448" t="str">
        <f>+'1. Assumptions'!M5</f>
        <v>Actual</v>
      </c>
      <c r="M88" s="448" t="str">
        <f>+'1. Assumptions'!N5</f>
        <v>Actual</v>
      </c>
      <c r="N88" s="448" t="s">
        <v>15</v>
      </c>
    </row>
    <row r="89" spans="1:14" x14ac:dyDescent="0.2">
      <c r="A89" s="33" t="s">
        <v>260</v>
      </c>
      <c r="B89" s="413">
        <f>+'1. Assumptions'!C6</f>
        <v>44592</v>
      </c>
      <c r="C89" s="413">
        <f>+'1. Assumptions'!D6</f>
        <v>44620</v>
      </c>
      <c r="D89" s="413">
        <f>+'1. Assumptions'!E6</f>
        <v>44651</v>
      </c>
      <c r="E89" s="413">
        <f>+'1. Assumptions'!F6</f>
        <v>44681</v>
      </c>
      <c r="F89" s="413">
        <f>+'1. Assumptions'!G6</f>
        <v>44712</v>
      </c>
      <c r="G89" s="413">
        <f>+'1. Assumptions'!H6</f>
        <v>44742</v>
      </c>
      <c r="H89" s="413">
        <f>+'1. Assumptions'!I6</f>
        <v>44773</v>
      </c>
      <c r="I89" s="413">
        <f>+'1. Assumptions'!J6</f>
        <v>44804</v>
      </c>
      <c r="J89" s="413">
        <f>+'1. Assumptions'!K6</f>
        <v>44834</v>
      </c>
      <c r="K89" s="413">
        <f>+'1. Assumptions'!L6</f>
        <v>44865</v>
      </c>
      <c r="L89" s="413">
        <f>+'1. Assumptions'!M6</f>
        <v>44895</v>
      </c>
      <c r="M89" s="413">
        <f>+'1. Assumptions'!N6</f>
        <v>44926</v>
      </c>
    </row>
    <row r="90" spans="1:14" x14ac:dyDescent="0.2">
      <c r="A90" s="1" t="s">
        <v>258</v>
      </c>
      <c r="B90" s="443">
        <v>-0.56000000000000005</v>
      </c>
      <c r="C90" s="444">
        <f>+B90</f>
        <v>-0.56000000000000005</v>
      </c>
      <c r="D90" s="444">
        <f>+C90</f>
        <v>-0.56000000000000005</v>
      </c>
      <c r="E90" s="444">
        <f>+D90</f>
        <v>-0.56000000000000005</v>
      </c>
      <c r="F90" s="443">
        <v>-0.56000000000000005</v>
      </c>
      <c r="G90" s="444">
        <f t="shared" ref="G90:M90" si="43">+F90</f>
        <v>-0.56000000000000005</v>
      </c>
      <c r="H90" s="444">
        <f t="shared" si="43"/>
        <v>-0.56000000000000005</v>
      </c>
      <c r="I90" s="444">
        <f t="shared" si="43"/>
        <v>-0.56000000000000005</v>
      </c>
      <c r="J90" s="444">
        <f t="shared" si="43"/>
        <v>-0.56000000000000005</v>
      </c>
      <c r="K90" s="444">
        <f t="shared" si="43"/>
        <v>-0.56000000000000005</v>
      </c>
      <c r="L90" s="444">
        <f t="shared" si="43"/>
        <v>-0.56000000000000005</v>
      </c>
      <c r="M90" s="444">
        <f t="shared" si="43"/>
        <v>-0.56000000000000005</v>
      </c>
    </row>
    <row r="92" spans="1:14" x14ac:dyDescent="0.2">
      <c r="A92" s="442" t="s">
        <v>256</v>
      </c>
    </row>
    <row r="93" spans="1:14" x14ac:dyDescent="0.2">
      <c r="A93" s="1" t="s">
        <v>467</v>
      </c>
      <c r="B93" s="446">
        <v>770.4</v>
      </c>
      <c r="C93" s="446">
        <v>763.2</v>
      </c>
      <c r="D93" s="446">
        <v>950.4</v>
      </c>
      <c r="E93" s="446">
        <v>720</v>
      </c>
      <c r="F93" s="446">
        <v>766.8</v>
      </c>
      <c r="G93" s="446">
        <v>813.6</v>
      </c>
      <c r="H93" s="446">
        <v>831.6</v>
      </c>
      <c r="I93" s="446">
        <v>1004.4</v>
      </c>
      <c r="J93" s="446">
        <v>910.8</v>
      </c>
      <c r="K93" s="446">
        <v>990</v>
      </c>
      <c r="L93" s="446">
        <v>900</v>
      </c>
      <c r="M93" s="446">
        <v>896.4</v>
      </c>
      <c r="N93" s="445">
        <f>SUM(B93:M93)</f>
        <v>10317.6</v>
      </c>
    </row>
    <row r="94" spans="1:14" x14ac:dyDescent="0.2">
      <c r="A94" s="1" t="s">
        <v>468</v>
      </c>
      <c r="B94" s="446">
        <v>0</v>
      </c>
      <c r="C94" s="446">
        <v>0</v>
      </c>
      <c r="D94" s="446">
        <v>0</v>
      </c>
      <c r="E94" s="446">
        <v>0</v>
      </c>
      <c r="F94" s="446">
        <v>0</v>
      </c>
      <c r="G94" s="446">
        <v>0</v>
      </c>
      <c r="H94" s="446">
        <v>57.6</v>
      </c>
      <c r="I94" s="446">
        <v>79.2</v>
      </c>
      <c r="J94" s="446">
        <v>285.60000000000002</v>
      </c>
      <c r="K94" s="446">
        <v>631.20000000000005</v>
      </c>
      <c r="L94" s="446">
        <v>768</v>
      </c>
      <c r="M94" s="446">
        <v>864</v>
      </c>
      <c r="N94" s="445">
        <f>SUM(B94:M94)</f>
        <v>2685.6000000000004</v>
      </c>
    </row>
    <row r="95" spans="1:14" x14ac:dyDescent="0.2">
      <c r="A95" s="1" t="s">
        <v>469</v>
      </c>
      <c r="B95" s="446">
        <v>333.1</v>
      </c>
      <c r="C95" s="446">
        <v>330.2</v>
      </c>
      <c r="D95" s="446">
        <v>369.6</v>
      </c>
      <c r="E95" s="446">
        <v>334.1</v>
      </c>
      <c r="F95" s="446">
        <v>355.2</v>
      </c>
      <c r="G95" s="446">
        <v>423.4</v>
      </c>
      <c r="H95" s="446">
        <v>440.6</v>
      </c>
      <c r="I95" s="446">
        <v>451.2</v>
      </c>
      <c r="J95" s="446">
        <v>442.6</v>
      </c>
      <c r="K95" s="446">
        <v>425.3</v>
      </c>
      <c r="L95" s="446">
        <v>344.6</v>
      </c>
      <c r="M95" s="446">
        <v>321.60000000000002</v>
      </c>
      <c r="N95" s="445">
        <f>SUM(B95:M95)</f>
        <v>4571.5</v>
      </c>
    </row>
    <row r="96" spans="1:14" x14ac:dyDescent="0.2">
      <c r="A96" s="1" t="s">
        <v>470</v>
      </c>
      <c r="B96" s="446">
        <v>6070.4</v>
      </c>
      <c r="C96" s="446"/>
      <c r="D96" s="446"/>
      <c r="E96" s="446"/>
      <c r="F96" s="446"/>
      <c r="G96" s="446"/>
      <c r="H96" s="446"/>
      <c r="I96" s="446"/>
      <c r="J96" s="446"/>
      <c r="K96" s="446"/>
      <c r="L96" s="446"/>
      <c r="M96" s="446"/>
      <c r="N96" s="445">
        <f>SUM(B96:M96)</f>
        <v>6070.4</v>
      </c>
    </row>
    <row r="97" spans="1:14" x14ac:dyDescent="0.2">
      <c r="A97" s="1" t="s">
        <v>471</v>
      </c>
      <c r="B97" s="446">
        <v>49.6</v>
      </c>
      <c r="C97" s="446">
        <v>99.2</v>
      </c>
      <c r="D97" s="446">
        <v>76.8</v>
      </c>
      <c r="E97" s="446">
        <v>35.200000000000003</v>
      </c>
      <c r="F97" s="446">
        <v>35.200000000000003</v>
      </c>
      <c r="G97" s="446">
        <v>38.4</v>
      </c>
      <c r="H97" s="446">
        <v>44.8</v>
      </c>
      <c r="I97" s="446">
        <v>48</v>
      </c>
      <c r="J97" s="446">
        <v>51.2</v>
      </c>
      <c r="K97" s="446">
        <v>51.2</v>
      </c>
      <c r="L97" s="446">
        <v>64</v>
      </c>
      <c r="M97" s="446">
        <v>70.400000000000006</v>
      </c>
      <c r="N97" s="445">
        <f>SUM(B97:M97)</f>
        <v>664</v>
      </c>
    </row>
    <row r="98" spans="1:14" x14ac:dyDescent="0.2">
      <c r="B98" s="445"/>
      <c r="C98" s="445"/>
      <c r="D98" s="445"/>
      <c r="E98" s="445"/>
      <c r="F98" s="445"/>
      <c r="G98" s="445"/>
      <c r="H98" s="445"/>
      <c r="I98" s="445"/>
      <c r="J98" s="445"/>
      <c r="K98" s="445"/>
      <c r="L98" s="445"/>
      <c r="M98" s="445"/>
      <c r="N98" s="445"/>
    </row>
    <row r="99" spans="1:14" x14ac:dyDescent="0.2">
      <c r="A99" s="1" t="s">
        <v>374</v>
      </c>
      <c r="B99" s="446">
        <v>5000</v>
      </c>
      <c r="C99" s="446">
        <v>5000</v>
      </c>
      <c r="D99" s="446">
        <v>5000</v>
      </c>
      <c r="E99" s="446">
        <v>5000</v>
      </c>
      <c r="F99" s="446">
        <v>5000</v>
      </c>
      <c r="G99" s="446">
        <v>5000</v>
      </c>
      <c r="H99" s="446">
        <v>5000</v>
      </c>
      <c r="I99" s="446">
        <v>5000</v>
      </c>
      <c r="J99" s="446">
        <v>5000</v>
      </c>
      <c r="K99" s="446">
        <v>5000</v>
      </c>
      <c r="L99" s="446">
        <v>5000</v>
      </c>
      <c r="M99" s="446">
        <v>5000</v>
      </c>
      <c r="N99" s="445">
        <f>SUM(B99:M99)</f>
        <v>60000</v>
      </c>
    </row>
    <row r="101" spans="1:14" x14ac:dyDescent="0.2">
      <c r="A101" s="1" t="s">
        <v>472</v>
      </c>
      <c r="B101" s="446">
        <v>6070.4</v>
      </c>
      <c r="C101" s="446">
        <v>6697.6</v>
      </c>
      <c r="D101" s="446">
        <v>6697.6</v>
      </c>
      <c r="E101" s="446">
        <v>5398.4</v>
      </c>
      <c r="F101" s="446">
        <v>6160</v>
      </c>
      <c r="G101" s="446">
        <v>6204.8</v>
      </c>
      <c r="H101" s="446">
        <v>5286.4</v>
      </c>
      <c r="I101" s="446">
        <v>5040</v>
      </c>
      <c r="J101" s="446">
        <v>6003.2</v>
      </c>
      <c r="K101" s="446">
        <v>6809.6</v>
      </c>
      <c r="L101" s="446">
        <v>4524.8</v>
      </c>
      <c r="M101" s="446">
        <v>2486.4</v>
      </c>
      <c r="N101" s="445">
        <f>SUM(B101:M101)</f>
        <v>67379.199999999997</v>
      </c>
    </row>
  </sheetData>
  <phoneticPr fontId="87"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6DC2-D3FA-47E1-8B51-5C74DC94FBF4}">
  <sheetPr>
    <tabColor theme="6" tint="0.79998168889431442"/>
  </sheetPr>
  <dimension ref="A1:AP199"/>
  <sheetViews>
    <sheetView workbookViewId="0">
      <pane xSplit="1" ySplit="4" topLeftCell="L5" activePane="bottomRight" state="frozen"/>
      <selection activeCell="K97" sqref="K97"/>
      <selection pane="topRight" activeCell="K97" sqref="K97"/>
      <selection pane="bottomLeft" activeCell="K97" sqref="K97"/>
      <selection pane="bottomRight" activeCell="M3" sqref="M3:X3"/>
    </sheetView>
  </sheetViews>
  <sheetFormatPr defaultRowHeight="12.75" x14ac:dyDescent="0.2"/>
  <cols>
    <col min="1" max="1" width="29.33203125" style="1" bestFit="1" customWidth="1"/>
    <col min="2" max="2" width="13.33203125" style="1" bestFit="1" customWidth="1"/>
    <col min="3" max="11" width="12.33203125" style="1" customWidth="1"/>
    <col min="12" max="12" width="13.33203125" style="1" bestFit="1" customWidth="1"/>
    <col min="13" max="24" width="16.1640625" style="1" customWidth="1"/>
    <col min="25" max="25" width="19.5" style="1" bestFit="1" customWidth="1"/>
    <col min="26" max="26" width="29.6640625" style="1" bestFit="1" customWidth="1"/>
    <col min="27" max="27" width="9.33203125" style="1"/>
    <col min="28" max="28" width="29.33203125" style="1" bestFit="1" customWidth="1"/>
    <col min="29" max="29" width="13.6640625" style="1" customWidth="1"/>
    <col min="30" max="38" width="12.33203125" style="1" customWidth="1"/>
    <col min="39" max="39" width="9.33203125" style="1"/>
    <col min="40" max="41" width="17.83203125" style="1" bestFit="1" customWidth="1"/>
    <col min="42" max="42" width="19.83203125" style="1" customWidth="1"/>
    <col min="43" max="16384" width="9.33203125" style="1"/>
  </cols>
  <sheetData>
    <row r="1" spans="1:42" x14ac:dyDescent="0.2">
      <c r="A1" s="1" t="s">
        <v>335</v>
      </c>
      <c r="Y1" s="22"/>
      <c r="AB1" s="1" t="s">
        <v>292</v>
      </c>
    </row>
    <row r="2" spans="1:42" x14ac:dyDescent="0.2">
      <c r="Y2" s="22"/>
    </row>
    <row r="3" spans="1:42" ht="38.25" x14ac:dyDescent="0.2">
      <c r="A3" s="512" t="s">
        <v>354</v>
      </c>
      <c r="L3" s="270" t="s">
        <v>336</v>
      </c>
      <c r="M3" s="270" t="s">
        <v>473</v>
      </c>
      <c r="N3" s="270" t="s">
        <v>474</v>
      </c>
      <c r="O3" s="270" t="s">
        <v>475</v>
      </c>
      <c r="P3" s="270" t="s">
        <v>476</v>
      </c>
      <c r="Q3" s="270" t="s">
        <v>477</v>
      </c>
      <c r="R3" s="270" t="s">
        <v>478</v>
      </c>
      <c r="S3" s="270" t="s">
        <v>479</v>
      </c>
      <c r="T3" s="270" t="s">
        <v>480</v>
      </c>
      <c r="U3" s="270" t="s">
        <v>481</v>
      </c>
      <c r="V3" s="270" t="s">
        <v>482</v>
      </c>
      <c r="W3" s="270" t="s">
        <v>483</v>
      </c>
      <c r="X3" s="270" t="s">
        <v>484</v>
      </c>
      <c r="Y3" s="274" t="s">
        <v>283</v>
      </c>
      <c r="Z3" s="448" t="s">
        <v>290</v>
      </c>
      <c r="AN3" s="270"/>
      <c r="AO3" s="270" t="s">
        <v>413</v>
      </c>
      <c r="AP3" s="270" t="s">
        <v>299</v>
      </c>
    </row>
    <row r="4" spans="1:42" x14ac:dyDescent="0.2">
      <c r="B4" s="448" t="s">
        <v>268</v>
      </c>
      <c r="C4" s="448" t="s">
        <v>269</v>
      </c>
      <c r="D4" s="448" t="s">
        <v>270</v>
      </c>
      <c r="E4" s="448" t="s">
        <v>271</v>
      </c>
      <c r="F4" s="448" t="s">
        <v>282</v>
      </c>
      <c r="G4" s="448" t="s">
        <v>275</v>
      </c>
      <c r="H4" s="448" t="s">
        <v>281</v>
      </c>
      <c r="I4" s="448" t="s">
        <v>279</v>
      </c>
      <c r="J4" s="448" t="s">
        <v>272</v>
      </c>
      <c r="K4" s="448" t="s">
        <v>280</v>
      </c>
      <c r="M4" s="448"/>
      <c r="N4" s="448"/>
      <c r="O4" s="448"/>
      <c r="P4" s="448"/>
      <c r="Q4" s="448"/>
      <c r="R4" s="448"/>
      <c r="S4" s="448"/>
      <c r="T4" s="448"/>
      <c r="U4" s="448"/>
      <c r="V4" s="448"/>
      <c r="W4" s="448"/>
      <c r="X4" s="448"/>
      <c r="Y4" s="454" t="s">
        <v>268</v>
      </c>
      <c r="Z4" s="1" t="s">
        <v>5</v>
      </c>
      <c r="AC4" s="448" t="s">
        <v>268</v>
      </c>
      <c r="AD4" s="448" t="s">
        <v>269</v>
      </c>
      <c r="AE4" s="448" t="s">
        <v>270</v>
      </c>
      <c r="AF4" s="448" t="s">
        <v>271</v>
      </c>
      <c r="AG4" s="448" t="s">
        <v>282</v>
      </c>
      <c r="AH4" s="448" t="s">
        <v>275</v>
      </c>
      <c r="AI4" s="448" t="s">
        <v>281</v>
      </c>
      <c r="AJ4" s="448" t="s">
        <v>279</v>
      </c>
      <c r="AK4" s="448" t="s">
        <v>272</v>
      </c>
      <c r="AL4" s="448" t="s">
        <v>280</v>
      </c>
      <c r="AN4" s="270" t="s">
        <v>173</v>
      </c>
      <c r="AO4" s="270" t="s">
        <v>173</v>
      </c>
      <c r="AP4" s="270"/>
    </row>
    <row r="5" spans="1:42" x14ac:dyDescent="0.2">
      <c r="A5" s="449">
        <v>40909</v>
      </c>
      <c r="B5" s="37">
        <v>5715082.75</v>
      </c>
      <c r="C5" s="37">
        <v>2855718.69</v>
      </c>
      <c r="D5" s="37">
        <v>287598</v>
      </c>
      <c r="E5" s="37">
        <v>269742.71999999997</v>
      </c>
      <c r="F5" s="37">
        <v>2408412</v>
      </c>
      <c r="G5" s="37">
        <v>3430887.16</v>
      </c>
      <c r="H5" s="457"/>
      <c r="I5" s="457"/>
      <c r="J5" s="37">
        <v>19634</v>
      </c>
      <c r="K5" s="37">
        <v>121945.88</v>
      </c>
      <c r="L5" s="60">
        <f t="shared" ref="L5:L68" si="0">+B5+C5+D5+E5+F5+G5+J5+K5</f>
        <v>15109021.200000001</v>
      </c>
      <c r="M5" s="457"/>
      <c r="N5" s="457"/>
      <c r="O5" s="457"/>
      <c r="P5" s="457"/>
      <c r="Q5" s="457"/>
      <c r="R5" s="457"/>
      <c r="S5" s="457"/>
      <c r="T5" s="457"/>
      <c r="U5" s="457"/>
      <c r="V5" s="457"/>
      <c r="W5" s="457"/>
      <c r="X5" s="457"/>
      <c r="Y5" s="455" t="s">
        <v>272</v>
      </c>
      <c r="Z5" s="1" t="s">
        <v>174</v>
      </c>
      <c r="AB5" s="449">
        <v>40909</v>
      </c>
      <c r="AC5" s="37">
        <f t="shared" ref="AC5:AH5" si="1">+B5</f>
        <v>5715082.75</v>
      </c>
      <c r="AD5" s="37">
        <f t="shared" si="1"/>
        <v>2855718.69</v>
      </c>
      <c r="AE5" s="37">
        <f t="shared" si="1"/>
        <v>287598</v>
      </c>
      <c r="AF5" s="37">
        <f t="shared" si="1"/>
        <v>269742.71999999997</v>
      </c>
      <c r="AG5" s="37">
        <f t="shared" si="1"/>
        <v>2408412</v>
      </c>
      <c r="AH5" s="37">
        <f t="shared" si="1"/>
        <v>3430887.16</v>
      </c>
      <c r="AI5" s="457"/>
      <c r="AJ5" s="457"/>
      <c r="AK5" s="37">
        <f>+J5</f>
        <v>19634</v>
      </c>
      <c r="AL5" s="37">
        <f>+K5</f>
        <v>121945.88</v>
      </c>
      <c r="AN5" s="60">
        <f>+AE5+AF5+AG5+AH5+AI5</f>
        <v>6396639.8799999999</v>
      </c>
      <c r="AO5" s="60">
        <f>+AE5+AF5+AG5+AH5+AI5-X5</f>
        <v>6396639.8799999999</v>
      </c>
      <c r="AP5" s="60">
        <f>+AC5+AD5+AK5+AL5+AO5</f>
        <v>15109021.199999999</v>
      </c>
    </row>
    <row r="6" spans="1:42" x14ac:dyDescent="0.2">
      <c r="A6" s="449">
        <v>40940</v>
      </c>
      <c r="B6" s="37">
        <v>5023845.28</v>
      </c>
      <c r="C6" s="37">
        <v>2631051.66</v>
      </c>
      <c r="D6" s="37">
        <v>265108</v>
      </c>
      <c r="E6" s="37">
        <v>248231.05</v>
      </c>
      <c r="F6" s="37">
        <v>2272523</v>
      </c>
      <c r="G6" s="37">
        <v>3217317.68</v>
      </c>
      <c r="H6" s="457"/>
      <c r="I6" s="457"/>
      <c r="J6" s="37">
        <v>19454</v>
      </c>
      <c r="K6" s="37">
        <v>105126.32</v>
      </c>
      <c r="L6" s="60">
        <f t="shared" si="0"/>
        <v>13782656.99</v>
      </c>
      <c r="M6" s="457"/>
      <c r="N6" s="457"/>
      <c r="O6" s="457"/>
      <c r="P6" s="457"/>
      <c r="Q6" s="457"/>
      <c r="R6" s="457"/>
      <c r="S6" s="457"/>
      <c r="T6" s="457"/>
      <c r="U6" s="457"/>
      <c r="V6" s="457"/>
      <c r="W6" s="457"/>
      <c r="X6" s="457"/>
      <c r="Y6" s="455" t="s">
        <v>269</v>
      </c>
      <c r="Z6" s="1" t="s">
        <v>172</v>
      </c>
      <c r="AB6" s="449">
        <v>40940</v>
      </c>
      <c r="AC6" s="37">
        <f t="shared" ref="AC6:AC69" si="2">+B6</f>
        <v>5023845.28</v>
      </c>
      <c r="AD6" s="37">
        <f t="shared" ref="AD6:AD69" si="3">+C6</f>
        <v>2631051.66</v>
      </c>
      <c r="AE6" s="37">
        <f t="shared" ref="AE6:AE69" si="4">+D6</f>
        <v>265108</v>
      </c>
      <c r="AF6" s="37">
        <f t="shared" ref="AF6:AF69" si="5">+E6</f>
        <v>248231.05</v>
      </c>
      <c r="AG6" s="37">
        <f t="shared" ref="AG6:AG69" si="6">+F6</f>
        <v>2272523</v>
      </c>
      <c r="AH6" s="37">
        <f t="shared" ref="AH6:AH69" si="7">+G6</f>
        <v>3217317.68</v>
      </c>
      <c r="AI6" s="457"/>
      <c r="AJ6" s="457"/>
      <c r="AK6" s="37">
        <f t="shared" ref="AK6:AK57" si="8">+J6</f>
        <v>19454</v>
      </c>
      <c r="AL6" s="37">
        <f t="shared" ref="AL6:AL57" si="9">+K6</f>
        <v>105126.32</v>
      </c>
      <c r="AN6" s="60">
        <f t="shared" ref="AN6:AN69" si="10">+AE6+AF6+AG6+AH6+AI6</f>
        <v>6003179.7300000004</v>
      </c>
      <c r="AO6" s="60">
        <f t="shared" ref="AO6:AO69" si="11">+AE6+AF6+AG6+AH6+AI6-X6</f>
        <v>6003179.7300000004</v>
      </c>
      <c r="AP6" s="60">
        <f t="shared" ref="AP6:AP69" si="12">+AC6+AD6+AK6+AL6+AO6</f>
        <v>13782656.990000002</v>
      </c>
    </row>
    <row r="7" spans="1:42" x14ac:dyDescent="0.2">
      <c r="A7" s="449">
        <v>40969</v>
      </c>
      <c r="B7" s="37">
        <v>4700287.42</v>
      </c>
      <c r="C7" s="37">
        <v>2655346.23</v>
      </c>
      <c r="D7" s="37">
        <v>231130</v>
      </c>
      <c r="E7" s="37">
        <v>267111.81</v>
      </c>
      <c r="F7" s="37">
        <v>2305429</v>
      </c>
      <c r="G7" s="37">
        <v>3377767.96</v>
      </c>
      <c r="H7" s="457"/>
      <c r="I7" s="457"/>
      <c r="J7" s="37">
        <v>18231</v>
      </c>
      <c r="K7" s="37">
        <v>100694.98</v>
      </c>
      <c r="L7" s="60">
        <f t="shared" si="0"/>
        <v>13655998.400000002</v>
      </c>
      <c r="M7" s="457"/>
      <c r="N7" s="457"/>
      <c r="O7" s="457"/>
      <c r="P7" s="457"/>
      <c r="Q7" s="457"/>
      <c r="R7" s="457"/>
      <c r="S7" s="457"/>
      <c r="T7" s="457"/>
      <c r="U7" s="457"/>
      <c r="V7" s="457"/>
      <c r="W7" s="457"/>
      <c r="X7" s="457"/>
      <c r="Y7" s="455" t="s">
        <v>275</v>
      </c>
      <c r="Z7" s="1" t="s">
        <v>286</v>
      </c>
      <c r="AB7" s="449">
        <v>40969</v>
      </c>
      <c r="AC7" s="37">
        <f t="shared" si="2"/>
        <v>4700287.42</v>
      </c>
      <c r="AD7" s="37">
        <f t="shared" si="3"/>
        <v>2655346.23</v>
      </c>
      <c r="AE7" s="37">
        <f t="shared" si="4"/>
        <v>231130</v>
      </c>
      <c r="AF7" s="37">
        <f t="shared" si="5"/>
        <v>267111.81</v>
      </c>
      <c r="AG7" s="37">
        <f t="shared" si="6"/>
        <v>2305429</v>
      </c>
      <c r="AH7" s="37">
        <f t="shared" si="7"/>
        <v>3377767.96</v>
      </c>
      <c r="AI7" s="457"/>
      <c r="AJ7" s="457"/>
      <c r="AK7" s="37">
        <f t="shared" si="8"/>
        <v>18231</v>
      </c>
      <c r="AL7" s="37">
        <f t="shared" si="9"/>
        <v>100694.98</v>
      </c>
      <c r="AN7" s="60">
        <f t="shared" si="10"/>
        <v>6181438.7699999996</v>
      </c>
      <c r="AO7" s="60">
        <f t="shared" si="11"/>
        <v>6181438.7699999996</v>
      </c>
      <c r="AP7" s="60">
        <f t="shared" si="12"/>
        <v>13655998.4</v>
      </c>
    </row>
    <row r="8" spans="1:42" x14ac:dyDescent="0.2">
      <c r="A8" s="449">
        <v>41000</v>
      </c>
      <c r="B8" s="37">
        <v>4414336.8099999996</v>
      </c>
      <c r="C8" s="37">
        <v>2534293.46</v>
      </c>
      <c r="D8" s="37">
        <v>197406</v>
      </c>
      <c r="E8" s="37">
        <v>258025</v>
      </c>
      <c r="F8" s="37">
        <v>2196246</v>
      </c>
      <c r="G8" s="37">
        <v>3116743.68</v>
      </c>
      <c r="H8" s="457"/>
      <c r="I8" s="457"/>
      <c r="J8" s="37">
        <v>18224.8</v>
      </c>
      <c r="K8" s="37">
        <v>85427.38</v>
      </c>
      <c r="L8" s="60">
        <f t="shared" si="0"/>
        <v>12820703.130000001</v>
      </c>
      <c r="M8" s="457"/>
      <c r="N8" s="457"/>
      <c r="O8" s="457"/>
      <c r="P8" s="457"/>
      <c r="Q8" s="457"/>
      <c r="R8" s="457"/>
      <c r="S8" s="457"/>
      <c r="T8" s="457"/>
      <c r="U8" s="457"/>
      <c r="V8" s="457"/>
      <c r="W8" s="457"/>
      <c r="X8" s="457"/>
      <c r="Y8" s="455" t="s">
        <v>270</v>
      </c>
      <c r="Z8" s="1" t="s">
        <v>288</v>
      </c>
      <c r="AB8" s="449">
        <v>41000</v>
      </c>
      <c r="AC8" s="37">
        <f t="shared" si="2"/>
        <v>4414336.8099999996</v>
      </c>
      <c r="AD8" s="37">
        <f t="shared" si="3"/>
        <v>2534293.46</v>
      </c>
      <c r="AE8" s="37">
        <f t="shared" si="4"/>
        <v>197406</v>
      </c>
      <c r="AF8" s="37">
        <f t="shared" si="5"/>
        <v>258025</v>
      </c>
      <c r="AG8" s="37">
        <f t="shared" si="6"/>
        <v>2196246</v>
      </c>
      <c r="AH8" s="37">
        <f t="shared" si="7"/>
        <v>3116743.68</v>
      </c>
      <c r="AI8" s="457"/>
      <c r="AJ8" s="457"/>
      <c r="AK8" s="37">
        <f t="shared" si="8"/>
        <v>18224.8</v>
      </c>
      <c r="AL8" s="37">
        <f t="shared" si="9"/>
        <v>85427.38</v>
      </c>
      <c r="AN8" s="60">
        <f t="shared" si="10"/>
        <v>5768420.6799999997</v>
      </c>
      <c r="AO8" s="60">
        <f t="shared" si="11"/>
        <v>5768420.6799999997</v>
      </c>
      <c r="AP8" s="60">
        <f t="shared" si="12"/>
        <v>12820703.129999999</v>
      </c>
    </row>
    <row r="9" spans="1:42" x14ac:dyDescent="0.2">
      <c r="A9" s="449">
        <v>41030</v>
      </c>
      <c r="B9" s="37">
        <v>4890985.37</v>
      </c>
      <c r="C9" s="37">
        <v>2800386.68</v>
      </c>
      <c r="D9" s="37">
        <v>197628</v>
      </c>
      <c r="E9" s="37">
        <v>216365.42</v>
      </c>
      <c r="F9" s="37">
        <v>2452268</v>
      </c>
      <c r="G9" s="37">
        <v>3644640.96</v>
      </c>
      <c r="H9" s="457"/>
      <c r="I9" s="457"/>
      <c r="J9" s="37">
        <v>18232</v>
      </c>
      <c r="K9" s="37">
        <v>77781.740000000005</v>
      </c>
      <c r="L9" s="60">
        <f t="shared" si="0"/>
        <v>14298288.17</v>
      </c>
      <c r="M9" s="457"/>
      <c r="N9" s="457"/>
      <c r="O9" s="457"/>
      <c r="P9" s="457"/>
      <c r="Q9" s="457"/>
      <c r="R9" s="457"/>
      <c r="S9" s="457"/>
      <c r="T9" s="457"/>
      <c r="U9" s="457"/>
      <c r="V9" s="457"/>
      <c r="W9" s="457"/>
      <c r="X9" s="457"/>
      <c r="Y9" s="455" t="s">
        <v>271</v>
      </c>
      <c r="Z9" s="1" t="s">
        <v>289</v>
      </c>
      <c r="AB9" s="449">
        <v>41030</v>
      </c>
      <c r="AC9" s="37">
        <f t="shared" si="2"/>
        <v>4890985.37</v>
      </c>
      <c r="AD9" s="37">
        <f t="shared" si="3"/>
        <v>2800386.68</v>
      </c>
      <c r="AE9" s="37">
        <f t="shared" si="4"/>
        <v>197628</v>
      </c>
      <c r="AF9" s="37">
        <f t="shared" si="5"/>
        <v>216365.42</v>
      </c>
      <c r="AG9" s="37">
        <f t="shared" si="6"/>
        <v>2452268</v>
      </c>
      <c r="AH9" s="37">
        <f t="shared" si="7"/>
        <v>3644640.96</v>
      </c>
      <c r="AI9" s="457"/>
      <c r="AJ9" s="457"/>
      <c r="AK9" s="37">
        <f t="shared" si="8"/>
        <v>18232</v>
      </c>
      <c r="AL9" s="37">
        <f t="shared" si="9"/>
        <v>77781.740000000005</v>
      </c>
      <c r="AN9" s="60">
        <f t="shared" si="10"/>
        <v>6510902.3799999999</v>
      </c>
      <c r="AO9" s="60">
        <f t="shared" si="11"/>
        <v>6510902.3799999999</v>
      </c>
      <c r="AP9" s="60">
        <f t="shared" si="12"/>
        <v>14298288.170000002</v>
      </c>
    </row>
    <row r="10" spans="1:42" x14ac:dyDescent="0.2">
      <c r="A10" s="449">
        <v>41061</v>
      </c>
      <c r="B10" s="37">
        <v>6454309.4699999997</v>
      </c>
      <c r="C10" s="37">
        <v>3270941.03</v>
      </c>
      <c r="D10" s="37">
        <v>217862</v>
      </c>
      <c r="E10" s="37">
        <v>191023</v>
      </c>
      <c r="F10" s="37">
        <v>2759081</v>
      </c>
      <c r="G10" s="37">
        <v>3897445.23</v>
      </c>
      <c r="H10" s="457"/>
      <c r="I10" s="457"/>
      <c r="J10" s="37">
        <v>18227</v>
      </c>
      <c r="K10" s="37">
        <v>70069.06</v>
      </c>
      <c r="L10" s="60">
        <f t="shared" si="0"/>
        <v>16878957.789999999</v>
      </c>
      <c r="M10" s="457"/>
      <c r="N10" s="457"/>
      <c r="O10" s="457"/>
      <c r="P10" s="457"/>
      <c r="Q10" s="457"/>
      <c r="R10" s="457"/>
      <c r="S10" s="457"/>
      <c r="T10" s="457"/>
      <c r="U10" s="457"/>
      <c r="V10" s="457"/>
      <c r="W10" s="457"/>
      <c r="X10" s="457"/>
      <c r="Y10" s="22" t="s">
        <v>279</v>
      </c>
      <c r="Z10" s="1" t="s">
        <v>251</v>
      </c>
      <c r="AB10" s="449">
        <v>41061</v>
      </c>
      <c r="AC10" s="37">
        <f t="shared" si="2"/>
        <v>6454309.4699999997</v>
      </c>
      <c r="AD10" s="37">
        <f t="shared" si="3"/>
        <v>3270941.03</v>
      </c>
      <c r="AE10" s="37">
        <f t="shared" si="4"/>
        <v>217862</v>
      </c>
      <c r="AF10" s="37">
        <f t="shared" si="5"/>
        <v>191023</v>
      </c>
      <c r="AG10" s="37">
        <f t="shared" si="6"/>
        <v>2759081</v>
      </c>
      <c r="AH10" s="37">
        <f t="shared" si="7"/>
        <v>3897445.23</v>
      </c>
      <c r="AI10" s="457"/>
      <c r="AJ10" s="457"/>
      <c r="AK10" s="37">
        <f t="shared" si="8"/>
        <v>18227</v>
      </c>
      <c r="AL10" s="37">
        <f t="shared" si="9"/>
        <v>70069.06</v>
      </c>
      <c r="AN10" s="60">
        <f t="shared" si="10"/>
        <v>7065411.2300000004</v>
      </c>
      <c r="AO10" s="60">
        <f t="shared" si="11"/>
        <v>7065411.2300000004</v>
      </c>
      <c r="AP10" s="60">
        <f t="shared" si="12"/>
        <v>16878957.789999999</v>
      </c>
    </row>
    <row r="11" spans="1:42" x14ac:dyDescent="0.2">
      <c r="A11" s="449">
        <v>41091</v>
      </c>
      <c r="B11" s="37">
        <v>8054449.0999999996</v>
      </c>
      <c r="C11" s="37">
        <v>4037845.33</v>
      </c>
      <c r="D11" s="37">
        <v>249261</v>
      </c>
      <c r="E11" s="37">
        <v>251619.97</v>
      </c>
      <c r="F11" s="37">
        <v>3267701</v>
      </c>
      <c r="G11" s="37">
        <v>4365446.84</v>
      </c>
      <c r="H11" s="457"/>
      <c r="I11" s="457"/>
      <c r="J11" s="37">
        <v>18232</v>
      </c>
      <c r="K11" s="37">
        <v>75240.36</v>
      </c>
      <c r="L11" s="60">
        <f t="shared" si="0"/>
        <v>20319795.600000001</v>
      </c>
      <c r="M11" s="457"/>
      <c r="N11" s="457"/>
      <c r="O11" s="457"/>
      <c r="P11" s="457"/>
      <c r="Q11" s="457"/>
      <c r="R11" s="457"/>
      <c r="S11" s="457"/>
      <c r="T11" s="457"/>
      <c r="U11" s="457"/>
      <c r="V11" s="457"/>
      <c r="W11" s="457"/>
      <c r="X11" s="457"/>
      <c r="Y11" s="455" t="s">
        <v>280</v>
      </c>
      <c r="Z11" s="1" t="s">
        <v>285</v>
      </c>
      <c r="AB11" s="449">
        <v>41091</v>
      </c>
      <c r="AC11" s="37">
        <f t="shared" si="2"/>
        <v>8054449.0999999996</v>
      </c>
      <c r="AD11" s="37">
        <f t="shared" si="3"/>
        <v>4037845.33</v>
      </c>
      <c r="AE11" s="37">
        <f t="shared" si="4"/>
        <v>249261</v>
      </c>
      <c r="AF11" s="37">
        <f t="shared" si="5"/>
        <v>251619.97</v>
      </c>
      <c r="AG11" s="37">
        <f t="shared" si="6"/>
        <v>3267701</v>
      </c>
      <c r="AH11" s="37">
        <f t="shared" si="7"/>
        <v>4365446.84</v>
      </c>
      <c r="AI11" s="457"/>
      <c r="AJ11" s="457"/>
      <c r="AK11" s="37">
        <f t="shared" si="8"/>
        <v>18232</v>
      </c>
      <c r="AL11" s="37">
        <f t="shared" si="9"/>
        <v>75240.36</v>
      </c>
      <c r="AN11" s="60">
        <f t="shared" si="10"/>
        <v>8134028.8099999996</v>
      </c>
      <c r="AO11" s="60">
        <f t="shared" si="11"/>
        <v>8134028.8099999996</v>
      </c>
      <c r="AP11" s="60">
        <f t="shared" si="12"/>
        <v>20319795.599999998</v>
      </c>
    </row>
    <row r="12" spans="1:42" x14ac:dyDescent="0.2">
      <c r="A12" s="449">
        <v>41122</v>
      </c>
      <c r="B12" s="37">
        <v>7023140.3499999996</v>
      </c>
      <c r="C12" s="37">
        <v>3709391.96</v>
      </c>
      <c r="D12" s="37">
        <v>231174</v>
      </c>
      <c r="E12" s="37">
        <v>269916.78000000003</v>
      </c>
      <c r="F12" s="37">
        <v>3181589</v>
      </c>
      <c r="G12" s="37">
        <v>4191805.23</v>
      </c>
      <c r="H12" s="457"/>
      <c r="I12" s="457"/>
      <c r="J12" s="37">
        <v>18232</v>
      </c>
      <c r="K12" s="37">
        <v>84504.34</v>
      </c>
      <c r="L12" s="60">
        <f t="shared" si="0"/>
        <v>18709753.659999996</v>
      </c>
      <c r="M12" s="457"/>
      <c r="N12" s="457"/>
      <c r="O12" s="457"/>
      <c r="P12" s="457"/>
      <c r="Q12" s="457"/>
      <c r="R12" s="457"/>
      <c r="S12" s="457"/>
      <c r="T12" s="457"/>
      <c r="U12" s="457"/>
      <c r="V12" s="457"/>
      <c r="W12" s="457"/>
      <c r="X12" s="457"/>
      <c r="Y12" s="22" t="s">
        <v>281</v>
      </c>
      <c r="Z12" s="1" t="s">
        <v>287</v>
      </c>
      <c r="AB12" s="449">
        <v>41122</v>
      </c>
      <c r="AC12" s="37">
        <f t="shared" si="2"/>
        <v>7023140.3499999996</v>
      </c>
      <c r="AD12" s="37">
        <f t="shared" si="3"/>
        <v>3709391.96</v>
      </c>
      <c r="AE12" s="37">
        <f t="shared" si="4"/>
        <v>231174</v>
      </c>
      <c r="AF12" s="37">
        <f t="shared" si="5"/>
        <v>269916.78000000003</v>
      </c>
      <c r="AG12" s="37">
        <f t="shared" si="6"/>
        <v>3181589</v>
      </c>
      <c r="AH12" s="37">
        <f t="shared" si="7"/>
        <v>4191805.23</v>
      </c>
      <c r="AI12" s="457"/>
      <c r="AJ12" s="457"/>
      <c r="AK12" s="37">
        <f t="shared" si="8"/>
        <v>18232</v>
      </c>
      <c r="AL12" s="37">
        <f t="shared" si="9"/>
        <v>84504.34</v>
      </c>
      <c r="AN12" s="60">
        <f t="shared" si="10"/>
        <v>7874485.0099999998</v>
      </c>
      <c r="AO12" s="60">
        <f t="shared" si="11"/>
        <v>7874485.0099999998</v>
      </c>
      <c r="AP12" s="60">
        <f t="shared" si="12"/>
        <v>18709753.659999996</v>
      </c>
    </row>
    <row r="13" spans="1:42" x14ac:dyDescent="0.2">
      <c r="A13" s="449">
        <v>41153</v>
      </c>
      <c r="B13" s="37">
        <v>5382154.04</v>
      </c>
      <c r="C13" s="37">
        <v>2859233.42</v>
      </c>
      <c r="D13" s="37">
        <v>187209</v>
      </c>
      <c r="E13" s="37">
        <v>218169.25</v>
      </c>
      <c r="F13" s="37">
        <v>2635511</v>
      </c>
      <c r="G13" s="37">
        <v>3636347.9</v>
      </c>
      <c r="H13" s="457"/>
      <c r="I13" s="457"/>
      <c r="J13" s="37">
        <v>18227</v>
      </c>
      <c r="K13" s="37">
        <v>93230.86</v>
      </c>
      <c r="L13" s="60">
        <f t="shared" si="0"/>
        <v>15030082.470000001</v>
      </c>
      <c r="M13" s="457"/>
      <c r="N13" s="457"/>
      <c r="O13" s="457"/>
      <c r="P13" s="457"/>
      <c r="Q13" s="457"/>
      <c r="R13" s="457"/>
      <c r="S13" s="457"/>
      <c r="T13" s="457"/>
      <c r="U13" s="457"/>
      <c r="V13" s="457"/>
      <c r="W13" s="457"/>
      <c r="X13" s="457"/>
      <c r="Y13" s="455" t="s">
        <v>282</v>
      </c>
      <c r="Z13" s="1" t="s">
        <v>173</v>
      </c>
      <c r="AB13" s="449">
        <v>41153</v>
      </c>
      <c r="AC13" s="37">
        <f t="shared" si="2"/>
        <v>5382154.04</v>
      </c>
      <c r="AD13" s="37">
        <f t="shared" si="3"/>
        <v>2859233.42</v>
      </c>
      <c r="AE13" s="37">
        <f t="shared" si="4"/>
        <v>187209</v>
      </c>
      <c r="AF13" s="37">
        <f t="shared" si="5"/>
        <v>218169.25</v>
      </c>
      <c r="AG13" s="37">
        <f t="shared" si="6"/>
        <v>2635511</v>
      </c>
      <c r="AH13" s="37">
        <f t="shared" si="7"/>
        <v>3636347.9</v>
      </c>
      <c r="AI13" s="457"/>
      <c r="AJ13" s="457"/>
      <c r="AK13" s="37">
        <f t="shared" si="8"/>
        <v>18227</v>
      </c>
      <c r="AL13" s="37">
        <f t="shared" si="9"/>
        <v>93230.86</v>
      </c>
      <c r="AN13" s="60">
        <f t="shared" si="10"/>
        <v>6677237.1500000004</v>
      </c>
      <c r="AO13" s="60">
        <f t="shared" si="11"/>
        <v>6677237.1500000004</v>
      </c>
      <c r="AP13" s="60">
        <f t="shared" si="12"/>
        <v>15030082.470000001</v>
      </c>
    </row>
    <row r="14" spans="1:42" x14ac:dyDescent="0.2">
      <c r="A14" s="449">
        <v>41183</v>
      </c>
      <c r="B14" s="37">
        <v>4699064.01</v>
      </c>
      <c r="C14" s="37">
        <v>2564023.9500000002</v>
      </c>
      <c r="D14" s="37">
        <v>195400</v>
      </c>
      <c r="E14" s="37">
        <v>187380.57</v>
      </c>
      <c r="F14" s="37">
        <v>2438086</v>
      </c>
      <c r="G14" s="37">
        <v>3477421.41</v>
      </c>
      <c r="H14" s="457"/>
      <c r="I14" s="457"/>
      <c r="J14" s="37">
        <v>19409</v>
      </c>
      <c r="K14" s="37">
        <v>108656.06</v>
      </c>
      <c r="L14" s="60">
        <f t="shared" si="0"/>
        <v>13689441.000000002</v>
      </c>
      <c r="M14" s="457"/>
      <c r="N14" s="457"/>
      <c r="O14" s="457"/>
      <c r="P14" s="457"/>
      <c r="Q14" s="457"/>
      <c r="R14" s="457"/>
      <c r="S14" s="457"/>
      <c r="T14" s="457"/>
      <c r="U14" s="457"/>
      <c r="V14" s="457"/>
      <c r="W14" s="457"/>
      <c r="X14" s="457"/>
      <c r="Y14" s="22"/>
      <c r="AB14" s="449">
        <v>41183</v>
      </c>
      <c r="AC14" s="37">
        <f t="shared" si="2"/>
        <v>4699064.01</v>
      </c>
      <c r="AD14" s="37">
        <f t="shared" si="3"/>
        <v>2564023.9500000002</v>
      </c>
      <c r="AE14" s="37">
        <f t="shared" si="4"/>
        <v>195400</v>
      </c>
      <c r="AF14" s="37">
        <f t="shared" si="5"/>
        <v>187380.57</v>
      </c>
      <c r="AG14" s="37">
        <f t="shared" si="6"/>
        <v>2438086</v>
      </c>
      <c r="AH14" s="37">
        <f t="shared" si="7"/>
        <v>3477421.41</v>
      </c>
      <c r="AI14" s="457"/>
      <c r="AJ14" s="457"/>
      <c r="AK14" s="37">
        <f t="shared" si="8"/>
        <v>19409</v>
      </c>
      <c r="AL14" s="37">
        <f t="shared" si="9"/>
        <v>108656.06</v>
      </c>
      <c r="AN14" s="60">
        <f t="shared" si="10"/>
        <v>6298287.9800000004</v>
      </c>
      <c r="AO14" s="60">
        <f t="shared" si="11"/>
        <v>6298287.9800000004</v>
      </c>
      <c r="AP14" s="60">
        <f t="shared" si="12"/>
        <v>13689441</v>
      </c>
    </row>
    <row r="15" spans="1:42" x14ac:dyDescent="0.2">
      <c r="A15" s="449">
        <v>41214</v>
      </c>
      <c r="B15" s="37">
        <v>4983441.99</v>
      </c>
      <c r="C15" s="37">
        <v>2619967.92</v>
      </c>
      <c r="D15" s="37">
        <v>219010</v>
      </c>
      <c r="E15" s="37">
        <v>161402.51999999999</v>
      </c>
      <c r="F15" s="37">
        <v>2283579</v>
      </c>
      <c r="G15" s="37">
        <v>3357557.44</v>
      </c>
      <c r="H15" s="457"/>
      <c r="I15" s="457"/>
      <c r="J15" s="37">
        <v>19411</v>
      </c>
      <c r="K15" s="37">
        <v>115693.92</v>
      </c>
      <c r="L15" s="60">
        <f t="shared" si="0"/>
        <v>13760063.789999999</v>
      </c>
      <c r="M15" s="457"/>
      <c r="N15" s="457"/>
      <c r="O15" s="457"/>
      <c r="P15" s="457"/>
      <c r="Q15" s="457"/>
      <c r="R15" s="457"/>
      <c r="S15" s="457"/>
      <c r="T15" s="457"/>
      <c r="U15" s="457"/>
      <c r="V15" s="457"/>
      <c r="W15" s="457"/>
      <c r="X15" s="457"/>
      <c r="Y15" s="456" t="s">
        <v>273</v>
      </c>
      <c r="Z15" s="1" t="s">
        <v>284</v>
      </c>
      <c r="AB15" s="449">
        <v>41214</v>
      </c>
      <c r="AC15" s="37">
        <f t="shared" si="2"/>
        <v>4983441.99</v>
      </c>
      <c r="AD15" s="37">
        <f t="shared" si="3"/>
        <v>2619967.92</v>
      </c>
      <c r="AE15" s="37">
        <f t="shared" si="4"/>
        <v>219010</v>
      </c>
      <c r="AF15" s="37">
        <f t="shared" si="5"/>
        <v>161402.51999999999</v>
      </c>
      <c r="AG15" s="37">
        <f t="shared" si="6"/>
        <v>2283579</v>
      </c>
      <c r="AH15" s="37">
        <f t="shared" si="7"/>
        <v>3357557.44</v>
      </c>
      <c r="AI15" s="457"/>
      <c r="AJ15" s="457"/>
      <c r="AK15" s="37">
        <f t="shared" si="8"/>
        <v>19411</v>
      </c>
      <c r="AL15" s="37">
        <f t="shared" si="9"/>
        <v>115693.92</v>
      </c>
      <c r="AN15" s="60">
        <f t="shared" si="10"/>
        <v>6021548.96</v>
      </c>
      <c r="AO15" s="60">
        <f t="shared" si="11"/>
        <v>6021548.96</v>
      </c>
      <c r="AP15" s="60">
        <f t="shared" si="12"/>
        <v>13760063.789999999</v>
      </c>
    </row>
    <row r="16" spans="1:42" x14ac:dyDescent="0.2">
      <c r="A16" s="449">
        <v>41244</v>
      </c>
      <c r="B16" s="37">
        <v>5745878.4699999997</v>
      </c>
      <c r="C16" s="37">
        <v>2836677.68</v>
      </c>
      <c r="D16" s="37">
        <v>261633</v>
      </c>
      <c r="E16" s="37">
        <v>172487.12</v>
      </c>
      <c r="F16" s="37">
        <v>2316107</v>
      </c>
      <c r="G16" s="37">
        <v>3370573.1</v>
      </c>
      <c r="H16" s="457"/>
      <c r="I16" s="457"/>
      <c r="J16" s="37">
        <v>20880</v>
      </c>
      <c r="K16" s="37">
        <v>125093.48</v>
      </c>
      <c r="L16" s="60">
        <f t="shared" si="0"/>
        <v>14849329.85</v>
      </c>
      <c r="M16" s="457"/>
      <c r="N16" s="457"/>
      <c r="O16" s="457"/>
      <c r="P16" s="457"/>
      <c r="Q16" s="457"/>
      <c r="R16" s="457"/>
      <c r="S16" s="457"/>
      <c r="T16" s="457"/>
      <c r="U16" s="457"/>
      <c r="V16" s="457"/>
      <c r="W16" s="457"/>
      <c r="X16" s="457"/>
      <c r="Y16" s="456" t="s">
        <v>274</v>
      </c>
      <c r="Z16" s="1" t="s">
        <v>284</v>
      </c>
      <c r="AB16" s="449">
        <v>41244</v>
      </c>
      <c r="AC16" s="37">
        <f t="shared" si="2"/>
        <v>5745878.4699999997</v>
      </c>
      <c r="AD16" s="37">
        <f t="shared" si="3"/>
        <v>2836677.68</v>
      </c>
      <c r="AE16" s="37">
        <f t="shared" si="4"/>
        <v>261633</v>
      </c>
      <c r="AF16" s="37">
        <f t="shared" si="5"/>
        <v>172487.12</v>
      </c>
      <c r="AG16" s="37">
        <f t="shared" si="6"/>
        <v>2316107</v>
      </c>
      <c r="AH16" s="37">
        <f t="shared" si="7"/>
        <v>3370573.1</v>
      </c>
      <c r="AI16" s="457"/>
      <c r="AJ16" s="457"/>
      <c r="AK16" s="37">
        <f t="shared" si="8"/>
        <v>20880</v>
      </c>
      <c r="AL16" s="37">
        <f t="shared" si="9"/>
        <v>125093.48</v>
      </c>
      <c r="AN16" s="60">
        <f t="shared" si="10"/>
        <v>6120800.2200000007</v>
      </c>
      <c r="AO16" s="60">
        <f t="shared" si="11"/>
        <v>6120800.2200000007</v>
      </c>
      <c r="AP16" s="60">
        <f t="shared" si="12"/>
        <v>14849329.850000001</v>
      </c>
    </row>
    <row r="17" spans="1:42" x14ac:dyDescent="0.2">
      <c r="A17" s="449">
        <v>41275</v>
      </c>
      <c r="B17" s="37">
        <v>5981421.4299999997</v>
      </c>
      <c r="C17" s="37">
        <v>2985395.65</v>
      </c>
      <c r="D17" s="37">
        <v>289507</v>
      </c>
      <c r="E17" s="37">
        <v>190213.79</v>
      </c>
      <c r="F17" s="37">
        <v>2431074</v>
      </c>
      <c r="G17" s="37">
        <v>3554070.24</v>
      </c>
      <c r="H17" s="457"/>
      <c r="I17" s="457"/>
      <c r="J17" s="37">
        <v>20819.2</v>
      </c>
      <c r="K17" s="37">
        <v>121945.88</v>
      </c>
      <c r="L17" s="60">
        <f t="shared" si="0"/>
        <v>15574447.189999999</v>
      </c>
      <c r="M17" s="457"/>
      <c r="N17" s="457"/>
      <c r="O17" s="457"/>
      <c r="P17" s="457"/>
      <c r="Q17" s="457"/>
      <c r="R17" s="457"/>
      <c r="S17" s="457"/>
      <c r="T17" s="457"/>
      <c r="U17" s="457"/>
      <c r="V17" s="457"/>
      <c r="W17" s="457"/>
      <c r="X17" s="457"/>
      <c r="Y17" s="456">
        <v>3</v>
      </c>
      <c r="Z17" s="1" t="s">
        <v>284</v>
      </c>
      <c r="AB17" s="449">
        <v>41275</v>
      </c>
      <c r="AC17" s="37">
        <f t="shared" si="2"/>
        <v>5981421.4299999997</v>
      </c>
      <c r="AD17" s="37">
        <f t="shared" si="3"/>
        <v>2985395.65</v>
      </c>
      <c r="AE17" s="37">
        <f t="shared" si="4"/>
        <v>289507</v>
      </c>
      <c r="AF17" s="37">
        <f t="shared" si="5"/>
        <v>190213.79</v>
      </c>
      <c r="AG17" s="37">
        <f t="shared" si="6"/>
        <v>2431074</v>
      </c>
      <c r="AH17" s="37">
        <f t="shared" si="7"/>
        <v>3554070.24</v>
      </c>
      <c r="AI17" s="457"/>
      <c r="AJ17" s="457"/>
      <c r="AK17" s="37">
        <f t="shared" si="8"/>
        <v>20819.2</v>
      </c>
      <c r="AL17" s="37">
        <f t="shared" si="9"/>
        <v>121945.88</v>
      </c>
      <c r="AN17" s="60">
        <f t="shared" si="10"/>
        <v>6464865.0300000003</v>
      </c>
      <c r="AO17" s="60">
        <f t="shared" si="11"/>
        <v>6464865.0300000003</v>
      </c>
      <c r="AP17" s="60">
        <f t="shared" si="12"/>
        <v>15574447.190000001</v>
      </c>
    </row>
    <row r="18" spans="1:42" x14ac:dyDescent="0.2">
      <c r="A18" s="449">
        <v>41306</v>
      </c>
      <c r="B18" s="37">
        <v>5329196.3600000003</v>
      </c>
      <c r="C18" s="37">
        <v>2780277.34</v>
      </c>
      <c r="D18" s="37">
        <v>264799</v>
      </c>
      <c r="E18" s="37">
        <v>180395.21</v>
      </c>
      <c r="F18" s="37">
        <v>2228526</v>
      </c>
      <c r="G18" s="37">
        <v>3234927.84</v>
      </c>
      <c r="H18" s="457"/>
      <c r="I18" s="457"/>
      <c r="J18" s="37">
        <v>20574</v>
      </c>
      <c r="K18" s="37">
        <v>101685.39</v>
      </c>
      <c r="L18" s="60">
        <f t="shared" si="0"/>
        <v>14140381.140000001</v>
      </c>
      <c r="M18" s="457"/>
      <c r="N18" s="457"/>
      <c r="O18" s="457"/>
      <c r="P18" s="457"/>
      <c r="Q18" s="457"/>
      <c r="R18" s="457"/>
      <c r="S18" s="457"/>
      <c r="T18" s="457"/>
      <c r="U18" s="457"/>
      <c r="V18" s="457"/>
      <c r="W18" s="457"/>
      <c r="X18" s="457"/>
      <c r="Y18" s="456">
        <v>1</v>
      </c>
      <c r="Z18" s="1" t="s">
        <v>284</v>
      </c>
      <c r="AB18" s="449">
        <v>41306</v>
      </c>
      <c r="AC18" s="37">
        <f t="shared" si="2"/>
        <v>5329196.3600000003</v>
      </c>
      <c r="AD18" s="37">
        <f t="shared" si="3"/>
        <v>2780277.34</v>
      </c>
      <c r="AE18" s="37">
        <f t="shared" si="4"/>
        <v>264799</v>
      </c>
      <c r="AF18" s="37">
        <f t="shared" si="5"/>
        <v>180395.21</v>
      </c>
      <c r="AG18" s="37">
        <f t="shared" si="6"/>
        <v>2228526</v>
      </c>
      <c r="AH18" s="37">
        <f t="shared" si="7"/>
        <v>3234927.84</v>
      </c>
      <c r="AI18" s="457"/>
      <c r="AJ18" s="457"/>
      <c r="AK18" s="37">
        <f t="shared" si="8"/>
        <v>20574</v>
      </c>
      <c r="AL18" s="37">
        <f t="shared" si="9"/>
        <v>101685.39</v>
      </c>
      <c r="AN18" s="60">
        <f t="shared" si="10"/>
        <v>5908648.0499999998</v>
      </c>
      <c r="AO18" s="60">
        <f t="shared" si="11"/>
        <v>5908648.0499999998</v>
      </c>
      <c r="AP18" s="60">
        <f t="shared" si="12"/>
        <v>14140381.140000001</v>
      </c>
    </row>
    <row r="19" spans="1:42" x14ac:dyDescent="0.2">
      <c r="A19" s="449">
        <v>41334</v>
      </c>
      <c r="B19" s="37">
        <v>5409441.7000000002</v>
      </c>
      <c r="C19" s="37">
        <v>2889530.71</v>
      </c>
      <c r="D19" s="37">
        <v>260085</v>
      </c>
      <c r="E19" s="37">
        <v>189592.79</v>
      </c>
      <c r="F19" s="37">
        <v>2360037</v>
      </c>
      <c r="G19" s="37">
        <v>3431083.61</v>
      </c>
      <c r="H19" s="457"/>
      <c r="I19" s="457"/>
      <c r="J19" s="37">
        <v>19408</v>
      </c>
      <c r="K19" s="37">
        <v>100695.44</v>
      </c>
      <c r="L19" s="60">
        <f t="shared" si="0"/>
        <v>14659874.249999998</v>
      </c>
      <c r="M19" s="457"/>
      <c r="N19" s="457"/>
      <c r="O19" s="457"/>
      <c r="P19" s="457"/>
      <c r="Q19" s="457"/>
      <c r="R19" s="457"/>
      <c r="S19" s="457"/>
      <c r="T19" s="457"/>
      <c r="U19" s="457"/>
      <c r="V19" s="457"/>
      <c r="W19" s="457"/>
      <c r="X19" s="457"/>
      <c r="Y19" s="456">
        <v>4</v>
      </c>
      <c r="Z19" s="1" t="s">
        <v>284</v>
      </c>
      <c r="AB19" s="449">
        <v>41334</v>
      </c>
      <c r="AC19" s="37">
        <f t="shared" si="2"/>
        <v>5409441.7000000002</v>
      </c>
      <c r="AD19" s="37">
        <f t="shared" si="3"/>
        <v>2889530.71</v>
      </c>
      <c r="AE19" s="37">
        <f t="shared" si="4"/>
        <v>260085</v>
      </c>
      <c r="AF19" s="37">
        <f t="shared" si="5"/>
        <v>189592.79</v>
      </c>
      <c r="AG19" s="37">
        <f t="shared" si="6"/>
        <v>2360037</v>
      </c>
      <c r="AH19" s="37">
        <f t="shared" si="7"/>
        <v>3431083.61</v>
      </c>
      <c r="AI19" s="457"/>
      <c r="AJ19" s="457"/>
      <c r="AK19" s="37">
        <f t="shared" si="8"/>
        <v>19408</v>
      </c>
      <c r="AL19" s="37">
        <f t="shared" si="9"/>
        <v>100695.44</v>
      </c>
      <c r="AN19" s="60">
        <f t="shared" si="10"/>
        <v>6240798.4000000004</v>
      </c>
      <c r="AO19" s="60">
        <f t="shared" si="11"/>
        <v>6240798.4000000004</v>
      </c>
      <c r="AP19" s="60">
        <f t="shared" si="12"/>
        <v>14659874.25</v>
      </c>
    </row>
    <row r="20" spans="1:42" x14ac:dyDescent="0.2">
      <c r="A20" s="449">
        <v>41365</v>
      </c>
      <c r="B20" s="37">
        <v>4691365.6399999997</v>
      </c>
      <c r="C20" s="37">
        <v>2592932.2200000002</v>
      </c>
      <c r="D20" s="37">
        <v>211735</v>
      </c>
      <c r="E20" s="37">
        <v>183008.93</v>
      </c>
      <c r="F20" s="37">
        <v>2271587</v>
      </c>
      <c r="G20" s="37">
        <v>3204460.72</v>
      </c>
      <c r="H20" s="457"/>
      <c r="I20" s="457"/>
      <c r="J20" s="37">
        <v>19402</v>
      </c>
      <c r="K20" s="37">
        <v>85427.38</v>
      </c>
      <c r="L20" s="60">
        <f t="shared" si="0"/>
        <v>13259918.890000001</v>
      </c>
      <c r="M20" s="457"/>
      <c r="N20" s="457"/>
      <c r="O20" s="457"/>
      <c r="P20" s="457"/>
      <c r="Q20" s="457"/>
      <c r="R20" s="457"/>
      <c r="S20" s="457"/>
      <c r="T20" s="457"/>
      <c r="U20" s="457"/>
      <c r="V20" s="457"/>
      <c r="W20" s="457"/>
      <c r="X20" s="457"/>
      <c r="Y20" s="456">
        <v>2</v>
      </c>
      <c r="Z20" s="1" t="s">
        <v>284</v>
      </c>
      <c r="AB20" s="449">
        <v>41365</v>
      </c>
      <c r="AC20" s="37">
        <f t="shared" si="2"/>
        <v>4691365.6399999997</v>
      </c>
      <c r="AD20" s="37">
        <f t="shared" si="3"/>
        <v>2592932.2200000002</v>
      </c>
      <c r="AE20" s="37">
        <f t="shared" si="4"/>
        <v>211735</v>
      </c>
      <c r="AF20" s="37">
        <f t="shared" si="5"/>
        <v>183008.93</v>
      </c>
      <c r="AG20" s="37">
        <f t="shared" si="6"/>
        <v>2271587</v>
      </c>
      <c r="AH20" s="37">
        <f t="shared" si="7"/>
        <v>3204460.72</v>
      </c>
      <c r="AI20" s="457"/>
      <c r="AJ20" s="457"/>
      <c r="AK20" s="37">
        <f t="shared" si="8"/>
        <v>19402</v>
      </c>
      <c r="AL20" s="37">
        <f t="shared" si="9"/>
        <v>85427.38</v>
      </c>
      <c r="AN20" s="60">
        <f t="shared" si="10"/>
        <v>5870791.6500000004</v>
      </c>
      <c r="AO20" s="60">
        <f t="shared" si="11"/>
        <v>5870791.6500000004</v>
      </c>
      <c r="AP20" s="60">
        <f t="shared" si="12"/>
        <v>13259918.890000001</v>
      </c>
    </row>
    <row r="21" spans="1:42" x14ac:dyDescent="0.2">
      <c r="A21" s="449">
        <v>41395</v>
      </c>
      <c r="B21" s="37">
        <v>4778001.26</v>
      </c>
      <c r="C21" s="37">
        <v>2713316.71</v>
      </c>
      <c r="D21" s="37">
        <v>192842</v>
      </c>
      <c r="E21" s="37">
        <v>186192.07</v>
      </c>
      <c r="F21" s="37">
        <v>2449807</v>
      </c>
      <c r="G21" s="37">
        <v>3537700.59</v>
      </c>
      <c r="H21" s="457"/>
      <c r="I21" s="457"/>
      <c r="J21" s="37">
        <v>19409</v>
      </c>
      <c r="K21" s="37">
        <v>77781.740000000005</v>
      </c>
      <c r="L21" s="60">
        <f t="shared" si="0"/>
        <v>13955050.369999999</v>
      </c>
      <c r="M21" s="457"/>
      <c r="N21" s="457"/>
      <c r="O21" s="457"/>
      <c r="P21" s="457"/>
      <c r="Q21" s="457"/>
      <c r="R21" s="457"/>
      <c r="S21" s="457"/>
      <c r="T21" s="457"/>
      <c r="U21" s="457"/>
      <c r="V21" s="457"/>
      <c r="W21" s="457"/>
      <c r="X21" s="457"/>
      <c r="Y21" s="456" t="s">
        <v>277</v>
      </c>
      <c r="Z21" s="1" t="s">
        <v>284</v>
      </c>
      <c r="AB21" s="449">
        <v>41395</v>
      </c>
      <c r="AC21" s="37">
        <f t="shared" si="2"/>
        <v>4778001.26</v>
      </c>
      <c r="AD21" s="37">
        <f t="shared" si="3"/>
        <v>2713316.71</v>
      </c>
      <c r="AE21" s="37">
        <f t="shared" si="4"/>
        <v>192842</v>
      </c>
      <c r="AF21" s="37">
        <f t="shared" si="5"/>
        <v>186192.07</v>
      </c>
      <c r="AG21" s="37">
        <f t="shared" si="6"/>
        <v>2449807</v>
      </c>
      <c r="AH21" s="37">
        <f t="shared" si="7"/>
        <v>3537700.59</v>
      </c>
      <c r="AI21" s="457"/>
      <c r="AJ21" s="457"/>
      <c r="AK21" s="37">
        <f t="shared" si="8"/>
        <v>19409</v>
      </c>
      <c r="AL21" s="37">
        <f t="shared" si="9"/>
        <v>77781.740000000005</v>
      </c>
      <c r="AN21" s="60">
        <f t="shared" si="10"/>
        <v>6366541.6600000001</v>
      </c>
      <c r="AO21" s="60">
        <f t="shared" si="11"/>
        <v>6366541.6600000001</v>
      </c>
      <c r="AP21" s="60">
        <f t="shared" si="12"/>
        <v>13955050.370000001</v>
      </c>
    </row>
    <row r="22" spans="1:42" x14ac:dyDescent="0.2">
      <c r="A22" s="449">
        <v>41426</v>
      </c>
      <c r="B22" s="37">
        <v>5905178.7699999996</v>
      </c>
      <c r="C22" s="37">
        <v>2947996.96</v>
      </c>
      <c r="D22" s="37">
        <v>223658</v>
      </c>
      <c r="E22" s="37">
        <v>177843.03</v>
      </c>
      <c r="F22" s="37">
        <v>2806283</v>
      </c>
      <c r="G22" s="37">
        <v>3614781.57</v>
      </c>
      <c r="H22" s="457"/>
      <c r="I22" s="457"/>
      <c r="J22" s="37">
        <v>19027</v>
      </c>
      <c r="K22" s="37">
        <v>70069.06</v>
      </c>
      <c r="L22" s="60">
        <f t="shared" si="0"/>
        <v>15764837.390000001</v>
      </c>
      <c r="M22" s="457"/>
      <c r="N22" s="457"/>
      <c r="O22" s="457"/>
      <c r="P22" s="457"/>
      <c r="Q22" s="457"/>
      <c r="R22" s="457"/>
      <c r="S22" s="457"/>
      <c r="T22" s="457"/>
      <c r="U22" s="457"/>
      <c r="V22" s="457"/>
      <c r="W22" s="457"/>
      <c r="X22" s="457"/>
      <c r="Y22" s="456" t="s">
        <v>276</v>
      </c>
      <c r="Z22" s="1" t="s">
        <v>284</v>
      </c>
      <c r="AB22" s="449">
        <v>41426</v>
      </c>
      <c r="AC22" s="37">
        <f t="shared" si="2"/>
        <v>5905178.7699999996</v>
      </c>
      <c r="AD22" s="37">
        <f t="shared" si="3"/>
        <v>2947996.96</v>
      </c>
      <c r="AE22" s="37">
        <f t="shared" si="4"/>
        <v>223658</v>
      </c>
      <c r="AF22" s="37">
        <f t="shared" si="5"/>
        <v>177843.03</v>
      </c>
      <c r="AG22" s="37">
        <f t="shared" si="6"/>
        <v>2806283</v>
      </c>
      <c r="AH22" s="37">
        <f t="shared" si="7"/>
        <v>3614781.57</v>
      </c>
      <c r="AI22" s="457"/>
      <c r="AJ22" s="457"/>
      <c r="AK22" s="37">
        <f t="shared" si="8"/>
        <v>19027</v>
      </c>
      <c r="AL22" s="37">
        <f t="shared" si="9"/>
        <v>70069.06</v>
      </c>
      <c r="AN22" s="60">
        <f t="shared" si="10"/>
        <v>6822565.5999999996</v>
      </c>
      <c r="AO22" s="60">
        <f t="shared" si="11"/>
        <v>6822565.5999999996</v>
      </c>
      <c r="AP22" s="60">
        <f t="shared" si="12"/>
        <v>15764837.390000001</v>
      </c>
    </row>
    <row r="23" spans="1:42" x14ac:dyDescent="0.2">
      <c r="A23" s="449">
        <v>41456</v>
      </c>
      <c r="B23" s="37">
        <v>7385958.1200000001</v>
      </c>
      <c r="C23" s="37">
        <v>3544817.85</v>
      </c>
      <c r="D23" s="37">
        <v>240441</v>
      </c>
      <c r="E23" s="37">
        <v>218997.97</v>
      </c>
      <c r="F23" s="37">
        <v>2965655</v>
      </c>
      <c r="G23" s="37">
        <v>4137753.56</v>
      </c>
      <c r="H23" s="457"/>
      <c r="I23" s="457"/>
      <c r="J23" s="37">
        <v>19032</v>
      </c>
      <c r="K23" s="37">
        <v>75240.36</v>
      </c>
      <c r="L23" s="60">
        <f t="shared" si="0"/>
        <v>18587895.859999999</v>
      </c>
      <c r="M23" s="457"/>
      <c r="N23" s="457"/>
      <c r="O23" s="457"/>
      <c r="P23" s="457"/>
      <c r="Q23" s="457"/>
      <c r="R23" s="457"/>
      <c r="S23" s="457"/>
      <c r="T23" s="457"/>
      <c r="U23" s="457"/>
      <c r="V23" s="457"/>
      <c r="W23" s="457"/>
      <c r="X23" s="457"/>
      <c r="Y23" s="456" t="s">
        <v>278</v>
      </c>
      <c r="Z23" s="1" t="s">
        <v>284</v>
      </c>
      <c r="AB23" s="449">
        <v>41456</v>
      </c>
      <c r="AC23" s="37">
        <f t="shared" si="2"/>
        <v>7385958.1200000001</v>
      </c>
      <c r="AD23" s="37">
        <f t="shared" si="3"/>
        <v>3544817.85</v>
      </c>
      <c r="AE23" s="37">
        <f t="shared" si="4"/>
        <v>240441</v>
      </c>
      <c r="AF23" s="37">
        <f t="shared" si="5"/>
        <v>218997.97</v>
      </c>
      <c r="AG23" s="37">
        <f t="shared" si="6"/>
        <v>2965655</v>
      </c>
      <c r="AH23" s="37">
        <f t="shared" si="7"/>
        <v>4137753.56</v>
      </c>
      <c r="AI23" s="457"/>
      <c r="AJ23" s="457"/>
      <c r="AK23" s="37">
        <f t="shared" si="8"/>
        <v>19032</v>
      </c>
      <c r="AL23" s="37">
        <f t="shared" si="9"/>
        <v>75240.36</v>
      </c>
      <c r="AN23" s="60">
        <f t="shared" si="10"/>
        <v>7562847.5299999993</v>
      </c>
      <c r="AO23" s="60">
        <f t="shared" si="11"/>
        <v>7562847.5299999993</v>
      </c>
      <c r="AP23" s="60">
        <f t="shared" si="12"/>
        <v>18587895.859999999</v>
      </c>
    </row>
    <row r="24" spans="1:42" x14ac:dyDescent="0.2">
      <c r="A24" s="449">
        <v>41487</v>
      </c>
      <c r="B24" s="37">
        <v>6483157.8600000003</v>
      </c>
      <c r="C24" s="37">
        <v>3494421.66</v>
      </c>
      <c r="D24" s="37">
        <v>198026</v>
      </c>
      <c r="E24" s="37">
        <v>253336.79</v>
      </c>
      <c r="F24" s="37">
        <v>3082591</v>
      </c>
      <c r="G24" s="37">
        <v>4018287.06</v>
      </c>
      <c r="H24" s="457"/>
      <c r="I24" s="457"/>
      <c r="J24" s="37">
        <v>19032</v>
      </c>
      <c r="K24" s="37">
        <v>84504.34</v>
      </c>
      <c r="L24" s="60">
        <f t="shared" si="0"/>
        <v>17633356.709999997</v>
      </c>
      <c r="M24" s="457"/>
      <c r="N24" s="457"/>
      <c r="O24" s="457"/>
      <c r="P24" s="457"/>
      <c r="Q24" s="457"/>
      <c r="R24" s="457"/>
      <c r="S24" s="457"/>
      <c r="T24" s="457"/>
      <c r="U24" s="457"/>
      <c r="V24" s="457"/>
      <c r="W24" s="457"/>
      <c r="X24" s="457"/>
      <c r="AB24" s="449">
        <v>41487</v>
      </c>
      <c r="AC24" s="37">
        <f t="shared" si="2"/>
        <v>6483157.8600000003</v>
      </c>
      <c r="AD24" s="37">
        <f t="shared" si="3"/>
        <v>3494421.66</v>
      </c>
      <c r="AE24" s="37">
        <f t="shared" si="4"/>
        <v>198026</v>
      </c>
      <c r="AF24" s="37">
        <f t="shared" si="5"/>
        <v>253336.79</v>
      </c>
      <c r="AG24" s="37">
        <f t="shared" si="6"/>
        <v>3082591</v>
      </c>
      <c r="AH24" s="37">
        <f t="shared" si="7"/>
        <v>4018287.06</v>
      </c>
      <c r="AI24" s="457"/>
      <c r="AJ24" s="457"/>
      <c r="AK24" s="37">
        <f t="shared" si="8"/>
        <v>19032</v>
      </c>
      <c r="AL24" s="37">
        <f t="shared" si="9"/>
        <v>84504.34</v>
      </c>
      <c r="AN24" s="60">
        <f t="shared" si="10"/>
        <v>7552240.8499999996</v>
      </c>
      <c r="AO24" s="60">
        <f t="shared" si="11"/>
        <v>7552240.8499999996</v>
      </c>
      <c r="AP24" s="60">
        <f t="shared" si="12"/>
        <v>17633356.710000001</v>
      </c>
    </row>
    <row r="25" spans="1:42" x14ac:dyDescent="0.2">
      <c r="A25" s="449">
        <v>41518</v>
      </c>
      <c r="B25" s="37">
        <v>5501921.9400000004</v>
      </c>
      <c r="C25" s="37">
        <v>2925463.28</v>
      </c>
      <c r="D25" s="37">
        <v>173627</v>
      </c>
      <c r="E25" s="37">
        <v>230117.35</v>
      </c>
      <c r="F25" s="37">
        <v>2786134</v>
      </c>
      <c r="G25" s="37">
        <v>3652098.75</v>
      </c>
      <c r="H25" s="457"/>
      <c r="I25" s="457"/>
      <c r="J25" s="37">
        <v>19027</v>
      </c>
      <c r="K25" s="37">
        <v>93230.86</v>
      </c>
      <c r="L25" s="60">
        <f t="shared" si="0"/>
        <v>15381620.18</v>
      </c>
      <c r="M25" s="457"/>
      <c r="N25" s="457"/>
      <c r="O25" s="457"/>
      <c r="P25" s="457"/>
      <c r="Q25" s="457"/>
      <c r="R25" s="457"/>
      <c r="S25" s="457"/>
      <c r="T25" s="457"/>
      <c r="U25" s="457"/>
      <c r="V25" s="457"/>
      <c r="W25" s="457"/>
      <c r="X25" s="457"/>
      <c r="AB25" s="449">
        <v>41518</v>
      </c>
      <c r="AC25" s="37">
        <f t="shared" si="2"/>
        <v>5501921.9400000004</v>
      </c>
      <c r="AD25" s="37">
        <f t="shared" si="3"/>
        <v>2925463.28</v>
      </c>
      <c r="AE25" s="37">
        <f t="shared" si="4"/>
        <v>173627</v>
      </c>
      <c r="AF25" s="37">
        <f t="shared" si="5"/>
        <v>230117.35</v>
      </c>
      <c r="AG25" s="37">
        <f t="shared" si="6"/>
        <v>2786134</v>
      </c>
      <c r="AH25" s="37">
        <f t="shared" si="7"/>
        <v>3652098.75</v>
      </c>
      <c r="AI25" s="457"/>
      <c r="AJ25" s="457"/>
      <c r="AK25" s="37">
        <f t="shared" si="8"/>
        <v>19027</v>
      </c>
      <c r="AL25" s="37">
        <f t="shared" si="9"/>
        <v>93230.86</v>
      </c>
      <c r="AN25" s="60">
        <f t="shared" si="10"/>
        <v>6841977.0999999996</v>
      </c>
      <c r="AO25" s="60">
        <f t="shared" si="11"/>
        <v>6841977.0999999996</v>
      </c>
      <c r="AP25" s="60">
        <f t="shared" si="12"/>
        <v>15381620.18</v>
      </c>
    </row>
    <row r="26" spans="1:42" x14ac:dyDescent="0.2">
      <c r="A26" s="449">
        <v>41548</v>
      </c>
      <c r="B26" s="37">
        <v>4917782</v>
      </c>
      <c r="C26" s="37">
        <v>2589876.71</v>
      </c>
      <c r="D26" s="37">
        <v>188803</v>
      </c>
      <c r="E26" s="37">
        <v>199181.86</v>
      </c>
      <c r="F26" s="37">
        <v>2546588</v>
      </c>
      <c r="G26" s="37">
        <v>3594000.14</v>
      </c>
      <c r="H26" s="457"/>
      <c r="I26" s="457"/>
      <c r="J26" s="37">
        <v>19032</v>
      </c>
      <c r="K26" s="37">
        <v>108656.06</v>
      </c>
      <c r="L26" s="60">
        <f t="shared" si="0"/>
        <v>14163919.770000001</v>
      </c>
      <c r="M26" s="457"/>
      <c r="N26" s="457"/>
      <c r="O26" s="457"/>
      <c r="P26" s="457"/>
      <c r="Q26" s="457"/>
      <c r="R26" s="457"/>
      <c r="S26" s="457"/>
      <c r="T26" s="457"/>
      <c r="U26" s="457"/>
      <c r="V26" s="457"/>
      <c r="W26" s="457"/>
      <c r="X26" s="457"/>
      <c r="AB26" s="449">
        <v>41548</v>
      </c>
      <c r="AC26" s="37">
        <f t="shared" si="2"/>
        <v>4917782</v>
      </c>
      <c r="AD26" s="37">
        <f t="shared" si="3"/>
        <v>2589876.71</v>
      </c>
      <c r="AE26" s="37">
        <f t="shared" si="4"/>
        <v>188803</v>
      </c>
      <c r="AF26" s="37">
        <f t="shared" si="5"/>
        <v>199181.86</v>
      </c>
      <c r="AG26" s="37">
        <f t="shared" si="6"/>
        <v>2546588</v>
      </c>
      <c r="AH26" s="37">
        <f t="shared" si="7"/>
        <v>3594000.14</v>
      </c>
      <c r="AI26" s="457"/>
      <c r="AJ26" s="457"/>
      <c r="AK26" s="37">
        <f t="shared" si="8"/>
        <v>19032</v>
      </c>
      <c r="AL26" s="37">
        <f t="shared" si="9"/>
        <v>108656.06</v>
      </c>
      <c r="AN26" s="60">
        <f t="shared" si="10"/>
        <v>6528573</v>
      </c>
      <c r="AO26" s="60">
        <f t="shared" si="11"/>
        <v>6528573</v>
      </c>
      <c r="AP26" s="60">
        <f t="shared" si="12"/>
        <v>14163919.77</v>
      </c>
    </row>
    <row r="27" spans="1:42" x14ac:dyDescent="0.2">
      <c r="A27" s="449">
        <v>41579</v>
      </c>
      <c r="B27" s="37">
        <v>5302448.6399999997</v>
      </c>
      <c r="C27" s="37">
        <v>2717466.3</v>
      </c>
      <c r="D27" s="37">
        <v>224280</v>
      </c>
      <c r="E27" s="37">
        <v>176908</v>
      </c>
      <c r="F27" s="37">
        <v>2422606</v>
      </c>
      <c r="G27" s="37">
        <v>3436251.15</v>
      </c>
      <c r="H27" s="457"/>
      <c r="I27" s="457"/>
      <c r="J27" s="37">
        <v>19032</v>
      </c>
      <c r="K27" s="37">
        <v>115693.92</v>
      </c>
      <c r="L27" s="60">
        <f t="shared" si="0"/>
        <v>14414686.01</v>
      </c>
      <c r="M27" s="457"/>
      <c r="N27" s="457"/>
      <c r="O27" s="457"/>
      <c r="P27" s="457"/>
      <c r="Q27" s="457"/>
      <c r="R27" s="457"/>
      <c r="S27" s="457"/>
      <c r="T27" s="457"/>
      <c r="U27" s="457"/>
      <c r="V27" s="457"/>
      <c r="W27" s="457"/>
      <c r="X27" s="457"/>
      <c r="AB27" s="449">
        <v>41579</v>
      </c>
      <c r="AC27" s="37">
        <f t="shared" si="2"/>
        <v>5302448.6399999997</v>
      </c>
      <c r="AD27" s="37">
        <f t="shared" si="3"/>
        <v>2717466.3</v>
      </c>
      <c r="AE27" s="37">
        <f t="shared" si="4"/>
        <v>224280</v>
      </c>
      <c r="AF27" s="37">
        <f t="shared" si="5"/>
        <v>176908</v>
      </c>
      <c r="AG27" s="37">
        <f t="shared" si="6"/>
        <v>2422606</v>
      </c>
      <c r="AH27" s="37">
        <f t="shared" si="7"/>
        <v>3436251.15</v>
      </c>
      <c r="AI27" s="457"/>
      <c r="AJ27" s="457"/>
      <c r="AK27" s="37">
        <f t="shared" si="8"/>
        <v>19032</v>
      </c>
      <c r="AL27" s="37">
        <f t="shared" si="9"/>
        <v>115693.92</v>
      </c>
      <c r="AN27" s="60">
        <f t="shared" si="10"/>
        <v>6260045.1500000004</v>
      </c>
      <c r="AO27" s="60">
        <f t="shared" si="11"/>
        <v>6260045.1500000004</v>
      </c>
      <c r="AP27" s="60">
        <f t="shared" si="12"/>
        <v>14414686.01</v>
      </c>
    </row>
    <row r="28" spans="1:42" x14ac:dyDescent="0.2">
      <c r="A28" s="449">
        <v>41609</v>
      </c>
      <c r="B28" s="37">
        <v>6440934.8499999996</v>
      </c>
      <c r="C28" s="37">
        <v>3109635.52</v>
      </c>
      <c r="D28" s="37">
        <v>288705</v>
      </c>
      <c r="E28" s="37">
        <v>182711.25</v>
      </c>
      <c r="F28" s="37">
        <v>2555365</v>
      </c>
      <c r="G28" s="37">
        <v>3555822.95</v>
      </c>
      <c r="H28" s="457"/>
      <c r="I28" s="457"/>
      <c r="J28" s="37">
        <v>20673.03</v>
      </c>
      <c r="K28" s="37">
        <v>125093.48</v>
      </c>
      <c r="L28" s="60">
        <f t="shared" si="0"/>
        <v>16278941.08</v>
      </c>
      <c r="M28" s="457"/>
      <c r="N28" s="457"/>
      <c r="O28" s="457"/>
      <c r="P28" s="457"/>
      <c r="Q28" s="457"/>
      <c r="R28" s="457"/>
      <c r="S28" s="457"/>
      <c r="T28" s="457"/>
      <c r="U28" s="457"/>
      <c r="V28" s="457"/>
      <c r="W28" s="457"/>
      <c r="X28" s="457"/>
      <c r="AB28" s="449">
        <v>41609</v>
      </c>
      <c r="AC28" s="37">
        <f t="shared" si="2"/>
        <v>6440934.8499999996</v>
      </c>
      <c r="AD28" s="37">
        <f t="shared" si="3"/>
        <v>3109635.52</v>
      </c>
      <c r="AE28" s="37">
        <f t="shared" si="4"/>
        <v>288705</v>
      </c>
      <c r="AF28" s="37">
        <f t="shared" si="5"/>
        <v>182711.25</v>
      </c>
      <c r="AG28" s="37">
        <f t="shared" si="6"/>
        <v>2555365</v>
      </c>
      <c r="AH28" s="37">
        <f t="shared" si="7"/>
        <v>3555822.95</v>
      </c>
      <c r="AI28" s="457"/>
      <c r="AJ28" s="457"/>
      <c r="AK28" s="37">
        <f t="shared" si="8"/>
        <v>20673.03</v>
      </c>
      <c r="AL28" s="37">
        <f t="shared" si="9"/>
        <v>125093.48</v>
      </c>
      <c r="AN28" s="60">
        <f t="shared" si="10"/>
        <v>6582604.2000000002</v>
      </c>
      <c r="AO28" s="60">
        <f t="shared" si="11"/>
        <v>6582604.2000000002</v>
      </c>
      <c r="AP28" s="60">
        <f t="shared" si="12"/>
        <v>16278941.079999998</v>
      </c>
    </row>
    <row r="29" spans="1:42" x14ac:dyDescent="0.2">
      <c r="A29" s="449">
        <v>41640</v>
      </c>
      <c r="B29" s="37">
        <v>6653405.75</v>
      </c>
      <c r="C29" s="37">
        <v>3327003.9</v>
      </c>
      <c r="D29" s="37">
        <v>314349</v>
      </c>
      <c r="E29" s="37">
        <v>180992.27</v>
      </c>
      <c r="F29" s="37">
        <v>2634812</v>
      </c>
      <c r="G29" s="37">
        <v>3756421.65</v>
      </c>
      <c r="H29" s="457"/>
      <c r="I29" s="457"/>
      <c r="J29" s="37">
        <v>20423.169999999998</v>
      </c>
      <c r="K29" s="37">
        <v>121945.88</v>
      </c>
      <c r="L29" s="60">
        <f t="shared" si="0"/>
        <v>17009353.620000001</v>
      </c>
      <c r="M29" s="457"/>
      <c r="N29" s="457"/>
      <c r="O29" s="457"/>
      <c r="P29" s="457"/>
      <c r="Q29" s="457"/>
      <c r="R29" s="457"/>
      <c r="S29" s="457"/>
      <c r="T29" s="457"/>
      <c r="U29" s="457"/>
      <c r="V29" s="457"/>
      <c r="W29" s="457"/>
      <c r="X29" s="457"/>
      <c r="AB29" s="449">
        <v>41640</v>
      </c>
      <c r="AC29" s="37">
        <f t="shared" si="2"/>
        <v>6653405.75</v>
      </c>
      <c r="AD29" s="37">
        <f t="shared" si="3"/>
        <v>3327003.9</v>
      </c>
      <c r="AE29" s="37">
        <f t="shared" si="4"/>
        <v>314349</v>
      </c>
      <c r="AF29" s="37">
        <f t="shared" si="5"/>
        <v>180992.27</v>
      </c>
      <c r="AG29" s="37">
        <f t="shared" si="6"/>
        <v>2634812</v>
      </c>
      <c r="AH29" s="37">
        <f t="shared" si="7"/>
        <v>3756421.65</v>
      </c>
      <c r="AI29" s="457"/>
      <c r="AJ29" s="457"/>
      <c r="AK29" s="37">
        <f t="shared" si="8"/>
        <v>20423.169999999998</v>
      </c>
      <c r="AL29" s="37">
        <f t="shared" si="9"/>
        <v>121945.88</v>
      </c>
      <c r="AN29" s="60">
        <f t="shared" si="10"/>
        <v>6886574.9199999999</v>
      </c>
      <c r="AO29" s="60">
        <f t="shared" si="11"/>
        <v>6886574.9199999999</v>
      </c>
      <c r="AP29" s="60">
        <f t="shared" si="12"/>
        <v>17009353.620000001</v>
      </c>
    </row>
    <row r="30" spans="1:42" x14ac:dyDescent="0.2">
      <c r="A30" s="449">
        <v>41671</v>
      </c>
      <c r="B30" s="37">
        <v>5746564.9299999997</v>
      </c>
      <c r="C30" s="37">
        <v>3050128.84</v>
      </c>
      <c r="D30" s="37">
        <v>281939</v>
      </c>
      <c r="E30" s="37">
        <v>169019.48</v>
      </c>
      <c r="F30" s="37">
        <v>2386562</v>
      </c>
      <c r="G30" s="37">
        <v>3376990.14</v>
      </c>
      <c r="H30" s="457"/>
      <c r="I30" s="457"/>
      <c r="J30" s="37">
        <v>19016</v>
      </c>
      <c r="K30" s="37">
        <v>101685.39</v>
      </c>
      <c r="L30" s="60">
        <f t="shared" si="0"/>
        <v>15131905.780000001</v>
      </c>
      <c r="M30" s="457"/>
      <c r="N30" s="457"/>
      <c r="O30" s="457"/>
      <c r="P30" s="457"/>
      <c r="Q30" s="457"/>
      <c r="R30" s="457"/>
      <c r="S30" s="457"/>
      <c r="T30" s="457"/>
      <c r="U30" s="457"/>
      <c r="V30" s="457"/>
      <c r="W30" s="457"/>
      <c r="X30" s="457"/>
      <c r="AB30" s="449">
        <v>41671</v>
      </c>
      <c r="AC30" s="37">
        <f t="shared" si="2"/>
        <v>5746564.9299999997</v>
      </c>
      <c r="AD30" s="37">
        <f t="shared" si="3"/>
        <v>3050128.84</v>
      </c>
      <c r="AE30" s="37">
        <f t="shared" si="4"/>
        <v>281939</v>
      </c>
      <c r="AF30" s="37">
        <f t="shared" si="5"/>
        <v>169019.48</v>
      </c>
      <c r="AG30" s="37">
        <f t="shared" si="6"/>
        <v>2386562</v>
      </c>
      <c r="AH30" s="37">
        <f t="shared" si="7"/>
        <v>3376990.14</v>
      </c>
      <c r="AI30" s="457"/>
      <c r="AJ30" s="457"/>
      <c r="AK30" s="37">
        <f t="shared" si="8"/>
        <v>19016</v>
      </c>
      <c r="AL30" s="37">
        <f t="shared" si="9"/>
        <v>101685.39</v>
      </c>
      <c r="AN30" s="60">
        <f t="shared" si="10"/>
        <v>6214510.6200000001</v>
      </c>
      <c r="AO30" s="60">
        <f t="shared" si="11"/>
        <v>6214510.6200000001</v>
      </c>
      <c r="AP30" s="60">
        <f t="shared" si="12"/>
        <v>15131905.780000001</v>
      </c>
    </row>
    <row r="31" spans="1:42" x14ac:dyDescent="0.2">
      <c r="A31" s="449">
        <v>41699</v>
      </c>
      <c r="B31" s="37">
        <v>5802479.2300000004</v>
      </c>
      <c r="C31" s="37">
        <v>3242278.92</v>
      </c>
      <c r="D31" s="37">
        <v>276003</v>
      </c>
      <c r="E31" s="37">
        <v>192970</v>
      </c>
      <c r="F31" s="37">
        <v>2549971</v>
      </c>
      <c r="G31" s="37">
        <v>3598645.37</v>
      </c>
      <c r="H31" s="457"/>
      <c r="I31" s="457"/>
      <c r="J31" s="37">
        <v>19031</v>
      </c>
      <c r="K31" s="37">
        <v>100695.44</v>
      </c>
      <c r="L31" s="60">
        <f t="shared" si="0"/>
        <v>15782073.959999999</v>
      </c>
      <c r="M31" s="457"/>
      <c r="N31" s="457"/>
      <c r="O31" s="457"/>
      <c r="P31" s="457"/>
      <c r="Q31" s="457"/>
      <c r="R31" s="457"/>
      <c r="S31" s="457"/>
      <c r="T31" s="457"/>
      <c r="U31" s="457"/>
      <c r="V31" s="457"/>
      <c r="W31" s="457"/>
      <c r="X31" s="457"/>
      <c r="AB31" s="449">
        <v>41699</v>
      </c>
      <c r="AC31" s="37">
        <f t="shared" si="2"/>
        <v>5802479.2300000004</v>
      </c>
      <c r="AD31" s="37">
        <f t="shared" si="3"/>
        <v>3242278.92</v>
      </c>
      <c r="AE31" s="37">
        <f t="shared" si="4"/>
        <v>276003</v>
      </c>
      <c r="AF31" s="37">
        <f t="shared" si="5"/>
        <v>192970</v>
      </c>
      <c r="AG31" s="37">
        <f t="shared" si="6"/>
        <v>2549971</v>
      </c>
      <c r="AH31" s="37">
        <f t="shared" si="7"/>
        <v>3598645.37</v>
      </c>
      <c r="AI31" s="457"/>
      <c r="AJ31" s="457"/>
      <c r="AK31" s="37">
        <f t="shared" si="8"/>
        <v>19031</v>
      </c>
      <c r="AL31" s="37">
        <f t="shared" si="9"/>
        <v>100695.44</v>
      </c>
      <c r="AN31" s="60">
        <f t="shared" si="10"/>
        <v>6617589.3700000001</v>
      </c>
      <c r="AO31" s="60">
        <f t="shared" si="11"/>
        <v>6617589.3700000001</v>
      </c>
      <c r="AP31" s="60">
        <f t="shared" si="12"/>
        <v>15782073.960000001</v>
      </c>
    </row>
    <row r="32" spans="1:42" x14ac:dyDescent="0.2">
      <c r="A32" s="449">
        <v>41730</v>
      </c>
      <c r="B32" s="37">
        <v>4865502.6900000004</v>
      </c>
      <c r="C32" s="37">
        <v>2858595.72</v>
      </c>
      <c r="D32" s="37">
        <v>209020</v>
      </c>
      <c r="E32" s="37">
        <v>160050.32999999999</v>
      </c>
      <c r="F32" s="37">
        <v>2337658</v>
      </c>
      <c r="G32" s="37">
        <v>3190229.65</v>
      </c>
      <c r="H32" s="457"/>
      <c r="I32" s="457"/>
      <c r="J32" s="37">
        <v>19025</v>
      </c>
      <c r="K32" s="37">
        <v>85427.38</v>
      </c>
      <c r="L32" s="60">
        <f t="shared" si="0"/>
        <v>13725508.770000001</v>
      </c>
      <c r="M32" s="457"/>
      <c r="N32" s="457"/>
      <c r="O32" s="457"/>
      <c r="P32" s="457"/>
      <c r="Q32" s="457"/>
      <c r="R32" s="457"/>
      <c r="S32" s="457"/>
      <c r="T32" s="457"/>
      <c r="U32" s="457"/>
      <c r="V32" s="457"/>
      <c r="W32" s="457"/>
      <c r="X32" s="457"/>
      <c r="AB32" s="449">
        <v>41730</v>
      </c>
      <c r="AC32" s="37">
        <f t="shared" si="2"/>
        <v>4865502.6900000004</v>
      </c>
      <c r="AD32" s="37">
        <f t="shared" si="3"/>
        <v>2858595.72</v>
      </c>
      <c r="AE32" s="37">
        <f t="shared" si="4"/>
        <v>209020</v>
      </c>
      <c r="AF32" s="37">
        <f t="shared" si="5"/>
        <v>160050.32999999999</v>
      </c>
      <c r="AG32" s="37">
        <f t="shared" si="6"/>
        <v>2337658</v>
      </c>
      <c r="AH32" s="37">
        <f t="shared" si="7"/>
        <v>3190229.65</v>
      </c>
      <c r="AI32" s="457"/>
      <c r="AJ32" s="457"/>
      <c r="AK32" s="37">
        <f t="shared" si="8"/>
        <v>19025</v>
      </c>
      <c r="AL32" s="37">
        <f t="shared" si="9"/>
        <v>85427.38</v>
      </c>
      <c r="AN32" s="60">
        <f t="shared" si="10"/>
        <v>5896957.9800000004</v>
      </c>
      <c r="AO32" s="60">
        <f t="shared" si="11"/>
        <v>5896957.9800000004</v>
      </c>
      <c r="AP32" s="60">
        <f t="shared" si="12"/>
        <v>13725508.77</v>
      </c>
    </row>
    <row r="33" spans="1:42" x14ac:dyDescent="0.2">
      <c r="A33" s="449">
        <v>41760</v>
      </c>
      <c r="B33" s="37">
        <v>4770890.78</v>
      </c>
      <c r="C33" s="37">
        <v>3110798.37</v>
      </c>
      <c r="D33" s="37">
        <v>188504</v>
      </c>
      <c r="E33" s="37">
        <v>164774.67000000001</v>
      </c>
      <c r="F33" s="37">
        <v>2617512</v>
      </c>
      <c r="G33" s="37">
        <v>3377108.97</v>
      </c>
      <c r="H33" s="457"/>
      <c r="I33" s="457"/>
      <c r="J33" s="37">
        <v>19027</v>
      </c>
      <c r="K33" s="37">
        <v>77781.740000000005</v>
      </c>
      <c r="L33" s="60">
        <f t="shared" si="0"/>
        <v>14326397.530000001</v>
      </c>
      <c r="M33" s="457"/>
      <c r="N33" s="457"/>
      <c r="O33" s="457"/>
      <c r="P33" s="457"/>
      <c r="Q33" s="457"/>
      <c r="R33" s="457"/>
      <c r="S33" s="457"/>
      <c r="T33" s="457"/>
      <c r="U33" s="457"/>
      <c r="V33" s="457"/>
      <c r="W33" s="457"/>
      <c r="X33" s="457"/>
      <c r="AB33" s="449">
        <v>41760</v>
      </c>
      <c r="AC33" s="37">
        <f t="shared" si="2"/>
        <v>4770890.78</v>
      </c>
      <c r="AD33" s="37">
        <f t="shared" si="3"/>
        <v>3110798.37</v>
      </c>
      <c r="AE33" s="37">
        <f t="shared" si="4"/>
        <v>188504</v>
      </c>
      <c r="AF33" s="37">
        <f t="shared" si="5"/>
        <v>164774.67000000001</v>
      </c>
      <c r="AG33" s="37">
        <f t="shared" si="6"/>
        <v>2617512</v>
      </c>
      <c r="AH33" s="37">
        <f t="shared" si="7"/>
        <v>3377108.97</v>
      </c>
      <c r="AI33" s="457"/>
      <c r="AJ33" s="457"/>
      <c r="AK33" s="37">
        <f t="shared" si="8"/>
        <v>19027</v>
      </c>
      <c r="AL33" s="37">
        <f t="shared" si="9"/>
        <v>77781.740000000005</v>
      </c>
      <c r="AN33" s="60">
        <f t="shared" si="10"/>
        <v>6347899.6400000006</v>
      </c>
      <c r="AO33" s="60">
        <f t="shared" si="11"/>
        <v>6347899.6400000006</v>
      </c>
      <c r="AP33" s="60">
        <f t="shared" si="12"/>
        <v>14326397.530000001</v>
      </c>
    </row>
    <row r="34" spans="1:42" x14ac:dyDescent="0.2">
      <c r="A34" s="449">
        <v>41791</v>
      </c>
      <c r="B34" s="37">
        <v>5859852.4299999997</v>
      </c>
      <c r="C34" s="37">
        <v>3437599.14</v>
      </c>
      <c r="D34" s="37">
        <v>200018</v>
      </c>
      <c r="E34" s="37">
        <v>163576</v>
      </c>
      <c r="F34" s="37">
        <v>2850683</v>
      </c>
      <c r="G34" s="37">
        <v>3716570.95</v>
      </c>
      <c r="H34" s="457"/>
      <c r="I34" s="457"/>
      <c r="J34" s="37">
        <v>19027</v>
      </c>
      <c r="K34" s="37">
        <v>70069.06</v>
      </c>
      <c r="L34" s="60">
        <f t="shared" si="0"/>
        <v>16317395.58</v>
      </c>
      <c r="M34" s="457"/>
      <c r="N34" s="457"/>
      <c r="O34" s="457"/>
      <c r="P34" s="457"/>
      <c r="Q34" s="457"/>
      <c r="R34" s="457"/>
      <c r="S34" s="457"/>
      <c r="T34" s="457"/>
      <c r="U34" s="457"/>
      <c r="V34" s="457"/>
      <c r="W34" s="460">
        <v>4541</v>
      </c>
      <c r="X34" s="60">
        <f>+U34+V34+W34</f>
        <v>4541</v>
      </c>
      <c r="AB34" s="449">
        <v>41791</v>
      </c>
      <c r="AC34" s="37">
        <f t="shared" si="2"/>
        <v>5859852.4299999997</v>
      </c>
      <c r="AD34" s="37">
        <f t="shared" si="3"/>
        <v>3437599.14</v>
      </c>
      <c r="AE34" s="37">
        <f t="shared" si="4"/>
        <v>200018</v>
      </c>
      <c r="AF34" s="37">
        <f t="shared" si="5"/>
        <v>163576</v>
      </c>
      <c r="AG34" s="37">
        <f t="shared" si="6"/>
        <v>2850683</v>
      </c>
      <c r="AH34" s="37">
        <f t="shared" si="7"/>
        <v>3716570.95</v>
      </c>
      <c r="AI34" s="457"/>
      <c r="AJ34" s="457"/>
      <c r="AK34" s="37">
        <f t="shared" si="8"/>
        <v>19027</v>
      </c>
      <c r="AL34" s="37">
        <f t="shared" si="9"/>
        <v>70069.06</v>
      </c>
      <c r="AN34" s="60">
        <f t="shared" si="10"/>
        <v>6930847.9500000002</v>
      </c>
      <c r="AO34" s="60">
        <f t="shared" si="11"/>
        <v>6926306.9500000002</v>
      </c>
      <c r="AP34" s="60">
        <f t="shared" si="12"/>
        <v>16312854.580000002</v>
      </c>
    </row>
    <row r="35" spans="1:42" x14ac:dyDescent="0.2">
      <c r="A35" s="449">
        <v>41821</v>
      </c>
      <c r="B35" s="37">
        <v>6618149.96</v>
      </c>
      <c r="C35" s="37">
        <v>3807261.57</v>
      </c>
      <c r="D35" s="37">
        <v>211819</v>
      </c>
      <c r="E35" s="37">
        <v>194939.65</v>
      </c>
      <c r="F35" s="37">
        <v>3108566</v>
      </c>
      <c r="G35" s="37">
        <v>3936479.75</v>
      </c>
      <c r="H35" s="457"/>
      <c r="I35" s="457"/>
      <c r="J35" s="37">
        <v>19027</v>
      </c>
      <c r="K35" s="37">
        <v>75240.36</v>
      </c>
      <c r="L35" s="60">
        <f t="shared" si="0"/>
        <v>17971483.289999999</v>
      </c>
      <c r="M35" s="457"/>
      <c r="N35" s="457"/>
      <c r="O35" s="457"/>
      <c r="P35" s="457"/>
      <c r="Q35" s="457"/>
      <c r="R35" s="457"/>
      <c r="S35" s="457"/>
      <c r="T35" s="457"/>
      <c r="U35" s="457"/>
      <c r="V35" s="457"/>
      <c r="W35" s="460">
        <v>18626</v>
      </c>
      <c r="X35" s="60">
        <f t="shared" ref="X35:X98" si="13">+U35+V35+W35</f>
        <v>18626</v>
      </c>
      <c r="AB35" s="449">
        <v>41821</v>
      </c>
      <c r="AC35" s="37">
        <f t="shared" si="2"/>
        <v>6618149.96</v>
      </c>
      <c r="AD35" s="37">
        <f t="shared" si="3"/>
        <v>3807261.57</v>
      </c>
      <c r="AE35" s="37">
        <f t="shared" si="4"/>
        <v>211819</v>
      </c>
      <c r="AF35" s="37">
        <f t="shared" si="5"/>
        <v>194939.65</v>
      </c>
      <c r="AG35" s="37">
        <f t="shared" si="6"/>
        <v>3108566</v>
      </c>
      <c r="AH35" s="37">
        <f t="shared" si="7"/>
        <v>3936479.75</v>
      </c>
      <c r="AI35" s="457"/>
      <c r="AJ35" s="457"/>
      <c r="AK35" s="37">
        <f t="shared" si="8"/>
        <v>19027</v>
      </c>
      <c r="AL35" s="37">
        <f t="shared" si="9"/>
        <v>75240.36</v>
      </c>
      <c r="AN35" s="60">
        <f t="shared" si="10"/>
        <v>7451804.4000000004</v>
      </c>
      <c r="AO35" s="60">
        <f t="shared" si="11"/>
        <v>7433178.4000000004</v>
      </c>
      <c r="AP35" s="60">
        <f t="shared" si="12"/>
        <v>17952857.289999999</v>
      </c>
    </row>
    <row r="36" spans="1:42" x14ac:dyDescent="0.2">
      <c r="A36" s="449">
        <v>41852</v>
      </c>
      <c r="B36" s="37">
        <v>6469853.2800000003</v>
      </c>
      <c r="C36" s="37">
        <v>3890116.71</v>
      </c>
      <c r="D36" s="37">
        <v>213653</v>
      </c>
      <c r="E36" s="37">
        <v>229229.35</v>
      </c>
      <c r="F36" s="37">
        <v>3328428</v>
      </c>
      <c r="G36" s="37">
        <v>3937706.17</v>
      </c>
      <c r="H36" s="457"/>
      <c r="I36" s="457"/>
      <c r="J36" s="37">
        <v>19027</v>
      </c>
      <c r="K36" s="37">
        <v>84504.34</v>
      </c>
      <c r="L36" s="60">
        <f t="shared" si="0"/>
        <v>18172517.849999998</v>
      </c>
      <c r="M36" s="457"/>
      <c r="N36" s="457"/>
      <c r="O36" s="457"/>
      <c r="P36" s="457"/>
      <c r="Q36" s="457"/>
      <c r="R36" s="457"/>
      <c r="S36" s="457"/>
      <c r="T36" s="457"/>
      <c r="U36" s="457"/>
      <c r="V36" s="457"/>
      <c r="W36" s="460">
        <v>22872</v>
      </c>
      <c r="X36" s="60">
        <f t="shared" si="13"/>
        <v>22872</v>
      </c>
      <c r="AB36" s="449">
        <v>41852</v>
      </c>
      <c r="AC36" s="37">
        <f t="shared" si="2"/>
        <v>6469853.2800000003</v>
      </c>
      <c r="AD36" s="37">
        <f t="shared" si="3"/>
        <v>3890116.71</v>
      </c>
      <c r="AE36" s="37">
        <f t="shared" si="4"/>
        <v>213653</v>
      </c>
      <c r="AF36" s="37">
        <f t="shared" si="5"/>
        <v>229229.35</v>
      </c>
      <c r="AG36" s="37">
        <f t="shared" si="6"/>
        <v>3328428</v>
      </c>
      <c r="AH36" s="37">
        <f t="shared" si="7"/>
        <v>3937706.17</v>
      </c>
      <c r="AI36" s="457"/>
      <c r="AJ36" s="457"/>
      <c r="AK36" s="37">
        <f t="shared" si="8"/>
        <v>19027</v>
      </c>
      <c r="AL36" s="37">
        <f t="shared" si="9"/>
        <v>84504.34</v>
      </c>
      <c r="AN36" s="60">
        <f t="shared" si="10"/>
        <v>7709016.5199999996</v>
      </c>
      <c r="AO36" s="60">
        <f t="shared" si="11"/>
        <v>7686144.5199999996</v>
      </c>
      <c r="AP36" s="60">
        <f t="shared" si="12"/>
        <v>18149645.850000001</v>
      </c>
    </row>
    <row r="37" spans="1:42" x14ac:dyDescent="0.2">
      <c r="A37" s="449">
        <v>41883</v>
      </c>
      <c r="B37" s="37">
        <v>5526119.1299999999</v>
      </c>
      <c r="C37" s="37">
        <v>3334866.07</v>
      </c>
      <c r="D37" s="37">
        <v>187683</v>
      </c>
      <c r="E37" s="37">
        <v>200937.5</v>
      </c>
      <c r="F37" s="37">
        <v>2946597</v>
      </c>
      <c r="G37" s="37">
        <v>3632095.68</v>
      </c>
      <c r="H37" s="457"/>
      <c r="I37" s="457"/>
      <c r="J37" s="37">
        <v>19027</v>
      </c>
      <c r="K37" s="37">
        <v>93230.86</v>
      </c>
      <c r="L37" s="60">
        <f t="shared" si="0"/>
        <v>15940556.239999998</v>
      </c>
      <c r="M37" s="457"/>
      <c r="N37" s="457"/>
      <c r="O37" s="457"/>
      <c r="P37" s="457"/>
      <c r="Q37" s="457"/>
      <c r="R37" s="457"/>
      <c r="S37" s="457"/>
      <c r="T37" s="457"/>
      <c r="U37" s="457"/>
      <c r="V37" s="457"/>
      <c r="W37" s="460">
        <v>26488</v>
      </c>
      <c r="X37" s="60">
        <f t="shared" si="13"/>
        <v>26488</v>
      </c>
      <c r="AB37" s="449">
        <v>41883</v>
      </c>
      <c r="AC37" s="37">
        <f t="shared" si="2"/>
        <v>5526119.1299999999</v>
      </c>
      <c r="AD37" s="37">
        <f t="shared" si="3"/>
        <v>3334866.07</v>
      </c>
      <c r="AE37" s="37">
        <f t="shared" si="4"/>
        <v>187683</v>
      </c>
      <c r="AF37" s="37">
        <f t="shared" si="5"/>
        <v>200937.5</v>
      </c>
      <c r="AG37" s="37">
        <f t="shared" si="6"/>
        <v>2946597</v>
      </c>
      <c r="AH37" s="37">
        <f t="shared" si="7"/>
        <v>3632095.68</v>
      </c>
      <c r="AI37" s="457"/>
      <c r="AJ37" s="457"/>
      <c r="AK37" s="37">
        <f t="shared" si="8"/>
        <v>19027</v>
      </c>
      <c r="AL37" s="37">
        <f t="shared" si="9"/>
        <v>93230.86</v>
      </c>
      <c r="AN37" s="60">
        <f t="shared" si="10"/>
        <v>6967313.1799999997</v>
      </c>
      <c r="AO37" s="60">
        <f t="shared" si="11"/>
        <v>6940825.1799999997</v>
      </c>
      <c r="AP37" s="60">
        <f t="shared" si="12"/>
        <v>15914068.239999998</v>
      </c>
    </row>
    <row r="38" spans="1:42" x14ac:dyDescent="0.2">
      <c r="A38" s="449">
        <v>41913</v>
      </c>
      <c r="B38" s="37">
        <v>4860007.08</v>
      </c>
      <c r="C38" s="37">
        <v>2937049.01</v>
      </c>
      <c r="D38" s="37">
        <v>195368.94</v>
      </c>
      <c r="E38" s="37">
        <v>195692.01</v>
      </c>
      <c r="F38" s="37">
        <v>2755391.46</v>
      </c>
      <c r="G38" s="37">
        <v>3504247.27</v>
      </c>
      <c r="H38" s="457"/>
      <c r="I38" s="457"/>
      <c r="J38" s="37">
        <v>19027</v>
      </c>
      <c r="K38" s="37">
        <v>108656.51</v>
      </c>
      <c r="L38" s="60">
        <f t="shared" si="0"/>
        <v>14575439.279999999</v>
      </c>
      <c r="M38" s="457"/>
      <c r="N38" s="457"/>
      <c r="O38" s="457"/>
      <c r="P38" s="457"/>
      <c r="Q38" s="457"/>
      <c r="R38" s="457"/>
      <c r="S38" s="457"/>
      <c r="T38" s="457"/>
      <c r="U38" s="457"/>
      <c r="V38" s="457"/>
      <c r="W38" s="460">
        <v>26917.71</v>
      </c>
      <c r="X38" s="60">
        <f t="shared" si="13"/>
        <v>26917.71</v>
      </c>
      <c r="AB38" s="449">
        <v>41913</v>
      </c>
      <c r="AC38" s="37">
        <f t="shared" si="2"/>
        <v>4860007.08</v>
      </c>
      <c r="AD38" s="37">
        <f t="shared" si="3"/>
        <v>2937049.01</v>
      </c>
      <c r="AE38" s="37">
        <f t="shared" si="4"/>
        <v>195368.94</v>
      </c>
      <c r="AF38" s="37">
        <f t="shared" si="5"/>
        <v>195692.01</v>
      </c>
      <c r="AG38" s="37">
        <f t="shared" si="6"/>
        <v>2755391.46</v>
      </c>
      <c r="AH38" s="37">
        <f t="shared" si="7"/>
        <v>3504247.27</v>
      </c>
      <c r="AI38" s="457"/>
      <c r="AJ38" s="457"/>
      <c r="AK38" s="37">
        <f t="shared" si="8"/>
        <v>19027</v>
      </c>
      <c r="AL38" s="37">
        <f t="shared" si="9"/>
        <v>108656.51</v>
      </c>
      <c r="AN38" s="60">
        <f t="shared" si="10"/>
        <v>6650699.6799999997</v>
      </c>
      <c r="AO38" s="60">
        <f t="shared" si="11"/>
        <v>6623781.9699999997</v>
      </c>
      <c r="AP38" s="60">
        <f t="shared" si="12"/>
        <v>14548521.57</v>
      </c>
    </row>
    <row r="39" spans="1:42" x14ac:dyDescent="0.2">
      <c r="A39" s="449">
        <v>41944</v>
      </c>
      <c r="B39" s="37">
        <v>5327677.2300000004</v>
      </c>
      <c r="C39" s="37">
        <v>3004230.92</v>
      </c>
      <c r="D39" s="37">
        <v>232018.06</v>
      </c>
      <c r="E39" s="37">
        <v>170645.74</v>
      </c>
      <c r="F39" s="37">
        <v>2729216.29</v>
      </c>
      <c r="G39" s="37">
        <v>3461257.54</v>
      </c>
      <c r="H39" s="457"/>
      <c r="I39" s="457"/>
      <c r="J39" s="37">
        <v>19027</v>
      </c>
      <c r="K39" s="37">
        <v>115694.32</v>
      </c>
      <c r="L39" s="60">
        <f t="shared" si="0"/>
        <v>15059767.100000001</v>
      </c>
      <c r="M39" s="457"/>
      <c r="N39" s="457"/>
      <c r="O39" s="457"/>
      <c r="P39" s="457"/>
      <c r="Q39" s="457"/>
      <c r="R39" s="457"/>
      <c r="S39" s="457"/>
      <c r="T39" s="457"/>
      <c r="U39" s="457"/>
      <c r="V39" s="457"/>
      <c r="W39" s="460">
        <v>24097.040000000001</v>
      </c>
      <c r="X39" s="60">
        <f t="shared" si="13"/>
        <v>24097.040000000001</v>
      </c>
      <c r="AB39" s="449">
        <v>41944</v>
      </c>
      <c r="AC39" s="37">
        <f t="shared" si="2"/>
        <v>5327677.2300000004</v>
      </c>
      <c r="AD39" s="37">
        <f t="shared" si="3"/>
        <v>3004230.92</v>
      </c>
      <c r="AE39" s="37">
        <f t="shared" si="4"/>
        <v>232018.06</v>
      </c>
      <c r="AF39" s="37">
        <f t="shared" si="5"/>
        <v>170645.74</v>
      </c>
      <c r="AG39" s="37">
        <f t="shared" si="6"/>
        <v>2729216.29</v>
      </c>
      <c r="AH39" s="37">
        <f t="shared" si="7"/>
        <v>3461257.54</v>
      </c>
      <c r="AI39" s="457"/>
      <c r="AJ39" s="457"/>
      <c r="AK39" s="37">
        <f t="shared" si="8"/>
        <v>19027</v>
      </c>
      <c r="AL39" s="37">
        <f t="shared" si="9"/>
        <v>115694.32</v>
      </c>
      <c r="AN39" s="60">
        <f t="shared" si="10"/>
        <v>6593137.6299999999</v>
      </c>
      <c r="AO39" s="60">
        <f t="shared" si="11"/>
        <v>6569040.5899999999</v>
      </c>
      <c r="AP39" s="60">
        <f t="shared" si="12"/>
        <v>15035670.060000001</v>
      </c>
    </row>
    <row r="40" spans="1:42" x14ac:dyDescent="0.2">
      <c r="A40" s="449">
        <v>41974</v>
      </c>
      <c r="B40" s="37">
        <v>6099025.4299999997</v>
      </c>
      <c r="C40" s="37">
        <v>3288531.2</v>
      </c>
      <c r="D40" s="37">
        <v>271450</v>
      </c>
      <c r="E40" s="37">
        <v>179442</v>
      </c>
      <c r="F40" s="37">
        <v>2893631.15</v>
      </c>
      <c r="G40" s="37">
        <v>3601577.57</v>
      </c>
      <c r="H40" s="457"/>
      <c r="I40" s="457"/>
      <c r="J40" s="37">
        <v>20132.57</v>
      </c>
      <c r="K40" s="37">
        <v>125093.78</v>
      </c>
      <c r="L40" s="60">
        <f t="shared" si="0"/>
        <v>16478883.699999999</v>
      </c>
      <c r="M40" s="457"/>
      <c r="N40" s="457"/>
      <c r="O40" s="457"/>
      <c r="P40" s="457"/>
      <c r="Q40" s="457"/>
      <c r="R40" s="457"/>
      <c r="S40" s="457"/>
      <c r="T40" s="457"/>
      <c r="U40" s="457"/>
      <c r="V40" s="457"/>
      <c r="W40" s="460">
        <v>29502.5</v>
      </c>
      <c r="X40" s="60">
        <f t="shared" si="13"/>
        <v>29502.5</v>
      </c>
      <c r="AB40" s="449">
        <v>41974</v>
      </c>
      <c r="AC40" s="37">
        <f t="shared" si="2"/>
        <v>6099025.4299999997</v>
      </c>
      <c r="AD40" s="37">
        <f t="shared" si="3"/>
        <v>3288531.2</v>
      </c>
      <c r="AE40" s="37">
        <f t="shared" si="4"/>
        <v>271450</v>
      </c>
      <c r="AF40" s="37">
        <f t="shared" si="5"/>
        <v>179442</v>
      </c>
      <c r="AG40" s="37">
        <f t="shared" si="6"/>
        <v>2893631.15</v>
      </c>
      <c r="AH40" s="37">
        <f t="shared" si="7"/>
        <v>3601577.57</v>
      </c>
      <c r="AI40" s="457"/>
      <c r="AJ40" s="457"/>
      <c r="AK40" s="37">
        <f t="shared" si="8"/>
        <v>20132.57</v>
      </c>
      <c r="AL40" s="37">
        <f t="shared" si="9"/>
        <v>125093.78</v>
      </c>
      <c r="AN40" s="60">
        <f t="shared" si="10"/>
        <v>6946100.7199999997</v>
      </c>
      <c r="AO40" s="60">
        <f t="shared" si="11"/>
        <v>6916598.2199999997</v>
      </c>
      <c r="AP40" s="60">
        <f t="shared" si="12"/>
        <v>16449381.199999999</v>
      </c>
    </row>
    <row r="41" spans="1:42" x14ac:dyDescent="0.2">
      <c r="A41" s="449">
        <v>42005</v>
      </c>
      <c r="B41" s="37">
        <v>6455139.9199999999</v>
      </c>
      <c r="C41" s="37">
        <v>3561752.46</v>
      </c>
      <c r="D41" s="37">
        <v>305566.25</v>
      </c>
      <c r="E41" s="37">
        <v>193312.81</v>
      </c>
      <c r="F41" s="37">
        <v>2970063.25</v>
      </c>
      <c r="G41" s="37">
        <v>3842426.42</v>
      </c>
      <c r="H41" s="457"/>
      <c r="I41" s="457"/>
      <c r="J41" s="37">
        <v>20069.990000000002</v>
      </c>
      <c r="K41" s="37">
        <v>121945.64</v>
      </c>
      <c r="L41" s="60">
        <f t="shared" si="0"/>
        <v>17470276.739999998</v>
      </c>
      <c r="M41" s="457"/>
      <c r="N41" s="457"/>
      <c r="O41" s="457"/>
      <c r="P41" s="457"/>
      <c r="Q41" s="457"/>
      <c r="R41" s="457"/>
      <c r="S41" s="457"/>
      <c r="T41" s="457"/>
      <c r="U41" s="457"/>
      <c r="V41" s="457"/>
      <c r="W41" s="460">
        <v>33285.78</v>
      </c>
      <c r="X41" s="60">
        <f t="shared" si="13"/>
        <v>33285.78</v>
      </c>
      <c r="AB41" s="449">
        <v>42005</v>
      </c>
      <c r="AC41" s="37">
        <f t="shared" si="2"/>
        <v>6455139.9199999999</v>
      </c>
      <c r="AD41" s="37">
        <f t="shared" si="3"/>
        <v>3561752.46</v>
      </c>
      <c r="AE41" s="37">
        <f t="shared" si="4"/>
        <v>305566.25</v>
      </c>
      <c r="AF41" s="37">
        <f t="shared" si="5"/>
        <v>193312.81</v>
      </c>
      <c r="AG41" s="37">
        <f t="shared" si="6"/>
        <v>2970063.25</v>
      </c>
      <c r="AH41" s="37">
        <f t="shared" si="7"/>
        <v>3842426.42</v>
      </c>
      <c r="AI41" s="457"/>
      <c r="AJ41" s="457"/>
      <c r="AK41" s="37">
        <f t="shared" si="8"/>
        <v>20069.990000000002</v>
      </c>
      <c r="AL41" s="37">
        <f t="shared" si="9"/>
        <v>121945.64</v>
      </c>
      <c r="AN41" s="60">
        <f t="shared" si="10"/>
        <v>7311368.7300000004</v>
      </c>
      <c r="AO41" s="60">
        <f t="shared" si="11"/>
        <v>7278082.9500000002</v>
      </c>
      <c r="AP41" s="60">
        <f t="shared" si="12"/>
        <v>17436990.960000001</v>
      </c>
    </row>
    <row r="42" spans="1:42" x14ac:dyDescent="0.2">
      <c r="A42" s="449">
        <v>42036</v>
      </c>
      <c r="B42" s="37">
        <v>5878380.96</v>
      </c>
      <c r="C42" s="37">
        <v>3399226.32</v>
      </c>
      <c r="D42" s="37">
        <v>292112.32</v>
      </c>
      <c r="E42" s="37">
        <v>183822.07</v>
      </c>
      <c r="F42" s="37">
        <v>2752083.61</v>
      </c>
      <c r="G42" s="37">
        <v>3564906.86</v>
      </c>
      <c r="H42" s="457"/>
      <c r="I42" s="457"/>
      <c r="J42" s="37">
        <v>19167.439999999999</v>
      </c>
      <c r="K42" s="37">
        <v>101685.09</v>
      </c>
      <c r="L42" s="60">
        <f t="shared" si="0"/>
        <v>16191384.669999998</v>
      </c>
      <c r="M42" s="457"/>
      <c r="N42" s="457"/>
      <c r="O42" s="457"/>
      <c r="P42" s="457"/>
      <c r="Q42" s="457"/>
      <c r="R42" s="457"/>
      <c r="S42" s="457"/>
      <c r="T42" s="457"/>
      <c r="U42" s="457"/>
      <c r="V42" s="457"/>
      <c r="W42" s="460">
        <v>31074.58</v>
      </c>
      <c r="X42" s="60">
        <f t="shared" si="13"/>
        <v>31074.58</v>
      </c>
      <c r="AB42" s="449">
        <v>42036</v>
      </c>
      <c r="AC42" s="37">
        <f t="shared" si="2"/>
        <v>5878380.96</v>
      </c>
      <c r="AD42" s="37">
        <f t="shared" si="3"/>
        <v>3399226.32</v>
      </c>
      <c r="AE42" s="37">
        <f t="shared" si="4"/>
        <v>292112.32</v>
      </c>
      <c r="AF42" s="37">
        <f t="shared" si="5"/>
        <v>183822.07</v>
      </c>
      <c r="AG42" s="37">
        <f t="shared" si="6"/>
        <v>2752083.61</v>
      </c>
      <c r="AH42" s="37">
        <f t="shared" si="7"/>
        <v>3564906.86</v>
      </c>
      <c r="AI42" s="457"/>
      <c r="AJ42" s="457"/>
      <c r="AK42" s="37">
        <f t="shared" si="8"/>
        <v>19167.439999999999</v>
      </c>
      <c r="AL42" s="37">
        <f t="shared" si="9"/>
        <v>101685.09</v>
      </c>
      <c r="AN42" s="60">
        <f t="shared" si="10"/>
        <v>6792924.8599999994</v>
      </c>
      <c r="AO42" s="60">
        <f t="shared" si="11"/>
        <v>6761850.2799999993</v>
      </c>
      <c r="AP42" s="60">
        <f t="shared" si="12"/>
        <v>16160310.089999998</v>
      </c>
    </row>
    <row r="43" spans="1:42" x14ac:dyDescent="0.2">
      <c r="A43" s="449">
        <v>42064</v>
      </c>
      <c r="B43" s="37">
        <v>5691167.1500000004</v>
      </c>
      <c r="C43" s="37">
        <v>3427000.83</v>
      </c>
      <c r="D43" s="37">
        <v>265851.43</v>
      </c>
      <c r="E43" s="37">
        <v>190605.6</v>
      </c>
      <c r="F43" s="37">
        <v>2884797.9</v>
      </c>
      <c r="G43" s="37">
        <v>3702837.63</v>
      </c>
      <c r="H43" s="457"/>
      <c r="I43" s="457"/>
      <c r="J43" s="37">
        <v>18747</v>
      </c>
      <c r="K43" s="37">
        <v>100695.65</v>
      </c>
      <c r="L43" s="60">
        <f t="shared" si="0"/>
        <v>16281703.189999999</v>
      </c>
      <c r="M43" s="457"/>
      <c r="N43" s="457"/>
      <c r="O43" s="457"/>
      <c r="P43" s="457"/>
      <c r="Q43" s="457"/>
      <c r="R43" s="457"/>
      <c r="S43" s="457"/>
      <c r="T43" s="457"/>
      <c r="U43" s="457"/>
      <c r="V43" s="457"/>
      <c r="W43" s="460">
        <v>26456.39</v>
      </c>
      <c r="X43" s="60">
        <f t="shared" si="13"/>
        <v>26456.39</v>
      </c>
      <c r="AB43" s="449">
        <v>42064</v>
      </c>
      <c r="AC43" s="37">
        <f t="shared" si="2"/>
        <v>5691167.1500000004</v>
      </c>
      <c r="AD43" s="37">
        <f t="shared" si="3"/>
        <v>3427000.83</v>
      </c>
      <c r="AE43" s="37">
        <f t="shared" si="4"/>
        <v>265851.43</v>
      </c>
      <c r="AF43" s="37">
        <f t="shared" si="5"/>
        <v>190605.6</v>
      </c>
      <c r="AG43" s="37">
        <f t="shared" si="6"/>
        <v>2884797.9</v>
      </c>
      <c r="AH43" s="37">
        <f t="shared" si="7"/>
        <v>3702837.63</v>
      </c>
      <c r="AI43" s="457"/>
      <c r="AJ43" s="457"/>
      <c r="AK43" s="37">
        <f t="shared" si="8"/>
        <v>18747</v>
      </c>
      <c r="AL43" s="37">
        <f t="shared" si="9"/>
        <v>100695.65</v>
      </c>
      <c r="AN43" s="60">
        <f t="shared" si="10"/>
        <v>7044092.5599999996</v>
      </c>
      <c r="AO43" s="60">
        <f t="shared" si="11"/>
        <v>7017636.1699999999</v>
      </c>
      <c r="AP43" s="60">
        <f t="shared" si="12"/>
        <v>16255246.800000001</v>
      </c>
    </row>
    <row r="44" spans="1:42" x14ac:dyDescent="0.2">
      <c r="A44" s="449">
        <v>42095</v>
      </c>
      <c r="B44" s="37">
        <v>4761388.2300000004</v>
      </c>
      <c r="C44" s="37">
        <v>2954153.91</v>
      </c>
      <c r="D44" s="37">
        <v>199157.14</v>
      </c>
      <c r="E44" s="37">
        <v>180008.83</v>
      </c>
      <c r="F44" s="37">
        <v>2605161.1</v>
      </c>
      <c r="G44" s="37">
        <v>3307824.64</v>
      </c>
      <c r="H44" s="457"/>
      <c r="I44" s="457"/>
      <c r="J44" s="37">
        <v>18378</v>
      </c>
      <c r="K44" s="37">
        <v>85427.16</v>
      </c>
      <c r="L44" s="60">
        <f t="shared" si="0"/>
        <v>14111499.010000002</v>
      </c>
      <c r="M44" s="457"/>
      <c r="N44" s="457"/>
      <c r="O44" s="457"/>
      <c r="P44" s="457"/>
      <c r="Q44" s="457"/>
      <c r="R44" s="457"/>
      <c r="S44" s="457"/>
      <c r="T44" s="457"/>
      <c r="U44" s="457"/>
      <c r="V44" s="457"/>
      <c r="W44" s="460">
        <v>31690.71</v>
      </c>
      <c r="X44" s="60">
        <f t="shared" si="13"/>
        <v>31690.71</v>
      </c>
      <c r="AB44" s="449">
        <v>42095</v>
      </c>
      <c r="AC44" s="37">
        <f t="shared" si="2"/>
        <v>4761388.2300000004</v>
      </c>
      <c r="AD44" s="37">
        <f t="shared" si="3"/>
        <v>2954153.91</v>
      </c>
      <c r="AE44" s="37">
        <f t="shared" si="4"/>
        <v>199157.14</v>
      </c>
      <c r="AF44" s="37">
        <f t="shared" si="5"/>
        <v>180008.83</v>
      </c>
      <c r="AG44" s="37">
        <f t="shared" si="6"/>
        <v>2605161.1</v>
      </c>
      <c r="AH44" s="37">
        <f t="shared" si="7"/>
        <v>3307824.64</v>
      </c>
      <c r="AI44" s="457"/>
      <c r="AJ44" s="457"/>
      <c r="AK44" s="37">
        <f t="shared" si="8"/>
        <v>18378</v>
      </c>
      <c r="AL44" s="37">
        <f t="shared" si="9"/>
        <v>85427.16</v>
      </c>
      <c r="AN44" s="60">
        <f t="shared" si="10"/>
        <v>6292151.7100000009</v>
      </c>
      <c r="AO44" s="60">
        <f t="shared" si="11"/>
        <v>6260461.0000000009</v>
      </c>
      <c r="AP44" s="60">
        <f t="shared" si="12"/>
        <v>14079808.300000001</v>
      </c>
    </row>
    <row r="45" spans="1:42" x14ac:dyDescent="0.2">
      <c r="A45" s="449">
        <v>42125</v>
      </c>
      <c r="B45" s="37">
        <v>5011526.7699999996</v>
      </c>
      <c r="C45" s="37">
        <v>3119464.9</v>
      </c>
      <c r="D45" s="37">
        <v>204250.34</v>
      </c>
      <c r="E45" s="37">
        <v>180618.04</v>
      </c>
      <c r="F45" s="37">
        <v>2784930.83</v>
      </c>
      <c r="G45" s="37">
        <v>3545732.18</v>
      </c>
      <c r="H45" s="457"/>
      <c r="I45" s="457"/>
      <c r="J45" s="37">
        <v>18378</v>
      </c>
      <c r="K45" s="37">
        <v>70674.13</v>
      </c>
      <c r="L45" s="60">
        <f t="shared" si="0"/>
        <v>14935575.189999999</v>
      </c>
      <c r="M45" s="457"/>
      <c r="N45" s="457"/>
      <c r="O45" s="457"/>
      <c r="P45" s="457"/>
      <c r="Q45" s="457"/>
      <c r="R45" s="457"/>
      <c r="S45" s="457"/>
      <c r="T45" s="457"/>
      <c r="U45" s="457"/>
      <c r="V45" s="457"/>
      <c r="W45" s="460">
        <v>31347.25</v>
      </c>
      <c r="X45" s="60">
        <f t="shared" si="13"/>
        <v>31347.25</v>
      </c>
      <c r="AB45" s="449">
        <v>42125</v>
      </c>
      <c r="AC45" s="37">
        <f t="shared" si="2"/>
        <v>5011526.7699999996</v>
      </c>
      <c r="AD45" s="37">
        <f t="shared" si="3"/>
        <v>3119464.9</v>
      </c>
      <c r="AE45" s="37">
        <f t="shared" si="4"/>
        <v>204250.34</v>
      </c>
      <c r="AF45" s="37">
        <f t="shared" si="5"/>
        <v>180618.04</v>
      </c>
      <c r="AG45" s="37">
        <f t="shared" si="6"/>
        <v>2784930.83</v>
      </c>
      <c r="AH45" s="37">
        <f t="shared" si="7"/>
        <v>3545732.18</v>
      </c>
      <c r="AI45" s="457"/>
      <c r="AJ45" s="457"/>
      <c r="AK45" s="37">
        <f t="shared" si="8"/>
        <v>18378</v>
      </c>
      <c r="AL45" s="37">
        <f t="shared" si="9"/>
        <v>70674.13</v>
      </c>
      <c r="AN45" s="60">
        <f t="shared" si="10"/>
        <v>6715531.3900000006</v>
      </c>
      <c r="AO45" s="60">
        <f t="shared" si="11"/>
        <v>6684184.1400000006</v>
      </c>
      <c r="AP45" s="60">
        <f t="shared" si="12"/>
        <v>14904227.940000001</v>
      </c>
    </row>
    <row r="46" spans="1:42" x14ac:dyDescent="0.2">
      <c r="A46" s="449">
        <v>42156</v>
      </c>
      <c r="B46" s="37">
        <v>5615306.0800000001</v>
      </c>
      <c r="C46" s="37">
        <v>3339587.53</v>
      </c>
      <c r="D46" s="37">
        <v>205301.14</v>
      </c>
      <c r="E46" s="37">
        <v>170943.14</v>
      </c>
      <c r="F46" s="37">
        <v>2824605.34</v>
      </c>
      <c r="G46" s="37">
        <v>3586748.24</v>
      </c>
      <c r="H46" s="457"/>
      <c r="I46" s="457"/>
      <c r="J46" s="37">
        <v>18378</v>
      </c>
      <c r="K46" s="37">
        <v>51379.199999999997</v>
      </c>
      <c r="L46" s="60">
        <f t="shared" si="0"/>
        <v>15812248.67</v>
      </c>
      <c r="M46" s="457"/>
      <c r="N46" s="457"/>
      <c r="O46" s="457"/>
      <c r="P46" s="457"/>
      <c r="Q46" s="457"/>
      <c r="R46" s="457"/>
      <c r="S46" s="457"/>
      <c r="T46" s="457"/>
      <c r="U46" s="457"/>
      <c r="V46" s="457"/>
      <c r="W46" s="460">
        <v>32170.880000000001</v>
      </c>
      <c r="X46" s="60">
        <f t="shared" si="13"/>
        <v>32170.880000000001</v>
      </c>
      <c r="AB46" s="449">
        <v>42156</v>
      </c>
      <c r="AC46" s="37">
        <f t="shared" si="2"/>
        <v>5615306.0800000001</v>
      </c>
      <c r="AD46" s="37">
        <f t="shared" si="3"/>
        <v>3339587.53</v>
      </c>
      <c r="AE46" s="37">
        <f t="shared" si="4"/>
        <v>205301.14</v>
      </c>
      <c r="AF46" s="37">
        <f t="shared" si="5"/>
        <v>170943.14</v>
      </c>
      <c r="AG46" s="37">
        <f t="shared" si="6"/>
        <v>2824605.34</v>
      </c>
      <c r="AH46" s="37">
        <f t="shared" si="7"/>
        <v>3586748.24</v>
      </c>
      <c r="AI46" s="457"/>
      <c r="AJ46" s="457"/>
      <c r="AK46" s="37">
        <f t="shared" si="8"/>
        <v>18378</v>
      </c>
      <c r="AL46" s="37">
        <f t="shared" si="9"/>
        <v>51379.199999999997</v>
      </c>
      <c r="AN46" s="60">
        <f t="shared" si="10"/>
        <v>6787597.8600000003</v>
      </c>
      <c r="AO46" s="60">
        <f t="shared" si="11"/>
        <v>6755426.9800000004</v>
      </c>
      <c r="AP46" s="60">
        <f t="shared" si="12"/>
        <v>15780077.789999999</v>
      </c>
    </row>
    <row r="47" spans="1:42" x14ac:dyDescent="0.2">
      <c r="A47" s="449">
        <v>42186</v>
      </c>
      <c r="B47" s="37">
        <v>7147308.1699999999</v>
      </c>
      <c r="C47" s="37">
        <v>4095753.66</v>
      </c>
      <c r="D47" s="37">
        <v>220339.15</v>
      </c>
      <c r="E47" s="37">
        <v>185746.01</v>
      </c>
      <c r="F47" s="37">
        <v>3123271.5</v>
      </c>
      <c r="G47" s="37">
        <v>4099160.64</v>
      </c>
      <c r="H47" s="457"/>
      <c r="I47" s="457"/>
      <c r="J47" s="37">
        <v>18378</v>
      </c>
      <c r="K47" s="37">
        <v>55171.61</v>
      </c>
      <c r="L47" s="60">
        <f t="shared" si="0"/>
        <v>18945128.739999998</v>
      </c>
      <c r="M47" s="457"/>
      <c r="N47" s="457"/>
      <c r="O47" s="457"/>
      <c r="P47" s="457"/>
      <c r="Q47" s="457"/>
      <c r="R47" s="457"/>
      <c r="S47" s="457"/>
      <c r="T47" s="457"/>
      <c r="U47" s="457"/>
      <c r="V47" s="457"/>
      <c r="W47" s="460">
        <v>33770.019999999997</v>
      </c>
      <c r="X47" s="60">
        <f t="shared" si="13"/>
        <v>33770.019999999997</v>
      </c>
      <c r="AB47" s="449">
        <v>42186</v>
      </c>
      <c r="AC47" s="37">
        <f t="shared" si="2"/>
        <v>7147308.1699999999</v>
      </c>
      <c r="AD47" s="37">
        <f t="shared" si="3"/>
        <v>4095753.66</v>
      </c>
      <c r="AE47" s="37">
        <f t="shared" si="4"/>
        <v>220339.15</v>
      </c>
      <c r="AF47" s="37">
        <f t="shared" si="5"/>
        <v>185746.01</v>
      </c>
      <c r="AG47" s="37">
        <f t="shared" si="6"/>
        <v>3123271.5</v>
      </c>
      <c r="AH47" s="37">
        <f t="shared" si="7"/>
        <v>4099160.64</v>
      </c>
      <c r="AI47" s="457"/>
      <c r="AJ47" s="457"/>
      <c r="AK47" s="37">
        <f t="shared" si="8"/>
        <v>18378</v>
      </c>
      <c r="AL47" s="37">
        <f t="shared" si="9"/>
        <v>55171.61</v>
      </c>
      <c r="AN47" s="60">
        <f t="shared" si="10"/>
        <v>7628517.3000000007</v>
      </c>
      <c r="AO47" s="60">
        <f t="shared" si="11"/>
        <v>7594747.2800000012</v>
      </c>
      <c r="AP47" s="60">
        <f t="shared" si="12"/>
        <v>18911358.719999999</v>
      </c>
    </row>
    <row r="48" spans="1:42" x14ac:dyDescent="0.2">
      <c r="A48" s="449">
        <v>42217</v>
      </c>
      <c r="B48" s="37">
        <v>7263501.4500000002</v>
      </c>
      <c r="C48" s="37">
        <v>4275684.3</v>
      </c>
      <c r="D48" s="37">
        <v>231911.06</v>
      </c>
      <c r="E48" s="37">
        <v>204978.92</v>
      </c>
      <c r="F48" s="37">
        <v>3417841.36</v>
      </c>
      <c r="G48" s="37">
        <v>3975982.42</v>
      </c>
      <c r="H48" s="457"/>
      <c r="I48" s="457"/>
      <c r="J48" s="37">
        <v>18378</v>
      </c>
      <c r="K48" s="37">
        <v>61965.01</v>
      </c>
      <c r="L48" s="60">
        <f t="shared" si="0"/>
        <v>19450242.52</v>
      </c>
      <c r="M48" s="457"/>
      <c r="N48" s="457"/>
      <c r="O48" s="457"/>
      <c r="P48" s="457"/>
      <c r="Q48" s="457"/>
      <c r="R48" s="457"/>
      <c r="S48" s="457"/>
      <c r="T48" s="457"/>
      <c r="U48" s="457"/>
      <c r="V48" s="457"/>
      <c r="W48" s="460">
        <v>35801.519999999997</v>
      </c>
      <c r="X48" s="60">
        <f t="shared" si="13"/>
        <v>35801.519999999997</v>
      </c>
      <c r="AB48" s="449">
        <v>42217</v>
      </c>
      <c r="AC48" s="37">
        <f t="shared" si="2"/>
        <v>7263501.4500000002</v>
      </c>
      <c r="AD48" s="37">
        <f t="shared" si="3"/>
        <v>4275684.3</v>
      </c>
      <c r="AE48" s="37">
        <f t="shared" si="4"/>
        <v>231911.06</v>
      </c>
      <c r="AF48" s="37">
        <f t="shared" si="5"/>
        <v>204978.92</v>
      </c>
      <c r="AG48" s="37">
        <f t="shared" si="6"/>
        <v>3417841.36</v>
      </c>
      <c r="AH48" s="37">
        <f t="shared" si="7"/>
        <v>3975982.42</v>
      </c>
      <c r="AI48" s="457"/>
      <c r="AJ48" s="457"/>
      <c r="AK48" s="37">
        <f t="shared" si="8"/>
        <v>18378</v>
      </c>
      <c r="AL48" s="37">
        <f t="shared" si="9"/>
        <v>61965.01</v>
      </c>
      <c r="AN48" s="60">
        <f t="shared" si="10"/>
        <v>7830713.7599999998</v>
      </c>
      <c r="AO48" s="60">
        <f t="shared" si="11"/>
        <v>7794912.2400000002</v>
      </c>
      <c r="AP48" s="60">
        <f t="shared" si="12"/>
        <v>19414441</v>
      </c>
    </row>
    <row r="49" spans="1:42" x14ac:dyDescent="0.2">
      <c r="A49" s="449">
        <v>42248</v>
      </c>
      <c r="B49" s="37">
        <v>6137261.2599999998</v>
      </c>
      <c r="C49" s="37">
        <v>3667948.46</v>
      </c>
      <c r="D49" s="37">
        <v>197483.25</v>
      </c>
      <c r="E49" s="37">
        <v>193325.98</v>
      </c>
      <c r="F49" s="37">
        <v>2984245.92</v>
      </c>
      <c r="G49" s="37">
        <v>3848171.15</v>
      </c>
      <c r="H49" s="457"/>
      <c r="I49" s="457"/>
      <c r="J49" s="37">
        <v>18378</v>
      </c>
      <c r="K49" s="37">
        <v>68362.67</v>
      </c>
      <c r="L49" s="60">
        <f t="shared" si="0"/>
        <v>17115176.690000001</v>
      </c>
      <c r="M49" s="457"/>
      <c r="N49" s="457"/>
      <c r="O49" s="457"/>
      <c r="P49" s="457"/>
      <c r="Q49" s="457"/>
      <c r="R49" s="457"/>
      <c r="S49" s="457"/>
      <c r="T49" s="457"/>
      <c r="U49" s="457"/>
      <c r="V49" s="457"/>
      <c r="W49" s="460">
        <v>38881.75</v>
      </c>
      <c r="X49" s="60">
        <f t="shared" si="13"/>
        <v>38881.75</v>
      </c>
      <c r="AB49" s="449">
        <v>42248</v>
      </c>
      <c r="AC49" s="37">
        <f t="shared" si="2"/>
        <v>6137261.2599999998</v>
      </c>
      <c r="AD49" s="37">
        <f t="shared" si="3"/>
        <v>3667948.46</v>
      </c>
      <c r="AE49" s="37">
        <f t="shared" si="4"/>
        <v>197483.25</v>
      </c>
      <c r="AF49" s="37">
        <f t="shared" si="5"/>
        <v>193325.98</v>
      </c>
      <c r="AG49" s="37">
        <f t="shared" si="6"/>
        <v>2984245.92</v>
      </c>
      <c r="AH49" s="37">
        <f t="shared" si="7"/>
        <v>3848171.15</v>
      </c>
      <c r="AI49" s="457"/>
      <c r="AJ49" s="457"/>
      <c r="AK49" s="37">
        <f t="shared" si="8"/>
        <v>18378</v>
      </c>
      <c r="AL49" s="37">
        <f t="shared" si="9"/>
        <v>68362.67</v>
      </c>
      <c r="AN49" s="60">
        <f t="shared" si="10"/>
        <v>7223226.2999999998</v>
      </c>
      <c r="AO49" s="60">
        <f t="shared" si="11"/>
        <v>7184344.5499999998</v>
      </c>
      <c r="AP49" s="60">
        <f t="shared" si="12"/>
        <v>17076294.939999998</v>
      </c>
    </row>
    <row r="50" spans="1:42" x14ac:dyDescent="0.2">
      <c r="A50" s="449">
        <v>42278</v>
      </c>
      <c r="B50" s="37">
        <v>4988845.8499999996</v>
      </c>
      <c r="C50" s="37">
        <v>3108858.21</v>
      </c>
      <c r="D50" s="37">
        <v>195102.21</v>
      </c>
      <c r="E50" s="37">
        <v>196506.57</v>
      </c>
      <c r="F50" s="37">
        <v>2735739.26</v>
      </c>
      <c r="G50" s="37">
        <v>3467040.39</v>
      </c>
      <c r="H50" s="457"/>
      <c r="I50" s="457"/>
      <c r="J50" s="37">
        <v>18378</v>
      </c>
      <c r="K50" s="37">
        <v>79674.009999999995</v>
      </c>
      <c r="L50" s="60">
        <f t="shared" si="0"/>
        <v>14790144.5</v>
      </c>
      <c r="M50" s="457"/>
      <c r="N50" s="457"/>
      <c r="O50" s="457"/>
      <c r="P50" s="457"/>
      <c r="Q50" s="457"/>
      <c r="R50" s="457"/>
      <c r="S50" s="457"/>
      <c r="T50" s="457"/>
      <c r="U50" s="457"/>
      <c r="V50" s="457"/>
      <c r="W50" s="460">
        <v>48755.74</v>
      </c>
      <c r="X50" s="60">
        <f t="shared" si="13"/>
        <v>48755.74</v>
      </c>
      <c r="AB50" s="449">
        <v>42278</v>
      </c>
      <c r="AC50" s="37">
        <f t="shared" si="2"/>
        <v>4988845.8499999996</v>
      </c>
      <c r="AD50" s="37">
        <f t="shared" si="3"/>
        <v>3108858.21</v>
      </c>
      <c r="AE50" s="37">
        <f t="shared" si="4"/>
        <v>195102.21</v>
      </c>
      <c r="AF50" s="37">
        <f t="shared" si="5"/>
        <v>196506.57</v>
      </c>
      <c r="AG50" s="37">
        <f t="shared" si="6"/>
        <v>2735739.26</v>
      </c>
      <c r="AH50" s="37">
        <f t="shared" si="7"/>
        <v>3467040.39</v>
      </c>
      <c r="AI50" s="457"/>
      <c r="AJ50" s="457"/>
      <c r="AK50" s="37">
        <f t="shared" si="8"/>
        <v>18378</v>
      </c>
      <c r="AL50" s="37">
        <f t="shared" si="9"/>
        <v>79674.009999999995</v>
      </c>
      <c r="AN50" s="60">
        <f t="shared" si="10"/>
        <v>6594388.4299999997</v>
      </c>
      <c r="AO50" s="60">
        <f t="shared" si="11"/>
        <v>6545632.6899999995</v>
      </c>
      <c r="AP50" s="60">
        <f t="shared" si="12"/>
        <v>14741388.759999998</v>
      </c>
    </row>
    <row r="51" spans="1:42" x14ac:dyDescent="0.2">
      <c r="A51" s="449">
        <v>42309</v>
      </c>
      <c r="B51" s="37">
        <v>4938972.0199999996</v>
      </c>
      <c r="C51" s="37">
        <v>3021347.66</v>
      </c>
      <c r="D51" s="37">
        <v>211795.71</v>
      </c>
      <c r="E51" s="37">
        <v>184593.35</v>
      </c>
      <c r="F51" s="37">
        <v>2520197.41</v>
      </c>
      <c r="G51" s="37">
        <v>3250135.19</v>
      </c>
      <c r="H51" s="457"/>
      <c r="I51" s="457"/>
      <c r="J51" s="37">
        <v>18405.73</v>
      </c>
      <c r="K51" s="37">
        <v>85204.87</v>
      </c>
      <c r="L51" s="60">
        <f t="shared" si="0"/>
        <v>14230651.939999998</v>
      </c>
      <c r="M51" s="457"/>
      <c r="N51" s="457"/>
      <c r="O51" s="457"/>
      <c r="P51" s="457"/>
      <c r="Q51" s="457"/>
      <c r="R51" s="457"/>
      <c r="S51" s="457"/>
      <c r="T51" s="457"/>
      <c r="U51" s="457"/>
      <c r="V51" s="457"/>
      <c r="W51" s="460">
        <v>52182.13</v>
      </c>
      <c r="X51" s="60">
        <f t="shared" si="13"/>
        <v>52182.13</v>
      </c>
      <c r="AB51" s="449">
        <v>42309</v>
      </c>
      <c r="AC51" s="37">
        <f t="shared" si="2"/>
        <v>4938972.0199999996</v>
      </c>
      <c r="AD51" s="37">
        <f t="shared" si="3"/>
        <v>3021347.66</v>
      </c>
      <c r="AE51" s="37">
        <f t="shared" si="4"/>
        <v>211795.71</v>
      </c>
      <c r="AF51" s="37">
        <f t="shared" si="5"/>
        <v>184593.35</v>
      </c>
      <c r="AG51" s="37">
        <f t="shared" si="6"/>
        <v>2520197.41</v>
      </c>
      <c r="AH51" s="37">
        <f t="shared" si="7"/>
        <v>3250135.19</v>
      </c>
      <c r="AI51" s="457"/>
      <c r="AJ51" s="457"/>
      <c r="AK51" s="37">
        <f t="shared" si="8"/>
        <v>18405.73</v>
      </c>
      <c r="AL51" s="37">
        <f t="shared" si="9"/>
        <v>85204.87</v>
      </c>
      <c r="AN51" s="60">
        <f t="shared" si="10"/>
        <v>6166721.6600000001</v>
      </c>
      <c r="AO51" s="60">
        <f t="shared" si="11"/>
        <v>6114539.5300000003</v>
      </c>
      <c r="AP51" s="60">
        <f t="shared" si="12"/>
        <v>14178469.810000001</v>
      </c>
    </row>
    <row r="52" spans="1:42" x14ac:dyDescent="0.2">
      <c r="A52" s="449">
        <v>42339</v>
      </c>
      <c r="B52" s="37">
        <v>5736180.4199999999</v>
      </c>
      <c r="C52" s="37">
        <v>3201509.63</v>
      </c>
      <c r="D52" s="37">
        <v>244133.33</v>
      </c>
      <c r="E52" s="37">
        <v>195851.12</v>
      </c>
      <c r="F52" s="37">
        <v>2498012.87</v>
      </c>
      <c r="G52" s="37">
        <v>3291535.89</v>
      </c>
      <c r="H52" s="457"/>
      <c r="I52" s="457"/>
      <c r="J52" s="37">
        <v>19865.04</v>
      </c>
      <c r="K52" s="37">
        <v>92186.28</v>
      </c>
      <c r="L52" s="60">
        <f t="shared" si="0"/>
        <v>15279274.58</v>
      </c>
      <c r="M52" s="457"/>
      <c r="N52" s="457"/>
      <c r="O52" s="457"/>
      <c r="P52" s="457"/>
      <c r="Q52" s="457"/>
      <c r="R52" s="457"/>
      <c r="S52" s="457"/>
      <c r="T52" s="457"/>
      <c r="U52" s="457"/>
      <c r="V52" s="457"/>
      <c r="W52" s="460">
        <v>66868.97</v>
      </c>
      <c r="X52" s="60">
        <f t="shared" si="13"/>
        <v>66868.97</v>
      </c>
      <c r="AB52" s="449">
        <v>42339</v>
      </c>
      <c r="AC52" s="37">
        <f t="shared" si="2"/>
        <v>5736180.4199999999</v>
      </c>
      <c r="AD52" s="37">
        <f t="shared" si="3"/>
        <v>3201509.63</v>
      </c>
      <c r="AE52" s="37">
        <f t="shared" si="4"/>
        <v>244133.33</v>
      </c>
      <c r="AF52" s="37">
        <f t="shared" si="5"/>
        <v>195851.12</v>
      </c>
      <c r="AG52" s="37">
        <f t="shared" si="6"/>
        <v>2498012.87</v>
      </c>
      <c r="AH52" s="37">
        <f t="shared" si="7"/>
        <v>3291535.89</v>
      </c>
      <c r="AI52" s="457"/>
      <c r="AJ52" s="457"/>
      <c r="AK52" s="37">
        <f t="shared" si="8"/>
        <v>19865.04</v>
      </c>
      <c r="AL52" s="37">
        <f t="shared" si="9"/>
        <v>92186.28</v>
      </c>
      <c r="AN52" s="60">
        <f t="shared" si="10"/>
        <v>6229533.2100000009</v>
      </c>
      <c r="AO52" s="60">
        <f t="shared" si="11"/>
        <v>6162664.2400000012</v>
      </c>
      <c r="AP52" s="60">
        <f t="shared" si="12"/>
        <v>15212405.609999999</v>
      </c>
    </row>
    <row r="53" spans="1:42" x14ac:dyDescent="0.2">
      <c r="A53" s="449">
        <v>42370</v>
      </c>
      <c r="B53" s="37">
        <v>6220643.3600000003</v>
      </c>
      <c r="C53" s="37">
        <v>3614481.04</v>
      </c>
      <c r="D53" s="37">
        <v>295683.8</v>
      </c>
      <c r="E53" s="37">
        <v>262255.87</v>
      </c>
      <c r="F53" s="37">
        <v>2690759.73</v>
      </c>
      <c r="G53" s="37">
        <v>3505062.56</v>
      </c>
      <c r="H53" s="457"/>
      <c r="I53" s="457"/>
      <c r="J53" s="37">
        <v>19684.810000000001</v>
      </c>
      <c r="K53" s="37">
        <v>89866.31</v>
      </c>
      <c r="L53" s="60">
        <f t="shared" si="0"/>
        <v>16698437.480000002</v>
      </c>
      <c r="M53" s="457"/>
      <c r="N53" s="457"/>
      <c r="O53" s="457"/>
      <c r="P53" s="457"/>
      <c r="Q53" s="457"/>
      <c r="R53" s="457"/>
      <c r="S53" s="457"/>
      <c r="T53" s="457"/>
      <c r="U53" s="457"/>
      <c r="V53" s="457"/>
      <c r="W53" s="460">
        <v>105288.17</v>
      </c>
      <c r="X53" s="60">
        <f t="shared" si="13"/>
        <v>105288.17</v>
      </c>
      <c r="AB53" s="449">
        <v>42370</v>
      </c>
      <c r="AC53" s="37">
        <f t="shared" si="2"/>
        <v>6220643.3600000003</v>
      </c>
      <c r="AD53" s="37">
        <f t="shared" si="3"/>
        <v>3614481.04</v>
      </c>
      <c r="AE53" s="37">
        <f t="shared" si="4"/>
        <v>295683.8</v>
      </c>
      <c r="AF53" s="37">
        <f t="shared" si="5"/>
        <v>262255.87</v>
      </c>
      <c r="AG53" s="37">
        <f t="shared" si="6"/>
        <v>2690759.73</v>
      </c>
      <c r="AH53" s="37">
        <f t="shared" si="7"/>
        <v>3505062.56</v>
      </c>
      <c r="AI53" s="457"/>
      <c r="AJ53" s="457"/>
      <c r="AK53" s="37">
        <f t="shared" si="8"/>
        <v>19684.810000000001</v>
      </c>
      <c r="AL53" s="37">
        <f t="shared" si="9"/>
        <v>89866.31</v>
      </c>
      <c r="AN53" s="60">
        <f t="shared" si="10"/>
        <v>6753761.96</v>
      </c>
      <c r="AO53" s="60">
        <f t="shared" si="11"/>
        <v>6648473.79</v>
      </c>
      <c r="AP53" s="60">
        <f t="shared" si="12"/>
        <v>16593149.310000002</v>
      </c>
    </row>
    <row r="54" spans="1:42" x14ac:dyDescent="0.2">
      <c r="A54" s="449">
        <v>42401</v>
      </c>
      <c r="B54" s="37">
        <v>5534016.0599999996</v>
      </c>
      <c r="C54" s="37">
        <v>3359106.96</v>
      </c>
      <c r="D54" s="37">
        <v>259065</v>
      </c>
      <c r="E54" s="37">
        <v>291530.71999999997</v>
      </c>
      <c r="F54" s="37">
        <v>2411214.27</v>
      </c>
      <c r="G54" s="37">
        <v>3380806.81</v>
      </c>
      <c r="H54" s="457"/>
      <c r="I54" s="457"/>
      <c r="J54" s="37">
        <v>18514.419999999998</v>
      </c>
      <c r="K54" s="37">
        <v>77514.009999999995</v>
      </c>
      <c r="L54" s="60">
        <f t="shared" si="0"/>
        <v>15331768.25</v>
      </c>
      <c r="M54" s="457"/>
      <c r="N54" s="457"/>
      <c r="O54" s="457"/>
      <c r="P54" s="457"/>
      <c r="Q54" s="457"/>
      <c r="R54" s="457"/>
      <c r="S54" s="457"/>
      <c r="T54" s="457"/>
      <c r="U54" s="457"/>
      <c r="V54" s="457"/>
      <c r="W54" s="460">
        <v>130765.21</v>
      </c>
      <c r="X54" s="60">
        <f t="shared" si="13"/>
        <v>130765.21</v>
      </c>
      <c r="AB54" s="449">
        <v>42401</v>
      </c>
      <c r="AC54" s="37">
        <f t="shared" si="2"/>
        <v>5534016.0599999996</v>
      </c>
      <c r="AD54" s="37">
        <f t="shared" si="3"/>
        <v>3359106.96</v>
      </c>
      <c r="AE54" s="37">
        <f t="shared" si="4"/>
        <v>259065</v>
      </c>
      <c r="AF54" s="37">
        <f t="shared" si="5"/>
        <v>291530.71999999997</v>
      </c>
      <c r="AG54" s="37">
        <f t="shared" si="6"/>
        <v>2411214.27</v>
      </c>
      <c r="AH54" s="37">
        <f t="shared" si="7"/>
        <v>3380806.81</v>
      </c>
      <c r="AI54" s="457"/>
      <c r="AJ54" s="457"/>
      <c r="AK54" s="37">
        <f t="shared" si="8"/>
        <v>18514.419999999998</v>
      </c>
      <c r="AL54" s="37">
        <f t="shared" si="9"/>
        <v>77514.009999999995</v>
      </c>
      <c r="AN54" s="60">
        <f t="shared" si="10"/>
        <v>6342616.8000000007</v>
      </c>
      <c r="AO54" s="60">
        <f t="shared" si="11"/>
        <v>6211851.5900000008</v>
      </c>
      <c r="AP54" s="60">
        <f t="shared" si="12"/>
        <v>15201003.039999999</v>
      </c>
    </row>
    <row r="55" spans="1:42" x14ac:dyDescent="0.2">
      <c r="A55" s="449">
        <v>42430</v>
      </c>
      <c r="B55" s="37">
        <v>5298064.8499999996</v>
      </c>
      <c r="C55" s="37">
        <v>3396219.23</v>
      </c>
      <c r="D55" s="37">
        <v>246680.62</v>
      </c>
      <c r="E55" s="37">
        <v>287933.59000000003</v>
      </c>
      <c r="F55" s="37">
        <v>2536270.14</v>
      </c>
      <c r="G55" s="37">
        <v>3425833.33</v>
      </c>
      <c r="H55" s="457"/>
      <c r="I55" s="457"/>
      <c r="J55" s="37">
        <v>18378</v>
      </c>
      <c r="K55" s="37">
        <v>74685.55</v>
      </c>
      <c r="L55" s="60">
        <f t="shared" si="0"/>
        <v>15284065.310000001</v>
      </c>
      <c r="M55" s="457"/>
      <c r="N55" s="457"/>
      <c r="O55" s="457"/>
      <c r="P55" s="457"/>
      <c r="Q55" s="457"/>
      <c r="R55" s="457"/>
      <c r="S55" s="457"/>
      <c r="T55" s="457"/>
      <c r="U55" s="457"/>
      <c r="V55" s="457"/>
      <c r="W55" s="460">
        <v>124335.58</v>
      </c>
      <c r="X55" s="60">
        <f t="shared" si="13"/>
        <v>124335.58</v>
      </c>
      <c r="AB55" s="449">
        <v>42430</v>
      </c>
      <c r="AC55" s="37">
        <f t="shared" si="2"/>
        <v>5298064.8499999996</v>
      </c>
      <c r="AD55" s="37">
        <f t="shared" si="3"/>
        <v>3396219.23</v>
      </c>
      <c r="AE55" s="37">
        <f t="shared" si="4"/>
        <v>246680.62</v>
      </c>
      <c r="AF55" s="37">
        <f t="shared" si="5"/>
        <v>287933.59000000003</v>
      </c>
      <c r="AG55" s="37">
        <f t="shared" si="6"/>
        <v>2536270.14</v>
      </c>
      <c r="AH55" s="37">
        <f t="shared" si="7"/>
        <v>3425833.33</v>
      </c>
      <c r="AI55" s="457"/>
      <c r="AJ55" s="457"/>
      <c r="AK55" s="37">
        <f t="shared" si="8"/>
        <v>18378</v>
      </c>
      <c r="AL55" s="37">
        <f t="shared" si="9"/>
        <v>74685.55</v>
      </c>
      <c r="AN55" s="60">
        <f t="shared" si="10"/>
        <v>6496717.6799999997</v>
      </c>
      <c r="AO55" s="60">
        <f t="shared" si="11"/>
        <v>6372382.0999999996</v>
      </c>
      <c r="AP55" s="60">
        <f t="shared" si="12"/>
        <v>15159729.73</v>
      </c>
    </row>
    <row r="56" spans="1:42" x14ac:dyDescent="0.2">
      <c r="A56" s="449">
        <v>42461</v>
      </c>
      <c r="B56" s="37">
        <v>4951857.42</v>
      </c>
      <c r="C56" s="37">
        <v>3226279.97</v>
      </c>
      <c r="D56" s="37">
        <v>219460.24</v>
      </c>
      <c r="E56" s="37">
        <v>252613.09</v>
      </c>
      <c r="F56" s="37">
        <v>2419563.3199999998</v>
      </c>
      <c r="G56" s="37">
        <v>3234586.29</v>
      </c>
      <c r="H56" s="457"/>
      <c r="I56" s="457"/>
      <c r="J56" s="37">
        <v>18378</v>
      </c>
      <c r="K56" s="37">
        <v>63360.98</v>
      </c>
      <c r="L56" s="60">
        <f t="shared" si="0"/>
        <v>14386099.310000002</v>
      </c>
      <c r="M56" s="457"/>
      <c r="N56" s="457"/>
      <c r="O56" s="457"/>
      <c r="P56" s="457"/>
      <c r="Q56" s="457"/>
      <c r="R56" s="457"/>
      <c r="S56" s="457"/>
      <c r="T56" s="457"/>
      <c r="U56" s="457"/>
      <c r="V56" s="457"/>
      <c r="W56" s="460">
        <v>101717.07</v>
      </c>
      <c r="X56" s="60">
        <f t="shared" si="13"/>
        <v>101717.07</v>
      </c>
      <c r="AB56" s="449">
        <v>42461</v>
      </c>
      <c r="AC56" s="37">
        <f t="shared" si="2"/>
        <v>4951857.42</v>
      </c>
      <c r="AD56" s="37">
        <f t="shared" si="3"/>
        <v>3226279.97</v>
      </c>
      <c r="AE56" s="37">
        <f t="shared" si="4"/>
        <v>219460.24</v>
      </c>
      <c r="AF56" s="37">
        <f t="shared" si="5"/>
        <v>252613.09</v>
      </c>
      <c r="AG56" s="37">
        <f t="shared" si="6"/>
        <v>2419563.3199999998</v>
      </c>
      <c r="AH56" s="37">
        <f>+G56</f>
        <v>3234586.29</v>
      </c>
      <c r="AI56" s="457"/>
      <c r="AJ56" s="457"/>
      <c r="AK56" s="37">
        <f t="shared" si="8"/>
        <v>18378</v>
      </c>
      <c r="AL56" s="37">
        <f t="shared" si="9"/>
        <v>63360.98</v>
      </c>
      <c r="AN56" s="60">
        <f t="shared" si="10"/>
        <v>6126222.9399999995</v>
      </c>
      <c r="AO56" s="60">
        <f t="shared" si="11"/>
        <v>6024505.8699999992</v>
      </c>
      <c r="AP56" s="60">
        <f t="shared" si="12"/>
        <v>14284382.24</v>
      </c>
    </row>
    <row r="57" spans="1:42" x14ac:dyDescent="0.2">
      <c r="A57" s="449">
        <v>42491</v>
      </c>
      <c r="B57" s="37">
        <v>5322667.1900000004</v>
      </c>
      <c r="C57" s="37">
        <v>3368298.47</v>
      </c>
      <c r="D57" s="37">
        <v>203267.67</v>
      </c>
      <c r="E57" s="37">
        <v>255308.94</v>
      </c>
      <c r="F57" s="37">
        <v>2624282.48</v>
      </c>
      <c r="G57" s="37">
        <v>3440503.53</v>
      </c>
      <c r="H57" s="457"/>
      <c r="I57" s="457"/>
      <c r="J57" s="37">
        <v>18125</v>
      </c>
      <c r="K57" s="37">
        <v>57690.36</v>
      </c>
      <c r="L57" s="60">
        <f t="shared" si="0"/>
        <v>15290143.639999999</v>
      </c>
      <c r="M57" s="457"/>
      <c r="N57" s="457"/>
      <c r="O57" s="457"/>
      <c r="P57" s="457"/>
      <c r="Q57" s="457"/>
      <c r="R57" s="457"/>
      <c r="S57" s="457"/>
      <c r="T57" s="457"/>
      <c r="U57" s="457"/>
      <c r="V57" s="457"/>
      <c r="W57" s="460">
        <v>94113</v>
      </c>
      <c r="X57" s="60">
        <f t="shared" si="13"/>
        <v>94113</v>
      </c>
      <c r="AB57" s="449">
        <v>42491</v>
      </c>
      <c r="AC57" s="37">
        <f t="shared" si="2"/>
        <v>5322667.1900000004</v>
      </c>
      <c r="AD57" s="37">
        <f t="shared" si="3"/>
        <v>3368298.47</v>
      </c>
      <c r="AE57" s="37">
        <f t="shared" si="4"/>
        <v>203267.67</v>
      </c>
      <c r="AF57" s="37">
        <f t="shared" si="5"/>
        <v>255308.94</v>
      </c>
      <c r="AG57" s="37">
        <f t="shared" si="6"/>
        <v>2624282.48</v>
      </c>
      <c r="AH57" s="37">
        <f t="shared" si="7"/>
        <v>3440503.53</v>
      </c>
      <c r="AI57" s="457"/>
      <c r="AJ57" s="457"/>
      <c r="AK57" s="37">
        <f t="shared" si="8"/>
        <v>18125</v>
      </c>
      <c r="AL57" s="37">
        <f t="shared" si="9"/>
        <v>57690.36</v>
      </c>
      <c r="AN57" s="60">
        <f t="shared" si="10"/>
        <v>6523362.6199999992</v>
      </c>
      <c r="AO57" s="60">
        <f t="shared" si="11"/>
        <v>6429249.6199999992</v>
      </c>
      <c r="AP57" s="60">
        <f t="shared" si="12"/>
        <v>15196030.639999999</v>
      </c>
    </row>
    <row r="58" spans="1:42" x14ac:dyDescent="0.2">
      <c r="A58" s="452">
        <v>42522</v>
      </c>
      <c r="B58" s="453">
        <v>6375093.2599999998</v>
      </c>
      <c r="C58" s="453">
        <v>4042293.12</v>
      </c>
      <c r="D58" s="453">
        <v>438829.34</v>
      </c>
      <c r="E58" s="453">
        <v>498853.76</v>
      </c>
      <c r="F58" s="453">
        <v>5460714.2999999998</v>
      </c>
      <c r="G58" s="453">
        <v>6545280.7999999998</v>
      </c>
      <c r="H58" s="457"/>
      <c r="I58" s="457"/>
      <c r="J58" s="453">
        <v>36250</v>
      </c>
      <c r="K58" s="453">
        <v>104213.84</v>
      </c>
      <c r="L58" s="60">
        <f t="shared" si="0"/>
        <v>23501528.419999998</v>
      </c>
      <c r="M58" s="457"/>
      <c r="N58" s="457"/>
      <c r="O58" s="457"/>
      <c r="P58" s="457"/>
      <c r="Q58" s="457"/>
      <c r="R58" s="457"/>
      <c r="S58" s="457"/>
      <c r="T58" s="457"/>
      <c r="U58" s="457"/>
      <c r="V58" s="457"/>
      <c r="W58" s="460">
        <v>241152</v>
      </c>
      <c r="X58" s="60">
        <f t="shared" si="13"/>
        <v>241152</v>
      </c>
      <c r="AB58" s="452">
        <v>42522</v>
      </c>
      <c r="AC58" s="453">
        <f t="shared" ref="AC58:AH59" si="14">+AC198</f>
        <v>6657306.25321618</v>
      </c>
      <c r="AD58" s="453">
        <f t="shared" si="14"/>
        <v>3799877.5644458672</v>
      </c>
      <c r="AE58" s="453">
        <f t="shared" si="14"/>
        <v>220172.14176750579</v>
      </c>
      <c r="AF58" s="453">
        <f t="shared" si="14"/>
        <v>285495.80063631991</v>
      </c>
      <c r="AG58" s="453">
        <f t="shared" si="14"/>
        <v>3013895.2871103087</v>
      </c>
      <c r="AH58" s="453">
        <f t="shared" si="14"/>
        <v>3833802.7082580444</v>
      </c>
      <c r="AI58" s="457"/>
      <c r="AJ58" s="457"/>
      <c r="AK58" s="453">
        <f>+AK198</f>
        <v>18125</v>
      </c>
      <c r="AL58" s="453">
        <f>+AL198</f>
        <v>51969.826042270965</v>
      </c>
      <c r="AN58" s="60">
        <f t="shared" si="10"/>
        <v>7353365.937772179</v>
      </c>
      <c r="AO58" s="60">
        <f t="shared" si="11"/>
        <v>7112213.937772179</v>
      </c>
      <c r="AP58" s="60">
        <f t="shared" si="12"/>
        <v>17639492.581476495</v>
      </c>
    </row>
    <row r="59" spans="1:42" x14ac:dyDescent="0.2">
      <c r="A59" s="452">
        <v>42552</v>
      </c>
      <c r="B59" s="453">
        <v>8681957.1199999992</v>
      </c>
      <c r="C59" s="453">
        <v>4312615.5</v>
      </c>
      <c r="D59" s="453">
        <v>31718.83</v>
      </c>
      <c r="E59" s="453">
        <v>83775.91</v>
      </c>
      <c r="F59" s="453">
        <v>984730.7</v>
      </c>
      <c r="G59" s="453">
        <v>1329670.8600000001</v>
      </c>
      <c r="H59" s="457"/>
      <c r="I59" s="457"/>
      <c r="J59" s="453"/>
      <c r="K59" s="453">
        <v>3561.54</v>
      </c>
      <c r="L59" s="60">
        <f t="shared" si="0"/>
        <v>15428030.459999997</v>
      </c>
      <c r="M59" s="457"/>
      <c r="N59" s="457"/>
      <c r="O59" s="457"/>
      <c r="P59" s="457"/>
      <c r="Q59" s="457"/>
      <c r="R59" s="457"/>
      <c r="S59" s="457"/>
      <c r="T59" s="457"/>
      <c r="U59" s="457"/>
      <c r="V59" s="457"/>
      <c r="W59" s="460">
        <v>15360</v>
      </c>
      <c r="X59" s="60">
        <f t="shared" si="13"/>
        <v>15360</v>
      </c>
      <c r="AB59" s="452">
        <v>42552</v>
      </c>
      <c r="AC59" s="453">
        <f t="shared" si="14"/>
        <v>8399744.126783818</v>
      </c>
      <c r="AD59" s="453">
        <f t="shared" si="14"/>
        <v>4555031.0555541329</v>
      </c>
      <c r="AE59" s="453">
        <f t="shared" si="14"/>
        <v>250376.02823249425</v>
      </c>
      <c r="AF59" s="453">
        <f t="shared" si="14"/>
        <v>297133.86936368013</v>
      </c>
      <c r="AG59" s="453">
        <f t="shared" si="14"/>
        <v>3431549.7128896923</v>
      </c>
      <c r="AH59" s="453">
        <f t="shared" si="14"/>
        <v>4041148.9517419557</v>
      </c>
      <c r="AI59" s="457"/>
      <c r="AJ59" s="457"/>
      <c r="AK59" s="453">
        <f>+AK199</f>
        <v>18125</v>
      </c>
      <c r="AL59" s="453">
        <f>+AL199</f>
        <v>55805.553957729033</v>
      </c>
      <c r="AN59" s="60">
        <f t="shared" si="10"/>
        <v>8020208.5622278228</v>
      </c>
      <c r="AO59" s="60">
        <f t="shared" si="11"/>
        <v>8004848.5622278228</v>
      </c>
      <c r="AP59" s="60">
        <f t="shared" si="12"/>
        <v>21033554.298523501</v>
      </c>
    </row>
    <row r="60" spans="1:42" x14ac:dyDescent="0.2">
      <c r="A60" s="449">
        <v>42583</v>
      </c>
      <c r="B60" s="37">
        <v>9164895.7100000009</v>
      </c>
      <c r="C60" s="37">
        <v>4829306.8499999996</v>
      </c>
      <c r="D60" s="37">
        <v>265822.5</v>
      </c>
      <c r="E60" s="37">
        <v>337395.76</v>
      </c>
      <c r="F60" s="37">
        <v>3754813.01</v>
      </c>
      <c r="G60" s="37">
        <v>4340014.8099999996</v>
      </c>
      <c r="H60" s="457"/>
      <c r="I60" s="457"/>
      <c r="J60" s="37">
        <v>18125</v>
      </c>
      <c r="K60" s="37">
        <v>62677.17</v>
      </c>
      <c r="L60" s="60">
        <f t="shared" si="0"/>
        <v>22773050.809999999</v>
      </c>
      <c r="M60" s="457"/>
      <c r="N60" s="457"/>
      <c r="O60" s="457"/>
      <c r="P60" s="457"/>
      <c r="Q60" s="457"/>
      <c r="R60" s="457"/>
      <c r="S60" s="457"/>
      <c r="T60" s="457"/>
      <c r="U60" s="457"/>
      <c r="V60" s="457"/>
      <c r="W60" s="460">
        <v>158448</v>
      </c>
      <c r="X60" s="60">
        <f t="shared" si="13"/>
        <v>158448</v>
      </c>
      <c r="AB60" s="449">
        <v>42583</v>
      </c>
      <c r="AC60" s="37">
        <f t="shared" si="2"/>
        <v>9164895.7100000009</v>
      </c>
      <c r="AD60" s="37">
        <f t="shared" si="3"/>
        <v>4829306.8499999996</v>
      </c>
      <c r="AE60" s="37">
        <f t="shared" si="4"/>
        <v>265822.5</v>
      </c>
      <c r="AF60" s="37">
        <f t="shared" si="5"/>
        <v>337395.76</v>
      </c>
      <c r="AG60" s="37">
        <f t="shared" si="6"/>
        <v>3754813.01</v>
      </c>
      <c r="AH60" s="37">
        <f t="shared" si="7"/>
        <v>4340014.8099999996</v>
      </c>
      <c r="AI60" s="457"/>
      <c r="AJ60" s="457"/>
      <c r="AK60" s="37">
        <f t="shared" ref="AK60:AK93" si="15">+J60</f>
        <v>18125</v>
      </c>
      <c r="AL60" s="37">
        <f t="shared" ref="AL60:AL93" si="16">+K60</f>
        <v>62677.17</v>
      </c>
      <c r="AN60" s="60">
        <f t="shared" si="10"/>
        <v>8698046.0799999982</v>
      </c>
      <c r="AO60" s="60">
        <f t="shared" si="11"/>
        <v>8539598.0799999982</v>
      </c>
      <c r="AP60" s="60">
        <f t="shared" si="12"/>
        <v>22614602.809999999</v>
      </c>
    </row>
    <row r="61" spans="1:42" x14ac:dyDescent="0.2">
      <c r="A61" s="449">
        <v>42614</v>
      </c>
      <c r="B61" s="37">
        <v>6361569.4000000004</v>
      </c>
      <c r="C61" s="37">
        <v>3756228.82</v>
      </c>
      <c r="D61" s="37">
        <v>212570.05</v>
      </c>
      <c r="E61" s="37">
        <v>333619.46000000002</v>
      </c>
      <c r="F61" s="37">
        <v>3181736.96</v>
      </c>
      <c r="G61" s="37">
        <v>3657704.07</v>
      </c>
      <c r="H61" s="457"/>
      <c r="I61" s="457"/>
      <c r="J61" s="37">
        <v>18125</v>
      </c>
      <c r="K61" s="37">
        <v>69148.350000000006</v>
      </c>
      <c r="L61" s="60">
        <f t="shared" si="0"/>
        <v>17590702.110000003</v>
      </c>
      <c r="M61" s="457"/>
      <c r="N61" s="457"/>
      <c r="O61" s="457"/>
      <c r="P61" s="457"/>
      <c r="Q61" s="457"/>
      <c r="R61" s="457"/>
      <c r="S61" s="457"/>
      <c r="T61" s="457"/>
      <c r="U61" s="457"/>
      <c r="V61" s="457"/>
      <c r="W61" s="460">
        <v>145422.97</v>
      </c>
      <c r="X61" s="60">
        <f t="shared" si="13"/>
        <v>145422.97</v>
      </c>
      <c r="AB61" s="449">
        <v>42614</v>
      </c>
      <c r="AC61" s="37">
        <f t="shared" si="2"/>
        <v>6361569.4000000004</v>
      </c>
      <c r="AD61" s="37">
        <f t="shared" si="3"/>
        <v>3756228.82</v>
      </c>
      <c r="AE61" s="37">
        <f t="shared" si="4"/>
        <v>212570.05</v>
      </c>
      <c r="AF61" s="37">
        <f t="shared" si="5"/>
        <v>333619.46000000002</v>
      </c>
      <c r="AG61" s="37">
        <f t="shared" si="6"/>
        <v>3181736.96</v>
      </c>
      <c r="AH61" s="37">
        <f t="shared" si="7"/>
        <v>3657704.07</v>
      </c>
      <c r="AI61" s="457"/>
      <c r="AJ61" s="457"/>
      <c r="AK61" s="37">
        <f t="shared" si="15"/>
        <v>18125</v>
      </c>
      <c r="AL61" s="37">
        <f t="shared" si="16"/>
        <v>69148.350000000006</v>
      </c>
      <c r="AN61" s="60">
        <f t="shared" si="10"/>
        <v>7385630.5399999991</v>
      </c>
      <c r="AO61" s="60">
        <f t="shared" si="11"/>
        <v>7240207.5699999994</v>
      </c>
      <c r="AP61" s="60">
        <f t="shared" si="12"/>
        <v>17445279.140000001</v>
      </c>
    </row>
    <row r="62" spans="1:42" x14ac:dyDescent="0.2">
      <c r="A62" s="449">
        <v>42644</v>
      </c>
      <c r="B62" s="37">
        <v>5037008.43</v>
      </c>
      <c r="C62" s="37">
        <v>3171988.62</v>
      </c>
      <c r="D62" s="37">
        <v>194202.62</v>
      </c>
      <c r="E62" s="37">
        <v>289764.21000000002</v>
      </c>
      <c r="F62" s="37">
        <v>2751587.03</v>
      </c>
      <c r="G62" s="37">
        <v>3389187.5</v>
      </c>
      <c r="H62" s="457"/>
      <c r="I62" s="457"/>
      <c r="J62" s="37">
        <v>18125</v>
      </c>
      <c r="K62" s="37">
        <v>80589.69</v>
      </c>
      <c r="L62" s="60">
        <f t="shared" si="0"/>
        <v>14932453.1</v>
      </c>
      <c r="M62" s="457"/>
      <c r="N62" s="457"/>
      <c r="O62" s="457"/>
      <c r="P62" s="457"/>
      <c r="Q62" s="457"/>
      <c r="R62" s="457"/>
      <c r="S62" s="457"/>
      <c r="T62" s="457"/>
      <c r="U62" s="457"/>
      <c r="V62" s="457"/>
      <c r="W62" s="460">
        <v>148497.03</v>
      </c>
      <c r="X62" s="60">
        <f t="shared" si="13"/>
        <v>148497.03</v>
      </c>
      <c r="AB62" s="449">
        <v>42644</v>
      </c>
      <c r="AC62" s="37">
        <f t="shared" si="2"/>
        <v>5037008.43</v>
      </c>
      <c r="AD62" s="37">
        <f t="shared" si="3"/>
        <v>3171988.62</v>
      </c>
      <c r="AE62" s="37">
        <f t="shared" si="4"/>
        <v>194202.62</v>
      </c>
      <c r="AF62" s="37">
        <f t="shared" si="5"/>
        <v>289764.21000000002</v>
      </c>
      <c r="AG62" s="37">
        <f t="shared" si="6"/>
        <v>2751587.03</v>
      </c>
      <c r="AH62" s="37">
        <f t="shared" si="7"/>
        <v>3389187.5</v>
      </c>
      <c r="AI62" s="457"/>
      <c r="AJ62" s="457"/>
      <c r="AK62" s="37">
        <f t="shared" si="15"/>
        <v>18125</v>
      </c>
      <c r="AL62" s="37">
        <f t="shared" si="16"/>
        <v>80589.69</v>
      </c>
      <c r="AN62" s="60">
        <f t="shared" si="10"/>
        <v>6624741.3599999994</v>
      </c>
      <c r="AO62" s="60">
        <f t="shared" si="11"/>
        <v>6476244.3299999991</v>
      </c>
      <c r="AP62" s="60">
        <f t="shared" si="12"/>
        <v>14783956.07</v>
      </c>
    </row>
    <row r="63" spans="1:42" x14ac:dyDescent="0.2">
      <c r="A63" s="449">
        <v>42675</v>
      </c>
      <c r="B63" s="37">
        <v>4912952.9400000004</v>
      </c>
      <c r="C63" s="37">
        <v>2994380.61</v>
      </c>
      <c r="D63" s="37">
        <v>207855.93</v>
      </c>
      <c r="E63" s="37">
        <v>265062.33</v>
      </c>
      <c r="F63" s="37">
        <v>2660071.25</v>
      </c>
      <c r="G63" s="37">
        <v>3212458.92</v>
      </c>
      <c r="H63" s="457"/>
      <c r="I63" s="457"/>
      <c r="J63" s="37">
        <v>18837.97</v>
      </c>
      <c r="K63" s="37">
        <v>85810.01</v>
      </c>
      <c r="L63" s="60">
        <f t="shared" si="0"/>
        <v>14357429.960000001</v>
      </c>
      <c r="M63" s="457"/>
      <c r="N63" s="457"/>
      <c r="O63" s="457"/>
      <c r="P63" s="457"/>
      <c r="Q63" s="457"/>
      <c r="R63" s="457"/>
      <c r="S63" s="457"/>
      <c r="T63" s="457"/>
      <c r="U63" s="457"/>
      <c r="V63" s="457"/>
      <c r="W63" s="460">
        <v>108520.28</v>
      </c>
      <c r="X63" s="60">
        <f t="shared" si="13"/>
        <v>108520.28</v>
      </c>
      <c r="AB63" s="449">
        <v>42675</v>
      </c>
      <c r="AC63" s="37">
        <f t="shared" si="2"/>
        <v>4912952.9400000004</v>
      </c>
      <c r="AD63" s="37">
        <f t="shared" si="3"/>
        <v>2994380.61</v>
      </c>
      <c r="AE63" s="37">
        <f t="shared" si="4"/>
        <v>207855.93</v>
      </c>
      <c r="AF63" s="37">
        <f t="shared" si="5"/>
        <v>265062.33</v>
      </c>
      <c r="AG63" s="37">
        <f t="shared" si="6"/>
        <v>2660071.25</v>
      </c>
      <c r="AH63" s="37">
        <f t="shared" si="7"/>
        <v>3212458.92</v>
      </c>
      <c r="AI63" s="457"/>
      <c r="AJ63" s="457"/>
      <c r="AK63" s="37">
        <f t="shared" si="15"/>
        <v>18837.97</v>
      </c>
      <c r="AL63" s="37">
        <f t="shared" si="16"/>
        <v>85810.01</v>
      </c>
      <c r="AN63" s="60">
        <f t="shared" si="10"/>
        <v>6345448.4299999997</v>
      </c>
      <c r="AO63" s="60">
        <f t="shared" si="11"/>
        <v>6236928.1499999994</v>
      </c>
      <c r="AP63" s="60">
        <f t="shared" si="12"/>
        <v>14248909.68</v>
      </c>
    </row>
    <row r="64" spans="1:42" x14ac:dyDescent="0.2">
      <c r="A64" s="449">
        <v>42705</v>
      </c>
      <c r="B64" s="37">
        <v>6328935.7199999997</v>
      </c>
      <c r="C64" s="37">
        <v>3439641.76</v>
      </c>
      <c r="D64" s="37">
        <v>269071.26</v>
      </c>
      <c r="E64" s="37">
        <v>343051.79</v>
      </c>
      <c r="F64" s="37">
        <v>2880444.63</v>
      </c>
      <c r="G64" s="37">
        <v>3518933</v>
      </c>
      <c r="H64" s="457"/>
      <c r="I64" s="457"/>
      <c r="J64" s="37">
        <v>21531.97</v>
      </c>
      <c r="K64" s="37">
        <v>92781.53</v>
      </c>
      <c r="L64" s="60">
        <f t="shared" si="0"/>
        <v>16894391.66</v>
      </c>
      <c r="M64" s="457"/>
      <c r="N64" s="457"/>
      <c r="O64" s="457"/>
      <c r="P64" s="457"/>
      <c r="Q64" s="457"/>
      <c r="R64" s="457"/>
      <c r="S64" s="457"/>
      <c r="T64" s="457"/>
      <c r="U64" s="457"/>
      <c r="V64" s="457"/>
      <c r="W64" s="460">
        <v>166835.35999999999</v>
      </c>
      <c r="X64" s="60">
        <f t="shared" si="13"/>
        <v>166835.35999999999</v>
      </c>
      <c r="AB64" s="449">
        <v>42705</v>
      </c>
      <c r="AC64" s="37">
        <f t="shared" si="2"/>
        <v>6328935.7199999997</v>
      </c>
      <c r="AD64" s="37">
        <f t="shared" si="3"/>
        <v>3439641.76</v>
      </c>
      <c r="AE64" s="37">
        <f t="shared" si="4"/>
        <v>269071.26</v>
      </c>
      <c r="AF64" s="37">
        <f t="shared" si="5"/>
        <v>343051.79</v>
      </c>
      <c r="AG64" s="37">
        <f t="shared" si="6"/>
        <v>2880444.63</v>
      </c>
      <c r="AH64" s="37">
        <f t="shared" si="7"/>
        <v>3518933</v>
      </c>
      <c r="AI64" s="457"/>
      <c r="AJ64" s="457"/>
      <c r="AK64" s="37">
        <f t="shared" si="15"/>
        <v>21531.97</v>
      </c>
      <c r="AL64" s="37">
        <f t="shared" si="16"/>
        <v>92781.53</v>
      </c>
      <c r="AN64" s="60">
        <f t="shared" si="10"/>
        <v>7011500.6799999997</v>
      </c>
      <c r="AO64" s="60">
        <f t="shared" si="11"/>
        <v>6844665.3199999994</v>
      </c>
      <c r="AP64" s="60">
        <f t="shared" si="12"/>
        <v>16727556.300000001</v>
      </c>
    </row>
    <row r="65" spans="1:42" x14ac:dyDescent="0.2">
      <c r="A65" s="449">
        <v>42736</v>
      </c>
      <c r="B65" s="37">
        <v>6097026.7400000002</v>
      </c>
      <c r="C65" s="37">
        <v>3629063.29</v>
      </c>
      <c r="D65" s="37">
        <v>279538.81</v>
      </c>
      <c r="E65" s="37">
        <v>443025</v>
      </c>
      <c r="F65" s="37">
        <v>2823384.58</v>
      </c>
      <c r="G65" s="37">
        <v>3556780.62</v>
      </c>
      <c r="H65" s="457"/>
      <c r="I65" s="457"/>
      <c r="J65" s="37">
        <v>21821.35</v>
      </c>
      <c r="K65" s="37">
        <v>90446.57</v>
      </c>
      <c r="L65" s="60">
        <f t="shared" si="0"/>
        <v>16941086.960000005</v>
      </c>
      <c r="M65" s="457"/>
      <c r="N65" s="457"/>
      <c r="O65" s="457"/>
      <c r="P65" s="457"/>
      <c r="Q65" s="457"/>
      <c r="R65" s="457"/>
      <c r="S65" s="457"/>
      <c r="T65" s="457"/>
      <c r="U65" s="457"/>
      <c r="V65" s="457"/>
      <c r="W65" s="460">
        <v>263609.69</v>
      </c>
      <c r="X65" s="60">
        <f t="shared" si="13"/>
        <v>263609.69</v>
      </c>
      <c r="AB65" s="449">
        <v>42736</v>
      </c>
      <c r="AC65" s="37">
        <f t="shared" si="2"/>
        <v>6097026.7400000002</v>
      </c>
      <c r="AD65" s="37">
        <f t="shared" si="3"/>
        <v>3629063.29</v>
      </c>
      <c r="AE65" s="37">
        <f t="shared" si="4"/>
        <v>279538.81</v>
      </c>
      <c r="AF65" s="37">
        <f t="shared" si="5"/>
        <v>443025</v>
      </c>
      <c r="AG65" s="37">
        <f t="shared" si="6"/>
        <v>2823384.58</v>
      </c>
      <c r="AH65" s="37">
        <f t="shared" si="7"/>
        <v>3556780.62</v>
      </c>
      <c r="AI65" s="457"/>
      <c r="AJ65" s="457"/>
      <c r="AK65" s="37">
        <f t="shared" si="15"/>
        <v>21821.35</v>
      </c>
      <c r="AL65" s="37">
        <f t="shared" si="16"/>
        <v>90446.57</v>
      </c>
      <c r="AN65" s="60">
        <f t="shared" si="10"/>
        <v>7102729.0099999998</v>
      </c>
      <c r="AO65" s="60">
        <f t="shared" si="11"/>
        <v>6839119.3199999994</v>
      </c>
      <c r="AP65" s="60">
        <f t="shared" si="12"/>
        <v>16677477.27</v>
      </c>
    </row>
    <row r="66" spans="1:42" x14ac:dyDescent="0.2">
      <c r="A66" s="449">
        <v>42767</v>
      </c>
      <c r="B66" s="37">
        <v>5129391.2</v>
      </c>
      <c r="C66" s="37">
        <v>3057243.67</v>
      </c>
      <c r="D66" s="37">
        <v>236874.2</v>
      </c>
      <c r="E66" s="37">
        <v>413518.53</v>
      </c>
      <c r="F66" s="37">
        <v>2410907.2199999997</v>
      </c>
      <c r="G66" s="37">
        <v>3243950.6</v>
      </c>
      <c r="H66" s="457"/>
      <c r="I66" s="457"/>
      <c r="J66" s="37">
        <v>19186.560000000001</v>
      </c>
      <c r="K66" s="37">
        <v>75419.420000000013</v>
      </c>
      <c r="L66" s="60">
        <f t="shared" si="0"/>
        <v>14586491.4</v>
      </c>
      <c r="M66" s="457"/>
      <c r="N66" s="457"/>
      <c r="O66" s="457"/>
      <c r="P66" s="457"/>
      <c r="Q66" s="457"/>
      <c r="R66" s="457"/>
      <c r="S66" s="457"/>
      <c r="T66" s="457"/>
      <c r="U66" s="457"/>
      <c r="V66" s="457"/>
      <c r="W66" s="460">
        <v>244689.9</v>
      </c>
      <c r="X66" s="60">
        <f t="shared" si="13"/>
        <v>244689.9</v>
      </c>
      <c r="AB66" s="449">
        <v>42767</v>
      </c>
      <c r="AC66" s="37">
        <f t="shared" si="2"/>
        <v>5129391.2</v>
      </c>
      <c r="AD66" s="37">
        <f t="shared" si="3"/>
        <v>3057243.67</v>
      </c>
      <c r="AE66" s="37">
        <f t="shared" si="4"/>
        <v>236874.2</v>
      </c>
      <c r="AF66" s="37">
        <f t="shared" si="5"/>
        <v>413518.53</v>
      </c>
      <c r="AG66" s="37">
        <f t="shared" si="6"/>
        <v>2410907.2199999997</v>
      </c>
      <c r="AH66" s="37">
        <f t="shared" si="7"/>
        <v>3243950.6</v>
      </c>
      <c r="AI66" s="457"/>
      <c r="AJ66" s="457"/>
      <c r="AK66" s="37">
        <f t="shared" si="15"/>
        <v>19186.560000000001</v>
      </c>
      <c r="AL66" s="37">
        <f t="shared" si="16"/>
        <v>75419.420000000013</v>
      </c>
      <c r="AN66" s="60">
        <f t="shared" si="10"/>
        <v>6305250.5499999998</v>
      </c>
      <c r="AO66" s="60">
        <f t="shared" si="11"/>
        <v>6060560.6499999994</v>
      </c>
      <c r="AP66" s="60">
        <f t="shared" si="12"/>
        <v>14341801.5</v>
      </c>
    </row>
    <row r="67" spans="1:42" x14ac:dyDescent="0.2">
      <c r="A67" s="449">
        <v>42795</v>
      </c>
      <c r="B67" s="37">
        <v>5566750.0199999996</v>
      </c>
      <c r="C67" s="37">
        <v>3382916.8</v>
      </c>
      <c r="D67" s="37">
        <v>254361.52</v>
      </c>
      <c r="E67" s="37">
        <v>450486.48</v>
      </c>
      <c r="F67" s="37">
        <v>2693995.9699999997</v>
      </c>
      <c r="G67" s="37">
        <v>3567707.22</v>
      </c>
      <c r="H67" s="457"/>
      <c r="I67" s="457"/>
      <c r="J67" s="37">
        <v>19395.75</v>
      </c>
      <c r="K67" s="37">
        <v>74685.55</v>
      </c>
      <c r="L67" s="60">
        <f t="shared" si="0"/>
        <v>16010299.310000001</v>
      </c>
      <c r="M67" s="457"/>
      <c r="N67" s="457"/>
      <c r="O67" s="457"/>
      <c r="P67" s="457"/>
      <c r="Q67" s="457"/>
      <c r="R67" s="457"/>
      <c r="S67" s="457"/>
      <c r="T67" s="457"/>
      <c r="U67" s="457"/>
      <c r="V67" s="457"/>
      <c r="W67" s="460">
        <v>255062.48</v>
      </c>
      <c r="X67" s="60">
        <f t="shared" si="13"/>
        <v>255062.48</v>
      </c>
      <c r="AB67" s="449">
        <v>42795</v>
      </c>
      <c r="AC67" s="37">
        <f t="shared" si="2"/>
        <v>5566750.0199999996</v>
      </c>
      <c r="AD67" s="37">
        <f t="shared" si="3"/>
        <v>3382916.8</v>
      </c>
      <c r="AE67" s="37">
        <f t="shared" si="4"/>
        <v>254361.52</v>
      </c>
      <c r="AF67" s="37">
        <f t="shared" si="5"/>
        <v>450486.48</v>
      </c>
      <c r="AG67" s="37">
        <f t="shared" si="6"/>
        <v>2693995.9699999997</v>
      </c>
      <c r="AH67" s="37">
        <f t="shared" si="7"/>
        <v>3567707.22</v>
      </c>
      <c r="AI67" s="457"/>
      <c r="AJ67" s="457"/>
      <c r="AK67" s="37">
        <f t="shared" si="15"/>
        <v>19395.75</v>
      </c>
      <c r="AL67" s="37">
        <f t="shared" si="16"/>
        <v>74685.55</v>
      </c>
      <c r="AN67" s="60">
        <f t="shared" si="10"/>
        <v>6966551.1899999995</v>
      </c>
      <c r="AO67" s="60">
        <f t="shared" si="11"/>
        <v>6711488.709999999</v>
      </c>
      <c r="AP67" s="60">
        <f t="shared" si="12"/>
        <v>15755236.83</v>
      </c>
    </row>
    <row r="68" spans="1:42" x14ac:dyDescent="0.2">
      <c r="A68" s="449">
        <v>42826</v>
      </c>
      <c r="B68" s="37">
        <v>4840449.58</v>
      </c>
      <c r="C68" s="37">
        <v>2980919.48</v>
      </c>
      <c r="D68" s="37">
        <v>237676.4</v>
      </c>
      <c r="E68" s="37">
        <v>396254.68</v>
      </c>
      <c r="F68" s="37">
        <v>2420950.1800000002</v>
      </c>
      <c r="G68" s="37">
        <v>3216017.79</v>
      </c>
      <c r="H68" s="457"/>
      <c r="I68" s="457"/>
      <c r="J68" s="37">
        <v>18887.28</v>
      </c>
      <c r="K68" s="37">
        <v>63360.979999999996</v>
      </c>
      <c r="L68" s="60">
        <f t="shared" si="0"/>
        <v>14174516.369999999</v>
      </c>
      <c r="M68" s="457"/>
      <c r="N68" s="457"/>
      <c r="O68" s="457"/>
      <c r="P68" s="457"/>
      <c r="Q68" s="457"/>
      <c r="R68" s="457"/>
      <c r="S68" s="457"/>
      <c r="T68" s="457"/>
      <c r="U68" s="457"/>
      <c r="V68" s="457"/>
      <c r="W68" s="460">
        <v>213525.2</v>
      </c>
      <c r="X68" s="60">
        <f t="shared" si="13"/>
        <v>213525.2</v>
      </c>
      <c r="AB68" s="449">
        <v>42826</v>
      </c>
      <c r="AC68" s="37">
        <f t="shared" si="2"/>
        <v>4840449.58</v>
      </c>
      <c r="AD68" s="37">
        <f t="shared" si="3"/>
        <v>2980919.48</v>
      </c>
      <c r="AE68" s="37">
        <f t="shared" si="4"/>
        <v>237676.4</v>
      </c>
      <c r="AF68" s="37">
        <f t="shared" si="5"/>
        <v>396254.68</v>
      </c>
      <c r="AG68" s="37">
        <f t="shared" si="6"/>
        <v>2420950.1800000002</v>
      </c>
      <c r="AH68" s="37">
        <f t="shared" si="7"/>
        <v>3216017.79</v>
      </c>
      <c r="AI68" s="457"/>
      <c r="AJ68" s="457"/>
      <c r="AK68" s="37">
        <f t="shared" si="15"/>
        <v>18887.28</v>
      </c>
      <c r="AL68" s="37">
        <f t="shared" si="16"/>
        <v>63360.979999999996</v>
      </c>
      <c r="AN68" s="60">
        <f t="shared" si="10"/>
        <v>6270899.0500000007</v>
      </c>
      <c r="AO68" s="60">
        <f t="shared" si="11"/>
        <v>6057373.8500000006</v>
      </c>
      <c r="AP68" s="60">
        <f t="shared" si="12"/>
        <v>13960991.170000002</v>
      </c>
    </row>
    <row r="69" spans="1:42" x14ac:dyDescent="0.2">
      <c r="A69" s="449">
        <v>42856</v>
      </c>
      <c r="B69" s="37">
        <v>5114383.5999999996</v>
      </c>
      <c r="C69" s="37">
        <v>3094630.61</v>
      </c>
      <c r="D69" s="37">
        <v>242238.54</v>
      </c>
      <c r="E69" s="37">
        <v>370799.52</v>
      </c>
      <c r="F69" s="37">
        <v>2569858.14</v>
      </c>
      <c r="G69" s="37">
        <v>3347095.69</v>
      </c>
      <c r="H69" s="457"/>
      <c r="I69" s="457"/>
      <c r="J69" s="37">
        <v>18922.75</v>
      </c>
      <c r="K69" s="37">
        <v>57690.36</v>
      </c>
      <c r="L69" s="60">
        <f t="shared" ref="L69:L72" si="17">+B69+C69+D69+E69+F69+G69+J69+K69</f>
        <v>14815619.209999997</v>
      </c>
      <c r="M69" s="457"/>
      <c r="N69" s="457"/>
      <c r="O69" s="457"/>
      <c r="P69" s="457"/>
      <c r="Q69" s="457"/>
      <c r="R69" s="457"/>
      <c r="S69" s="457"/>
      <c r="T69" s="457"/>
      <c r="U69" s="457"/>
      <c r="V69" s="457"/>
      <c r="W69" s="460">
        <v>182733.09</v>
      </c>
      <c r="X69" s="60">
        <f t="shared" si="13"/>
        <v>182733.09</v>
      </c>
      <c r="AB69" s="449">
        <v>42856</v>
      </c>
      <c r="AC69" s="37">
        <f t="shared" si="2"/>
        <v>5114383.5999999996</v>
      </c>
      <c r="AD69" s="37">
        <f t="shared" si="3"/>
        <v>3094630.61</v>
      </c>
      <c r="AE69" s="37">
        <f t="shared" si="4"/>
        <v>242238.54</v>
      </c>
      <c r="AF69" s="37">
        <f t="shared" si="5"/>
        <v>370799.52</v>
      </c>
      <c r="AG69" s="37">
        <f t="shared" si="6"/>
        <v>2569858.14</v>
      </c>
      <c r="AH69" s="37">
        <f t="shared" si="7"/>
        <v>3347095.69</v>
      </c>
      <c r="AI69" s="457"/>
      <c r="AJ69" s="457"/>
      <c r="AK69" s="37">
        <f t="shared" si="15"/>
        <v>18922.75</v>
      </c>
      <c r="AL69" s="37">
        <f t="shared" si="16"/>
        <v>57690.36</v>
      </c>
      <c r="AN69" s="60">
        <f t="shared" si="10"/>
        <v>6529991.8900000006</v>
      </c>
      <c r="AO69" s="60">
        <f t="shared" si="11"/>
        <v>6347258.8000000007</v>
      </c>
      <c r="AP69" s="60">
        <f t="shared" si="12"/>
        <v>14632886.120000001</v>
      </c>
    </row>
    <row r="70" spans="1:42" x14ac:dyDescent="0.2">
      <c r="A70" s="449">
        <v>42887</v>
      </c>
      <c r="B70" s="37">
        <v>6229800.46</v>
      </c>
      <c r="C70" s="37">
        <v>3399617.9400000004</v>
      </c>
      <c r="D70" s="37">
        <v>260308.8</v>
      </c>
      <c r="E70" s="37">
        <v>342355.22</v>
      </c>
      <c r="F70" s="37">
        <v>2851838.77</v>
      </c>
      <c r="G70" s="37">
        <v>3462016.02</v>
      </c>
      <c r="H70" s="457"/>
      <c r="I70" s="457"/>
      <c r="J70" s="37">
        <v>18887.28</v>
      </c>
      <c r="K70" s="37">
        <v>51969.69</v>
      </c>
      <c r="L70" s="60">
        <f t="shared" si="17"/>
        <v>16616794.18</v>
      </c>
      <c r="M70" s="457"/>
      <c r="N70" s="457"/>
      <c r="O70" s="457"/>
      <c r="P70" s="457"/>
      <c r="Q70" s="457"/>
      <c r="R70" s="457"/>
      <c r="S70" s="457"/>
      <c r="T70" s="457"/>
      <c r="U70" s="457"/>
      <c r="V70" s="457"/>
      <c r="W70" s="460">
        <v>172576</v>
      </c>
      <c r="X70" s="60">
        <f t="shared" si="13"/>
        <v>172576</v>
      </c>
      <c r="AB70" s="449">
        <v>42887</v>
      </c>
      <c r="AC70" s="37">
        <f t="shared" ref="AC70:AC93" si="18">+B70</f>
        <v>6229800.46</v>
      </c>
      <c r="AD70" s="37">
        <f t="shared" ref="AD70:AD93" si="19">+C70</f>
        <v>3399617.9400000004</v>
      </c>
      <c r="AE70" s="37">
        <f t="shared" ref="AE70:AE93" si="20">+D70</f>
        <v>260308.8</v>
      </c>
      <c r="AF70" s="37">
        <f t="shared" ref="AF70:AF93" si="21">+E70</f>
        <v>342355.22</v>
      </c>
      <c r="AG70" s="37">
        <f t="shared" ref="AG70:AG93" si="22">+F70</f>
        <v>2851838.77</v>
      </c>
      <c r="AH70" s="37">
        <f t="shared" ref="AH70:AH93" si="23">+G70</f>
        <v>3462016.02</v>
      </c>
      <c r="AI70" s="457"/>
      <c r="AJ70" s="457"/>
      <c r="AK70" s="37">
        <f t="shared" si="15"/>
        <v>18887.28</v>
      </c>
      <c r="AL70" s="37">
        <f t="shared" si="16"/>
        <v>51969.69</v>
      </c>
      <c r="AN70" s="60">
        <f t="shared" ref="AN70:AN93" si="24">+AE70+AF70+AG70+AH70+AI70</f>
        <v>6916518.8100000005</v>
      </c>
      <c r="AO70" s="60">
        <f t="shared" ref="AO70:AO92" si="25">+AE70+AF70+AG70+AH70+AI70-X70</f>
        <v>6743942.8100000005</v>
      </c>
      <c r="AP70" s="60">
        <f t="shared" ref="AP70:AP93" si="26">+AC70+AD70+AK70+AL70+AO70</f>
        <v>16444218.18</v>
      </c>
    </row>
    <row r="71" spans="1:42" x14ac:dyDescent="0.2">
      <c r="A71" s="449">
        <v>42917</v>
      </c>
      <c r="B71" s="37">
        <v>7664295.3399999999</v>
      </c>
      <c r="C71" s="37">
        <v>3974218.5</v>
      </c>
      <c r="D71" s="37">
        <v>300951.08</v>
      </c>
      <c r="E71" s="37">
        <v>390867.1</v>
      </c>
      <c r="F71" s="37">
        <v>3314713.79</v>
      </c>
      <c r="G71" s="37">
        <v>3282546.4</v>
      </c>
      <c r="I71" s="457"/>
      <c r="J71" s="37">
        <v>18922.75</v>
      </c>
      <c r="K71" s="37">
        <v>55805.69</v>
      </c>
      <c r="L71" s="60">
        <f t="shared" si="17"/>
        <v>19002320.649999999</v>
      </c>
      <c r="M71" s="37">
        <v>521107.8</v>
      </c>
      <c r="N71" s="441"/>
      <c r="O71" s="441"/>
      <c r="P71" s="441"/>
      <c r="Q71" s="441"/>
      <c r="R71" s="441"/>
      <c r="S71" s="441"/>
      <c r="T71" s="441"/>
      <c r="U71" s="441"/>
      <c r="V71" s="441"/>
      <c r="W71" s="460">
        <v>226014.55</v>
      </c>
      <c r="X71" s="60">
        <f t="shared" si="13"/>
        <v>226014.55</v>
      </c>
      <c r="AB71" s="449">
        <v>42917</v>
      </c>
      <c r="AC71" s="37">
        <f t="shared" si="18"/>
        <v>7664295.3399999999</v>
      </c>
      <c r="AD71" s="37">
        <f t="shared" si="19"/>
        <v>3974218.5</v>
      </c>
      <c r="AE71" s="37">
        <f t="shared" si="20"/>
        <v>300951.08</v>
      </c>
      <c r="AF71" s="37">
        <f t="shared" si="21"/>
        <v>390867.1</v>
      </c>
      <c r="AG71" s="37">
        <f t="shared" si="22"/>
        <v>3314713.79</v>
      </c>
      <c r="AH71" s="37">
        <f t="shared" si="23"/>
        <v>3282546.4</v>
      </c>
      <c r="AI71" s="60">
        <f t="shared" ref="AI71:AI134" si="27">+M71+N71+O71+P71+Q71+R71+S71+T71</f>
        <v>521107.8</v>
      </c>
      <c r="AJ71" s="457"/>
      <c r="AK71" s="37">
        <f t="shared" si="15"/>
        <v>18922.75</v>
      </c>
      <c r="AL71" s="37">
        <f t="shared" si="16"/>
        <v>55805.69</v>
      </c>
      <c r="AN71" s="60">
        <f t="shared" si="24"/>
        <v>7810186.169999999</v>
      </c>
      <c r="AO71" s="60">
        <f t="shared" si="25"/>
        <v>7584171.6199999992</v>
      </c>
      <c r="AP71" s="60">
        <f t="shared" si="26"/>
        <v>19297413.899999999</v>
      </c>
    </row>
    <row r="72" spans="1:42" x14ac:dyDescent="0.2">
      <c r="A72" s="449">
        <v>42948</v>
      </c>
      <c r="B72" s="37">
        <v>7144344.3499999996</v>
      </c>
      <c r="C72" s="37">
        <v>4055912.51</v>
      </c>
      <c r="D72" s="37">
        <v>294209.46000000002</v>
      </c>
      <c r="E72" s="37">
        <v>374454.98</v>
      </c>
      <c r="F72" s="37">
        <v>3565804.06</v>
      </c>
      <c r="G72" s="37">
        <v>3328412.45</v>
      </c>
      <c r="I72" s="457"/>
      <c r="J72" s="37">
        <v>19859.91</v>
      </c>
      <c r="K72" s="37">
        <v>62677.170000000006</v>
      </c>
      <c r="L72" s="60">
        <f t="shared" si="17"/>
        <v>18845674.890000004</v>
      </c>
      <c r="M72" s="37">
        <v>507835.2</v>
      </c>
      <c r="N72" s="441"/>
      <c r="O72" s="441"/>
      <c r="P72" s="441"/>
      <c r="Q72" s="441"/>
      <c r="R72" s="441"/>
      <c r="S72" s="441"/>
      <c r="T72" s="441"/>
      <c r="U72" s="441"/>
      <c r="V72" s="441"/>
      <c r="W72" s="460">
        <v>194589.59</v>
      </c>
      <c r="X72" s="60">
        <f t="shared" si="13"/>
        <v>194589.59</v>
      </c>
      <c r="AB72" s="449">
        <v>42948</v>
      </c>
      <c r="AC72" s="37">
        <f t="shared" si="18"/>
        <v>7144344.3499999996</v>
      </c>
      <c r="AD72" s="37">
        <f t="shared" si="19"/>
        <v>4055912.51</v>
      </c>
      <c r="AE72" s="37">
        <f t="shared" si="20"/>
        <v>294209.46000000002</v>
      </c>
      <c r="AF72" s="37">
        <f t="shared" si="21"/>
        <v>374454.98</v>
      </c>
      <c r="AG72" s="37">
        <f t="shared" si="22"/>
        <v>3565804.06</v>
      </c>
      <c r="AH72" s="37">
        <f t="shared" si="23"/>
        <v>3328412.45</v>
      </c>
      <c r="AI72" s="60">
        <f t="shared" si="27"/>
        <v>507835.2</v>
      </c>
      <c r="AJ72" s="457"/>
      <c r="AK72" s="37">
        <f t="shared" si="15"/>
        <v>19859.91</v>
      </c>
      <c r="AL72" s="37">
        <f t="shared" si="16"/>
        <v>62677.170000000006</v>
      </c>
      <c r="AN72" s="60">
        <f t="shared" si="24"/>
        <v>8070716.1500000004</v>
      </c>
      <c r="AO72" s="60">
        <f t="shared" si="25"/>
        <v>7876126.5600000005</v>
      </c>
      <c r="AP72" s="60">
        <f t="shared" si="26"/>
        <v>19158920.5</v>
      </c>
    </row>
    <row r="73" spans="1:42" x14ac:dyDescent="0.2">
      <c r="A73" s="449">
        <v>42979</v>
      </c>
      <c r="B73" s="37">
        <v>6121039.2400000002</v>
      </c>
      <c r="C73" s="37">
        <v>3445298.68</v>
      </c>
      <c r="D73" s="37">
        <v>270442.5</v>
      </c>
      <c r="E73" s="37">
        <v>364353.87</v>
      </c>
      <c r="F73" s="37">
        <v>3157516.88</v>
      </c>
      <c r="G73" s="37">
        <v>3132329.91</v>
      </c>
      <c r="I73" s="457"/>
      <c r="J73" s="37">
        <v>22411.61</v>
      </c>
      <c r="K73" s="37">
        <v>69148.349999999991</v>
      </c>
      <c r="L73" s="60">
        <f t="shared" ref="L73:L106" si="28">+B73+C73+D73+E73+F73+G73+J73+K73</f>
        <v>16582541.039999997</v>
      </c>
      <c r="M73" s="37">
        <v>482785.2</v>
      </c>
      <c r="N73" s="441"/>
      <c r="O73" s="441"/>
      <c r="P73" s="441"/>
      <c r="Q73" s="441"/>
      <c r="R73" s="441"/>
      <c r="S73" s="441"/>
      <c r="T73" s="441"/>
      <c r="U73" s="441"/>
      <c r="V73" s="441"/>
      <c r="W73" s="460">
        <v>183925.86</v>
      </c>
      <c r="X73" s="60">
        <f t="shared" si="13"/>
        <v>183925.86</v>
      </c>
      <c r="AB73" s="449">
        <v>42979</v>
      </c>
      <c r="AC73" s="37">
        <f t="shared" ref="AC73:AH73" si="29">+B73</f>
        <v>6121039.2400000002</v>
      </c>
      <c r="AD73" s="37">
        <f t="shared" si="29"/>
        <v>3445298.68</v>
      </c>
      <c r="AE73" s="37">
        <f t="shared" si="29"/>
        <v>270442.5</v>
      </c>
      <c r="AF73" s="37">
        <f t="shared" si="29"/>
        <v>364353.87</v>
      </c>
      <c r="AG73" s="37">
        <f t="shared" si="29"/>
        <v>3157516.88</v>
      </c>
      <c r="AH73" s="37">
        <f t="shared" si="29"/>
        <v>3132329.91</v>
      </c>
      <c r="AI73" s="60">
        <f>+M73+N73+O73+P73+Q73+R73+S73+T73</f>
        <v>482785.2</v>
      </c>
      <c r="AJ73" s="457"/>
      <c r="AK73" s="37">
        <f>+J73</f>
        <v>22411.61</v>
      </c>
      <c r="AL73" s="37">
        <f>+K73</f>
        <v>69148.349999999991</v>
      </c>
      <c r="AN73" s="60">
        <f>+AE73+AF73+AG73+AH73+AI73</f>
        <v>7407428.3600000003</v>
      </c>
      <c r="AO73" s="60">
        <f t="shared" si="25"/>
        <v>7223502.5</v>
      </c>
      <c r="AP73" s="60">
        <f t="shared" si="26"/>
        <v>16881400.379999999</v>
      </c>
    </row>
    <row r="74" spans="1:42" x14ac:dyDescent="0.2">
      <c r="A74" s="449">
        <v>43009</v>
      </c>
      <c r="B74" s="37">
        <v>5131805.42</v>
      </c>
      <c r="C74" s="37">
        <v>3087679.28</v>
      </c>
      <c r="D74" s="37">
        <v>251524.17</v>
      </c>
      <c r="E74" s="37">
        <v>364684.84</v>
      </c>
      <c r="F74" s="37">
        <v>2800301.93</v>
      </c>
      <c r="G74" s="37">
        <v>3036746.84</v>
      </c>
      <c r="I74" s="457"/>
      <c r="J74" s="37">
        <v>22879.8</v>
      </c>
      <c r="K74" s="37">
        <v>80163.640000000014</v>
      </c>
      <c r="L74" s="60">
        <f t="shared" si="28"/>
        <v>14775785.92</v>
      </c>
      <c r="M74" s="37">
        <v>436548</v>
      </c>
      <c r="N74" s="441"/>
      <c r="O74" s="441"/>
      <c r="P74" s="441"/>
      <c r="Q74" s="441"/>
      <c r="R74" s="441"/>
      <c r="S74" s="441"/>
      <c r="T74" s="441"/>
      <c r="U74" s="441"/>
      <c r="V74" s="441"/>
      <c r="W74" s="460">
        <v>179438</v>
      </c>
      <c r="X74" s="60">
        <f t="shared" si="13"/>
        <v>179438</v>
      </c>
      <c r="AB74" s="449">
        <v>43009</v>
      </c>
      <c r="AC74" s="37">
        <f t="shared" si="18"/>
        <v>5131805.42</v>
      </c>
      <c r="AD74" s="37">
        <f t="shared" si="19"/>
        <v>3087679.28</v>
      </c>
      <c r="AE74" s="37">
        <f t="shared" si="20"/>
        <v>251524.17</v>
      </c>
      <c r="AF74" s="37">
        <f t="shared" si="21"/>
        <v>364684.84</v>
      </c>
      <c r="AG74" s="37">
        <f t="shared" si="22"/>
        <v>2800301.93</v>
      </c>
      <c r="AH74" s="37">
        <f t="shared" si="23"/>
        <v>3036746.84</v>
      </c>
      <c r="AI74" s="60">
        <f t="shared" si="27"/>
        <v>436548</v>
      </c>
      <c r="AJ74" s="457"/>
      <c r="AK74" s="37">
        <f t="shared" si="15"/>
        <v>22879.8</v>
      </c>
      <c r="AL74" s="37">
        <f t="shared" si="16"/>
        <v>80163.640000000014</v>
      </c>
      <c r="AN74" s="60">
        <f t="shared" si="24"/>
        <v>6889805.7800000003</v>
      </c>
      <c r="AO74" s="60">
        <f t="shared" si="25"/>
        <v>6710367.7800000003</v>
      </c>
      <c r="AP74" s="60">
        <f t="shared" si="26"/>
        <v>15032895.919999998</v>
      </c>
    </row>
    <row r="75" spans="1:42" x14ac:dyDescent="0.2">
      <c r="A75" s="449">
        <v>43040</v>
      </c>
      <c r="B75" s="37">
        <v>5354811.05</v>
      </c>
      <c r="C75" s="37">
        <v>3184497.15</v>
      </c>
      <c r="D75" s="37">
        <v>271148.01</v>
      </c>
      <c r="E75" s="37">
        <v>399959.02</v>
      </c>
      <c r="F75" s="37">
        <v>2621036.5499999998</v>
      </c>
      <c r="G75" s="37">
        <v>2963996.7899999996</v>
      </c>
      <c r="I75" s="457"/>
      <c r="J75" s="37">
        <v>23903.83</v>
      </c>
      <c r="K75" s="37">
        <v>85274.069999999992</v>
      </c>
      <c r="L75" s="60">
        <f t="shared" si="28"/>
        <v>14904626.469999997</v>
      </c>
      <c r="M75" s="37">
        <v>426239.4</v>
      </c>
      <c r="N75" s="441"/>
      <c r="O75" s="441"/>
      <c r="P75" s="441"/>
      <c r="Q75" s="441"/>
      <c r="R75" s="441"/>
      <c r="S75" s="441"/>
      <c r="T75" s="441"/>
      <c r="U75" s="441"/>
      <c r="V75" s="441"/>
      <c r="W75" s="460">
        <v>226288</v>
      </c>
      <c r="X75" s="60">
        <f t="shared" si="13"/>
        <v>226288</v>
      </c>
      <c r="AB75" s="449">
        <v>43040</v>
      </c>
      <c r="AC75" s="37">
        <f t="shared" si="18"/>
        <v>5354811.05</v>
      </c>
      <c r="AD75" s="37">
        <f t="shared" si="19"/>
        <v>3184497.15</v>
      </c>
      <c r="AE75" s="37">
        <f t="shared" si="20"/>
        <v>271148.01</v>
      </c>
      <c r="AF75" s="37">
        <f t="shared" si="21"/>
        <v>399959.02</v>
      </c>
      <c r="AG75" s="37">
        <f t="shared" si="22"/>
        <v>2621036.5499999998</v>
      </c>
      <c r="AH75" s="37">
        <f t="shared" si="23"/>
        <v>2963996.7899999996</v>
      </c>
      <c r="AI75" s="60">
        <f t="shared" si="27"/>
        <v>426239.4</v>
      </c>
      <c r="AJ75" s="457"/>
      <c r="AK75" s="37">
        <f t="shared" si="15"/>
        <v>23903.83</v>
      </c>
      <c r="AL75" s="37">
        <f t="shared" si="16"/>
        <v>85274.069999999992</v>
      </c>
      <c r="AN75" s="60">
        <f t="shared" si="24"/>
        <v>6682379.7699999996</v>
      </c>
      <c r="AO75" s="60">
        <f t="shared" si="25"/>
        <v>6456091.7699999996</v>
      </c>
      <c r="AP75" s="60">
        <f t="shared" si="26"/>
        <v>15104577.869999999</v>
      </c>
    </row>
    <row r="76" spans="1:42" s="574" customFormat="1" x14ac:dyDescent="0.2">
      <c r="A76" s="572">
        <v>43070</v>
      </c>
      <c r="B76" s="573">
        <v>6662461.4499999993</v>
      </c>
      <c r="C76" s="573">
        <v>3611501.9299999997</v>
      </c>
      <c r="D76" s="573">
        <v>335257.82</v>
      </c>
      <c r="E76" s="573">
        <v>424194.76</v>
      </c>
      <c r="F76" s="573">
        <v>2805464.3899999997</v>
      </c>
      <c r="G76" s="573">
        <v>3215875.91</v>
      </c>
      <c r="I76" s="575"/>
      <c r="J76" s="573">
        <v>25680.5</v>
      </c>
      <c r="K76" s="573">
        <v>92202.06</v>
      </c>
      <c r="L76" s="576">
        <f t="shared" si="28"/>
        <v>17172638.819999997</v>
      </c>
      <c r="M76" s="573">
        <v>474767.4</v>
      </c>
      <c r="N76" s="577"/>
      <c r="O76" s="577"/>
      <c r="P76" s="577"/>
      <c r="Q76" s="577"/>
      <c r="R76" s="577"/>
      <c r="S76" s="577"/>
      <c r="T76" s="577"/>
      <c r="U76" s="577"/>
      <c r="V76" s="577"/>
      <c r="W76" s="578">
        <v>250168.62</v>
      </c>
      <c r="X76" s="576">
        <f t="shared" si="13"/>
        <v>250168.62</v>
      </c>
      <c r="AB76" s="572">
        <v>43070</v>
      </c>
      <c r="AC76" s="573">
        <f t="shared" si="18"/>
        <v>6662461.4499999993</v>
      </c>
      <c r="AD76" s="573">
        <f t="shared" si="19"/>
        <v>3611501.9299999997</v>
      </c>
      <c r="AE76" s="573">
        <f t="shared" si="20"/>
        <v>335257.82</v>
      </c>
      <c r="AF76" s="573">
        <f t="shared" si="21"/>
        <v>424194.76</v>
      </c>
      <c r="AG76" s="573">
        <f t="shared" si="22"/>
        <v>2805464.3899999997</v>
      </c>
      <c r="AH76" s="573">
        <f t="shared" si="23"/>
        <v>3215875.91</v>
      </c>
      <c r="AI76" s="576">
        <f t="shared" si="27"/>
        <v>474767.4</v>
      </c>
      <c r="AJ76" s="575"/>
      <c r="AK76" s="573">
        <f t="shared" si="15"/>
        <v>25680.5</v>
      </c>
      <c r="AL76" s="573">
        <f t="shared" si="16"/>
        <v>92202.06</v>
      </c>
      <c r="AN76" s="576">
        <f t="shared" si="24"/>
        <v>7255560.2800000003</v>
      </c>
      <c r="AO76" s="576">
        <f t="shared" si="25"/>
        <v>7005391.6600000001</v>
      </c>
      <c r="AP76" s="576">
        <f t="shared" si="26"/>
        <v>17397237.600000001</v>
      </c>
    </row>
    <row r="77" spans="1:42" x14ac:dyDescent="0.2">
      <c r="A77" s="449">
        <v>43101</v>
      </c>
      <c r="B77" s="37">
        <v>6643290.3000000007</v>
      </c>
      <c r="C77" s="37">
        <v>3807613.83</v>
      </c>
      <c r="D77" s="37">
        <v>346784.03</v>
      </c>
      <c r="E77" s="37">
        <v>429477.08</v>
      </c>
      <c r="F77" s="37">
        <v>2903214.48</v>
      </c>
      <c r="G77" s="37">
        <v>3327307.17</v>
      </c>
      <c r="I77" s="457"/>
      <c r="J77" s="37">
        <v>26416.7</v>
      </c>
      <c r="K77" s="37">
        <v>89881.66</v>
      </c>
      <c r="L77" s="60">
        <f t="shared" si="28"/>
        <v>17573985.25</v>
      </c>
      <c r="M77" s="37">
        <v>493229.4</v>
      </c>
      <c r="N77" s="441"/>
      <c r="O77" s="441"/>
      <c r="P77" s="441"/>
      <c r="Q77" s="441"/>
      <c r="R77" s="441"/>
      <c r="S77" s="441"/>
      <c r="T77" s="441"/>
      <c r="U77" s="441"/>
      <c r="V77" s="441"/>
      <c r="W77" s="460">
        <v>250526.24</v>
      </c>
      <c r="X77" s="60">
        <f t="shared" si="13"/>
        <v>250526.24</v>
      </c>
      <c r="AB77" s="449">
        <v>43101</v>
      </c>
      <c r="AC77" s="37">
        <f t="shared" si="18"/>
        <v>6643290.3000000007</v>
      </c>
      <c r="AD77" s="37">
        <f t="shared" si="19"/>
        <v>3807613.83</v>
      </c>
      <c r="AE77" s="37">
        <f t="shared" si="20"/>
        <v>346784.03</v>
      </c>
      <c r="AF77" s="37">
        <f t="shared" si="21"/>
        <v>429477.08</v>
      </c>
      <c r="AG77" s="37">
        <f t="shared" si="22"/>
        <v>2903214.48</v>
      </c>
      <c r="AH77" s="37">
        <f t="shared" si="23"/>
        <v>3327307.17</v>
      </c>
      <c r="AI77" s="60">
        <f t="shared" si="27"/>
        <v>493229.4</v>
      </c>
      <c r="AJ77" s="457"/>
      <c r="AK77" s="37">
        <f t="shared" si="15"/>
        <v>26416.7</v>
      </c>
      <c r="AL77" s="37">
        <f t="shared" si="16"/>
        <v>89881.66</v>
      </c>
      <c r="AN77" s="60">
        <f t="shared" si="24"/>
        <v>7500012.1600000001</v>
      </c>
      <c r="AO77" s="60">
        <f t="shared" si="25"/>
        <v>7249485.9199999999</v>
      </c>
      <c r="AP77" s="60">
        <f t="shared" si="26"/>
        <v>17816688.41</v>
      </c>
    </row>
    <row r="78" spans="1:42" x14ac:dyDescent="0.2">
      <c r="A78" s="449">
        <v>43132</v>
      </c>
      <c r="B78" s="37">
        <v>5449551.9299999997</v>
      </c>
      <c r="C78" s="37">
        <v>3276800.65</v>
      </c>
      <c r="D78" s="37">
        <v>295416.06</v>
      </c>
      <c r="E78" s="37">
        <v>401892.52</v>
      </c>
      <c r="F78" s="37">
        <v>2523784.5300000003</v>
      </c>
      <c r="G78" s="37">
        <v>3051971.62</v>
      </c>
      <c r="I78" s="457"/>
      <c r="J78" s="37">
        <v>24692.99</v>
      </c>
      <c r="K78" s="37">
        <v>74948.37000000001</v>
      </c>
      <c r="L78" s="60">
        <f t="shared" si="28"/>
        <v>15099058.670000002</v>
      </c>
      <c r="M78" s="37">
        <v>420989.4</v>
      </c>
      <c r="N78" s="441"/>
      <c r="O78" s="441"/>
      <c r="P78" s="441"/>
      <c r="Q78" s="441"/>
      <c r="R78" s="441"/>
      <c r="S78" s="441"/>
      <c r="T78" s="441"/>
      <c r="U78" s="441"/>
      <c r="V78" s="441"/>
      <c r="W78" s="460">
        <v>238829.14</v>
      </c>
      <c r="X78" s="60">
        <f t="shared" si="13"/>
        <v>238829.14</v>
      </c>
      <c r="AB78" s="449">
        <v>43132</v>
      </c>
      <c r="AC78" s="37">
        <f t="shared" si="18"/>
        <v>5449551.9299999997</v>
      </c>
      <c r="AD78" s="37">
        <f t="shared" si="19"/>
        <v>3276800.65</v>
      </c>
      <c r="AE78" s="37">
        <f t="shared" si="20"/>
        <v>295416.06</v>
      </c>
      <c r="AF78" s="37">
        <f t="shared" si="21"/>
        <v>401892.52</v>
      </c>
      <c r="AG78" s="37">
        <f t="shared" si="22"/>
        <v>2523784.5300000003</v>
      </c>
      <c r="AH78" s="37">
        <f t="shared" si="23"/>
        <v>3051971.62</v>
      </c>
      <c r="AI78" s="60">
        <f t="shared" si="27"/>
        <v>420989.4</v>
      </c>
      <c r="AJ78" s="457"/>
      <c r="AK78" s="37">
        <f t="shared" si="15"/>
        <v>24692.99</v>
      </c>
      <c r="AL78" s="37">
        <f t="shared" si="16"/>
        <v>74948.37000000001</v>
      </c>
      <c r="AN78" s="60">
        <f t="shared" si="24"/>
        <v>6694054.1300000008</v>
      </c>
      <c r="AO78" s="60">
        <f t="shared" si="25"/>
        <v>6455224.9900000012</v>
      </c>
      <c r="AP78" s="60">
        <f t="shared" si="26"/>
        <v>15281218.93</v>
      </c>
    </row>
    <row r="79" spans="1:42" x14ac:dyDescent="0.2">
      <c r="A79" s="449">
        <v>43160</v>
      </c>
      <c r="B79" s="37">
        <v>5715841.0300000003</v>
      </c>
      <c r="C79" s="37">
        <v>3505189.93</v>
      </c>
      <c r="D79" s="37">
        <v>280784.40999999997</v>
      </c>
      <c r="E79" s="37">
        <v>372366.25</v>
      </c>
      <c r="F79" s="37">
        <v>2742253.4899999998</v>
      </c>
      <c r="G79" s="37">
        <v>3272141.83</v>
      </c>
      <c r="I79" s="457"/>
      <c r="J79" s="37">
        <v>20959</v>
      </c>
      <c r="K79" s="37">
        <v>74219.09</v>
      </c>
      <c r="L79" s="60">
        <f t="shared" si="28"/>
        <v>15983755.030000001</v>
      </c>
      <c r="M79" s="37">
        <v>459430.8</v>
      </c>
      <c r="N79" s="441"/>
      <c r="O79" s="441"/>
      <c r="P79" s="441"/>
      <c r="Q79" s="441"/>
      <c r="R79" s="441"/>
      <c r="S79" s="441"/>
      <c r="T79" s="441"/>
      <c r="U79" s="441"/>
      <c r="V79" s="460">
        <v>29663.200000000001</v>
      </c>
      <c r="W79" s="460">
        <v>205894.84</v>
      </c>
      <c r="X79" s="60">
        <f t="shared" si="13"/>
        <v>235558.04</v>
      </c>
      <c r="AB79" s="449">
        <v>43160</v>
      </c>
      <c r="AC79" s="37">
        <f t="shared" si="18"/>
        <v>5715841.0300000003</v>
      </c>
      <c r="AD79" s="37">
        <f t="shared" si="19"/>
        <v>3505189.93</v>
      </c>
      <c r="AE79" s="37">
        <f t="shared" si="20"/>
        <v>280784.40999999997</v>
      </c>
      <c r="AF79" s="37">
        <f t="shared" si="21"/>
        <v>372366.25</v>
      </c>
      <c r="AG79" s="37">
        <f t="shared" si="22"/>
        <v>2742253.4899999998</v>
      </c>
      <c r="AH79" s="37">
        <f t="shared" si="23"/>
        <v>3272141.83</v>
      </c>
      <c r="AI79" s="60">
        <f>+M79+N79+O79+P79+Q79+R79+S79+T79+U79</f>
        <v>459430.8</v>
      </c>
      <c r="AJ79" s="457"/>
      <c r="AK79" s="37">
        <f t="shared" si="15"/>
        <v>20959</v>
      </c>
      <c r="AL79" s="37">
        <f t="shared" si="16"/>
        <v>74219.09</v>
      </c>
      <c r="AN79" s="60">
        <f t="shared" si="24"/>
        <v>7126976.7799999993</v>
      </c>
      <c r="AO79" s="60">
        <f t="shared" si="25"/>
        <v>6891418.7399999993</v>
      </c>
      <c r="AP79" s="60">
        <f t="shared" si="26"/>
        <v>16207627.789999999</v>
      </c>
    </row>
    <row r="80" spans="1:42" x14ac:dyDescent="0.2">
      <c r="A80" s="449">
        <v>43191</v>
      </c>
      <c r="B80" s="37">
        <v>5395421.1799999997</v>
      </c>
      <c r="C80" s="37">
        <v>3277017.4299999997</v>
      </c>
      <c r="D80" s="37">
        <v>266240.73</v>
      </c>
      <c r="E80" s="37">
        <v>356357.3</v>
      </c>
      <c r="F80" s="37">
        <v>2584600.0699999998</v>
      </c>
      <c r="G80" s="37">
        <v>3334525.82</v>
      </c>
      <c r="I80" s="457"/>
      <c r="J80" s="37">
        <v>20959</v>
      </c>
      <c r="K80" s="37">
        <v>62965.24</v>
      </c>
      <c r="L80" s="60">
        <f t="shared" si="28"/>
        <v>15298086.770000001</v>
      </c>
      <c r="M80" s="37">
        <v>428242.8</v>
      </c>
      <c r="N80" s="441"/>
      <c r="O80" s="441"/>
      <c r="P80" s="441"/>
      <c r="Q80" s="441"/>
      <c r="R80" s="441"/>
      <c r="S80" s="441"/>
      <c r="T80" s="441"/>
      <c r="U80" s="441"/>
      <c r="V80" s="460">
        <v>432415.2</v>
      </c>
      <c r="W80" s="460">
        <v>197087.66</v>
      </c>
      <c r="X80" s="60">
        <f t="shared" si="13"/>
        <v>629502.86</v>
      </c>
      <c r="AB80" s="449">
        <v>43191</v>
      </c>
      <c r="AC80" s="37">
        <f t="shared" si="18"/>
        <v>5395421.1799999997</v>
      </c>
      <c r="AD80" s="37">
        <f t="shared" si="19"/>
        <v>3277017.4299999997</v>
      </c>
      <c r="AE80" s="37">
        <f t="shared" si="20"/>
        <v>266240.73</v>
      </c>
      <c r="AF80" s="37">
        <f t="shared" si="21"/>
        <v>356357.3</v>
      </c>
      <c r="AG80" s="37">
        <f t="shared" si="22"/>
        <v>2584600.0699999998</v>
      </c>
      <c r="AH80" s="37">
        <f t="shared" si="23"/>
        <v>3334525.82</v>
      </c>
      <c r="AI80" s="60">
        <f t="shared" ref="AI80:AI92" si="30">+M80+N80+O80+P80+Q80+R80+S80+T80+U80</f>
        <v>428242.8</v>
      </c>
      <c r="AJ80" s="457"/>
      <c r="AK80" s="37">
        <f t="shared" si="15"/>
        <v>20959</v>
      </c>
      <c r="AL80" s="37">
        <f t="shared" si="16"/>
        <v>62965.24</v>
      </c>
      <c r="AN80" s="60">
        <f t="shared" si="24"/>
        <v>6969966.7199999997</v>
      </c>
      <c r="AO80" s="60">
        <f t="shared" si="25"/>
        <v>6340463.8599999994</v>
      </c>
      <c r="AP80" s="60">
        <f t="shared" si="26"/>
        <v>15096826.709999999</v>
      </c>
    </row>
    <row r="81" spans="1:42" x14ac:dyDescent="0.2">
      <c r="A81" s="449">
        <v>43221</v>
      </c>
      <c r="B81" s="37">
        <v>5412142.79</v>
      </c>
      <c r="C81" s="37">
        <v>3272430.87</v>
      </c>
      <c r="D81" s="37">
        <v>246216.55</v>
      </c>
      <c r="E81" s="37">
        <v>388601.18</v>
      </c>
      <c r="F81" s="37">
        <v>2787498.86</v>
      </c>
      <c r="G81" s="37">
        <v>3436381.16</v>
      </c>
      <c r="I81" s="457"/>
      <c r="J81" s="37">
        <v>20959</v>
      </c>
      <c r="K81" s="37">
        <v>57330.03</v>
      </c>
      <c r="L81" s="60">
        <f t="shared" si="28"/>
        <v>15621560.439999999</v>
      </c>
      <c r="M81" s="37">
        <v>449701.8</v>
      </c>
      <c r="N81" s="441"/>
      <c r="O81" s="441"/>
      <c r="P81" s="441"/>
      <c r="Q81" s="441"/>
      <c r="R81" s="441"/>
      <c r="S81" s="441"/>
      <c r="T81" s="441"/>
      <c r="U81" s="441"/>
      <c r="V81" s="460">
        <v>336772.8</v>
      </c>
      <c r="W81" s="460">
        <v>220182.95</v>
      </c>
      <c r="X81" s="60">
        <f t="shared" si="13"/>
        <v>556955.75</v>
      </c>
      <c r="AB81" s="449">
        <v>43221</v>
      </c>
      <c r="AC81" s="37">
        <f t="shared" si="18"/>
        <v>5412142.79</v>
      </c>
      <c r="AD81" s="37">
        <f t="shared" si="19"/>
        <v>3272430.87</v>
      </c>
      <c r="AE81" s="37">
        <f t="shared" si="20"/>
        <v>246216.55</v>
      </c>
      <c r="AF81" s="37">
        <f t="shared" si="21"/>
        <v>388601.18</v>
      </c>
      <c r="AG81" s="37">
        <f t="shared" si="22"/>
        <v>2787498.86</v>
      </c>
      <c r="AH81" s="37">
        <f t="shared" si="23"/>
        <v>3436381.16</v>
      </c>
      <c r="AI81" s="60">
        <f t="shared" si="30"/>
        <v>449701.8</v>
      </c>
      <c r="AJ81" s="457"/>
      <c r="AK81" s="37">
        <f t="shared" si="15"/>
        <v>20959</v>
      </c>
      <c r="AL81" s="37">
        <f t="shared" si="16"/>
        <v>57330.03</v>
      </c>
      <c r="AN81" s="60">
        <f t="shared" si="24"/>
        <v>7308399.5499999998</v>
      </c>
      <c r="AO81" s="60">
        <f t="shared" si="25"/>
        <v>6751443.7999999998</v>
      </c>
      <c r="AP81" s="60">
        <f t="shared" si="26"/>
        <v>15514306.489999998</v>
      </c>
    </row>
    <row r="82" spans="1:42" x14ac:dyDescent="0.2">
      <c r="A82" s="449">
        <v>43252</v>
      </c>
      <c r="B82" s="37">
        <v>6396088.75</v>
      </c>
      <c r="C82" s="37">
        <v>3448302.57</v>
      </c>
      <c r="D82" s="37">
        <v>268971.17</v>
      </c>
      <c r="E82" s="37">
        <v>348049.09</v>
      </c>
      <c r="F82" s="37">
        <v>3070049.5300000003</v>
      </c>
      <c r="G82" s="37">
        <v>3379497.05</v>
      </c>
      <c r="I82" s="457"/>
      <c r="J82" s="37">
        <v>20959</v>
      </c>
      <c r="K82" s="37">
        <v>51645.11</v>
      </c>
      <c r="L82" s="60">
        <f t="shared" si="28"/>
        <v>16983562.27</v>
      </c>
      <c r="M82" s="37">
        <v>477520.2</v>
      </c>
      <c r="N82" s="441"/>
      <c r="O82" s="441"/>
      <c r="P82" s="441"/>
      <c r="Q82" s="441"/>
      <c r="R82" s="441"/>
      <c r="S82" s="441"/>
      <c r="T82" s="441"/>
      <c r="U82" s="441"/>
      <c r="V82" s="460">
        <v>210117.6</v>
      </c>
      <c r="W82" s="460">
        <v>163854.54999999999</v>
      </c>
      <c r="X82" s="60">
        <f t="shared" si="13"/>
        <v>373972.15</v>
      </c>
      <c r="AB82" s="449">
        <v>43252</v>
      </c>
      <c r="AC82" s="37">
        <f t="shared" si="18"/>
        <v>6396088.75</v>
      </c>
      <c r="AD82" s="37">
        <f t="shared" si="19"/>
        <v>3448302.57</v>
      </c>
      <c r="AE82" s="37">
        <f t="shared" si="20"/>
        <v>268971.17</v>
      </c>
      <c r="AF82" s="37">
        <f t="shared" si="21"/>
        <v>348049.09</v>
      </c>
      <c r="AG82" s="37">
        <f t="shared" si="22"/>
        <v>3070049.5300000003</v>
      </c>
      <c r="AH82" s="37">
        <f t="shared" si="23"/>
        <v>3379497.05</v>
      </c>
      <c r="AI82" s="60">
        <f t="shared" si="30"/>
        <v>477520.2</v>
      </c>
      <c r="AJ82" s="457"/>
      <c r="AK82" s="37">
        <f t="shared" si="15"/>
        <v>20959</v>
      </c>
      <c r="AL82" s="37">
        <f t="shared" si="16"/>
        <v>51645.11</v>
      </c>
      <c r="AN82" s="60">
        <f t="shared" si="24"/>
        <v>7544087.04</v>
      </c>
      <c r="AO82" s="60">
        <f t="shared" si="25"/>
        <v>7170114.8899999997</v>
      </c>
      <c r="AP82" s="60">
        <f t="shared" si="26"/>
        <v>17087110.32</v>
      </c>
    </row>
    <row r="83" spans="1:42" x14ac:dyDescent="0.2">
      <c r="A83" s="449">
        <v>43282</v>
      </c>
      <c r="B83" s="37">
        <v>9133306.9499999993</v>
      </c>
      <c r="C83" s="37">
        <v>4327775.32</v>
      </c>
      <c r="D83" s="37">
        <v>342088.1</v>
      </c>
      <c r="E83" s="37">
        <v>208435.79</v>
      </c>
      <c r="F83" s="37">
        <v>3760954.55</v>
      </c>
      <c r="G83" s="37">
        <v>3006965.8000000003</v>
      </c>
      <c r="I83" s="457"/>
      <c r="J83" s="37">
        <v>20959</v>
      </c>
      <c r="K83" s="37">
        <v>55457.14</v>
      </c>
      <c r="L83" s="60">
        <f t="shared" si="28"/>
        <v>20855942.649999999</v>
      </c>
      <c r="M83" s="441"/>
      <c r="N83" s="37">
        <v>325936.56</v>
      </c>
      <c r="O83" s="37">
        <v>358801.2</v>
      </c>
      <c r="P83" s="37">
        <v>535667.4</v>
      </c>
      <c r="Q83" s="441"/>
      <c r="R83" s="441"/>
      <c r="S83" s="441"/>
      <c r="T83" s="441"/>
      <c r="U83" s="37">
        <v>677835.2</v>
      </c>
      <c r="V83" s="441"/>
      <c r="W83" s="441"/>
      <c r="X83" s="60">
        <f t="shared" si="13"/>
        <v>677835.2</v>
      </c>
      <c r="AB83" s="449">
        <v>43282</v>
      </c>
      <c r="AC83" s="37">
        <f t="shared" si="18"/>
        <v>9133306.9499999993</v>
      </c>
      <c r="AD83" s="37">
        <f t="shared" si="19"/>
        <v>4327775.32</v>
      </c>
      <c r="AE83" s="37">
        <f t="shared" si="20"/>
        <v>342088.1</v>
      </c>
      <c r="AF83" s="37">
        <f t="shared" si="21"/>
        <v>208435.79</v>
      </c>
      <c r="AG83" s="37">
        <f t="shared" si="22"/>
        <v>3760954.55</v>
      </c>
      <c r="AH83" s="37">
        <f t="shared" si="23"/>
        <v>3006965.8000000003</v>
      </c>
      <c r="AI83" s="60">
        <f t="shared" si="30"/>
        <v>1898240.36</v>
      </c>
      <c r="AJ83" s="457"/>
      <c r="AK83" s="37">
        <f t="shared" si="15"/>
        <v>20959</v>
      </c>
      <c r="AL83" s="37">
        <f t="shared" si="16"/>
        <v>55457.14</v>
      </c>
      <c r="AN83" s="60">
        <f t="shared" si="24"/>
        <v>9216684.5999999996</v>
      </c>
      <c r="AO83" s="60">
        <f t="shared" si="25"/>
        <v>8538849.4000000004</v>
      </c>
      <c r="AP83" s="60">
        <f t="shared" si="26"/>
        <v>22076347.810000002</v>
      </c>
    </row>
    <row r="84" spans="1:42" x14ac:dyDescent="0.2">
      <c r="A84" s="449">
        <v>43313</v>
      </c>
      <c r="B84" s="37">
        <v>8654649.3699999992</v>
      </c>
      <c r="C84" s="37">
        <v>4367980.45</v>
      </c>
      <c r="D84" s="37">
        <v>335493.58</v>
      </c>
      <c r="E84" s="37">
        <v>207973.95</v>
      </c>
      <c r="F84" s="37">
        <v>3951755.14</v>
      </c>
      <c r="G84" s="37">
        <v>3047317.6100000003</v>
      </c>
      <c r="I84" s="457"/>
      <c r="J84" s="37">
        <v>20959</v>
      </c>
      <c r="K84" s="37">
        <v>62285.710000000006</v>
      </c>
      <c r="L84" s="60">
        <f t="shared" si="28"/>
        <v>20648414.809999999</v>
      </c>
      <c r="M84" s="441"/>
      <c r="N84" s="37">
        <v>304249.44</v>
      </c>
      <c r="O84" s="37">
        <v>359956.8</v>
      </c>
      <c r="P84" s="37">
        <v>629195.4</v>
      </c>
      <c r="Q84" s="441"/>
      <c r="R84" s="441"/>
      <c r="S84" s="441"/>
      <c r="T84" s="441"/>
      <c r="U84" s="37">
        <v>1277718.3999999999</v>
      </c>
      <c r="V84" s="441"/>
      <c r="W84" s="441"/>
      <c r="X84" s="60">
        <f t="shared" si="13"/>
        <v>1277718.3999999999</v>
      </c>
      <c r="AB84" s="449">
        <v>43313</v>
      </c>
      <c r="AC84" s="37">
        <f t="shared" si="18"/>
        <v>8654649.3699999992</v>
      </c>
      <c r="AD84" s="37">
        <f t="shared" si="19"/>
        <v>4367980.45</v>
      </c>
      <c r="AE84" s="37">
        <f t="shared" si="20"/>
        <v>335493.58</v>
      </c>
      <c r="AF84" s="37">
        <f t="shared" si="21"/>
        <v>207973.95</v>
      </c>
      <c r="AG84" s="37">
        <f t="shared" si="22"/>
        <v>3951755.14</v>
      </c>
      <c r="AH84" s="37">
        <f t="shared" si="23"/>
        <v>3047317.6100000003</v>
      </c>
      <c r="AI84" s="60">
        <f t="shared" si="30"/>
        <v>2571120.04</v>
      </c>
      <c r="AJ84" s="457"/>
      <c r="AK84" s="37">
        <f t="shared" si="15"/>
        <v>20959</v>
      </c>
      <c r="AL84" s="37">
        <f t="shared" si="16"/>
        <v>62285.710000000006</v>
      </c>
      <c r="AN84" s="60">
        <f t="shared" si="24"/>
        <v>10113660.32</v>
      </c>
      <c r="AO84" s="60">
        <f t="shared" si="25"/>
        <v>8835941.9199999999</v>
      </c>
      <c r="AP84" s="60">
        <f t="shared" si="26"/>
        <v>21941816.450000003</v>
      </c>
    </row>
    <row r="85" spans="1:42" x14ac:dyDescent="0.2">
      <c r="A85" s="449">
        <v>43344</v>
      </c>
      <c r="B85" s="37">
        <v>6705547.21</v>
      </c>
      <c r="C85" s="37">
        <v>3513247.41</v>
      </c>
      <c r="D85" s="37">
        <v>291436.5</v>
      </c>
      <c r="E85" s="37">
        <v>189642.99</v>
      </c>
      <c r="F85" s="37">
        <v>3279549.01</v>
      </c>
      <c r="G85" s="37">
        <v>2656742.5300000003</v>
      </c>
      <c r="I85" s="457"/>
      <c r="J85" s="37">
        <v>20959</v>
      </c>
      <c r="K85" s="37">
        <v>68716.47</v>
      </c>
      <c r="L85" s="60">
        <f t="shared" si="28"/>
        <v>16725841.120000003</v>
      </c>
      <c r="M85" s="441"/>
      <c r="N85" s="37">
        <v>249882.72</v>
      </c>
      <c r="O85" s="37">
        <v>309116.7</v>
      </c>
      <c r="P85" s="37">
        <v>560880.9</v>
      </c>
      <c r="Q85" s="441"/>
      <c r="R85" s="441"/>
      <c r="S85" s="441"/>
      <c r="T85" s="441"/>
      <c r="U85" s="37">
        <v>1180401.6000000001</v>
      </c>
      <c r="V85" s="441"/>
      <c r="W85" s="441"/>
      <c r="X85" s="60">
        <f t="shared" si="13"/>
        <v>1180401.6000000001</v>
      </c>
      <c r="AB85" s="449">
        <v>43344</v>
      </c>
      <c r="AC85" s="37">
        <f t="shared" si="18"/>
        <v>6705547.21</v>
      </c>
      <c r="AD85" s="37">
        <f t="shared" si="19"/>
        <v>3513247.41</v>
      </c>
      <c r="AE85" s="37">
        <f t="shared" si="20"/>
        <v>291436.5</v>
      </c>
      <c r="AF85" s="37">
        <f t="shared" si="21"/>
        <v>189642.99</v>
      </c>
      <c r="AG85" s="37">
        <f t="shared" si="22"/>
        <v>3279549.01</v>
      </c>
      <c r="AH85" s="37">
        <f t="shared" si="23"/>
        <v>2656742.5300000003</v>
      </c>
      <c r="AI85" s="60">
        <f t="shared" si="30"/>
        <v>2300281.92</v>
      </c>
      <c r="AJ85" s="457"/>
      <c r="AK85" s="37">
        <f t="shared" si="15"/>
        <v>20959</v>
      </c>
      <c r="AL85" s="37">
        <f t="shared" si="16"/>
        <v>68716.47</v>
      </c>
      <c r="AN85" s="60">
        <f t="shared" si="24"/>
        <v>8717652.9499999993</v>
      </c>
      <c r="AO85" s="60">
        <f t="shared" si="25"/>
        <v>7537251.3499999996</v>
      </c>
      <c r="AP85" s="60">
        <f t="shared" si="26"/>
        <v>17845721.440000001</v>
      </c>
    </row>
    <row r="86" spans="1:42" x14ac:dyDescent="0.2">
      <c r="A86" s="449">
        <v>43374</v>
      </c>
      <c r="B86" s="37">
        <v>5382390.1900000004</v>
      </c>
      <c r="C86" s="37">
        <v>3130018.05</v>
      </c>
      <c r="D86" s="37">
        <v>271792.37</v>
      </c>
      <c r="E86" s="37">
        <v>165564.73000000001</v>
      </c>
      <c r="F86" s="37">
        <v>2813083.13</v>
      </c>
      <c r="G86" s="37">
        <v>2428017.48</v>
      </c>
      <c r="I86" s="457"/>
      <c r="J86" s="37">
        <v>20959</v>
      </c>
      <c r="K86" s="37">
        <v>80086.350000000006</v>
      </c>
      <c r="L86" s="60">
        <f t="shared" si="28"/>
        <v>14291911.299999999</v>
      </c>
      <c r="M86" s="441"/>
      <c r="N86" s="37">
        <v>196045.92</v>
      </c>
      <c r="O86" s="37">
        <v>301056.59999999998</v>
      </c>
      <c r="P86" s="37">
        <v>534143.69999999995</v>
      </c>
      <c r="Q86" s="441"/>
      <c r="R86" s="441"/>
      <c r="S86" s="441"/>
      <c r="T86" s="441"/>
      <c r="U86" s="37">
        <v>1390547.2</v>
      </c>
      <c r="V86" s="441"/>
      <c r="W86" s="441"/>
      <c r="X86" s="60">
        <f t="shared" si="13"/>
        <v>1390547.2</v>
      </c>
      <c r="AB86" s="449">
        <v>43374</v>
      </c>
      <c r="AC86" s="37">
        <f t="shared" si="18"/>
        <v>5382390.1900000004</v>
      </c>
      <c r="AD86" s="37">
        <f t="shared" si="19"/>
        <v>3130018.05</v>
      </c>
      <c r="AE86" s="37">
        <f t="shared" si="20"/>
        <v>271792.37</v>
      </c>
      <c r="AF86" s="37">
        <f t="shared" si="21"/>
        <v>165564.73000000001</v>
      </c>
      <c r="AG86" s="37">
        <f t="shared" si="22"/>
        <v>2813083.13</v>
      </c>
      <c r="AH86" s="37">
        <f t="shared" si="23"/>
        <v>2428017.48</v>
      </c>
      <c r="AI86" s="60">
        <f t="shared" si="30"/>
        <v>2421793.42</v>
      </c>
      <c r="AJ86" s="457"/>
      <c r="AK86" s="37">
        <f t="shared" si="15"/>
        <v>20959</v>
      </c>
      <c r="AL86" s="37">
        <f t="shared" si="16"/>
        <v>80086.350000000006</v>
      </c>
      <c r="AN86" s="60">
        <f t="shared" si="24"/>
        <v>8100251.1299999999</v>
      </c>
      <c r="AO86" s="60">
        <f t="shared" si="25"/>
        <v>6709703.9299999997</v>
      </c>
      <c r="AP86" s="60">
        <f t="shared" si="26"/>
        <v>15323157.52</v>
      </c>
    </row>
    <row r="87" spans="1:42" x14ac:dyDescent="0.2">
      <c r="A87" s="449">
        <v>43405</v>
      </c>
      <c r="B87" s="37">
        <v>5672070.4900000002</v>
      </c>
      <c r="C87" s="37">
        <v>3278452.1100000003</v>
      </c>
      <c r="D87" s="37">
        <v>294468.28999999998</v>
      </c>
      <c r="E87" s="37">
        <v>160133.54</v>
      </c>
      <c r="F87" s="37">
        <v>2718946.82</v>
      </c>
      <c r="G87" s="37">
        <v>2451464.5399999996</v>
      </c>
      <c r="I87" s="457"/>
      <c r="J87" s="37">
        <v>22470.13</v>
      </c>
      <c r="K87" s="37">
        <v>86193.739999999991</v>
      </c>
      <c r="L87" s="60">
        <f t="shared" si="28"/>
        <v>14684199.66</v>
      </c>
      <c r="M87" s="441"/>
      <c r="N87" s="37">
        <v>167140.79999999999</v>
      </c>
      <c r="O87" s="37">
        <v>234187.2</v>
      </c>
      <c r="P87" s="37">
        <v>541145.69999999995</v>
      </c>
      <c r="Q87" s="441"/>
      <c r="R87" s="441"/>
      <c r="S87" s="441"/>
      <c r="T87" s="441"/>
      <c r="U87" s="37">
        <v>1842338.4</v>
      </c>
      <c r="V87" s="441"/>
      <c r="W87" s="441"/>
      <c r="X87" s="60">
        <f t="shared" si="13"/>
        <v>1842338.4</v>
      </c>
      <c r="AB87" s="449">
        <v>43405</v>
      </c>
      <c r="AC87" s="37">
        <f t="shared" si="18"/>
        <v>5672070.4900000002</v>
      </c>
      <c r="AD87" s="37">
        <f t="shared" si="19"/>
        <v>3278452.1100000003</v>
      </c>
      <c r="AE87" s="37">
        <f t="shared" si="20"/>
        <v>294468.28999999998</v>
      </c>
      <c r="AF87" s="37">
        <f t="shared" si="21"/>
        <v>160133.54</v>
      </c>
      <c r="AG87" s="37">
        <f t="shared" si="22"/>
        <v>2718946.82</v>
      </c>
      <c r="AH87" s="37">
        <f t="shared" si="23"/>
        <v>2451464.5399999996</v>
      </c>
      <c r="AI87" s="60">
        <f t="shared" si="30"/>
        <v>2784812.0999999996</v>
      </c>
      <c r="AJ87" s="457"/>
      <c r="AK87" s="37">
        <f t="shared" si="15"/>
        <v>22470.13</v>
      </c>
      <c r="AL87" s="37">
        <f t="shared" si="16"/>
        <v>86193.739999999991</v>
      </c>
      <c r="AN87" s="60">
        <f t="shared" si="24"/>
        <v>8409825.2899999991</v>
      </c>
      <c r="AO87" s="60">
        <f t="shared" si="25"/>
        <v>6567486.8899999987</v>
      </c>
      <c r="AP87" s="60">
        <f t="shared" si="26"/>
        <v>15626673.360000001</v>
      </c>
    </row>
    <row r="88" spans="1:42" x14ac:dyDescent="0.2">
      <c r="A88" s="449">
        <v>43435</v>
      </c>
      <c r="B88" s="37">
        <v>6437870.0099999998</v>
      </c>
      <c r="C88" s="37">
        <v>3462003.83</v>
      </c>
      <c r="D88" s="37">
        <v>323514.55</v>
      </c>
      <c r="E88" s="37">
        <v>173723.28</v>
      </c>
      <c r="F88" s="37">
        <v>2821602.82</v>
      </c>
      <c r="G88" s="37">
        <v>2556928.02</v>
      </c>
      <c r="I88" s="457"/>
      <c r="J88" s="37">
        <v>23740.77</v>
      </c>
      <c r="K88" s="37">
        <v>93196.46</v>
      </c>
      <c r="L88" s="60">
        <f t="shared" si="28"/>
        <v>15892579.74</v>
      </c>
      <c r="M88" s="441"/>
      <c r="N88" s="37">
        <v>242260.32</v>
      </c>
      <c r="O88" s="37">
        <v>256314.9</v>
      </c>
      <c r="P88" s="37">
        <v>528173.1</v>
      </c>
      <c r="Q88" s="441"/>
      <c r="R88" s="441"/>
      <c r="S88" s="441"/>
      <c r="T88" s="441"/>
      <c r="U88" s="37">
        <v>2402612.7999999998</v>
      </c>
      <c r="V88" s="441"/>
      <c r="W88" s="441"/>
      <c r="X88" s="60">
        <f t="shared" si="13"/>
        <v>2402612.7999999998</v>
      </c>
      <c r="AB88" s="449">
        <v>43435</v>
      </c>
      <c r="AC88" s="37">
        <f t="shared" si="18"/>
        <v>6437870.0099999998</v>
      </c>
      <c r="AD88" s="37">
        <f t="shared" si="19"/>
        <v>3462003.83</v>
      </c>
      <c r="AE88" s="37">
        <f t="shared" si="20"/>
        <v>323514.55</v>
      </c>
      <c r="AF88" s="37">
        <f t="shared" si="21"/>
        <v>173723.28</v>
      </c>
      <c r="AG88" s="37">
        <f t="shared" si="22"/>
        <v>2821602.82</v>
      </c>
      <c r="AH88" s="37">
        <f t="shared" si="23"/>
        <v>2556928.02</v>
      </c>
      <c r="AI88" s="60">
        <f t="shared" si="30"/>
        <v>3429361.1199999996</v>
      </c>
      <c r="AJ88" s="457"/>
      <c r="AK88" s="37">
        <f t="shared" si="15"/>
        <v>23740.77</v>
      </c>
      <c r="AL88" s="37">
        <f t="shared" si="16"/>
        <v>93196.46</v>
      </c>
      <c r="AN88" s="60">
        <f t="shared" si="24"/>
        <v>9305129.7899999991</v>
      </c>
      <c r="AO88" s="60">
        <f t="shared" si="25"/>
        <v>6902516.9899999993</v>
      </c>
      <c r="AP88" s="60">
        <f t="shared" si="26"/>
        <v>16919328.059999999</v>
      </c>
    </row>
    <row r="89" spans="1:42" x14ac:dyDescent="0.2">
      <c r="A89" s="449">
        <v>43466</v>
      </c>
      <c r="B89" s="37">
        <v>6688187.3200000003</v>
      </c>
      <c r="C89" s="37">
        <v>3770298.98</v>
      </c>
      <c r="D89" s="37">
        <v>351357.03</v>
      </c>
      <c r="E89" s="37">
        <v>185162.61</v>
      </c>
      <c r="F89" s="37">
        <v>2932301.42</v>
      </c>
      <c r="G89" s="37">
        <v>2756456.32</v>
      </c>
      <c r="I89" s="457"/>
      <c r="J89" s="37">
        <v>23546.82</v>
      </c>
      <c r="K89" s="37">
        <v>90851.12000000001</v>
      </c>
      <c r="L89" s="60">
        <f t="shared" si="28"/>
        <v>16798161.620000001</v>
      </c>
      <c r="M89" s="441"/>
      <c r="N89" s="37">
        <v>248982.48</v>
      </c>
      <c r="O89" s="37">
        <v>272135.7</v>
      </c>
      <c r="P89" s="37">
        <v>553517.1</v>
      </c>
      <c r="Q89" s="441"/>
      <c r="R89" s="441"/>
      <c r="S89" s="441"/>
      <c r="T89" s="441"/>
      <c r="U89" s="37">
        <v>2210874.4</v>
      </c>
      <c r="V89" s="441"/>
      <c r="W89" s="441"/>
      <c r="X89" s="60">
        <f t="shared" si="13"/>
        <v>2210874.4</v>
      </c>
      <c r="AB89" s="449">
        <v>43466</v>
      </c>
      <c r="AC89" s="37">
        <f t="shared" si="18"/>
        <v>6688187.3200000003</v>
      </c>
      <c r="AD89" s="37">
        <f t="shared" si="19"/>
        <v>3770298.98</v>
      </c>
      <c r="AE89" s="37">
        <f t="shared" si="20"/>
        <v>351357.03</v>
      </c>
      <c r="AF89" s="37">
        <f t="shared" si="21"/>
        <v>185162.61</v>
      </c>
      <c r="AG89" s="37">
        <f t="shared" si="22"/>
        <v>2932301.42</v>
      </c>
      <c r="AH89" s="37">
        <f t="shared" si="23"/>
        <v>2756456.32</v>
      </c>
      <c r="AI89" s="60">
        <f t="shared" si="30"/>
        <v>3285509.6799999997</v>
      </c>
      <c r="AJ89" s="457"/>
      <c r="AK89" s="37">
        <f t="shared" si="15"/>
        <v>23546.82</v>
      </c>
      <c r="AL89" s="37">
        <f t="shared" si="16"/>
        <v>90851.12000000001</v>
      </c>
      <c r="AN89" s="60">
        <f t="shared" si="24"/>
        <v>9510787.0599999987</v>
      </c>
      <c r="AO89" s="60">
        <f t="shared" si="25"/>
        <v>7299912.6599999983</v>
      </c>
      <c r="AP89" s="60">
        <f t="shared" si="26"/>
        <v>17872796.899999999</v>
      </c>
    </row>
    <row r="90" spans="1:42" x14ac:dyDescent="0.2">
      <c r="A90" s="449">
        <v>43497</v>
      </c>
      <c r="B90" s="37">
        <v>5839206.8099999996</v>
      </c>
      <c r="C90" s="37">
        <v>3388153.7199999997</v>
      </c>
      <c r="D90" s="37">
        <v>326602.07</v>
      </c>
      <c r="E90" s="37">
        <v>170376.84</v>
      </c>
      <c r="F90" s="37">
        <v>2668427.86</v>
      </c>
      <c r="G90" s="37">
        <v>2515393.5</v>
      </c>
      <c r="I90" s="457"/>
      <c r="J90" s="37">
        <v>21360.41</v>
      </c>
      <c r="K90" s="37">
        <v>75756.73</v>
      </c>
      <c r="L90" s="60">
        <f t="shared" si="28"/>
        <v>15005277.939999999</v>
      </c>
      <c r="M90" s="441"/>
      <c r="N90" s="37">
        <v>230016</v>
      </c>
      <c r="O90" s="37">
        <v>289418.09999999998</v>
      </c>
      <c r="P90" s="37">
        <v>517089.6</v>
      </c>
      <c r="Q90" s="441"/>
      <c r="R90" s="441"/>
      <c r="S90" s="441"/>
      <c r="T90" s="441"/>
      <c r="U90" s="37">
        <v>1860672.8</v>
      </c>
      <c r="V90" s="441"/>
      <c r="W90" s="441"/>
      <c r="X90" s="60">
        <f t="shared" si="13"/>
        <v>1860672.8</v>
      </c>
      <c r="AB90" s="449">
        <v>43497</v>
      </c>
      <c r="AC90" s="37">
        <f t="shared" si="18"/>
        <v>5839206.8099999996</v>
      </c>
      <c r="AD90" s="37">
        <f t="shared" si="19"/>
        <v>3388153.7199999997</v>
      </c>
      <c r="AE90" s="37">
        <f t="shared" si="20"/>
        <v>326602.07</v>
      </c>
      <c r="AF90" s="37">
        <f t="shared" si="21"/>
        <v>170376.84</v>
      </c>
      <c r="AG90" s="37">
        <f t="shared" si="22"/>
        <v>2668427.86</v>
      </c>
      <c r="AH90" s="37">
        <f t="shared" si="23"/>
        <v>2515393.5</v>
      </c>
      <c r="AI90" s="60">
        <f t="shared" si="30"/>
        <v>2897196.5</v>
      </c>
      <c r="AJ90" s="457"/>
      <c r="AK90" s="37">
        <f t="shared" si="15"/>
        <v>21360.41</v>
      </c>
      <c r="AL90" s="37">
        <f t="shared" si="16"/>
        <v>75756.73</v>
      </c>
      <c r="AN90" s="60">
        <f t="shared" si="24"/>
        <v>8577996.7699999996</v>
      </c>
      <c r="AO90" s="60">
        <f t="shared" si="25"/>
        <v>6717323.9699999997</v>
      </c>
      <c r="AP90" s="60">
        <f t="shared" si="26"/>
        <v>16041801.640000001</v>
      </c>
    </row>
    <row r="91" spans="1:42" x14ac:dyDescent="0.2">
      <c r="A91" s="449">
        <v>43525</v>
      </c>
      <c r="B91" s="37">
        <v>5920288.5499999998</v>
      </c>
      <c r="C91" s="37">
        <v>3563081.56</v>
      </c>
      <c r="D91" s="37">
        <v>327449.25</v>
      </c>
      <c r="E91" s="37">
        <v>184309.67</v>
      </c>
      <c r="F91" s="37">
        <v>2816289.3600000003</v>
      </c>
      <c r="G91" s="37">
        <v>2680363.19</v>
      </c>
      <c r="I91" s="457"/>
      <c r="J91" s="37">
        <v>20767.509999999998</v>
      </c>
      <c r="K91" s="37">
        <v>75019.599999999991</v>
      </c>
      <c r="L91" s="60">
        <f t="shared" si="28"/>
        <v>15587568.689999999</v>
      </c>
      <c r="M91" s="441"/>
      <c r="N91" s="37">
        <v>271822.56</v>
      </c>
      <c r="O91" s="37">
        <v>303782.09999999998</v>
      </c>
      <c r="P91" s="37">
        <v>569592</v>
      </c>
      <c r="Q91" s="441"/>
      <c r="R91" s="441"/>
      <c r="S91" s="441"/>
      <c r="T91" s="441"/>
      <c r="U91" s="37">
        <v>2025189.6</v>
      </c>
      <c r="V91" s="441"/>
      <c r="W91" s="441"/>
      <c r="X91" s="60">
        <f t="shared" si="13"/>
        <v>2025189.6</v>
      </c>
      <c r="AB91" s="449">
        <v>43525</v>
      </c>
      <c r="AC91" s="37">
        <f t="shared" si="18"/>
        <v>5920288.5499999998</v>
      </c>
      <c r="AD91" s="37">
        <f t="shared" si="19"/>
        <v>3563081.56</v>
      </c>
      <c r="AE91" s="37">
        <f t="shared" si="20"/>
        <v>327449.25</v>
      </c>
      <c r="AF91" s="37">
        <f t="shared" si="21"/>
        <v>184309.67</v>
      </c>
      <c r="AG91" s="37">
        <f t="shared" si="22"/>
        <v>2816289.3600000003</v>
      </c>
      <c r="AH91" s="37">
        <f t="shared" si="23"/>
        <v>2680363.19</v>
      </c>
      <c r="AI91" s="60">
        <f t="shared" si="30"/>
        <v>3170386.26</v>
      </c>
      <c r="AJ91" s="457"/>
      <c r="AK91" s="37">
        <f t="shared" si="15"/>
        <v>20767.509999999998</v>
      </c>
      <c r="AL91" s="37">
        <f t="shared" si="16"/>
        <v>75019.599999999991</v>
      </c>
      <c r="AN91" s="60">
        <f t="shared" si="24"/>
        <v>9178797.7300000004</v>
      </c>
      <c r="AO91" s="60">
        <f t="shared" si="25"/>
        <v>7153608.1300000008</v>
      </c>
      <c r="AP91" s="60">
        <f t="shared" si="26"/>
        <v>16732765.35</v>
      </c>
    </row>
    <row r="92" spans="1:42" x14ac:dyDescent="0.2">
      <c r="A92" s="449">
        <v>43556</v>
      </c>
      <c r="B92" s="37">
        <v>5142979.59</v>
      </c>
      <c r="C92" s="37">
        <v>3085649.5300000003</v>
      </c>
      <c r="D92" s="37">
        <v>261561.38</v>
      </c>
      <c r="E92" s="37">
        <v>177864.91</v>
      </c>
      <c r="F92" s="37">
        <v>2590225.15</v>
      </c>
      <c r="G92" s="37">
        <v>2211873.6</v>
      </c>
      <c r="I92" s="457"/>
      <c r="J92" s="37">
        <v>20550.189999999999</v>
      </c>
      <c r="K92" s="37">
        <v>63644.38</v>
      </c>
      <c r="L92" s="60">
        <f t="shared" si="28"/>
        <v>13554348.73</v>
      </c>
      <c r="M92" s="441"/>
      <c r="N92" s="37">
        <v>278978.15999999997</v>
      </c>
      <c r="O92" s="37">
        <v>348628.5</v>
      </c>
      <c r="P92" s="37">
        <v>526803.30000000005</v>
      </c>
      <c r="Q92" s="441"/>
      <c r="R92" s="441"/>
      <c r="S92" s="441"/>
      <c r="T92" s="441"/>
      <c r="U92" s="37">
        <v>2455219.2000000002</v>
      </c>
      <c r="V92" s="441"/>
      <c r="W92" s="441"/>
      <c r="X92" s="60">
        <f t="shared" si="13"/>
        <v>2455219.2000000002</v>
      </c>
      <c r="AB92" s="449">
        <v>43556</v>
      </c>
      <c r="AC92" s="37">
        <f t="shared" si="18"/>
        <v>5142979.59</v>
      </c>
      <c r="AD92" s="37">
        <f t="shared" si="19"/>
        <v>3085649.5300000003</v>
      </c>
      <c r="AE92" s="37">
        <f t="shared" si="20"/>
        <v>261561.38</v>
      </c>
      <c r="AF92" s="37">
        <f t="shared" si="21"/>
        <v>177864.91</v>
      </c>
      <c r="AG92" s="37">
        <f t="shared" si="22"/>
        <v>2590225.15</v>
      </c>
      <c r="AH92" s="37">
        <f t="shared" si="23"/>
        <v>2211873.6</v>
      </c>
      <c r="AI92" s="60">
        <f t="shared" si="30"/>
        <v>3609629.16</v>
      </c>
      <c r="AJ92" s="457"/>
      <c r="AK92" s="37">
        <f t="shared" si="15"/>
        <v>20550.189999999999</v>
      </c>
      <c r="AL92" s="37">
        <f t="shared" si="16"/>
        <v>63644.38</v>
      </c>
      <c r="AN92" s="60">
        <f t="shared" si="24"/>
        <v>8851154.1999999993</v>
      </c>
      <c r="AO92" s="60">
        <f t="shared" si="25"/>
        <v>6395934.9999999991</v>
      </c>
      <c r="AP92" s="60">
        <f t="shared" si="26"/>
        <v>14708758.689999999</v>
      </c>
    </row>
    <row r="93" spans="1:42" x14ac:dyDescent="0.2">
      <c r="A93" s="449">
        <v>43586</v>
      </c>
      <c r="B93" s="460">
        <v>5086791.24</v>
      </c>
      <c r="C93" s="460">
        <v>3155686.94</v>
      </c>
      <c r="D93" s="460">
        <v>252797.62</v>
      </c>
      <c r="E93" s="460">
        <v>179292.71</v>
      </c>
      <c r="F93" s="460">
        <v>2679957.54</v>
      </c>
      <c r="G93" s="460">
        <v>2264455.1</v>
      </c>
      <c r="I93" s="460"/>
      <c r="J93" s="460">
        <v>20646.810000000001</v>
      </c>
      <c r="K93" s="460">
        <v>57947.06</v>
      </c>
      <c r="L93" s="60">
        <f t="shared" si="28"/>
        <v>13697575.020000001</v>
      </c>
      <c r="M93" s="441"/>
      <c r="N93" s="37">
        <v>301422</v>
      </c>
      <c r="O93" s="37">
        <v>341180.4</v>
      </c>
      <c r="P93" s="37">
        <v>541809</v>
      </c>
      <c r="Q93" s="441"/>
      <c r="R93" s="441"/>
      <c r="S93" s="441"/>
      <c r="T93" s="441"/>
      <c r="U93" s="37">
        <v>1880748.8</v>
      </c>
      <c r="V93" s="441"/>
      <c r="W93" s="441"/>
      <c r="X93" s="60">
        <f t="shared" si="13"/>
        <v>1880748.8</v>
      </c>
      <c r="AB93" s="449">
        <v>43586</v>
      </c>
      <c r="AC93" s="37">
        <f t="shared" si="18"/>
        <v>5086791.24</v>
      </c>
      <c r="AD93" s="37">
        <f t="shared" si="19"/>
        <v>3155686.94</v>
      </c>
      <c r="AE93" s="37">
        <f t="shared" si="20"/>
        <v>252797.62</v>
      </c>
      <c r="AF93" s="37">
        <f t="shared" si="21"/>
        <v>179292.71</v>
      </c>
      <c r="AG93" s="37">
        <f t="shared" si="22"/>
        <v>2679957.54</v>
      </c>
      <c r="AH93" s="37">
        <f t="shared" si="23"/>
        <v>2264455.1</v>
      </c>
      <c r="AI93" s="60">
        <f t="shared" si="27"/>
        <v>1184411.3999999999</v>
      </c>
      <c r="AJ93" s="60">
        <f>+U93</f>
        <v>1880748.8</v>
      </c>
      <c r="AK93" s="37">
        <f t="shared" si="15"/>
        <v>20646.810000000001</v>
      </c>
      <c r="AL93" s="37">
        <f t="shared" si="16"/>
        <v>57947.06</v>
      </c>
      <c r="AN93" s="60">
        <f t="shared" si="24"/>
        <v>6560914.370000001</v>
      </c>
      <c r="AO93" s="60">
        <f>+AE93+AF93+AG93+AH93+AI93</f>
        <v>6560914.370000001</v>
      </c>
      <c r="AP93" s="60">
        <f t="shared" si="26"/>
        <v>14881986.42</v>
      </c>
    </row>
    <row r="94" spans="1:42" x14ac:dyDescent="0.2">
      <c r="A94" s="449">
        <v>43617</v>
      </c>
      <c r="B94" s="460">
        <v>5965725.0899999999</v>
      </c>
      <c r="C94" s="460">
        <v>3306384.91</v>
      </c>
      <c r="D94" s="460">
        <v>258611.38</v>
      </c>
      <c r="E94" s="460">
        <v>158883.23000000001</v>
      </c>
      <c r="F94" s="460">
        <v>2901500.01</v>
      </c>
      <c r="G94" s="460">
        <v>2377233.7400000002</v>
      </c>
      <c r="I94" s="460"/>
      <c r="J94" s="460">
        <v>20670</v>
      </c>
      <c r="K94" s="460">
        <v>52200.52</v>
      </c>
      <c r="L94" s="60">
        <f t="shared" si="28"/>
        <v>15041208.880000001</v>
      </c>
      <c r="M94" s="441"/>
      <c r="N94" s="37">
        <v>299690.64</v>
      </c>
      <c r="O94" s="37">
        <v>335304.3</v>
      </c>
      <c r="P94" s="37">
        <v>516458.7</v>
      </c>
      <c r="Q94" s="441"/>
      <c r="R94" s="441"/>
      <c r="S94" s="441"/>
      <c r="T94" s="441"/>
      <c r="U94" s="37">
        <v>2364107.2000000002</v>
      </c>
      <c r="V94" s="441"/>
      <c r="W94" s="441"/>
      <c r="X94" s="60">
        <f t="shared" si="13"/>
        <v>2364107.2000000002</v>
      </c>
      <c r="AB94" s="449">
        <v>43617</v>
      </c>
      <c r="AC94" s="37">
        <f t="shared" ref="AC94:AC107" si="31">+B94</f>
        <v>5965725.0899999999</v>
      </c>
      <c r="AD94" s="37">
        <f t="shared" ref="AD94:AD107" si="32">+C94</f>
        <v>3306384.91</v>
      </c>
      <c r="AE94" s="37">
        <f t="shared" ref="AE94:AE107" si="33">+D94</f>
        <v>258611.38</v>
      </c>
      <c r="AF94" s="37">
        <f t="shared" ref="AF94:AF107" si="34">+E94</f>
        <v>158883.23000000001</v>
      </c>
      <c r="AG94" s="37">
        <f t="shared" ref="AG94:AG107" si="35">+F94</f>
        <v>2901500.01</v>
      </c>
      <c r="AH94" s="37">
        <f t="shared" ref="AH94:AH107" si="36">+G94</f>
        <v>2377233.7400000002</v>
      </c>
      <c r="AI94" s="60">
        <f t="shared" si="27"/>
        <v>1151453.6399999999</v>
      </c>
      <c r="AJ94" s="60">
        <f t="shared" ref="AJ94:AJ107" si="37">+U94</f>
        <v>2364107.2000000002</v>
      </c>
      <c r="AK94" s="37">
        <f t="shared" ref="AK94:AK107" si="38">+J94</f>
        <v>20670</v>
      </c>
      <c r="AL94" s="37">
        <f t="shared" ref="AL94:AL107" si="39">+K94</f>
        <v>52200.52</v>
      </c>
      <c r="AN94" s="60">
        <f t="shared" ref="AN94:AN107" si="40">+AE94+AF94+AG94+AH94+AI94</f>
        <v>6847681.9999999991</v>
      </c>
      <c r="AO94" s="60">
        <f t="shared" ref="AO94:AO107" si="41">+AE94+AF94+AG94+AH94+AI94</f>
        <v>6847681.9999999991</v>
      </c>
      <c r="AP94" s="60">
        <f t="shared" ref="AP94:AP107" si="42">+AC94+AD94+AK94+AL94+AO94</f>
        <v>16192662.52</v>
      </c>
    </row>
    <row r="95" spans="1:42" s="457" customFormat="1" x14ac:dyDescent="0.2">
      <c r="A95" s="449">
        <v>43647</v>
      </c>
      <c r="B95" s="460">
        <v>9070271.0099999998</v>
      </c>
      <c r="C95" s="460">
        <v>4221946.1500000004</v>
      </c>
      <c r="D95" s="460">
        <v>334271.77</v>
      </c>
      <c r="E95" s="460">
        <v>167862.54</v>
      </c>
      <c r="F95" s="460">
        <v>3608512.73</v>
      </c>
      <c r="G95" s="460">
        <v>3805641.5599999996</v>
      </c>
      <c r="H95" s="1"/>
      <c r="I95" s="460"/>
      <c r="J95" s="460">
        <v>20670</v>
      </c>
      <c r="K95" s="460">
        <v>56238.03</v>
      </c>
      <c r="L95" s="60">
        <f t="shared" si="28"/>
        <v>21285413.789999999</v>
      </c>
      <c r="M95" s="441"/>
      <c r="N95" s="441"/>
      <c r="O95" s="441"/>
      <c r="P95" s="37">
        <v>569808.9</v>
      </c>
      <c r="Q95" s="441"/>
      <c r="R95" s="441"/>
      <c r="S95" s="441"/>
      <c r="T95" s="441"/>
      <c r="U95" s="37">
        <v>2009408.8</v>
      </c>
      <c r="V95" s="441"/>
      <c r="W95" s="441"/>
      <c r="X95" s="60">
        <f t="shared" si="13"/>
        <v>2009408.8</v>
      </c>
      <c r="AB95" s="449">
        <v>43647</v>
      </c>
      <c r="AC95" s="37">
        <f t="shared" si="31"/>
        <v>9070271.0099999998</v>
      </c>
      <c r="AD95" s="37">
        <f t="shared" si="32"/>
        <v>4221946.1500000004</v>
      </c>
      <c r="AE95" s="37">
        <f t="shared" si="33"/>
        <v>334271.77</v>
      </c>
      <c r="AF95" s="37">
        <f t="shared" si="34"/>
        <v>167862.54</v>
      </c>
      <c r="AG95" s="37">
        <f t="shared" si="35"/>
        <v>3608512.73</v>
      </c>
      <c r="AH95" s="37">
        <f t="shared" si="36"/>
        <v>3805641.5599999996</v>
      </c>
      <c r="AI95" s="60">
        <f t="shared" si="27"/>
        <v>569808.9</v>
      </c>
      <c r="AJ95" s="60">
        <f t="shared" si="37"/>
        <v>2009408.8</v>
      </c>
      <c r="AK95" s="37">
        <f t="shared" si="38"/>
        <v>20670</v>
      </c>
      <c r="AL95" s="37">
        <f t="shared" si="39"/>
        <v>56238.03</v>
      </c>
      <c r="AM95" s="1"/>
      <c r="AN95" s="60">
        <f t="shared" si="40"/>
        <v>8486097.5</v>
      </c>
      <c r="AO95" s="60">
        <f t="shared" si="41"/>
        <v>8486097.5</v>
      </c>
      <c r="AP95" s="60">
        <f t="shared" si="42"/>
        <v>21855222.689999998</v>
      </c>
    </row>
    <row r="96" spans="1:42" x14ac:dyDescent="0.2">
      <c r="A96" s="449">
        <v>43678</v>
      </c>
      <c r="B96" s="460">
        <v>7893434.8200000003</v>
      </c>
      <c r="C96" s="460">
        <v>4161462.4</v>
      </c>
      <c r="D96" s="460">
        <v>310172.09000000003</v>
      </c>
      <c r="E96" s="460">
        <v>160980.81</v>
      </c>
      <c r="F96" s="460">
        <v>3615272.83</v>
      </c>
      <c r="G96" s="460">
        <v>3658323.88</v>
      </c>
      <c r="I96" s="460"/>
      <c r="J96" s="460">
        <v>20670</v>
      </c>
      <c r="K96" s="460">
        <v>63162.85</v>
      </c>
      <c r="L96" s="60">
        <f t="shared" si="28"/>
        <v>19883479.680000003</v>
      </c>
      <c r="M96" s="441"/>
      <c r="N96" s="441"/>
      <c r="O96" s="441"/>
      <c r="P96" s="37">
        <v>519187.5</v>
      </c>
      <c r="Q96" s="441"/>
      <c r="R96" s="441"/>
      <c r="S96" s="441"/>
      <c r="T96" s="441"/>
      <c r="U96" s="37">
        <v>1815794.4</v>
      </c>
      <c r="V96" s="441"/>
      <c r="W96" s="441"/>
      <c r="X96" s="60">
        <f t="shared" si="13"/>
        <v>1815794.4</v>
      </c>
      <c r="AB96" s="449">
        <v>43678</v>
      </c>
      <c r="AC96" s="37">
        <f t="shared" si="31"/>
        <v>7893434.8200000003</v>
      </c>
      <c r="AD96" s="37">
        <f t="shared" si="32"/>
        <v>4161462.4</v>
      </c>
      <c r="AE96" s="37">
        <f t="shared" si="33"/>
        <v>310172.09000000003</v>
      </c>
      <c r="AF96" s="37">
        <f t="shared" si="34"/>
        <v>160980.81</v>
      </c>
      <c r="AG96" s="37">
        <f t="shared" si="35"/>
        <v>3615272.83</v>
      </c>
      <c r="AH96" s="37">
        <f t="shared" si="36"/>
        <v>3658323.88</v>
      </c>
      <c r="AI96" s="60">
        <f t="shared" si="27"/>
        <v>519187.5</v>
      </c>
      <c r="AJ96" s="60">
        <f t="shared" si="37"/>
        <v>1815794.4</v>
      </c>
      <c r="AK96" s="37">
        <f t="shared" si="38"/>
        <v>20670</v>
      </c>
      <c r="AL96" s="37">
        <f t="shared" si="39"/>
        <v>63162.85</v>
      </c>
      <c r="AN96" s="60">
        <f t="shared" si="40"/>
        <v>8263937.1099999994</v>
      </c>
      <c r="AO96" s="60">
        <f t="shared" si="41"/>
        <v>8263937.1099999994</v>
      </c>
      <c r="AP96" s="60">
        <f t="shared" si="42"/>
        <v>20402667.18</v>
      </c>
    </row>
    <row r="97" spans="1:42" x14ac:dyDescent="0.2">
      <c r="A97" s="449">
        <v>43709</v>
      </c>
      <c r="B97" s="460">
        <v>5890784.4000000004</v>
      </c>
      <c r="C97" s="460">
        <v>3375642.0599999996</v>
      </c>
      <c r="D97" s="460">
        <v>263650.33</v>
      </c>
      <c r="E97" s="460">
        <v>153757.26</v>
      </c>
      <c r="F97" s="460">
        <v>3081007.8</v>
      </c>
      <c r="G97" s="460">
        <v>3226134.23</v>
      </c>
      <c r="I97" s="460"/>
      <c r="J97" s="460">
        <v>20670</v>
      </c>
      <c r="K97" s="460">
        <v>67324.42</v>
      </c>
      <c r="L97" s="60">
        <f t="shared" si="28"/>
        <v>16078970.500000002</v>
      </c>
      <c r="M97" s="441"/>
      <c r="N97" s="441"/>
      <c r="O97" s="441"/>
      <c r="P97" s="37">
        <v>558980.1</v>
      </c>
      <c r="Q97" s="441"/>
      <c r="R97" s="441"/>
      <c r="S97" s="441"/>
      <c r="T97" s="441"/>
      <c r="U97" s="37">
        <v>2221352</v>
      </c>
      <c r="V97" s="441"/>
      <c r="W97" s="441"/>
      <c r="X97" s="60">
        <f t="shared" si="13"/>
        <v>2221352</v>
      </c>
      <c r="AB97" s="449">
        <v>43709</v>
      </c>
      <c r="AC97" s="37">
        <f t="shared" si="31"/>
        <v>5890784.4000000004</v>
      </c>
      <c r="AD97" s="37">
        <f t="shared" si="32"/>
        <v>3375642.0599999996</v>
      </c>
      <c r="AE97" s="37">
        <f t="shared" si="33"/>
        <v>263650.33</v>
      </c>
      <c r="AF97" s="37">
        <f t="shared" si="34"/>
        <v>153757.26</v>
      </c>
      <c r="AG97" s="37">
        <f t="shared" si="35"/>
        <v>3081007.8</v>
      </c>
      <c r="AH97" s="37">
        <f t="shared" si="36"/>
        <v>3226134.23</v>
      </c>
      <c r="AI97" s="60">
        <f t="shared" si="27"/>
        <v>558980.1</v>
      </c>
      <c r="AJ97" s="60">
        <f t="shared" si="37"/>
        <v>2221352</v>
      </c>
      <c r="AK97" s="37">
        <f t="shared" si="38"/>
        <v>20670</v>
      </c>
      <c r="AL97" s="37">
        <f t="shared" si="39"/>
        <v>67324.42</v>
      </c>
      <c r="AN97" s="60">
        <f t="shared" si="40"/>
        <v>7283529.7199999988</v>
      </c>
      <c r="AO97" s="60">
        <f t="shared" si="41"/>
        <v>7283529.7199999988</v>
      </c>
      <c r="AP97" s="60">
        <f t="shared" si="42"/>
        <v>16637950.6</v>
      </c>
    </row>
    <row r="98" spans="1:42" x14ac:dyDescent="0.2">
      <c r="A98" s="449">
        <v>43739</v>
      </c>
      <c r="B98" s="460">
        <v>5150472.22</v>
      </c>
      <c r="C98" s="460">
        <v>3109174.9099999997</v>
      </c>
      <c r="D98" s="460">
        <v>259583.1</v>
      </c>
      <c r="E98" s="460">
        <v>159549.74</v>
      </c>
      <c r="F98" s="460">
        <v>2740488.64</v>
      </c>
      <c r="G98" s="460">
        <v>2990404.9399999995</v>
      </c>
      <c r="I98" s="460"/>
      <c r="J98" s="460">
        <v>20670</v>
      </c>
      <c r="K98" s="460">
        <v>78463.98000000001</v>
      </c>
      <c r="L98" s="60">
        <f t="shared" si="28"/>
        <v>14508807.529999999</v>
      </c>
      <c r="M98" s="441"/>
      <c r="N98" s="441"/>
      <c r="O98" s="441"/>
      <c r="P98" s="37">
        <v>550118.69999999995</v>
      </c>
      <c r="Q98" s="441"/>
      <c r="R98" s="441"/>
      <c r="S98" s="441"/>
      <c r="T98" s="441"/>
      <c r="U98" s="37">
        <v>2196280.7999999998</v>
      </c>
      <c r="V98" s="441"/>
      <c r="W98" s="441"/>
      <c r="X98" s="60">
        <f t="shared" si="13"/>
        <v>2196280.7999999998</v>
      </c>
      <c r="AB98" s="449">
        <v>43739</v>
      </c>
      <c r="AC98" s="37">
        <f t="shared" si="31"/>
        <v>5150472.22</v>
      </c>
      <c r="AD98" s="37">
        <f t="shared" si="32"/>
        <v>3109174.9099999997</v>
      </c>
      <c r="AE98" s="37">
        <f t="shared" si="33"/>
        <v>259583.1</v>
      </c>
      <c r="AF98" s="37">
        <f t="shared" si="34"/>
        <v>159549.74</v>
      </c>
      <c r="AG98" s="37">
        <f t="shared" si="35"/>
        <v>2740488.64</v>
      </c>
      <c r="AH98" s="37">
        <f t="shared" si="36"/>
        <v>2990404.9399999995</v>
      </c>
      <c r="AI98" s="60">
        <f t="shared" si="27"/>
        <v>550118.69999999995</v>
      </c>
      <c r="AJ98" s="60">
        <f t="shared" si="37"/>
        <v>2196280.7999999998</v>
      </c>
      <c r="AK98" s="37">
        <f t="shared" si="38"/>
        <v>20670</v>
      </c>
      <c r="AL98" s="37">
        <f t="shared" si="39"/>
        <v>78463.98000000001</v>
      </c>
      <c r="AN98" s="60">
        <f t="shared" si="40"/>
        <v>6700145.1200000001</v>
      </c>
      <c r="AO98" s="60">
        <f t="shared" si="41"/>
        <v>6700145.1200000001</v>
      </c>
      <c r="AP98" s="60">
        <f t="shared" si="42"/>
        <v>15058926.23</v>
      </c>
    </row>
    <row r="99" spans="1:42" x14ac:dyDescent="0.2">
      <c r="A99" s="449">
        <v>43770</v>
      </c>
      <c r="B99" s="460">
        <v>5725680.1200000001</v>
      </c>
      <c r="C99" s="460">
        <v>3387814.87</v>
      </c>
      <c r="D99" s="460">
        <v>297018.25</v>
      </c>
      <c r="E99" s="460">
        <v>133737.76</v>
      </c>
      <c r="F99" s="460">
        <v>2111476.6799999997</v>
      </c>
      <c r="G99" s="460">
        <v>3666687.66</v>
      </c>
      <c r="I99" s="460"/>
      <c r="J99" s="460">
        <v>21927.4</v>
      </c>
      <c r="K99" s="460">
        <v>83546.510000000009</v>
      </c>
      <c r="L99" s="60">
        <f t="shared" si="28"/>
        <v>15427889.25</v>
      </c>
      <c r="M99" s="441"/>
      <c r="N99" s="441"/>
      <c r="O99" s="441"/>
      <c r="P99" s="37">
        <v>544549.5</v>
      </c>
      <c r="Q99" s="441"/>
      <c r="R99" s="441"/>
      <c r="S99" s="441"/>
      <c r="T99" s="441"/>
      <c r="U99" s="37">
        <v>2096724</v>
      </c>
      <c r="V99" s="441"/>
      <c r="W99" s="441"/>
      <c r="X99" s="60">
        <f t="shared" ref="X99:X134" si="43">+U99+V99+W99</f>
        <v>2096724</v>
      </c>
      <c r="AB99" s="449">
        <v>43770</v>
      </c>
      <c r="AC99" s="37">
        <f t="shared" si="31"/>
        <v>5725680.1200000001</v>
      </c>
      <c r="AD99" s="37">
        <f t="shared" si="32"/>
        <v>3387814.87</v>
      </c>
      <c r="AE99" s="37">
        <f t="shared" si="33"/>
        <v>297018.25</v>
      </c>
      <c r="AF99" s="37">
        <f t="shared" si="34"/>
        <v>133737.76</v>
      </c>
      <c r="AG99" s="37">
        <f t="shared" si="35"/>
        <v>2111476.6799999997</v>
      </c>
      <c r="AH99" s="37">
        <f t="shared" si="36"/>
        <v>3666687.66</v>
      </c>
      <c r="AI99" s="60">
        <f t="shared" si="27"/>
        <v>544549.5</v>
      </c>
      <c r="AJ99" s="60">
        <f t="shared" si="37"/>
        <v>2096724</v>
      </c>
      <c r="AK99" s="37">
        <f t="shared" si="38"/>
        <v>21927.4</v>
      </c>
      <c r="AL99" s="37">
        <f t="shared" si="39"/>
        <v>83546.510000000009</v>
      </c>
      <c r="AN99" s="60">
        <f t="shared" si="40"/>
        <v>6753469.8499999996</v>
      </c>
      <c r="AO99" s="60">
        <f t="shared" si="41"/>
        <v>6753469.8499999996</v>
      </c>
      <c r="AP99" s="60">
        <f t="shared" si="42"/>
        <v>15972438.75</v>
      </c>
    </row>
    <row r="100" spans="1:42" x14ac:dyDescent="0.2">
      <c r="A100" s="449">
        <v>43800</v>
      </c>
      <c r="B100" s="460">
        <v>6633836.4800000004</v>
      </c>
      <c r="C100" s="460">
        <v>3648081.22</v>
      </c>
      <c r="D100" s="460">
        <v>319577.19</v>
      </c>
      <c r="E100" s="460">
        <v>107735.96</v>
      </c>
      <c r="F100" s="460">
        <v>1470981.6099999999</v>
      </c>
      <c r="G100" s="460">
        <v>4555015.88</v>
      </c>
      <c r="I100" s="460"/>
      <c r="J100" s="460">
        <v>22358.75</v>
      </c>
      <c r="K100" s="460">
        <v>90334.16</v>
      </c>
      <c r="L100" s="60">
        <f t="shared" si="28"/>
        <v>16847921.25</v>
      </c>
      <c r="M100" s="441"/>
      <c r="N100" s="441"/>
      <c r="O100" s="441"/>
      <c r="P100" s="37">
        <v>533096.1</v>
      </c>
      <c r="Q100" s="441"/>
      <c r="R100" s="441"/>
      <c r="S100" s="441"/>
      <c r="T100" s="441"/>
      <c r="U100" s="37">
        <v>2683156</v>
      </c>
      <c r="V100" s="441"/>
      <c r="W100" s="441"/>
      <c r="X100" s="60">
        <f t="shared" si="43"/>
        <v>2683156</v>
      </c>
      <c r="AB100" s="449">
        <v>43800</v>
      </c>
      <c r="AC100" s="37">
        <f t="shared" si="31"/>
        <v>6633836.4800000004</v>
      </c>
      <c r="AD100" s="37">
        <f t="shared" si="32"/>
        <v>3648081.22</v>
      </c>
      <c r="AE100" s="37">
        <f t="shared" si="33"/>
        <v>319577.19</v>
      </c>
      <c r="AF100" s="37">
        <f t="shared" si="34"/>
        <v>107735.96</v>
      </c>
      <c r="AG100" s="37">
        <f t="shared" si="35"/>
        <v>1470981.6099999999</v>
      </c>
      <c r="AH100" s="37">
        <f t="shared" si="36"/>
        <v>4555015.88</v>
      </c>
      <c r="AI100" s="60">
        <f t="shared" si="27"/>
        <v>533096.1</v>
      </c>
      <c r="AJ100" s="60">
        <f t="shared" si="37"/>
        <v>2683156</v>
      </c>
      <c r="AK100" s="37">
        <f t="shared" si="38"/>
        <v>22358.75</v>
      </c>
      <c r="AL100" s="37">
        <f t="shared" si="39"/>
        <v>90334.16</v>
      </c>
      <c r="AN100" s="60">
        <f t="shared" si="40"/>
        <v>6986406.7399999993</v>
      </c>
      <c r="AO100" s="60">
        <f t="shared" si="41"/>
        <v>6986406.7399999993</v>
      </c>
      <c r="AP100" s="60">
        <f t="shared" si="42"/>
        <v>17381017.350000001</v>
      </c>
    </row>
    <row r="101" spans="1:42" x14ac:dyDescent="0.2">
      <c r="A101" s="449">
        <v>43831</v>
      </c>
      <c r="B101" s="460">
        <v>6416555.8300000001</v>
      </c>
      <c r="C101" s="460">
        <v>3670977.95</v>
      </c>
      <c r="D101" s="460">
        <v>320700.57</v>
      </c>
      <c r="E101" s="460">
        <v>109359.99</v>
      </c>
      <c r="F101" s="460">
        <v>1444306.32</v>
      </c>
      <c r="G101" s="460">
        <v>4570401.12</v>
      </c>
      <c r="I101" s="460"/>
      <c r="J101" s="460">
        <v>21824.98</v>
      </c>
      <c r="K101" s="460">
        <v>88060.77</v>
      </c>
      <c r="L101" s="60">
        <f t="shared" si="28"/>
        <v>16642187.530000001</v>
      </c>
      <c r="M101" s="441"/>
      <c r="N101" s="441"/>
      <c r="O101" s="441"/>
      <c r="P101" s="37">
        <v>556499.69999999995</v>
      </c>
      <c r="Q101" s="441"/>
      <c r="R101" s="441"/>
      <c r="S101" s="441"/>
      <c r="T101" s="441"/>
      <c r="U101" s="37">
        <v>2563948.7999999998</v>
      </c>
      <c r="V101" s="441"/>
      <c r="W101" s="441"/>
      <c r="X101" s="60">
        <f t="shared" si="43"/>
        <v>2563948.7999999998</v>
      </c>
      <c r="AB101" s="449">
        <v>43831</v>
      </c>
      <c r="AC101" s="37">
        <f t="shared" si="31"/>
        <v>6416555.8300000001</v>
      </c>
      <c r="AD101" s="37">
        <f t="shared" si="32"/>
        <v>3670977.95</v>
      </c>
      <c r="AE101" s="37">
        <f t="shared" si="33"/>
        <v>320700.57</v>
      </c>
      <c r="AF101" s="37">
        <f t="shared" si="34"/>
        <v>109359.99</v>
      </c>
      <c r="AG101" s="37">
        <f t="shared" si="35"/>
        <v>1444306.32</v>
      </c>
      <c r="AH101" s="37">
        <f t="shared" si="36"/>
        <v>4570401.12</v>
      </c>
      <c r="AI101" s="60">
        <f t="shared" si="27"/>
        <v>556499.69999999995</v>
      </c>
      <c r="AJ101" s="60">
        <f t="shared" si="37"/>
        <v>2563948.7999999998</v>
      </c>
      <c r="AK101" s="37">
        <f t="shared" si="38"/>
        <v>21824.98</v>
      </c>
      <c r="AL101" s="37">
        <f t="shared" si="39"/>
        <v>88060.77</v>
      </c>
      <c r="AN101" s="60">
        <f t="shared" si="40"/>
        <v>7001267.7000000002</v>
      </c>
      <c r="AO101" s="60">
        <f t="shared" si="41"/>
        <v>7001267.7000000002</v>
      </c>
      <c r="AP101" s="60">
        <f t="shared" si="42"/>
        <v>17198687.23</v>
      </c>
    </row>
    <row r="102" spans="1:42" x14ac:dyDescent="0.2">
      <c r="A102" s="449">
        <v>43862</v>
      </c>
      <c r="B102" s="460">
        <v>5990726.1900000004</v>
      </c>
      <c r="C102" s="460">
        <v>3507593.51</v>
      </c>
      <c r="D102" s="460">
        <v>305321.64</v>
      </c>
      <c r="E102" s="460">
        <v>135569.65</v>
      </c>
      <c r="F102" s="460">
        <v>1326570.6300000001</v>
      </c>
      <c r="G102" s="460">
        <v>4300096.21</v>
      </c>
      <c r="I102" s="460"/>
      <c r="J102" s="460">
        <v>20428.22</v>
      </c>
      <c r="K102" s="460">
        <v>75914.52</v>
      </c>
      <c r="L102" s="60">
        <f t="shared" si="28"/>
        <v>15662220.570000002</v>
      </c>
      <c r="M102" s="441"/>
      <c r="N102" s="441"/>
      <c r="O102" s="441"/>
      <c r="P102" s="37">
        <v>508180.5</v>
      </c>
      <c r="Q102" s="441"/>
      <c r="R102" s="441"/>
      <c r="S102" s="441"/>
      <c r="T102" s="441"/>
      <c r="U102" s="37">
        <v>2137044</v>
      </c>
      <c r="V102" s="441"/>
      <c r="W102" s="441"/>
      <c r="X102" s="60">
        <f t="shared" si="43"/>
        <v>2137044</v>
      </c>
      <c r="AB102" s="449">
        <v>43862</v>
      </c>
      <c r="AC102" s="37">
        <f t="shared" si="31"/>
        <v>5990726.1900000004</v>
      </c>
      <c r="AD102" s="37">
        <f t="shared" si="32"/>
        <v>3507593.51</v>
      </c>
      <c r="AE102" s="37">
        <f t="shared" si="33"/>
        <v>305321.64</v>
      </c>
      <c r="AF102" s="37">
        <f t="shared" si="34"/>
        <v>135569.65</v>
      </c>
      <c r="AG102" s="37">
        <f t="shared" si="35"/>
        <v>1326570.6300000001</v>
      </c>
      <c r="AH102" s="37">
        <f t="shared" si="36"/>
        <v>4300096.21</v>
      </c>
      <c r="AI102" s="60">
        <f t="shared" si="27"/>
        <v>508180.5</v>
      </c>
      <c r="AJ102" s="60">
        <f t="shared" si="37"/>
        <v>2137044</v>
      </c>
      <c r="AK102" s="37">
        <f t="shared" si="38"/>
        <v>20428.22</v>
      </c>
      <c r="AL102" s="37">
        <f t="shared" si="39"/>
        <v>75914.52</v>
      </c>
      <c r="AN102" s="60">
        <f t="shared" si="40"/>
        <v>6575738.6299999999</v>
      </c>
      <c r="AO102" s="60">
        <f t="shared" si="41"/>
        <v>6575738.6299999999</v>
      </c>
      <c r="AP102" s="60">
        <f t="shared" si="42"/>
        <v>16170401.07</v>
      </c>
    </row>
    <row r="103" spans="1:42" x14ac:dyDescent="0.2">
      <c r="A103" s="449">
        <v>43891</v>
      </c>
      <c r="B103" s="460">
        <v>5854681.1600000001</v>
      </c>
      <c r="C103" s="460">
        <v>3258352.66</v>
      </c>
      <c r="D103" s="460">
        <v>285503.08</v>
      </c>
      <c r="E103" s="460">
        <v>85484.84</v>
      </c>
      <c r="F103" s="460">
        <v>1176290.67</v>
      </c>
      <c r="G103" s="460">
        <v>4061667.6799999997</v>
      </c>
      <c r="I103" s="460"/>
      <c r="J103" s="460">
        <v>20253</v>
      </c>
      <c r="K103" s="460">
        <v>72715.61</v>
      </c>
      <c r="L103" s="60">
        <f t="shared" si="28"/>
        <v>14814948.699999999</v>
      </c>
      <c r="M103" s="441"/>
      <c r="N103" s="441"/>
      <c r="O103" s="441"/>
      <c r="P103" s="37">
        <v>502091.1</v>
      </c>
      <c r="Q103" s="441"/>
      <c r="R103" s="441"/>
      <c r="S103" s="441"/>
      <c r="T103" s="441"/>
      <c r="U103" s="37">
        <v>2360316</v>
      </c>
      <c r="V103" s="441"/>
      <c r="W103" s="441"/>
      <c r="X103" s="60">
        <f t="shared" si="43"/>
        <v>2360316</v>
      </c>
      <c r="AB103" s="449">
        <v>43891</v>
      </c>
      <c r="AC103" s="37">
        <f t="shared" si="31"/>
        <v>5854681.1600000001</v>
      </c>
      <c r="AD103" s="37">
        <f t="shared" si="32"/>
        <v>3258352.66</v>
      </c>
      <c r="AE103" s="37">
        <f t="shared" si="33"/>
        <v>285503.08</v>
      </c>
      <c r="AF103" s="37">
        <f t="shared" si="34"/>
        <v>85484.84</v>
      </c>
      <c r="AG103" s="37">
        <f t="shared" si="35"/>
        <v>1176290.67</v>
      </c>
      <c r="AH103" s="37">
        <f t="shared" si="36"/>
        <v>4061667.6799999997</v>
      </c>
      <c r="AI103" s="60">
        <f t="shared" si="27"/>
        <v>502091.1</v>
      </c>
      <c r="AJ103" s="60">
        <f t="shared" si="37"/>
        <v>2360316</v>
      </c>
      <c r="AK103" s="37">
        <f t="shared" si="38"/>
        <v>20253</v>
      </c>
      <c r="AL103" s="37">
        <f t="shared" si="39"/>
        <v>72715.61</v>
      </c>
      <c r="AN103" s="60">
        <f t="shared" si="40"/>
        <v>6111037.3699999992</v>
      </c>
      <c r="AO103" s="60">
        <f t="shared" si="41"/>
        <v>6111037.3699999992</v>
      </c>
      <c r="AP103" s="60">
        <f t="shared" si="42"/>
        <v>15317039.799999999</v>
      </c>
    </row>
    <row r="104" spans="1:42" x14ac:dyDescent="0.2">
      <c r="A104" s="449">
        <v>43922</v>
      </c>
      <c r="B104" s="460">
        <v>5544604.6900000004</v>
      </c>
      <c r="C104" s="460">
        <v>2676961.36</v>
      </c>
      <c r="D104" s="460">
        <v>246063.7</v>
      </c>
      <c r="E104" s="460">
        <v>84111.23</v>
      </c>
      <c r="F104" s="460">
        <v>900771.15000000014</v>
      </c>
      <c r="G104" s="460">
        <v>3267620.5100000002</v>
      </c>
      <c r="I104" s="460"/>
      <c r="J104" s="460">
        <v>20253</v>
      </c>
      <c r="K104" s="460">
        <v>61689.69</v>
      </c>
      <c r="L104" s="60">
        <f t="shared" si="28"/>
        <v>12802075.33</v>
      </c>
      <c r="M104" s="441"/>
      <c r="N104" s="441"/>
      <c r="O104" s="441"/>
      <c r="P104" s="37">
        <v>423790.2</v>
      </c>
      <c r="Q104" s="441"/>
      <c r="R104" s="441"/>
      <c r="S104" s="441"/>
      <c r="T104" s="441"/>
      <c r="U104" s="37">
        <v>2051733.6</v>
      </c>
      <c r="V104" s="441"/>
      <c r="W104" s="441"/>
      <c r="X104" s="60">
        <f t="shared" si="43"/>
        <v>2051733.6</v>
      </c>
      <c r="AB104" s="449">
        <v>43922</v>
      </c>
      <c r="AC104" s="37">
        <f t="shared" si="31"/>
        <v>5544604.6900000004</v>
      </c>
      <c r="AD104" s="37">
        <f t="shared" si="32"/>
        <v>2676961.36</v>
      </c>
      <c r="AE104" s="37">
        <f t="shared" si="33"/>
        <v>246063.7</v>
      </c>
      <c r="AF104" s="37">
        <f t="shared" si="34"/>
        <v>84111.23</v>
      </c>
      <c r="AG104" s="37">
        <f t="shared" si="35"/>
        <v>900771.15000000014</v>
      </c>
      <c r="AH104" s="37">
        <f t="shared" si="36"/>
        <v>3267620.5100000002</v>
      </c>
      <c r="AI104" s="60">
        <f t="shared" si="27"/>
        <v>423790.2</v>
      </c>
      <c r="AJ104" s="60">
        <f t="shared" si="37"/>
        <v>2051733.6</v>
      </c>
      <c r="AK104" s="37">
        <f t="shared" si="38"/>
        <v>20253</v>
      </c>
      <c r="AL104" s="37">
        <f t="shared" si="39"/>
        <v>61689.69</v>
      </c>
      <c r="AN104" s="60">
        <f t="shared" si="40"/>
        <v>4922356.79</v>
      </c>
      <c r="AO104" s="60">
        <f t="shared" si="41"/>
        <v>4922356.79</v>
      </c>
      <c r="AP104" s="60">
        <f t="shared" si="42"/>
        <v>13225865.530000001</v>
      </c>
    </row>
    <row r="105" spans="1:42" x14ac:dyDescent="0.2">
      <c r="A105" s="449">
        <v>43952</v>
      </c>
      <c r="B105" s="460">
        <v>5959071.2400000002</v>
      </c>
      <c r="C105" s="460">
        <v>2715772.4</v>
      </c>
      <c r="D105" s="460">
        <v>244923.49</v>
      </c>
      <c r="E105" s="460">
        <v>92589.61</v>
      </c>
      <c r="F105" s="460">
        <v>1006280.38</v>
      </c>
      <c r="G105" s="460">
        <v>3406459.37</v>
      </c>
      <c r="I105" s="460"/>
      <c r="J105" s="460">
        <v>20253</v>
      </c>
      <c r="K105" s="460">
        <v>56168.700000000004</v>
      </c>
      <c r="L105" s="60">
        <f t="shared" si="28"/>
        <v>13501518.190000001</v>
      </c>
      <c r="M105" s="441"/>
      <c r="N105" s="441"/>
      <c r="O105" s="441"/>
      <c r="P105" s="37">
        <v>437723.1</v>
      </c>
      <c r="Q105" s="441"/>
      <c r="R105" s="441"/>
      <c r="S105" s="441"/>
      <c r="T105" s="441"/>
      <c r="U105" s="37">
        <v>2100823.2000000002</v>
      </c>
      <c r="V105" s="441"/>
      <c r="W105" s="441"/>
      <c r="X105" s="60">
        <f t="shared" si="43"/>
        <v>2100823.2000000002</v>
      </c>
      <c r="AB105" s="449">
        <v>43952</v>
      </c>
      <c r="AC105" s="37">
        <f t="shared" si="31"/>
        <v>5959071.2400000002</v>
      </c>
      <c r="AD105" s="37">
        <f t="shared" si="32"/>
        <v>2715772.4</v>
      </c>
      <c r="AE105" s="37">
        <f t="shared" si="33"/>
        <v>244923.49</v>
      </c>
      <c r="AF105" s="37">
        <f t="shared" si="34"/>
        <v>92589.61</v>
      </c>
      <c r="AG105" s="37">
        <f t="shared" si="35"/>
        <v>1006280.38</v>
      </c>
      <c r="AH105" s="37">
        <f t="shared" si="36"/>
        <v>3406459.37</v>
      </c>
      <c r="AI105" s="60">
        <f t="shared" si="27"/>
        <v>437723.1</v>
      </c>
      <c r="AJ105" s="60">
        <f t="shared" si="37"/>
        <v>2100823.2000000002</v>
      </c>
      <c r="AK105" s="37">
        <f t="shared" si="38"/>
        <v>20253</v>
      </c>
      <c r="AL105" s="37">
        <f t="shared" si="39"/>
        <v>56168.700000000004</v>
      </c>
      <c r="AN105" s="60">
        <f t="shared" si="40"/>
        <v>5187975.9499999993</v>
      </c>
      <c r="AO105" s="60">
        <f t="shared" si="41"/>
        <v>5187975.9499999993</v>
      </c>
      <c r="AP105" s="60">
        <f t="shared" si="42"/>
        <v>13939241.289999999</v>
      </c>
    </row>
    <row r="106" spans="1:42" x14ac:dyDescent="0.2">
      <c r="A106" s="449">
        <v>43983</v>
      </c>
      <c r="B106" s="460">
        <v>7386930.6799999997</v>
      </c>
      <c r="C106" s="460">
        <v>3183215.04</v>
      </c>
      <c r="D106" s="460">
        <v>272095.21000000002</v>
      </c>
      <c r="E106" s="460">
        <v>89942.69</v>
      </c>
      <c r="F106" s="460">
        <v>1113807.3</v>
      </c>
      <c r="G106" s="460">
        <v>4071002.15</v>
      </c>
      <c r="I106" s="460"/>
      <c r="J106" s="460">
        <v>20253</v>
      </c>
      <c r="K106" s="460">
        <v>50598.81</v>
      </c>
      <c r="L106" s="60">
        <f t="shared" si="28"/>
        <v>16187844.880000001</v>
      </c>
      <c r="M106" s="441"/>
      <c r="N106" s="441"/>
      <c r="O106" s="441"/>
      <c r="P106" s="37">
        <v>402561</v>
      </c>
      <c r="Q106" s="441"/>
      <c r="R106" s="441"/>
      <c r="S106" s="441"/>
      <c r="T106" s="441"/>
      <c r="U106" s="37">
        <v>1685751.2</v>
      </c>
      <c r="V106" s="441"/>
      <c r="W106" s="441"/>
      <c r="X106" s="60">
        <f t="shared" si="43"/>
        <v>1685751.2</v>
      </c>
      <c r="AB106" s="449">
        <v>43983</v>
      </c>
      <c r="AC106" s="37">
        <f t="shared" si="31"/>
        <v>7386930.6799999997</v>
      </c>
      <c r="AD106" s="37">
        <f t="shared" si="32"/>
        <v>3183215.04</v>
      </c>
      <c r="AE106" s="37">
        <f t="shared" si="33"/>
        <v>272095.21000000002</v>
      </c>
      <c r="AF106" s="37">
        <f t="shared" si="34"/>
        <v>89942.69</v>
      </c>
      <c r="AG106" s="37">
        <f t="shared" si="35"/>
        <v>1113807.3</v>
      </c>
      <c r="AH106" s="37">
        <f t="shared" si="36"/>
        <v>4071002.15</v>
      </c>
      <c r="AI106" s="60">
        <f t="shared" si="27"/>
        <v>402561</v>
      </c>
      <c r="AJ106" s="60">
        <f t="shared" si="37"/>
        <v>1685751.2</v>
      </c>
      <c r="AK106" s="37">
        <f t="shared" si="38"/>
        <v>20253</v>
      </c>
      <c r="AL106" s="37">
        <f t="shared" si="39"/>
        <v>50598.81</v>
      </c>
      <c r="AN106" s="60">
        <f t="shared" si="40"/>
        <v>5949408.3499999996</v>
      </c>
      <c r="AO106" s="60">
        <f t="shared" si="41"/>
        <v>5949408.3499999996</v>
      </c>
      <c r="AP106" s="60">
        <f t="shared" si="42"/>
        <v>16590405.879999999</v>
      </c>
    </row>
    <row r="107" spans="1:42" x14ac:dyDescent="0.2">
      <c r="A107" s="449">
        <v>44013</v>
      </c>
      <c r="B107" s="460">
        <v>10303425.300000001</v>
      </c>
      <c r="C107" s="460">
        <v>4292561.08</v>
      </c>
      <c r="D107" s="460">
        <v>342333.85</v>
      </c>
      <c r="E107" s="460">
        <v>103025.8</v>
      </c>
      <c r="F107" s="460">
        <v>1049865.6200000001</v>
      </c>
      <c r="G107" s="460">
        <v>5714573.6600000001</v>
      </c>
      <c r="I107" s="460"/>
      <c r="J107" s="460">
        <v>20253</v>
      </c>
      <c r="K107" s="460">
        <v>54333.71</v>
      </c>
      <c r="L107" s="60">
        <f>+B107+C107+D107+E107+F107+G107+J107+K107</f>
        <v>21880372.020000003</v>
      </c>
      <c r="M107" s="441"/>
      <c r="N107" s="441"/>
      <c r="O107" s="37">
        <v>353329.5</v>
      </c>
      <c r="P107" s="441"/>
      <c r="Q107" s="441"/>
      <c r="R107" s="441"/>
      <c r="S107" s="441"/>
      <c r="T107" s="441"/>
      <c r="U107" s="37">
        <v>1682559.2</v>
      </c>
      <c r="V107" s="441"/>
      <c r="W107" s="441"/>
      <c r="X107" s="60">
        <f t="shared" si="43"/>
        <v>1682559.2</v>
      </c>
      <c r="AB107" s="449">
        <v>44013</v>
      </c>
      <c r="AC107" s="37">
        <f t="shared" si="31"/>
        <v>10303425.300000001</v>
      </c>
      <c r="AD107" s="37">
        <f t="shared" si="32"/>
        <v>4292561.08</v>
      </c>
      <c r="AE107" s="37">
        <f t="shared" si="33"/>
        <v>342333.85</v>
      </c>
      <c r="AF107" s="37">
        <f t="shared" si="34"/>
        <v>103025.8</v>
      </c>
      <c r="AG107" s="37">
        <f t="shared" si="35"/>
        <v>1049865.6200000001</v>
      </c>
      <c r="AH107" s="37">
        <f t="shared" si="36"/>
        <v>5714573.6600000001</v>
      </c>
      <c r="AI107" s="60">
        <f t="shared" si="27"/>
        <v>353329.5</v>
      </c>
      <c r="AJ107" s="60">
        <f t="shared" si="37"/>
        <v>1682559.2</v>
      </c>
      <c r="AK107" s="37">
        <f t="shared" si="38"/>
        <v>20253</v>
      </c>
      <c r="AL107" s="37">
        <f t="shared" si="39"/>
        <v>54333.71</v>
      </c>
      <c r="AN107" s="60">
        <f t="shared" si="40"/>
        <v>7563128.4299999997</v>
      </c>
      <c r="AO107" s="60">
        <f t="shared" si="41"/>
        <v>7563128.4299999997</v>
      </c>
      <c r="AP107" s="60">
        <f t="shared" si="42"/>
        <v>22233701.520000003</v>
      </c>
    </row>
    <row r="108" spans="1:42" x14ac:dyDescent="0.2">
      <c r="A108" s="449">
        <v>44044</v>
      </c>
      <c r="B108" s="460">
        <v>8642583.5899999999</v>
      </c>
      <c r="C108" s="460">
        <v>4084294.28</v>
      </c>
      <c r="D108" s="460">
        <v>307958.34000000003</v>
      </c>
      <c r="E108" s="460">
        <v>100548.79</v>
      </c>
      <c r="F108" s="460">
        <v>804189.69</v>
      </c>
      <c r="G108" s="460">
        <v>6021289.0300000003</v>
      </c>
      <c r="I108" s="460"/>
      <c r="J108" s="460">
        <v>20253</v>
      </c>
      <c r="K108" s="460">
        <v>61023.979999999996</v>
      </c>
      <c r="L108" s="60">
        <f t="shared" ref="L108:L136" si="44">+B108+C108+D108+E108+F108+G108+J108+K108</f>
        <v>20042140.699999999</v>
      </c>
      <c r="M108" s="441"/>
      <c r="N108" s="441"/>
      <c r="O108" s="37">
        <v>333048.59999999998</v>
      </c>
      <c r="P108" s="441"/>
      <c r="Q108" s="441"/>
      <c r="R108" s="441"/>
      <c r="S108" s="441"/>
      <c r="T108" s="441"/>
      <c r="U108" s="37">
        <v>2005130.4</v>
      </c>
      <c r="V108" s="441"/>
      <c r="W108" s="441"/>
      <c r="X108" s="60">
        <f t="shared" si="43"/>
        <v>2005130.4</v>
      </c>
      <c r="AB108" s="449">
        <v>44044</v>
      </c>
      <c r="AC108" s="37">
        <f t="shared" ref="AC108:AC136" si="45">+B108</f>
        <v>8642583.5899999999</v>
      </c>
      <c r="AD108" s="37">
        <f t="shared" ref="AD108:AD136" si="46">+C108</f>
        <v>4084294.28</v>
      </c>
      <c r="AE108" s="37">
        <f t="shared" ref="AE108:AE136" si="47">+D108</f>
        <v>307958.34000000003</v>
      </c>
      <c r="AF108" s="37">
        <f t="shared" ref="AF108:AF136" si="48">+E108</f>
        <v>100548.79</v>
      </c>
      <c r="AG108" s="37">
        <f t="shared" ref="AG108:AG136" si="49">+F108</f>
        <v>804189.69</v>
      </c>
      <c r="AH108" s="37">
        <f t="shared" ref="AH108:AH136" si="50">+G108</f>
        <v>6021289.0300000003</v>
      </c>
      <c r="AI108" s="60">
        <f t="shared" si="27"/>
        <v>333048.59999999998</v>
      </c>
      <c r="AJ108" s="60">
        <f t="shared" ref="AJ108:AJ136" si="51">+U108</f>
        <v>2005130.4</v>
      </c>
      <c r="AK108" s="37">
        <f t="shared" ref="AK108:AK136" si="52">+J108</f>
        <v>20253</v>
      </c>
      <c r="AL108" s="37">
        <f t="shared" ref="AL108:AL136" si="53">+K108</f>
        <v>61023.979999999996</v>
      </c>
      <c r="AN108" s="60">
        <f t="shared" ref="AN108:AN136" si="54">+AE108+AF108+AG108+AH108+AI108</f>
        <v>7567034.4499999993</v>
      </c>
      <c r="AO108" s="60">
        <f t="shared" ref="AO108:AO136" si="55">+AE108+AF108+AG108+AH108+AI108</f>
        <v>7567034.4499999993</v>
      </c>
      <c r="AP108" s="60">
        <f t="shared" ref="AP108:AP136" si="56">+AC108+AD108+AK108+AL108+AO108</f>
        <v>20375189.299999997</v>
      </c>
    </row>
    <row r="109" spans="1:42" x14ac:dyDescent="0.2">
      <c r="A109" s="449">
        <v>44075</v>
      </c>
      <c r="B109" s="460">
        <v>5850879.2000000002</v>
      </c>
      <c r="C109" s="460">
        <v>3172680.33</v>
      </c>
      <c r="D109" s="460">
        <v>247919.04</v>
      </c>
      <c r="E109" s="460">
        <v>76616</v>
      </c>
      <c r="F109" s="460">
        <v>121702.65</v>
      </c>
      <c r="G109" s="460">
        <v>5703906.0899999999</v>
      </c>
      <c r="I109" s="460"/>
      <c r="J109" s="460">
        <v>20253</v>
      </c>
      <c r="K109" s="460">
        <v>67324.42</v>
      </c>
      <c r="L109" s="60">
        <f t="shared" si="44"/>
        <v>15261280.73</v>
      </c>
      <c r="M109" s="441"/>
      <c r="N109" s="441"/>
      <c r="O109" s="37">
        <v>308592.59999999998</v>
      </c>
      <c r="P109" s="441"/>
      <c r="Q109" s="441"/>
      <c r="R109" s="441"/>
      <c r="S109" s="441"/>
      <c r="T109" s="441"/>
      <c r="U109" s="37">
        <v>2213288</v>
      </c>
      <c r="V109" s="441"/>
      <c r="W109" s="441"/>
      <c r="X109" s="60">
        <f t="shared" si="43"/>
        <v>2213288</v>
      </c>
      <c r="AB109" s="449">
        <v>44075</v>
      </c>
      <c r="AC109" s="37">
        <f t="shared" si="45"/>
        <v>5850879.2000000002</v>
      </c>
      <c r="AD109" s="37">
        <f t="shared" si="46"/>
        <v>3172680.33</v>
      </c>
      <c r="AE109" s="37">
        <f t="shared" si="47"/>
        <v>247919.04</v>
      </c>
      <c r="AF109" s="37">
        <f t="shared" si="48"/>
        <v>76616</v>
      </c>
      <c r="AG109" s="37">
        <f t="shared" si="49"/>
        <v>121702.65</v>
      </c>
      <c r="AH109" s="37">
        <f t="shared" si="50"/>
        <v>5703906.0899999999</v>
      </c>
      <c r="AI109" s="60">
        <f t="shared" si="27"/>
        <v>308592.59999999998</v>
      </c>
      <c r="AJ109" s="60">
        <f t="shared" si="51"/>
        <v>2213288</v>
      </c>
      <c r="AK109" s="37">
        <f t="shared" si="52"/>
        <v>20253</v>
      </c>
      <c r="AL109" s="37">
        <f t="shared" si="53"/>
        <v>67324.42</v>
      </c>
      <c r="AN109" s="60">
        <f t="shared" si="54"/>
        <v>6458736.3799999999</v>
      </c>
      <c r="AO109" s="60">
        <f t="shared" si="55"/>
        <v>6458736.3799999999</v>
      </c>
      <c r="AP109" s="60">
        <f t="shared" si="56"/>
        <v>15569873.330000002</v>
      </c>
    </row>
    <row r="110" spans="1:42" x14ac:dyDescent="0.2">
      <c r="A110" s="449">
        <v>44105</v>
      </c>
      <c r="B110" s="460">
        <v>5393191.1100000003</v>
      </c>
      <c r="C110" s="460">
        <v>3001261.28</v>
      </c>
      <c r="D110" s="460">
        <v>236917.82</v>
      </c>
      <c r="E110" s="460">
        <v>70746.84</v>
      </c>
      <c r="F110" s="460">
        <v>106371.61</v>
      </c>
      <c r="G110" s="460">
        <v>5284083.41</v>
      </c>
      <c r="I110" s="460"/>
      <c r="J110" s="460">
        <v>20253</v>
      </c>
      <c r="K110" s="460">
        <v>78463.98000000001</v>
      </c>
      <c r="L110" s="60">
        <f t="shared" si="44"/>
        <v>14191289.050000001</v>
      </c>
      <c r="M110" s="441"/>
      <c r="N110" s="441"/>
      <c r="O110" s="37">
        <v>259599.6</v>
      </c>
      <c r="P110" s="441"/>
      <c r="Q110" s="441"/>
      <c r="R110" s="441"/>
      <c r="S110" s="441"/>
      <c r="T110" s="441"/>
      <c r="U110" s="37">
        <v>2195614.4</v>
      </c>
      <c r="V110" s="441"/>
      <c r="W110" s="441"/>
      <c r="X110" s="60">
        <f t="shared" si="43"/>
        <v>2195614.4</v>
      </c>
      <c r="AB110" s="449">
        <v>44105</v>
      </c>
      <c r="AC110" s="37">
        <f t="shared" si="45"/>
        <v>5393191.1100000003</v>
      </c>
      <c r="AD110" s="37">
        <f t="shared" si="46"/>
        <v>3001261.28</v>
      </c>
      <c r="AE110" s="37">
        <f t="shared" si="47"/>
        <v>236917.82</v>
      </c>
      <c r="AF110" s="37">
        <f t="shared" si="48"/>
        <v>70746.84</v>
      </c>
      <c r="AG110" s="37">
        <f t="shared" si="49"/>
        <v>106371.61</v>
      </c>
      <c r="AH110" s="37">
        <f t="shared" si="50"/>
        <v>5284083.41</v>
      </c>
      <c r="AI110" s="60">
        <f t="shared" si="27"/>
        <v>259599.6</v>
      </c>
      <c r="AJ110" s="60">
        <f t="shared" si="51"/>
        <v>2195614.4</v>
      </c>
      <c r="AK110" s="37">
        <f t="shared" si="52"/>
        <v>20253</v>
      </c>
      <c r="AL110" s="37">
        <f t="shared" si="53"/>
        <v>78463.98000000001</v>
      </c>
      <c r="AN110" s="60">
        <f t="shared" si="54"/>
        <v>5957719.2799999993</v>
      </c>
      <c r="AO110" s="60">
        <f t="shared" si="55"/>
        <v>5957719.2799999993</v>
      </c>
      <c r="AP110" s="60">
        <f t="shared" si="56"/>
        <v>14450888.65</v>
      </c>
    </row>
    <row r="111" spans="1:42" x14ac:dyDescent="0.2">
      <c r="A111" s="449">
        <v>44136</v>
      </c>
      <c r="B111" s="37">
        <v>5523802.9300000006</v>
      </c>
      <c r="C111" s="37">
        <v>3048919.73</v>
      </c>
      <c r="D111" s="37">
        <v>255677.04</v>
      </c>
      <c r="E111" s="37">
        <v>61326.239999999998</v>
      </c>
      <c r="F111" s="37">
        <v>104579.23000000001</v>
      </c>
      <c r="G111" s="37">
        <v>5211132.75</v>
      </c>
      <c r="I111" s="37"/>
      <c r="J111" s="37">
        <v>20364.46</v>
      </c>
      <c r="K111" s="37">
        <v>83546.510000000009</v>
      </c>
      <c r="L111" s="60">
        <f t="shared" si="44"/>
        <v>14309348.890000001</v>
      </c>
      <c r="M111" s="441"/>
      <c r="N111" s="441"/>
      <c r="O111" s="37">
        <v>267568.8</v>
      </c>
      <c r="P111" s="441"/>
      <c r="Q111" s="441"/>
      <c r="R111" s="441"/>
      <c r="S111" s="441"/>
      <c r="T111" s="441"/>
      <c r="U111" s="37">
        <v>2411634.4</v>
      </c>
      <c r="V111" s="441"/>
      <c r="W111" s="441"/>
      <c r="X111" s="60">
        <f t="shared" si="43"/>
        <v>2411634.4</v>
      </c>
      <c r="AB111" s="449">
        <v>44136</v>
      </c>
      <c r="AC111" s="37">
        <f t="shared" si="45"/>
        <v>5523802.9300000006</v>
      </c>
      <c r="AD111" s="37">
        <f t="shared" si="46"/>
        <v>3048919.73</v>
      </c>
      <c r="AE111" s="37">
        <f t="shared" si="47"/>
        <v>255677.04</v>
      </c>
      <c r="AF111" s="37">
        <f t="shared" si="48"/>
        <v>61326.239999999998</v>
      </c>
      <c r="AG111" s="37">
        <f t="shared" si="49"/>
        <v>104579.23000000001</v>
      </c>
      <c r="AH111" s="37">
        <f t="shared" si="50"/>
        <v>5211132.75</v>
      </c>
      <c r="AI111" s="60">
        <f t="shared" si="27"/>
        <v>267568.8</v>
      </c>
      <c r="AJ111" s="60">
        <f t="shared" si="51"/>
        <v>2411634.4</v>
      </c>
      <c r="AK111" s="37">
        <f t="shared" si="52"/>
        <v>20364.46</v>
      </c>
      <c r="AL111" s="37">
        <f t="shared" si="53"/>
        <v>83546.510000000009</v>
      </c>
      <c r="AN111" s="60">
        <f t="shared" si="54"/>
        <v>5900284.0599999996</v>
      </c>
      <c r="AO111" s="60">
        <f t="shared" si="55"/>
        <v>5900284.0599999996</v>
      </c>
      <c r="AP111" s="60">
        <f t="shared" si="56"/>
        <v>14576917.690000001</v>
      </c>
    </row>
    <row r="112" spans="1:42" s="574" customFormat="1" x14ac:dyDescent="0.2">
      <c r="A112" s="572">
        <v>44166</v>
      </c>
      <c r="B112" s="573">
        <v>6862060.6400000006</v>
      </c>
      <c r="C112" s="573">
        <v>3430905.14</v>
      </c>
      <c r="D112" s="573">
        <v>302295.59999999998</v>
      </c>
      <c r="E112" s="573">
        <v>58389.120000000003</v>
      </c>
      <c r="F112" s="573">
        <v>0</v>
      </c>
      <c r="G112" s="573">
        <v>5725734.3699999992</v>
      </c>
      <c r="I112" s="573"/>
      <c r="J112" s="573">
        <v>22433.51</v>
      </c>
      <c r="K112" s="573">
        <v>90334.16</v>
      </c>
      <c r="L112" s="576">
        <f t="shared" si="44"/>
        <v>16492152.539999999</v>
      </c>
      <c r="M112" s="577"/>
      <c r="N112" s="577"/>
      <c r="O112" s="573">
        <v>278101.2</v>
      </c>
      <c r="P112" s="577"/>
      <c r="Q112" s="577"/>
      <c r="R112" s="577"/>
      <c r="S112" s="577"/>
      <c r="T112" s="577"/>
      <c r="U112" s="573">
        <v>2368990.4</v>
      </c>
      <c r="V112" s="577"/>
      <c r="W112" s="577"/>
      <c r="X112" s="576">
        <f t="shared" si="43"/>
        <v>2368990.4</v>
      </c>
      <c r="AB112" s="572">
        <v>44166</v>
      </c>
      <c r="AC112" s="573">
        <f t="shared" si="45"/>
        <v>6862060.6400000006</v>
      </c>
      <c r="AD112" s="573">
        <f t="shared" si="46"/>
        <v>3430905.14</v>
      </c>
      <c r="AE112" s="573">
        <f t="shared" si="47"/>
        <v>302295.59999999998</v>
      </c>
      <c r="AF112" s="573">
        <f t="shared" si="48"/>
        <v>58389.120000000003</v>
      </c>
      <c r="AG112" s="573">
        <f t="shared" si="49"/>
        <v>0</v>
      </c>
      <c r="AH112" s="573">
        <f t="shared" si="50"/>
        <v>5725734.3699999992</v>
      </c>
      <c r="AI112" s="576">
        <f t="shared" si="27"/>
        <v>278101.2</v>
      </c>
      <c r="AJ112" s="576">
        <f t="shared" si="51"/>
        <v>2368990.4</v>
      </c>
      <c r="AK112" s="573">
        <f t="shared" si="52"/>
        <v>22433.51</v>
      </c>
      <c r="AL112" s="573">
        <f t="shared" si="53"/>
        <v>90334.16</v>
      </c>
      <c r="AN112" s="576">
        <f t="shared" si="54"/>
        <v>6364520.2899999991</v>
      </c>
      <c r="AO112" s="576">
        <f t="shared" si="55"/>
        <v>6364520.2899999991</v>
      </c>
      <c r="AP112" s="576">
        <f t="shared" si="56"/>
        <v>16770253.74</v>
      </c>
    </row>
    <row r="113" spans="1:42" x14ac:dyDescent="0.2">
      <c r="A113" s="565">
        <v>44197</v>
      </c>
      <c r="B113" s="37">
        <f>+'Query Results'!$B$57</f>
        <v>6873355.04</v>
      </c>
      <c r="C113" s="37">
        <f>+'Query Results'!$B$58</f>
        <v>3352992.92</v>
      </c>
      <c r="D113" s="37">
        <f>+'Query Results'!$B$38+'Query Results'!$B$39</f>
        <v>318743.5</v>
      </c>
      <c r="E113" s="37">
        <f>+'Query Results'!$B$40</f>
        <v>55652.639999999999</v>
      </c>
      <c r="F113" s="37">
        <v>0</v>
      </c>
      <c r="G113" s="37">
        <f>+'Query Results'!$B$41+'Query Results'!$B$42</f>
        <v>5424131</v>
      </c>
      <c r="I113" s="37"/>
      <c r="J113" s="37">
        <f>+'Query Results'!$B$61</f>
        <v>22952.51</v>
      </c>
      <c r="K113" s="37">
        <f>+'Query Results'!$B$62</f>
        <v>58658.810000000005</v>
      </c>
      <c r="L113" s="60">
        <f t="shared" si="44"/>
        <v>16106486.420000002</v>
      </c>
      <c r="M113" s="441"/>
      <c r="N113" s="441"/>
      <c r="O113" s="37">
        <f>+'Query Results'!$B$50</f>
        <v>275308.79999999999</v>
      </c>
      <c r="P113" s="441"/>
      <c r="Q113" s="441"/>
      <c r="R113" s="441"/>
      <c r="S113" s="441"/>
      <c r="T113" s="441"/>
      <c r="U113" s="37">
        <f>+'Query Results'!$B$49</f>
        <v>2278981.6</v>
      </c>
      <c r="V113" s="441"/>
      <c r="W113" s="441"/>
      <c r="X113" s="60">
        <f t="shared" si="43"/>
        <v>2278981.6</v>
      </c>
      <c r="AB113" s="449">
        <v>44197</v>
      </c>
      <c r="AC113" s="37">
        <f t="shared" si="45"/>
        <v>6873355.04</v>
      </c>
      <c r="AD113" s="37">
        <f t="shared" si="46"/>
        <v>3352992.92</v>
      </c>
      <c r="AE113" s="37">
        <f t="shared" si="47"/>
        <v>318743.5</v>
      </c>
      <c r="AF113" s="37">
        <f t="shared" si="48"/>
        <v>55652.639999999999</v>
      </c>
      <c r="AG113" s="37">
        <f t="shared" si="49"/>
        <v>0</v>
      </c>
      <c r="AH113" s="37">
        <f t="shared" si="50"/>
        <v>5424131</v>
      </c>
      <c r="AI113" s="60">
        <f t="shared" si="27"/>
        <v>275308.79999999999</v>
      </c>
      <c r="AJ113" s="60">
        <f t="shared" si="51"/>
        <v>2278981.6</v>
      </c>
      <c r="AK113" s="37">
        <f t="shared" si="52"/>
        <v>22952.51</v>
      </c>
      <c r="AL113" s="37">
        <f t="shared" si="53"/>
        <v>58658.810000000005</v>
      </c>
      <c r="AN113" s="60">
        <f t="shared" si="54"/>
        <v>6073835.9399999995</v>
      </c>
      <c r="AO113" s="60">
        <f t="shared" si="55"/>
        <v>6073835.9399999995</v>
      </c>
      <c r="AP113" s="60">
        <f t="shared" si="56"/>
        <v>16381795.220000001</v>
      </c>
    </row>
    <row r="114" spans="1:42" x14ac:dyDescent="0.2">
      <c r="A114" s="449">
        <v>44228</v>
      </c>
      <c r="B114" s="37">
        <f>+'Query Results'!$C$57</f>
        <v>6334276.4399999995</v>
      </c>
      <c r="C114" s="37">
        <f>+'Query Results'!$C$58</f>
        <v>3239239.87</v>
      </c>
      <c r="D114" s="37">
        <f>+'Query Results'!$C$38+'Query Results'!$C$39</f>
        <v>302951.98</v>
      </c>
      <c r="E114" s="37">
        <f>+'Query Results'!$C$40</f>
        <v>51030</v>
      </c>
      <c r="F114" s="37">
        <v>0</v>
      </c>
      <c r="G114" s="37">
        <f>+'Query Results'!$C$41+'Query Results'!$C$42</f>
        <v>4925609.3899999997</v>
      </c>
      <c r="I114" s="37"/>
      <c r="J114" s="37">
        <f>+'Query Results'!$C$61</f>
        <v>21268.6</v>
      </c>
      <c r="K114" s="37">
        <f>+'Query Results'!$C$62</f>
        <v>48913.05</v>
      </c>
      <c r="L114" s="60">
        <f t="shared" si="44"/>
        <v>14923289.33</v>
      </c>
      <c r="M114" s="441"/>
      <c r="N114" s="441"/>
      <c r="O114" s="37">
        <f>+'Query Results'!$C$50</f>
        <v>249369.9</v>
      </c>
      <c r="P114" s="441"/>
      <c r="Q114" s="441"/>
      <c r="R114" s="441"/>
      <c r="S114" s="441"/>
      <c r="T114" s="441"/>
      <c r="U114" s="37">
        <f>+'Query Results'!$C$49</f>
        <v>2144486.3999999999</v>
      </c>
      <c r="V114" s="441"/>
      <c r="W114" s="441"/>
      <c r="X114" s="60">
        <f t="shared" si="43"/>
        <v>2144486.3999999999</v>
      </c>
      <c r="AB114" s="449">
        <v>44228</v>
      </c>
      <c r="AC114" s="37">
        <f t="shared" si="45"/>
        <v>6334276.4399999995</v>
      </c>
      <c r="AD114" s="37">
        <f t="shared" si="46"/>
        <v>3239239.87</v>
      </c>
      <c r="AE114" s="37">
        <f t="shared" si="47"/>
        <v>302951.98</v>
      </c>
      <c r="AF114" s="37">
        <f t="shared" si="48"/>
        <v>51030</v>
      </c>
      <c r="AG114" s="37">
        <f t="shared" si="49"/>
        <v>0</v>
      </c>
      <c r="AH114" s="37">
        <f t="shared" si="50"/>
        <v>4925609.3899999997</v>
      </c>
      <c r="AI114" s="60">
        <f t="shared" si="27"/>
        <v>249369.9</v>
      </c>
      <c r="AJ114" s="60">
        <f t="shared" si="51"/>
        <v>2144486.3999999999</v>
      </c>
      <c r="AK114" s="37">
        <f t="shared" si="52"/>
        <v>21268.6</v>
      </c>
      <c r="AL114" s="37">
        <f t="shared" si="53"/>
        <v>48913.05</v>
      </c>
      <c r="AN114" s="60">
        <f t="shared" si="54"/>
        <v>5528961.2699999996</v>
      </c>
      <c r="AO114" s="60">
        <f t="shared" si="55"/>
        <v>5528961.2699999996</v>
      </c>
      <c r="AP114" s="60">
        <f t="shared" si="56"/>
        <v>15172659.229999999</v>
      </c>
    </row>
    <row r="115" spans="1:42" x14ac:dyDescent="0.2">
      <c r="A115" s="449">
        <v>44256</v>
      </c>
      <c r="B115" s="37">
        <f>+'Query Results'!$D$57</f>
        <v>5960100.7300000004</v>
      </c>
      <c r="C115" s="37">
        <f>+'Query Results'!$D$58</f>
        <v>3311003.3400000003</v>
      </c>
      <c r="D115" s="37">
        <f>+'Query Results'!$D$38+'Query Results'!$D$39</f>
        <v>284393</v>
      </c>
      <c r="E115" s="37">
        <f>+'Query Results'!$D$40</f>
        <v>58492.08</v>
      </c>
      <c r="F115" s="37">
        <v>0</v>
      </c>
      <c r="G115" s="37">
        <f>+'Query Results'!$D$41+'Query Results'!$D$42</f>
        <v>5320988.8599999994</v>
      </c>
      <c r="I115" s="37"/>
      <c r="J115" s="37">
        <f>+'Query Results'!$D$61</f>
        <v>21225</v>
      </c>
      <c r="K115" s="37">
        <f>+'Query Results'!$D$62</f>
        <v>48620.97</v>
      </c>
      <c r="L115" s="60">
        <f t="shared" si="44"/>
        <v>15004823.98</v>
      </c>
      <c r="M115" s="441"/>
      <c r="N115" s="441"/>
      <c r="O115" s="37">
        <f>+'Query Results'!$D$50</f>
        <v>300464.40000000002</v>
      </c>
      <c r="P115" s="441"/>
      <c r="Q115" s="441"/>
      <c r="R115" s="441"/>
      <c r="S115" s="441"/>
      <c r="T115" s="441"/>
      <c r="U115" s="37">
        <f>+'Query Results'!$D$49</f>
        <v>1888992</v>
      </c>
      <c r="V115" s="441"/>
      <c r="W115" s="441"/>
      <c r="X115" s="60">
        <f t="shared" si="43"/>
        <v>1888992</v>
      </c>
      <c r="AB115" s="449">
        <v>44256</v>
      </c>
      <c r="AC115" s="37">
        <f t="shared" si="45"/>
        <v>5960100.7300000004</v>
      </c>
      <c r="AD115" s="37">
        <f t="shared" si="46"/>
        <v>3311003.3400000003</v>
      </c>
      <c r="AE115" s="37">
        <f t="shared" si="47"/>
        <v>284393</v>
      </c>
      <c r="AF115" s="37">
        <f t="shared" si="48"/>
        <v>58492.08</v>
      </c>
      <c r="AG115" s="37">
        <f t="shared" si="49"/>
        <v>0</v>
      </c>
      <c r="AH115" s="37">
        <f t="shared" si="50"/>
        <v>5320988.8599999994</v>
      </c>
      <c r="AI115" s="60">
        <f t="shared" si="27"/>
        <v>300464.40000000002</v>
      </c>
      <c r="AJ115" s="60">
        <f t="shared" si="51"/>
        <v>1888992</v>
      </c>
      <c r="AK115" s="37">
        <f t="shared" si="52"/>
        <v>21225</v>
      </c>
      <c r="AL115" s="37">
        <f t="shared" si="53"/>
        <v>48620.97</v>
      </c>
      <c r="AN115" s="60">
        <f t="shared" si="54"/>
        <v>5964338.3399999999</v>
      </c>
      <c r="AO115" s="60">
        <f t="shared" si="55"/>
        <v>5964338.3399999999</v>
      </c>
      <c r="AP115" s="60">
        <f t="shared" si="56"/>
        <v>15305288.380000001</v>
      </c>
    </row>
    <row r="116" spans="1:42" x14ac:dyDescent="0.2">
      <c r="A116" s="449">
        <v>44287</v>
      </c>
      <c r="B116" s="37">
        <f>+'Query Results'!$E$57</f>
        <v>5294794.58</v>
      </c>
      <c r="C116" s="37">
        <f>+'Query Results'!$E$58</f>
        <v>2801117.26</v>
      </c>
      <c r="D116" s="37">
        <f>+'Query Results'!$E$38+'Query Results'!$E$39</f>
        <v>241911.6</v>
      </c>
      <c r="E116" s="37">
        <f>+'Query Results'!$E$40</f>
        <v>57424.62</v>
      </c>
      <c r="F116" s="37">
        <v>0</v>
      </c>
      <c r="G116" s="37">
        <f>+'Query Results'!$E$41+'Query Results'!$E$42</f>
        <v>4606876.0600000005</v>
      </c>
      <c r="I116" s="37"/>
      <c r="J116" s="37">
        <f>+'Query Results'!$E$61</f>
        <v>21225</v>
      </c>
      <c r="K116" s="37">
        <f>+'Query Results'!$E$62</f>
        <v>41472.509999999995</v>
      </c>
      <c r="L116" s="60">
        <f t="shared" si="44"/>
        <v>13064821.629999999</v>
      </c>
      <c r="M116" s="441"/>
      <c r="N116" s="441"/>
      <c r="O116" s="37">
        <f>+'Query Results'!$E$50</f>
        <v>282460.2</v>
      </c>
      <c r="P116" s="441"/>
      <c r="Q116" s="441"/>
      <c r="R116" s="441"/>
      <c r="S116" s="441"/>
      <c r="T116" s="441"/>
      <c r="U116" s="37">
        <f>+'Query Results'!$E$49</f>
        <v>1604528.8</v>
      </c>
      <c r="V116" s="441"/>
      <c r="W116" s="441"/>
      <c r="X116" s="60">
        <f t="shared" si="43"/>
        <v>1604528.8</v>
      </c>
      <c r="AB116" s="449">
        <v>44287</v>
      </c>
      <c r="AC116" s="37">
        <f t="shared" si="45"/>
        <v>5294794.58</v>
      </c>
      <c r="AD116" s="37">
        <f t="shared" si="46"/>
        <v>2801117.26</v>
      </c>
      <c r="AE116" s="37">
        <f t="shared" si="47"/>
        <v>241911.6</v>
      </c>
      <c r="AF116" s="37">
        <f t="shared" si="48"/>
        <v>57424.62</v>
      </c>
      <c r="AG116" s="37">
        <f t="shared" si="49"/>
        <v>0</v>
      </c>
      <c r="AH116" s="37">
        <f t="shared" si="50"/>
        <v>4606876.0600000005</v>
      </c>
      <c r="AI116" s="60">
        <f t="shared" si="27"/>
        <v>282460.2</v>
      </c>
      <c r="AJ116" s="60">
        <f t="shared" si="51"/>
        <v>1604528.8</v>
      </c>
      <c r="AK116" s="37">
        <f t="shared" si="52"/>
        <v>21225</v>
      </c>
      <c r="AL116" s="37">
        <f t="shared" si="53"/>
        <v>41472.509999999995</v>
      </c>
      <c r="AN116" s="60">
        <f t="shared" si="54"/>
        <v>5188672.4800000004</v>
      </c>
      <c r="AO116" s="60">
        <f t="shared" si="55"/>
        <v>5188672.4800000004</v>
      </c>
      <c r="AP116" s="60">
        <f t="shared" si="56"/>
        <v>13347281.83</v>
      </c>
    </row>
    <row r="117" spans="1:42" x14ac:dyDescent="0.2">
      <c r="A117" s="449">
        <v>44317</v>
      </c>
      <c r="B117" s="37">
        <f>+'Query Results'!$F$57</f>
        <v>5785032.6300000008</v>
      </c>
      <c r="C117" s="37">
        <f>+'Query Results'!$F$58</f>
        <v>2847027.43</v>
      </c>
      <c r="D117" s="37">
        <f>+'Query Results'!$F$38+'Query Results'!$F$39</f>
        <v>236519.86</v>
      </c>
      <c r="E117" s="37">
        <f>+'Query Results'!$F$40</f>
        <v>61167.96</v>
      </c>
      <c r="F117" s="37">
        <v>0</v>
      </c>
      <c r="G117" s="37">
        <f>+'Query Results'!$F$41+'Query Results'!$F$42</f>
        <v>4735490.95</v>
      </c>
      <c r="I117" s="37"/>
      <c r="J117" s="37">
        <f>+'Query Results'!$F$61</f>
        <v>21225</v>
      </c>
      <c r="K117" s="37">
        <f>+'Query Results'!$F$62</f>
        <v>37760.93</v>
      </c>
      <c r="L117" s="60">
        <f t="shared" si="44"/>
        <v>13724224.760000002</v>
      </c>
      <c r="M117" s="441"/>
      <c r="N117" s="441"/>
      <c r="O117" s="37">
        <f>+'Query Results'!$F$50</f>
        <v>296261.40000000002</v>
      </c>
      <c r="P117" s="441"/>
      <c r="Q117" s="441"/>
      <c r="R117" s="441"/>
      <c r="S117" s="441"/>
      <c r="T117" s="441"/>
      <c r="U117" s="37">
        <f>+'Query Results'!$F$49</f>
        <v>1456873.6</v>
      </c>
      <c r="V117" s="441"/>
      <c r="W117" s="441"/>
      <c r="X117" s="60">
        <f t="shared" si="43"/>
        <v>1456873.6</v>
      </c>
      <c r="AB117" s="449">
        <v>44317</v>
      </c>
      <c r="AC117" s="37">
        <f t="shared" si="45"/>
        <v>5785032.6300000008</v>
      </c>
      <c r="AD117" s="37">
        <f t="shared" si="46"/>
        <v>2847027.43</v>
      </c>
      <c r="AE117" s="37">
        <f t="shared" si="47"/>
        <v>236519.86</v>
      </c>
      <c r="AF117" s="37">
        <f t="shared" si="48"/>
        <v>61167.96</v>
      </c>
      <c r="AG117" s="37">
        <f t="shared" si="49"/>
        <v>0</v>
      </c>
      <c r="AH117" s="37">
        <f t="shared" si="50"/>
        <v>4735490.95</v>
      </c>
      <c r="AI117" s="60">
        <f t="shared" si="27"/>
        <v>296261.40000000002</v>
      </c>
      <c r="AJ117" s="60">
        <f t="shared" si="51"/>
        <v>1456873.6</v>
      </c>
      <c r="AK117" s="37">
        <f t="shared" si="52"/>
        <v>21225</v>
      </c>
      <c r="AL117" s="37">
        <f t="shared" si="53"/>
        <v>37760.93</v>
      </c>
      <c r="AN117" s="60">
        <f t="shared" si="54"/>
        <v>5329440.1700000009</v>
      </c>
      <c r="AO117" s="60">
        <f t="shared" si="55"/>
        <v>5329440.1700000009</v>
      </c>
      <c r="AP117" s="60">
        <f t="shared" si="56"/>
        <v>14020486.16</v>
      </c>
    </row>
    <row r="118" spans="1:42" x14ac:dyDescent="0.2">
      <c r="A118" s="449">
        <v>44348</v>
      </c>
      <c r="B118" s="37">
        <f>+'Query Results'!$G$57</f>
        <v>7424178.8499999996</v>
      </c>
      <c r="C118" s="37">
        <f>+'Query Results'!$G$58</f>
        <v>3607883.2500000005</v>
      </c>
      <c r="D118" s="37">
        <f>+'Query Results'!$G$38+'Query Results'!$G$39</f>
        <v>264366</v>
      </c>
      <c r="E118" s="37">
        <f>+'Query Results'!$G$40</f>
        <v>67962.66</v>
      </c>
      <c r="F118" s="37">
        <v>0</v>
      </c>
      <c r="G118" s="37">
        <f>+'Query Results'!$G$41+'Query Results'!$G$42</f>
        <v>5756677.4299999997</v>
      </c>
      <c r="I118" s="37"/>
      <c r="J118" s="37">
        <f>+'Query Results'!$G$61</f>
        <v>21225</v>
      </c>
      <c r="K118" s="37">
        <f>+'Query Results'!$G$62</f>
        <v>34016.22</v>
      </c>
      <c r="L118" s="60">
        <f t="shared" si="44"/>
        <v>17176309.409999996</v>
      </c>
      <c r="M118" s="441"/>
      <c r="N118" s="441"/>
      <c r="O118" s="37">
        <f>+'Query Results'!$G$50</f>
        <v>316442.09999999998</v>
      </c>
      <c r="P118" s="441"/>
      <c r="Q118" s="441"/>
      <c r="R118" s="441"/>
      <c r="S118" s="441"/>
      <c r="T118" s="441"/>
      <c r="U118" s="37">
        <f>+'Query Results'!$G$49</f>
        <v>1443859.2</v>
      </c>
      <c r="V118" s="441"/>
      <c r="W118" s="441"/>
      <c r="X118" s="60">
        <f t="shared" si="43"/>
        <v>1443859.2</v>
      </c>
      <c r="AB118" s="449">
        <v>44348</v>
      </c>
      <c r="AC118" s="37">
        <f t="shared" si="45"/>
        <v>7424178.8499999996</v>
      </c>
      <c r="AD118" s="37">
        <f t="shared" si="46"/>
        <v>3607883.2500000005</v>
      </c>
      <c r="AE118" s="37">
        <f t="shared" si="47"/>
        <v>264366</v>
      </c>
      <c r="AF118" s="37">
        <f t="shared" si="48"/>
        <v>67962.66</v>
      </c>
      <c r="AG118" s="37">
        <f t="shared" si="49"/>
        <v>0</v>
      </c>
      <c r="AH118" s="37">
        <f t="shared" si="50"/>
        <v>5756677.4299999997</v>
      </c>
      <c r="AI118" s="60">
        <f t="shared" si="27"/>
        <v>316442.09999999998</v>
      </c>
      <c r="AJ118" s="60">
        <f t="shared" si="51"/>
        <v>1443859.2</v>
      </c>
      <c r="AK118" s="37">
        <f t="shared" si="52"/>
        <v>21225</v>
      </c>
      <c r="AL118" s="37">
        <f t="shared" si="53"/>
        <v>34016.22</v>
      </c>
      <c r="AN118" s="60">
        <f t="shared" si="54"/>
        <v>6405448.1899999995</v>
      </c>
      <c r="AO118" s="60">
        <f t="shared" si="55"/>
        <v>6405448.1899999995</v>
      </c>
      <c r="AP118" s="60">
        <f t="shared" si="56"/>
        <v>17492751.509999998</v>
      </c>
    </row>
    <row r="119" spans="1:42" x14ac:dyDescent="0.2">
      <c r="A119" s="449">
        <v>44378</v>
      </c>
      <c r="B119" s="37">
        <f>+'Query Results'!$H$57</f>
        <v>7874575.2599999998</v>
      </c>
      <c r="C119" s="37">
        <f>+'Query Results'!$H$58</f>
        <v>4122851.84</v>
      </c>
      <c r="D119" s="37">
        <f>+'Query Results'!$H$38+'Query Results'!$H$39</f>
        <v>283544.12</v>
      </c>
      <c r="E119" s="37">
        <f>+'Query Results'!$H$40</f>
        <v>75241.8</v>
      </c>
      <c r="F119" s="37">
        <v>0</v>
      </c>
      <c r="G119" s="37">
        <f>+'Query Results'!$H$41+'Query Results'!$H$42</f>
        <v>6279693.0899999999</v>
      </c>
      <c r="J119" s="37">
        <f>+'Query Results'!$H$61</f>
        <v>21225</v>
      </c>
      <c r="K119" s="37">
        <f>+'Query Results'!$H$62</f>
        <v>36527.25</v>
      </c>
      <c r="L119" s="60">
        <f t="shared" si="44"/>
        <v>18693658.359999999</v>
      </c>
      <c r="M119" s="441"/>
      <c r="N119" s="37">
        <f>+'Query Results'!$H$51</f>
        <v>298463.28000000003</v>
      </c>
      <c r="O119" s="37">
        <f>+'Query Results'!$H$50</f>
        <v>315747.3</v>
      </c>
      <c r="P119" s="441"/>
      <c r="Q119" s="441"/>
      <c r="R119" s="441"/>
      <c r="S119" s="441"/>
      <c r="T119" s="441"/>
      <c r="U119" s="37">
        <f>+'Query Results'!$H$49</f>
        <v>1411771.2</v>
      </c>
      <c r="V119" s="441"/>
      <c r="W119" s="441"/>
      <c r="X119" s="60">
        <f t="shared" si="43"/>
        <v>1411771.2</v>
      </c>
      <c r="AB119" s="449">
        <v>44378</v>
      </c>
      <c r="AC119" s="37">
        <f t="shared" si="45"/>
        <v>7874575.2599999998</v>
      </c>
      <c r="AD119" s="37">
        <f t="shared" si="46"/>
        <v>4122851.84</v>
      </c>
      <c r="AE119" s="37">
        <f t="shared" si="47"/>
        <v>283544.12</v>
      </c>
      <c r="AF119" s="37">
        <f t="shared" si="48"/>
        <v>75241.8</v>
      </c>
      <c r="AG119" s="37">
        <f t="shared" si="49"/>
        <v>0</v>
      </c>
      <c r="AH119" s="37">
        <f t="shared" si="50"/>
        <v>6279693.0899999999</v>
      </c>
      <c r="AI119" s="60">
        <f t="shared" si="27"/>
        <v>614210.58000000007</v>
      </c>
      <c r="AJ119" s="60">
        <f t="shared" si="51"/>
        <v>1411771.2</v>
      </c>
      <c r="AK119" s="37">
        <f t="shared" si="52"/>
        <v>21225</v>
      </c>
      <c r="AL119" s="37">
        <f t="shared" si="53"/>
        <v>36527.25</v>
      </c>
      <c r="AN119" s="60">
        <f t="shared" si="54"/>
        <v>7252689.5899999999</v>
      </c>
      <c r="AO119" s="60">
        <f t="shared" si="55"/>
        <v>7252689.5899999999</v>
      </c>
      <c r="AP119" s="60">
        <f t="shared" si="56"/>
        <v>19307868.939999998</v>
      </c>
    </row>
    <row r="120" spans="1:42" x14ac:dyDescent="0.2">
      <c r="A120" s="449">
        <v>44409</v>
      </c>
      <c r="B120" s="37">
        <f>+'Query Results'!$I$57</f>
        <v>9421351.6199999992</v>
      </c>
      <c r="C120" s="37">
        <f>+'Query Results'!$I$58</f>
        <v>4830538.01</v>
      </c>
      <c r="D120" s="37">
        <f>+'Query Results'!$I$38+'Query Results'!$I$39</f>
        <v>326610.26</v>
      </c>
      <c r="E120" s="37">
        <f>+'Query Results'!$I$40</f>
        <v>88070.04</v>
      </c>
      <c r="F120" s="37">
        <v>0</v>
      </c>
      <c r="G120" s="37">
        <f>+'Query Results'!$I$41+'Query Results'!$I$42</f>
        <v>7397424.6400000006</v>
      </c>
      <c r="J120" s="37">
        <f>+'Query Results'!$I$61</f>
        <v>21225</v>
      </c>
      <c r="K120" s="37">
        <f>+'Query Results'!$I$62</f>
        <v>41025.020000000004</v>
      </c>
      <c r="L120" s="60">
        <f t="shared" si="44"/>
        <v>22126244.59</v>
      </c>
      <c r="M120" s="441"/>
      <c r="N120" s="37">
        <f>+'Query Results'!$I$51</f>
        <v>307714.32</v>
      </c>
      <c r="O120" s="37">
        <f>+'Query Results'!$I$50</f>
        <v>347772.3</v>
      </c>
      <c r="P120" s="441"/>
      <c r="Q120" s="441"/>
      <c r="R120" s="441"/>
      <c r="S120" s="441"/>
      <c r="T120" s="441"/>
      <c r="U120" s="37">
        <f>+'Query Results'!$I$49</f>
        <v>1548148</v>
      </c>
      <c r="V120" s="441"/>
      <c r="W120" s="441"/>
      <c r="X120" s="60">
        <f t="shared" si="43"/>
        <v>1548148</v>
      </c>
      <c r="AB120" s="449">
        <v>44409</v>
      </c>
      <c r="AC120" s="37">
        <f t="shared" si="45"/>
        <v>9421351.6199999992</v>
      </c>
      <c r="AD120" s="37">
        <f t="shared" si="46"/>
        <v>4830538.01</v>
      </c>
      <c r="AE120" s="37">
        <f t="shared" si="47"/>
        <v>326610.26</v>
      </c>
      <c r="AF120" s="37">
        <f t="shared" si="48"/>
        <v>88070.04</v>
      </c>
      <c r="AG120" s="37">
        <f t="shared" si="49"/>
        <v>0</v>
      </c>
      <c r="AH120" s="37">
        <f t="shared" si="50"/>
        <v>7397424.6400000006</v>
      </c>
      <c r="AI120" s="60">
        <f t="shared" si="27"/>
        <v>655486.62</v>
      </c>
      <c r="AJ120" s="60">
        <f t="shared" si="51"/>
        <v>1548148</v>
      </c>
      <c r="AK120" s="37">
        <f t="shared" si="52"/>
        <v>21225</v>
      </c>
      <c r="AL120" s="37">
        <f t="shared" si="53"/>
        <v>41025.020000000004</v>
      </c>
      <c r="AN120" s="60">
        <f t="shared" si="54"/>
        <v>8467591.5600000005</v>
      </c>
      <c r="AO120" s="60">
        <f t="shared" si="55"/>
        <v>8467591.5600000005</v>
      </c>
      <c r="AP120" s="60">
        <f t="shared" si="56"/>
        <v>22781731.210000001</v>
      </c>
    </row>
    <row r="121" spans="1:42" x14ac:dyDescent="0.2">
      <c r="A121" s="449">
        <v>44440</v>
      </c>
      <c r="B121" s="37">
        <f>+'Query Results'!$J$57</f>
        <v>6169794.1200000001</v>
      </c>
      <c r="C121" s="37">
        <f>+'Query Results'!$J$58</f>
        <v>3555595.21</v>
      </c>
      <c r="D121" s="37">
        <f>+'Query Results'!$J$38+'Query Results'!$J$39</f>
        <v>258220.04</v>
      </c>
      <c r="E121" s="37">
        <f>+'Query Results'!$J$40</f>
        <v>76853.88</v>
      </c>
      <c r="F121" s="37">
        <v>0</v>
      </c>
      <c r="G121" s="37">
        <f>+'Query Results'!$J$41+'Query Results'!$J$42</f>
        <v>5993109.8300000001</v>
      </c>
      <c r="J121" s="37">
        <f>+'Query Results'!$J$61</f>
        <v>21424.68</v>
      </c>
      <c r="K121" s="37">
        <f>+'Query Results'!$J$62</f>
        <v>45260.630000000005</v>
      </c>
      <c r="L121" s="60">
        <f t="shared" si="44"/>
        <v>16120258.390000001</v>
      </c>
      <c r="M121" s="441"/>
      <c r="N121" s="37">
        <f>+'Query Results'!$J$51</f>
        <v>273049.68</v>
      </c>
      <c r="O121" s="37">
        <f>+'Query Results'!$J$50</f>
        <v>314660.7</v>
      </c>
      <c r="P121" s="441"/>
      <c r="Q121" s="441"/>
      <c r="R121" s="441"/>
      <c r="S121" s="441"/>
      <c r="T121" s="441"/>
      <c r="U121" s="37">
        <f>+'Query Results'!$J$49</f>
        <v>1639422.4</v>
      </c>
      <c r="V121" s="441"/>
      <c r="W121" s="441"/>
      <c r="X121" s="60">
        <f t="shared" si="43"/>
        <v>1639422.4</v>
      </c>
      <c r="AB121" s="449">
        <v>44440</v>
      </c>
      <c r="AC121" s="37">
        <f t="shared" si="45"/>
        <v>6169794.1200000001</v>
      </c>
      <c r="AD121" s="37">
        <f t="shared" si="46"/>
        <v>3555595.21</v>
      </c>
      <c r="AE121" s="37">
        <f t="shared" si="47"/>
        <v>258220.04</v>
      </c>
      <c r="AF121" s="37">
        <f t="shared" si="48"/>
        <v>76853.88</v>
      </c>
      <c r="AG121" s="37">
        <f t="shared" si="49"/>
        <v>0</v>
      </c>
      <c r="AH121" s="37">
        <f t="shared" si="50"/>
        <v>5993109.8300000001</v>
      </c>
      <c r="AI121" s="60">
        <f t="shared" si="27"/>
        <v>587710.38</v>
      </c>
      <c r="AJ121" s="60">
        <f t="shared" si="51"/>
        <v>1639422.4</v>
      </c>
      <c r="AK121" s="37">
        <f t="shared" si="52"/>
        <v>21424.68</v>
      </c>
      <c r="AL121" s="37">
        <f t="shared" si="53"/>
        <v>45260.630000000005</v>
      </c>
      <c r="AN121" s="60">
        <f t="shared" si="54"/>
        <v>6915894.1299999999</v>
      </c>
      <c r="AO121" s="60">
        <f t="shared" si="55"/>
        <v>6915894.1299999999</v>
      </c>
      <c r="AP121" s="60">
        <f t="shared" si="56"/>
        <v>16707968.77</v>
      </c>
    </row>
    <row r="122" spans="1:42" x14ac:dyDescent="0.2">
      <c r="A122" s="449">
        <v>44470</v>
      </c>
      <c r="B122" s="37">
        <f>+'Query Results'!$K$57</f>
        <v>5477446.1399999997</v>
      </c>
      <c r="C122" s="37">
        <f>+'Query Results'!$K$58</f>
        <v>3326364.2399999998</v>
      </c>
      <c r="D122" s="37">
        <f>+'Query Results'!$K$38+'Query Results'!$K$39</f>
        <v>248298.64</v>
      </c>
      <c r="E122" s="37">
        <f>+'Query Results'!$K$40</f>
        <v>75363.360000000001</v>
      </c>
      <c r="F122" s="37">
        <v>0</v>
      </c>
      <c r="G122" s="37">
        <f>+'Query Results'!$K$41+'Query Results'!$K$42</f>
        <v>5798192.8399999999</v>
      </c>
      <c r="J122" s="37">
        <f>+'Query Results'!$K$61</f>
        <v>22040.13</v>
      </c>
      <c r="K122" s="37">
        <f>+'Query Results'!$K$62</f>
        <v>52749.52</v>
      </c>
      <c r="L122" s="60">
        <f t="shared" si="44"/>
        <v>15000454.869999999</v>
      </c>
      <c r="M122" s="441"/>
      <c r="N122" s="37">
        <f>+'Query Results'!$K$51</f>
        <v>215187.84</v>
      </c>
      <c r="O122" s="37">
        <f>+'Query Results'!$K$50</f>
        <v>267817.8</v>
      </c>
      <c r="P122" s="441"/>
      <c r="Q122" s="441"/>
      <c r="R122" s="441"/>
      <c r="S122" s="441"/>
      <c r="T122" s="441"/>
      <c r="U122" s="37">
        <f>+'Query Results'!$K$49</f>
        <v>2076334.4</v>
      </c>
      <c r="V122" s="441"/>
      <c r="W122" s="441"/>
      <c r="X122" s="60">
        <f t="shared" si="43"/>
        <v>2076334.4</v>
      </c>
      <c r="AB122" s="449">
        <v>44470</v>
      </c>
      <c r="AC122" s="37">
        <f t="shared" si="45"/>
        <v>5477446.1399999997</v>
      </c>
      <c r="AD122" s="37">
        <f t="shared" si="46"/>
        <v>3326364.2399999998</v>
      </c>
      <c r="AE122" s="37">
        <f t="shared" si="47"/>
        <v>248298.64</v>
      </c>
      <c r="AF122" s="37">
        <f t="shared" si="48"/>
        <v>75363.360000000001</v>
      </c>
      <c r="AG122" s="37">
        <f t="shared" si="49"/>
        <v>0</v>
      </c>
      <c r="AH122" s="37">
        <f t="shared" si="50"/>
        <v>5798192.8399999999</v>
      </c>
      <c r="AI122" s="60">
        <f t="shared" si="27"/>
        <v>483005.64</v>
      </c>
      <c r="AJ122" s="60">
        <f t="shared" si="51"/>
        <v>2076334.4</v>
      </c>
      <c r="AK122" s="37">
        <f t="shared" si="52"/>
        <v>22040.13</v>
      </c>
      <c r="AL122" s="37">
        <f t="shared" si="53"/>
        <v>52749.52</v>
      </c>
      <c r="AN122" s="60">
        <f t="shared" si="54"/>
        <v>6604860.4799999995</v>
      </c>
      <c r="AO122" s="60">
        <f t="shared" si="55"/>
        <v>6604860.4799999995</v>
      </c>
      <c r="AP122" s="60">
        <f t="shared" si="56"/>
        <v>15483460.509999998</v>
      </c>
    </row>
    <row r="123" spans="1:42" x14ac:dyDescent="0.2">
      <c r="A123" s="449">
        <v>44501</v>
      </c>
      <c r="B123" s="37">
        <f>+'Query Results'!$L$57</f>
        <v>5564159.9000000004</v>
      </c>
      <c r="C123" s="37">
        <f>+'Query Results'!$L$58</f>
        <v>3310241.66</v>
      </c>
      <c r="D123" s="37">
        <f>+'Query Results'!$L$38+'Query Results'!$L$39</f>
        <v>261046.84</v>
      </c>
      <c r="E123" s="37">
        <f>+'Query Results'!$L$40</f>
        <v>62963.16</v>
      </c>
      <c r="F123" s="37">
        <v>0</v>
      </c>
      <c r="G123" s="37">
        <f>+'Query Results'!$L$41+'Query Results'!$L$42</f>
        <v>5636314.5999999996</v>
      </c>
      <c r="J123" s="37">
        <f>+'Query Results'!$L$61</f>
        <v>22508.06</v>
      </c>
      <c r="K123" s="37">
        <f>+'Query Results'!$L$62</f>
        <v>56166.42</v>
      </c>
      <c r="L123" s="60">
        <f t="shared" si="44"/>
        <v>14913400.640000001</v>
      </c>
      <c r="M123" s="441"/>
      <c r="N123" s="37">
        <f>+'Query Results'!$L$51</f>
        <v>173169.36</v>
      </c>
      <c r="O123" s="37">
        <f>+'Query Results'!$L$50</f>
        <v>264489</v>
      </c>
      <c r="P123" s="441"/>
      <c r="Q123" s="441"/>
      <c r="R123" s="441"/>
      <c r="S123" s="441"/>
      <c r="T123" s="441"/>
      <c r="U123" s="37">
        <f>+'Query Results'!$L$49</f>
        <v>1253078.3999999999</v>
      </c>
      <c r="V123" s="441"/>
      <c r="W123" s="441"/>
      <c r="X123" s="60">
        <f t="shared" si="43"/>
        <v>1253078.3999999999</v>
      </c>
      <c r="AB123" s="449">
        <v>44501</v>
      </c>
      <c r="AC123" s="37">
        <f t="shared" si="45"/>
        <v>5564159.9000000004</v>
      </c>
      <c r="AD123" s="37">
        <f t="shared" si="46"/>
        <v>3310241.66</v>
      </c>
      <c r="AE123" s="37">
        <f t="shared" si="47"/>
        <v>261046.84</v>
      </c>
      <c r="AF123" s="37">
        <f t="shared" si="48"/>
        <v>62963.16</v>
      </c>
      <c r="AG123" s="37">
        <f t="shared" si="49"/>
        <v>0</v>
      </c>
      <c r="AH123" s="37">
        <f t="shared" si="50"/>
        <v>5636314.5999999996</v>
      </c>
      <c r="AI123" s="60">
        <f t="shared" si="27"/>
        <v>437658.36</v>
      </c>
      <c r="AJ123" s="60">
        <f t="shared" si="51"/>
        <v>1253078.3999999999</v>
      </c>
      <c r="AK123" s="37">
        <f t="shared" si="52"/>
        <v>22508.06</v>
      </c>
      <c r="AL123" s="37">
        <f t="shared" si="53"/>
        <v>56166.42</v>
      </c>
      <c r="AN123" s="60">
        <f t="shared" si="54"/>
        <v>6397982.96</v>
      </c>
      <c r="AO123" s="60">
        <f t="shared" si="55"/>
        <v>6397982.96</v>
      </c>
      <c r="AP123" s="60">
        <f t="shared" si="56"/>
        <v>15351059</v>
      </c>
    </row>
    <row r="124" spans="1:42" x14ac:dyDescent="0.2">
      <c r="A124" s="449">
        <v>44531</v>
      </c>
      <c r="B124" s="37">
        <f>+'Query Results'!$M$57</f>
        <v>6466655.3599999994</v>
      </c>
      <c r="C124" s="37">
        <f>+'Query Results'!$M$58</f>
        <v>3648041.92</v>
      </c>
      <c r="D124" s="37">
        <f>+'Query Results'!$M$38+'Query Results'!$M$39</f>
        <v>292439.98</v>
      </c>
      <c r="E124" s="37">
        <f>+'Query Results'!$M$40</f>
        <v>55661.1</v>
      </c>
      <c r="F124" s="37">
        <v>0</v>
      </c>
      <c r="G124" s="37">
        <f>+'Query Results'!$M$41+'Query Results'!$M$42</f>
        <v>5950797.2400000002</v>
      </c>
      <c r="J124" s="37">
        <f>+'Query Results'!$M$61</f>
        <v>25221.25</v>
      </c>
      <c r="K124" s="37">
        <f>+'Query Results'!$M$62</f>
        <v>60729.52</v>
      </c>
      <c r="L124" s="60">
        <f t="shared" si="44"/>
        <v>16499546.369999999</v>
      </c>
      <c r="M124" s="441"/>
      <c r="N124" s="37">
        <f>+'Query Results'!$M$51</f>
        <v>235544.4</v>
      </c>
      <c r="O124" s="37">
        <f>+'Query Results'!$M$50</f>
        <v>250482.9</v>
      </c>
      <c r="P124" s="441"/>
      <c r="Q124" s="441"/>
      <c r="R124" s="441"/>
      <c r="S124" s="441"/>
      <c r="T124" s="441"/>
      <c r="U124" s="37">
        <f>+'Query Results'!$M$49</f>
        <v>389317.6</v>
      </c>
      <c r="V124" s="441"/>
      <c r="W124" s="441"/>
      <c r="X124" s="60">
        <f t="shared" si="43"/>
        <v>389317.6</v>
      </c>
      <c r="AB124" s="449">
        <v>44531</v>
      </c>
      <c r="AC124" s="37">
        <f t="shared" si="45"/>
        <v>6466655.3599999994</v>
      </c>
      <c r="AD124" s="37">
        <f t="shared" si="46"/>
        <v>3648041.92</v>
      </c>
      <c r="AE124" s="37">
        <f t="shared" si="47"/>
        <v>292439.98</v>
      </c>
      <c r="AF124" s="37">
        <f t="shared" si="48"/>
        <v>55661.1</v>
      </c>
      <c r="AG124" s="37">
        <f t="shared" si="49"/>
        <v>0</v>
      </c>
      <c r="AH124" s="37">
        <f t="shared" si="50"/>
        <v>5950797.2400000002</v>
      </c>
      <c r="AI124" s="60">
        <f t="shared" si="27"/>
        <v>486027.3</v>
      </c>
      <c r="AJ124" s="60">
        <f t="shared" si="51"/>
        <v>389317.6</v>
      </c>
      <c r="AK124" s="37">
        <f t="shared" si="52"/>
        <v>25221.25</v>
      </c>
      <c r="AL124" s="37">
        <f t="shared" si="53"/>
        <v>60729.52</v>
      </c>
      <c r="AN124" s="60">
        <f t="shared" si="54"/>
        <v>6784925.6200000001</v>
      </c>
      <c r="AO124" s="60">
        <f t="shared" si="55"/>
        <v>6784925.6200000001</v>
      </c>
      <c r="AP124" s="60">
        <f t="shared" si="56"/>
        <v>16985573.669999998</v>
      </c>
    </row>
    <row r="125" spans="1:42" x14ac:dyDescent="0.2">
      <c r="A125" s="449">
        <v>44562</v>
      </c>
      <c r="B125" s="37">
        <f>+'Query Results'!$N$57</f>
        <v>7217029.7800000003</v>
      </c>
      <c r="C125" s="37">
        <f>+'Query Results'!$N$58</f>
        <v>3986517.48</v>
      </c>
      <c r="D125" s="37">
        <f>+'Query Results'!$N$38+'Query Results'!$N$39</f>
        <v>344453.52</v>
      </c>
      <c r="E125" s="37">
        <f>+'Query Results'!$N$40</f>
        <v>54280.14</v>
      </c>
      <c r="F125" s="37">
        <v>0</v>
      </c>
      <c r="G125" s="37">
        <f>+'Query Results'!$N$41+'Query Results'!$N$42</f>
        <v>6152674.7599999998</v>
      </c>
      <c r="J125" s="37">
        <f>+'Query Results'!$N$61</f>
        <v>25764.35</v>
      </c>
      <c r="K125" s="37">
        <f>+'Query Results'!$N$62</f>
        <v>59201.16</v>
      </c>
      <c r="L125" s="60">
        <f t="shared" si="44"/>
        <v>17839921.190000001</v>
      </c>
      <c r="M125" s="441"/>
      <c r="N125" s="37">
        <f>+'Query Results'!$N$51</f>
        <v>252547.68</v>
      </c>
      <c r="O125" s="37">
        <f>+'Query Results'!$N$50</f>
        <v>229131</v>
      </c>
      <c r="P125" s="441"/>
      <c r="Q125" s="441"/>
      <c r="R125" s="441"/>
      <c r="S125" s="441"/>
      <c r="T125" s="441"/>
      <c r="U125" s="37">
        <f>+'Query Results'!$N$49</f>
        <v>343459.2</v>
      </c>
      <c r="V125" s="441"/>
      <c r="W125" s="441"/>
      <c r="X125" s="60">
        <f t="shared" si="43"/>
        <v>343459.2</v>
      </c>
      <c r="AB125" s="449">
        <v>44562</v>
      </c>
      <c r="AC125" s="37">
        <f t="shared" si="45"/>
        <v>7217029.7800000003</v>
      </c>
      <c r="AD125" s="37">
        <f t="shared" si="46"/>
        <v>3986517.48</v>
      </c>
      <c r="AE125" s="37">
        <f t="shared" si="47"/>
        <v>344453.52</v>
      </c>
      <c r="AF125" s="37">
        <f t="shared" si="48"/>
        <v>54280.14</v>
      </c>
      <c r="AG125" s="37">
        <f t="shared" si="49"/>
        <v>0</v>
      </c>
      <c r="AH125" s="37">
        <f t="shared" si="50"/>
        <v>6152674.7599999998</v>
      </c>
      <c r="AI125" s="60">
        <f t="shared" si="27"/>
        <v>481678.68</v>
      </c>
      <c r="AJ125" s="60">
        <f t="shared" si="51"/>
        <v>343459.2</v>
      </c>
      <c r="AK125" s="37">
        <f t="shared" si="52"/>
        <v>25764.35</v>
      </c>
      <c r="AL125" s="37">
        <f t="shared" si="53"/>
        <v>59201.16</v>
      </c>
      <c r="AN125" s="60">
        <f t="shared" si="54"/>
        <v>7033087.0999999996</v>
      </c>
      <c r="AO125" s="60">
        <f t="shared" si="55"/>
        <v>7033087.0999999996</v>
      </c>
      <c r="AP125" s="60">
        <f t="shared" si="56"/>
        <v>18321599.869999997</v>
      </c>
    </row>
    <row r="126" spans="1:42" x14ac:dyDescent="0.2">
      <c r="A126" s="449">
        <v>44593</v>
      </c>
      <c r="B126" s="37">
        <f>+'Query Results'!$O$57</f>
        <v>6236727.6600000001</v>
      </c>
      <c r="C126" s="37">
        <f>+'Query Results'!$O$58</f>
        <v>3647310.31</v>
      </c>
      <c r="D126" s="37">
        <f>+'Query Results'!$O$38+'Query Results'!$O$39</f>
        <v>298089.15999999997</v>
      </c>
      <c r="E126" s="37">
        <f>+'Query Results'!$O$40</f>
        <v>51748.26</v>
      </c>
      <c r="F126" s="37">
        <v>0</v>
      </c>
      <c r="G126" s="37">
        <f>+'Query Results'!$O$41+'Query Results'!$O$42</f>
        <v>5704524.3700000001</v>
      </c>
      <c r="J126" s="37">
        <f>+'Query Results'!$O$61</f>
        <v>24298.68</v>
      </c>
      <c r="K126" s="37">
        <f>+'Query Results'!$O$62</f>
        <v>49365.36</v>
      </c>
      <c r="L126" s="60">
        <f t="shared" si="44"/>
        <v>16012063.800000001</v>
      </c>
      <c r="M126" s="441"/>
      <c r="N126" s="37">
        <f>+'Query Results'!$O$51</f>
        <v>236482.32</v>
      </c>
      <c r="O126" s="37">
        <f>+'Query Results'!$O$50</f>
        <v>237195.3</v>
      </c>
      <c r="P126" s="441"/>
      <c r="Q126" s="441"/>
      <c r="R126" s="441"/>
      <c r="S126" s="441"/>
      <c r="T126" s="441"/>
      <c r="U126" s="37">
        <f>+'Query Results'!$O$49</f>
        <v>191245.6</v>
      </c>
      <c r="V126" s="441"/>
      <c r="W126" s="441"/>
      <c r="X126" s="60">
        <f t="shared" si="43"/>
        <v>191245.6</v>
      </c>
      <c r="AB126" s="449">
        <v>44593</v>
      </c>
      <c r="AC126" s="37">
        <f t="shared" si="45"/>
        <v>6236727.6600000001</v>
      </c>
      <c r="AD126" s="37">
        <f t="shared" si="46"/>
        <v>3647310.31</v>
      </c>
      <c r="AE126" s="37">
        <f t="shared" si="47"/>
        <v>298089.15999999997</v>
      </c>
      <c r="AF126" s="37">
        <f t="shared" si="48"/>
        <v>51748.26</v>
      </c>
      <c r="AG126" s="37">
        <f t="shared" si="49"/>
        <v>0</v>
      </c>
      <c r="AH126" s="37">
        <f t="shared" si="50"/>
        <v>5704524.3700000001</v>
      </c>
      <c r="AI126" s="60">
        <f t="shared" si="27"/>
        <v>473677.62</v>
      </c>
      <c r="AJ126" s="60">
        <f t="shared" si="51"/>
        <v>191245.6</v>
      </c>
      <c r="AK126" s="37">
        <f t="shared" si="52"/>
        <v>24298.68</v>
      </c>
      <c r="AL126" s="37">
        <f t="shared" si="53"/>
        <v>49365.36</v>
      </c>
      <c r="AN126" s="60">
        <f t="shared" si="54"/>
        <v>6528039.4100000001</v>
      </c>
      <c r="AO126" s="60">
        <f t="shared" si="55"/>
        <v>6528039.4100000001</v>
      </c>
      <c r="AP126" s="60">
        <f t="shared" si="56"/>
        <v>16485741.42</v>
      </c>
    </row>
    <row r="127" spans="1:42" x14ac:dyDescent="0.2">
      <c r="A127" s="449">
        <v>44621</v>
      </c>
      <c r="B127" s="37">
        <f>+'Query Results'!$P$57</f>
        <v>6175434.1399999997</v>
      </c>
      <c r="C127" s="37">
        <f>+'Query Results'!$P$58</f>
        <v>3759199.4699999997</v>
      </c>
      <c r="D127" s="37">
        <f>+'Query Results'!$P$38+'Query Results'!$P$39</f>
        <v>298659.20000000001</v>
      </c>
      <c r="E127" s="37">
        <f>+'Query Results'!$P$40</f>
        <v>59731.08</v>
      </c>
      <c r="F127" s="37">
        <v>0</v>
      </c>
      <c r="G127" s="37">
        <f>+'Query Results'!$P$41+'Query Results'!$P$42</f>
        <v>5940740.25</v>
      </c>
      <c r="J127" s="37">
        <f>+'Query Results'!$P$61</f>
        <v>24033</v>
      </c>
      <c r="K127" s="37">
        <f>+'Query Results'!$P$62</f>
        <v>49070.590000000004</v>
      </c>
      <c r="L127" s="60">
        <f t="shared" si="44"/>
        <v>16306867.729999999</v>
      </c>
      <c r="M127" s="441"/>
      <c r="N127" s="37">
        <f>+'Query Results'!$P$51</f>
        <v>278795.03999999998</v>
      </c>
      <c r="O127" s="37">
        <f>+'Query Results'!$P$50</f>
        <v>276898.8</v>
      </c>
      <c r="P127" s="441"/>
      <c r="Q127" s="441"/>
      <c r="R127" s="441"/>
      <c r="S127" s="441"/>
      <c r="T127" s="441"/>
      <c r="U127" s="37">
        <f>+'Query Results'!$P$49</f>
        <v>195451.2</v>
      </c>
      <c r="V127" s="441"/>
      <c r="W127" s="441"/>
      <c r="X127" s="60">
        <f t="shared" si="43"/>
        <v>195451.2</v>
      </c>
      <c r="AB127" s="449">
        <v>44621</v>
      </c>
      <c r="AC127" s="37">
        <f t="shared" si="45"/>
        <v>6175434.1399999997</v>
      </c>
      <c r="AD127" s="37">
        <f t="shared" si="46"/>
        <v>3759199.4699999997</v>
      </c>
      <c r="AE127" s="37">
        <f t="shared" si="47"/>
        <v>298659.20000000001</v>
      </c>
      <c r="AF127" s="37">
        <f t="shared" si="48"/>
        <v>59731.08</v>
      </c>
      <c r="AG127" s="37">
        <f t="shared" si="49"/>
        <v>0</v>
      </c>
      <c r="AH127" s="37">
        <f t="shared" si="50"/>
        <v>5940740.25</v>
      </c>
      <c r="AI127" s="60">
        <f t="shared" si="27"/>
        <v>555693.84</v>
      </c>
      <c r="AJ127" s="60">
        <f t="shared" si="51"/>
        <v>195451.2</v>
      </c>
      <c r="AK127" s="37">
        <f t="shared" si="52"/>
        <v>24033</v>
      </c>
      <c r="AL127" s="37">
        <f t="shared" si="53"/>
        <v>49070.590000000004</v>
      </c>
      <c r="AN127" s="60">
        <f t="shared" si="54"/>
        <v>6854824.3700000001</v>
      </c>
      <c r="AO127" s="60">
        <f t="shared" si="55"/>
        <v>6854824.3700000001</v>
      </c>
      <c r="AP127" s="60">
        <f t="shared" si="56"/>
        <v>16862561.57</v>
      </c>
    </row>
    <row r="128" spans="1:42" x14ac:dyDescent="0.2">
      <c r="A128" s="449">
        <v>44652</v>
      </c>
      <c r="B128" s="37">
        <f>+'Query Results'!$Q$57</f>
        <v>5268028.83</v>
      </c>
      <c r="C128" s="37">
        <f>+'Query Results'!$Q$58</f>
        <v>3245181.23</v>
      </c>
      <c r="D128" s="37">
        <f>+'Query Results'!$Q$38+'Query Results'!$Q$39</f>
        <v>249484.48</v>
      </c>
      <c r="E128" s="37">
        <f>+'Query Results'!$Q$40</f>
        <v>62976.84</v>
      </c>
      <c r="F128" s="37">
        <v>0</v>
      </c>
      <c r="G128" s="37">
        <f>+'Query Results'!$Q$41+'Query Results'!$Q$42</f>
        <v>5238879.3699999992</v>
      </c>
      <c r="J128" s="37">
        <f>+'Query Results'!$Q$61</f>
        <v>24220.2</v>
      </c>
      <c r="K128" s="37">
        <f>+'Query Results'!$Q$62</f>
        <v>41472.509999999995</v>
      </c>
      <c r="L128" s="60">
        <f t="shared" si="44"/>
        <v>14130243.459999999</v>
      </c>
      <c r="M128" s="441"/>
      <c r="N128" s="37">
        <f>+'Query Results'!$Q$51</f>
        <v>287539.68</v>
      </c>
      <c r="O128" s="37">
        <f>+'Query Results'!$Q$50</f>
        <v>262881.90000000002</v>
      </c>
      <c r="P128" s="441"/>
      <c r="Q128" s="441"/>
      <c r="R128" s="441"/>
      <c r="S128" s="441"/>
      <c r="T128" s="441"/>
      <c r="U128" s="37">
        <f>+'Query Results'!$Q$49</f>
        <v>186037.6</v>
      </c>
      <c r="V128" s="441"/>
      <c r="W128" s="441"/>
      <c r="X128" s="60">
        <f t="shared" si="43"/>
        <v>186037.6</v>
      </c>
      <c r="AB128" s="449">
        <v>44652</v>
      </c>
      <c r="AC128" s="37">
        <f t="shared" si="45"/>
        <v>5268028.83</v>
      </c>
      <c r="AD128" s="37">
        <f t="shared" si="46"/>
        <v>3245181.23</v>
      </c>
      <c r="AE128" s="37">
        <f t="shared" si="47"/>
        <v>249484.48</v>
      </c>
      <c r="AF128" s="37">
        <f t="shared" si="48"/>
        <v>62976.84</v>
      </c>
      <c r="AG128" s="37">
        <f t="shared" si="49"/>
        <v>0</v>
      </c>
      <c r="AH128" s="37">
        <f t="shared" si="50"/>
        <v>5238879.3699999992</v>
      </c>
      <c r="AI128" s="60">
        <f t="shared" si="27"/>
        <v>550421.58000000007</v>
      </c>
      <c r="AJ128" s="60">
        <f t="shared" si="51"/>
        <v>186037.6</v>
      </c>
      <c r="AK128" s="37">
        <f t="shared" si="52"/>
        <v>24220.2</v>
      </c>
      <c r="AL128" s="37">
        <f t="shared" si="53"/>
        <v>41472.509999999995</v>
      </c>
      <c r="AN128" s="60">
        <f t="shared" si="54"/>
        <v>6101762.2699999996</v>
      </c>
      <c r="AO128" s="60">
        <f t="shared" si="55"/>
        <v>6101762.2699999996</v>
      </c>
      <c r="AP128" s="60">
        <f t="shared" si="56"/>
        <v>14680665.039999999</v>
      </c>
    </row>
    <row r="129" spans="1:42" x14ac:dyDescent="0.2">
      <c r="A129" s="449">
        <v>44682</v>
      </c>
      <c r="B129" s="37">
        <f>+'Query Results'!$R$57</f>
        <v>5721257.8700000001</v>
      </c>
      <c r="C129" s="37">
        <f>+'Query Results'!$R$58</f>
        <v>3391716.03</v>
      </c>
      <c r="D129" s="37">
        <f>+'Query Results'!$R$38+'Query Results'!$R$39</f>
        <v>245998.16</v>
      </c>
      <c r="E129" s="37">
        <f>+'Query Results'!$R$40</f>
        <v>77970.66</v>
      </c>
      <c r="F129" s="37">
        <v>0</v>
      </c>
      <c r="G129" s="37">
        <f>+'Query Results'!$R$41+'Query Results'!$R$42</f>
        <v>5801969.6500000004</v>
      </c>
      <c r="J129" s="37">
        <f>+'Query Results'!$R$61</f>
        <v>24650.7</v>
      </c>
      <c r="K129" s="37">
        <f>+'Query Results'!$R$62</f>
        <v>37760.93</v>
      </c>
      <c r="L129" s="60">
        <f t="shared" si="44"/>
        <v>15301324</v>
      </c>
      <c r="M129" s="441"/>
      <c r="N129" s="37">
        <f>+'Query Results'!$R$51</f>
        <v>304755.84000000003</v>
      </c>
      <c r="O129" s="37">
        <f>+'Query Results'!$R$50</f>
        <v>301019.7</v>
      </c>
      <c r="P129" s="441"/>
      <c r="Q129" s="441"/>
      <c r="R129" s="441"/>
      <c r="S129" s="441"/>
      <c r="T129" s="441"/>
      <c r="U129" s="37">
        <f>+'Query Results'!$R$49</f>
        <v>173056.8</v>
      </c>
      <c r="V129" s="441"/>
      <c r="W129" s="441"/>
      <c r="X129" s="60">
        <f t="shared" si="43"/>
        <v>173056.8</v>
      </c>
      <c r="AB129" s="449">
        <v>44682</v>
      </c>
      <c r="AC129" s="37">
        <f t="shared" si="45"/>
        <v>5721257.8700000001</v>
      </c>
      <c r="AD129" s="37">
        <f t="shared" si="46"/>
        <v>3391716.03</v>
      </c>
      <c r="AE129" s="37">
        <f t="shared" si="47"/>
        <v>245998.16</v>
      </c>
      <c r="AF129" s="37">
        <f t="shared" si="48"/>
        <v>77970.66</v>
      </c>
      <c r="AG129" s="37">
        <f t="shared" si="49"/>
        <v>0</v>
      </c>
      <c r="AH129" s="37">
        <f t="shared" si="50"/>
        <v>5801969.6500000004</v>
      </c>
      <c r="AI129" s="60">
        <f t="shared" si="27"/>
        <v>605775.54</v>
      </c>
      <c r="AJ129" s="60">
        <f t="shared" si="51"/>
        <v>173056.8</v>
      </c>
      <c r="AK129" s="37">
        <f t="shared" si="52"/>
        <v>24650.7</v>
      </c>
      <c r="AL129" s="37">
        <f t="shared" si="53"/>
        <v>37760.93</v>
      </c>
      <c r="AN129" s="60">
        <f t="shared" si="54"/>
        <v>6731714.0100000007</v>
      </c>
      <c r="AO129" s="60">
        <f t="shared" si="55"/>
        <v>6731714.0100000007</v>
      </c>
      <c r="AP129" s="60">
        <f t="shared" si="56"/>
        <v>15907099.539999999</v>
      </c>
    </row>
    <row r="130" spans="1:42" x14ac:dyDescent="0.2">
      <c r="A130" s="449">
        <v>44713</v>
      </c>
      <c r="B130" s="37">
        <f>+'Query Results'!$S$57</f>
        <v>6783394.3500000006</v>
      </c>
      <c r="C130" s="37">
        <f>+'Query Results'!$S$58</f>
        <v>3710954.0500000003</v>
      </c>
      <c r="D130" s="37">
        <f>+'Query Results'!$S$38+'Query Results'!$S$39</f>
        <v>257946.3</v>
      </c>
      <c r="E130" s="37">
        <f>+'Query Results'!$S$40</f>
        <v>81309.42</v>
      </c>
      <c r="F130" s="37">
        <v>0</v>
      </c>
      <c r="G130" s="37">
        <f>+'Query Results'!$S$41+'Query Results'!$S$42</f>
        <v>6322052.4199999999</v>
      </c>
      <c r="J130" s="37">
        <f>+'Query Results'!$S$61</f>
        <v>24990.9</v>
      </c>
      <c r="K130" s="37">
        <f>+'Query Results'!$S$62</f>
        <v>34016.22</v>
      </c>
      <c r="L130" s="60">
        <f t="shared" si="44"/>
        <v>17214663.659999996</v>
      </c>
      <c r="M130" s="441"/>
      <c r="N130" s="37">
        <f>+'Query Results'!$S$51</f>
        <v>303959.76</v>
      </c>
      <c r="O130" s="37">
        <f>+'Query Results'!$S$50</f>
        <v>321153.3</v>
      </c>
      <c r="P130" s="441"/>
      <c r="Q130" s="441"/>
      <c r="R130" s="441"/>
      <c r="S130" s="441"/>
      <c r="T130" s="441"/>
      <c r="U130" s="37">
        <f>+'Query Results'!$S$49</f>
        <v>161610.4</v>
      </c>
      <c r="V130" s="441"/>
      <c r="W130" s="441"/>
      <c r="X130" s="60">
        <f t="shared" si="43"/>
        <v>161610.4</v>
      </c>
      <c r="AB130" s="449">
        <v>44713</v>
      </c>
      <c r="AC130" s="37">
        <f t="shared" si="45"/>
        <v>6783394.3500000006</v>
      </c>
      <c r="AD130" s="37">
        <f t="shared" si="46"/>
        <v>3710954.0500000003</v>
      </c>
      <c r="AE130" s="37">
        <f t="shared" si="47"/>
        <v>257946.3</v>
      </c>
      <c r="AF130" s="37">
        <f t="shared" si="48"/>
        <v>81309.42</v>
      </c>
      <c r="AG130" s="37">
        <f t="shared" si="49"/>
        <v>0</v>
      </c>
      <c r="AH130" s="37">
        <f t="shared" si="50"/>
        <v>6322052.4199999999</v>
      </c>
      <c r="AI130" s="60">
        <f t="shared" si="27"/>
        <v>625113.06000000006</v>
      </c>
      <c r="AJ130" s="60">
        <f t="shared" si="51"/>
        <v>161610.4</v>
      </c>
      <c r="AK130" s="37">
        <f t="shared" si="52"/>
        <v>24990.9</v>
      </c>
      <c r="AL130" s="37">
        <f t="shared" si="53"/>
        <v>34016.22</v>
      </c>
      <c r="AN130" s="60">
        <f t="shared" si="54"/>
        <v>7286421.1999999993</v>
      </c>
      <c r="AO130" s="60">
        <f t="shared" si="55"/>
        <v>7286421.1999999993</v>
      </c>
      <c r="AP130" s="60">
        <f t="shared" si="56"/>
        <v>17839776.719999999</v>
      </c>
    </row>
    <row r="131" spans="1:42" x14ac:dyDescent="0.2">
      <c r="A131" s="449">
        <v>44743</v>
      </c>
      <c r="B131" s="37">
        <f>+'Query Results'!$T$57</f>
        <v>8603845.1899999995</v>
      </c>
      <c r="C131" s="37">
        <f>+'Query Results'!$T$58</f>
        <v>4421359.7</v>
      </c>
      <c r="D131" s="37">
        <f>+'Query Results'!$T$38+'Query Results'!$T$39</f>
        <v>300921.7</v>
      </c>
      <c r="E131" s="37">
        <f>+'Query Results'!$T$40</f>
        <v>85985.46</v>
      </c>
      <c r="F131" s="37">
        <v>0</v>
      </c>
      <c r="G131" s="37">
        <f>+'Query Results'!$T$41+'Query Results'!$T$42</f>
        <v>7399352.8600000003</v>
      </c>
      <c r="J131" s="37">
        <f>+'Query Results'!$T$61</f>
        <v>27354.9</v>
      </c>
      <c r="K131" s="37">
        <f>+'Query Results'!$T$62</f>
        <v>36527.25</v>
      </c>
      <c r="L131" s="60">
        <f t="shared" si="44"/>
        <v>20875347.059999999</v>
      </c>
      <c r="M131" s="441"/>
      <c r="N131" s="37">
        <f>+'Query Results'!$T$51</f>
        <v>321959.03999999998</v>
      </c>
      <c r="O131" s="37">
        <f>+'Query Results'!$T$50</f>
        <v>320354.40000000002</v>
      </c>
      <c r="P131" s="441"/>
      <c r="Q131" s="37">
        <f>+'Query Results'!$T$52</f>
        <v>113101.8</v>
      </c>
      <c r="R131" s="37">
        <f>+'Query Results'!$T$53</f>
        <v>1709.7</v>
      </c>
      <c r="S131" s="37">
        <f>+'Query Results'!$T$54</f>
        <v>0</v>
      </c>
      <c r="T131" s="37">
        <f>+'Query Results'!$T$55</f>
        <v>0</v>
      </c>
      <c r="U131" s="441"/>
      <c r="V131" s="460">
        <v>167742.39999999999</v>
      </c>
      <c r="W131" s="441"/>
      <c r="X131" s="60">
        <f t="shared" si="43"/>
        <v>167742.39999999999</v>
      </c>
      <c r="AB131" s="449">
        <v>44743</v>
      </c>
      <c r="AC131" s="37">
        <f t="shared" si="45"/>
        <v>8603845.1899999995</v>
      </c>
      <c r="AD131" s="37">
        <f t="shared" si="46"/>
        <v>4421359.7</v>
      </c>
      <c r="AE131" s="37">
        <f t="shared" si="47"/>
        <v>300921.7</v>
      </c>
      <c r="AF131" s="37">
        <f t="shared" si="48"/>
        <v>85985.46</v>
      </c>
      <c r="AG131" s="37">
        <f t="shared" si="49"/>
        <v>0</v>
      </c>
      <c r="AH131" s="37">
        <f t="shared" si="50"/>
        <v>7399352.8600000003</v>
      </c>
      <c r="AI131" s="60">
        <f t="shared" si="27"/>
        <v>757124.94</v>
      </c>
      <c r="AJ131" s="60">
        <f t="shared" si="51"/>
        <v>0</v>
      </c>
      <c r="AK131" s="37">
        <f t="shared" si="52"/>
        <v>27354.9</v>
      </c>
      <c r="AL131" s="37">
        <f t="shared" si="53"/>
        <v>36527.25</v>
      </c>
      <c r="AN131" s="564">
        <f t="shared" si="54"/>
        <v>8543384.9600000009</v>
      </c>
      <c r="AO131" s="564">
        <f t="shared" si="55"/>
        <v>8543384.9600000009</v>
      </c>
      <c r="AP131" s="60">
        <f t="shared" si="56"/>
        <v>21632472</v>
      </c>
    </row>
    <row r="132" spans="1:42" x14ac:dyDescent="0.2">
      <c r="A132" s="449">
        <v>44774</v>
      </c>
      <c r="B132" s="37">
        <f>+'Query Results'!$U$57</f>
        <v>8565411.1600000001</v>
      </c>
      <c r="C132" s="37">
        <f>+'Query Results'!$U$58</f>
        <v>4558890.95</v>
      </c>
      <c r="D132" s="37">
        <f>+'Query Results'!$U$38+'Query Results'!$U$39</f>
        <v>305377.96000000002</v>
      </c>
      <c r="E132" s="37">
        <f>+'Query Results'!$U$40</f>
        <v>84056.94</v>
      </c>
      <c r="F132" s="37">
        <v>0</v>
      </c>
      <c r="G132" s="37">
        <f>+'Query Results'!$U$41+'Query Results'!$U$42</f>
        <v>7648367.0099999998</v>
      </c>
      <c r="J132" s="37">
        <f>+'Query Results'!$U$61</f>
        <v>27964.2</v>
      </c>
      <c r="K132" s="37">
        <f>+'Query Results'!$U$62</f>
        <v>41025.020000000004</v>
      </c>
      <c r="L132" s="60">
        <f t="shared" si="44"/>
        <v>21231093.239999998</v>
      </c>
      <c r="M132" s="441"/>
      <c r="N132" s="37">
        <f>+'Query Results'!$U$51</f>
        <v>314704.32</v>
      </c>
      <c r="O132" s="37">
        <f>+'Query Results'!$U$50</f>
        <v>344087.4</v>
      </c>
      <c r="P132" s="441"/>
      <c r="Q132" s="37">
        <f>+'Query Results'!$U$52</f>
        <v>117113.4</v>
      </c>
      <c r="R132" s="37">
        <f>+'Query Results'!$U$53</f>
        <v>1896.76</v>
      </c>
      <c r="S132" s="37">
        <f>+'Query Results'!$U$54</f>
        <v>0</v>
      </c>
      <c r="T132" s="37">
        <f>+'Query Results'!$U$55</f>
        <v>0</v>
      </c>
      <c r="U132" s="441"/>
      <c r="V132" s="460">
        <v>160087.20000000001</v>
      </c>
      <c r="W132" s="441"/>
      <c r="X132" s="60">
        <f t="shared" si="43"/>
        <v>160087.20000000001</v>
      </c>
      <c r="AB132" s="449">
        <v>44774</v>
      </c>
      <c r="AC132" s="37">
        <f t="shared" si="45"/>
        <v>8565411.1600000001</v>
      </c>
      <c r="AD132" s="37">
        <f t="shared" si="46"/>
        <v>4558890.95</v>
      </c>
      <c r="AE132" s="37">
        <f t="shared" si="47"/>
        <v>305377.96000000002</v>
      </c>
      <c r="AF132" s="37">
        <f t="shared" si="48"/>
        <v>84056.94</v>
      </c>
      <c r="AG132" s="37">
        <f t="shared" si="49"/>
        <v>0</v>
      </c>
      <c r="AH132" s="37">
        <f t="shared" si="50"/>
        <v>7648367.0099999998</v>
      </c>
      <c r="AI132" s="60">
        <f t="shared" si="27"/>
        <v>777801.88</v>
      </c>
      <c r="AJ132" s="60">
        <f t="shared" si="51"/>
        <v>0</v>
      </c>
      <c r="AK132" s="37">
        <f t="shared" si="52"/>
        <v>27964.2</v>
      </c>
      <c r="AL132" s="37">
        <f t="shared" si="53"/>
        <v>41025.020000000004</v>
      </c>
      <c r="AN132" s="564">
        <f t="shared" si="54"/>
        <v>8815603.790000001</v>
      </c>
      <c r="AO132" s="564">
        <f t="shared" si="55"/>
        <v>8815603.790000001</v>
      </c>
      <c r="AP132" s="60">
        <f t="shared" si="56"/>
        <v>22008895.119999997</v>
      </c>
    </row>
    <row r="133" spans="1:42" x14ac:dyDescent="0.2">
      <c r="A133" s="449">
        <v>44805</v>
      </c>
      <c r="B133" s="37">
        <f>+'Query Results'!$V$57</f>
        <v>6127698.5099999998</v>
      </c>
      <c r="C133" s="37">
        <f>+'Query Results'!$V$58</f>
        <v>3505352.71</v>
      </c>
      <c r="D133" s="37">
        <f>+'Query Results'!$V$38+'Query Results'!$V$39</f>
        <v>256200.16</v>
      </c>
      <c r="E133" s="37">
        <f>+'Query Results'!$V$40</f>
        <v>78070.14</v>
      </c>
      <c r="F133" s="37">
        <v>0</v>
      </c>
      <c r="G133" s="37">
        <f>+'Query Results'!$V$41+'Query Results'!$V$42</f>
        <v>6434256.790000001</v>
      </c>
      <c r="J133" s="37">
        <f>+'Query Results'!$V$61</f>
        <v>27964.2</v>
      </c>
      <c r="K133" s="37">
        <f>+'Query Results'!$V$62</f>
        <v>45260.630000000005</v>
      </c>
      <c r="L133" s="60">
        <f t="shared" si="44"/>
        <v>16474803.140000001</v>
      </c>
      <c r="M133" s="441"/>
      <c r="N133" s="37">
        <f>+'Query Results'!$V$51</f>
        <v>274956.24</v>
      </c>
      <c r="O133" s="37">
        <f>+'Query Results'!$V$50</f>
        <v>301308.3</v>
      </c>
      <c r="P133" s="441"/>
      <c r="Q133" s="37">
        <f>+'Query Results'!$V$52</f>
        <v>150459.6</v>
      </c>
      <c r="R133" s="37">
        <f>+'Query Results'!$V$53</f>
        <v>1662</v>
      </c>
      <c r="S133" s="37">
        <f>+'Query Results'!$V$54</f>
        <v>0</v>
      </c>
      <c r="T133" s="37">
        <f>+'Query Results'!$V$55</f>
        <v>0</v>
      </c>
      <c r="U133" s="441"/>
      <c r="V133" s="460">
        <v>134444.79999999999</v>
      </c>
      <c r="W133" s="441"/>
      <c r="X133" s="60">
        <f t="shared" si="43"/>
        <v>134444.79999999999</v>
      </c>
      <c r="AB133" s="449">
        <v>44805</v>
      </c>
      <c r="AC133" s="37">
        <f t="shared" si="45"/>
        <v>6127698.5099999998</v>
      </c>
      <c r="AD133" s="37">
        <f t="shared" si="46"/>
        <v>3505352.71</v>
      </c>
      <c r="AE133" s="37">
        <f t="shared" si="47"/>
        <v>256200.16</v>
      </c>
      <c r="AF133" s="37">
        <f t="shared" si="48"/>
        <v>78070.14</v>
      </c>
      <c r="AG133" s="37">
        <f t="shared" si="49"/>
        <v>0</v>
      </c>
      <c r="AH133" s="37">
        <f t="shared" si="50"/>
        <v>6434256.790000001</v>
      </c>
      <c r="AI133" s="60">
        <f t="shared" si="27"/>
        <v>728386.14</v>
      </c>
      <c r="AJ133" s="60">
        <f t="shared" si="51"/>
        <v>0</v>
      </c>
      <c r="AK133" s="37">
        <f t="shared" si="52"/>
        <v>27964.2</v>
      </c>
      <c r="AL133" s="37">
        <f t="shared" si="53"/>
        <v>45260.630000000005</v>
      </c>
      <c r="AN133" s="564">
        <f t="shared" si="54"/>
        <v>7496913.2300000004</v>
      </c>
      <c r="AO133" s="564">
        <f t="shared" si="55"/>
        <v>7496913.2300000004</v>
      </c>
      <c r="AP133" s="60">
        <f t="shared" si="56"/>
        <v>17203189.280000001</v>
      </c>
    </row>
    <row r="134" spans="1:42" x14ac:dyDescent="0.2">
      <c r="A134" s="449">
        <v>44835</v>
      </c>
      <c r="B134" s="37">
        <f>+'Query Results'!$W$57</f>
        <v>5208168.8899999997</v>
      </c>
      <c r="C134" s="37">
        <f>+'Query Results'!$W$58</f>
        <v>3170849.9600000004</v>
      </c>
      <c r="D134" s="37">
        <f>+'Query Results'!$W$38+'Query Results'!$W$39</f>
        <v>241668.6</v>
      </c>
      <c r="E134" s="37">
        <f>+'Query Results'!$W$40</f>
        <v>69461.759999999995</v>
      </c>
      <c r="F134" s="37">
        <v>0</v>
      </c>
      <c r="G134" s="37">
        <f>+'Query Results'!$W$41+'Query Results'!$W$42</f>
        <v>5760252.1199999992</v>
      </c>
      <c r="J134" s="37">
        <f>+'Query Results'!$W$61</f>
        <v>27964.2</v>
      </c>
      <c r="K134" s="37">
        <f>+'Query Results'!$W$62</f>
        <v>52749.52</v>
      </c>
      <c r="L134" s="60">
        <f t="shared" si="44"/>
        <v>14531115.049999997</v>
      </c>
      <c r="M134" s="441"/>
      <c r="N134" s="37">
        <f>+'Query Results'!$W$51</f>
        <v>238535.28</v>
      </c>
      <c r="O134" s="37">
        <f>+'Query Results'!$W$50</f>
        <v>279939.3</v>
      </c>
      <c r="P134" s="441"/>
      <c r="Q134" s="37">
        <f>+'Query Results'!$W$52</f>
        <v>184996.8</v>
      </c>
      <c r="R134" s="37">
        <f>+'Query Results'!$W$53</f>
        <v>1760.44</v>
      </c>
      <c r="S134" s="37">
        <f>+'Query Results'!$W$54</f>
        <v>0</v>
      </c>
      <c r="T134" s="37">
        <f>+'Query Results'!$W$55</f>
        <v>0</v>
      </c>
      <c r="U134" s="441"/>
      <c r="V134" s="460">
        <v>136589.6</v>
      </c>
      <c r="W134" s="441"/>
      <c r="X134" s="60">
        <f t="shared" si="43"/>
        <v>136589.6</v>
      </c>
      <c r="AB134" s="449">
        <v>44835</v>
      </c>
      <c r="AC134" s="37">
        <f t="shared" si="45"/>
        <v>5208168.8899999997</v>
      </c>
      <c r="AD134" s="37">
        <f t="shared" si="46"/>
        <v>3170849.9600000004</v>
      </c>
      <c r="AE134" s="37">
        <f t="shared" si="47"/>
        <v>241668.6</v>
      </c>
      <c r="AF134" s="37">
        <f t="shared" si="48"/>
        <v>69461.759999999995</v>
      </c>
      <c r="AG134" s="37">
        <f t="shared" si="49"/>
        <v>0</v>
      </c>
      <c r="AH134" s="37">
        <f t="shared" si="50"/>
        <v>5760252.1199999992</v>
      </c>
      <c r="AI134" s="60">
        <f t="shared" si="27"/>
        <v>705231.81999999983</v>
      </c>
      <c r="AJ134" s="60">
        <f t="shared" si="51"/>
        <v>0</v>
      </c>
      <c r="AK134" s="37">
        <f t="shared" si="52"/>
        <v>27964.2</v>
      </c>
      <c r="AL134" s="37">
        <f t="shared" si="53"/>
        <v>52749.52</v>
      </c>
      <c r="AN134" s="564">
        <f t="shared" si="54"/>
        <v>6776614.2999999989</v>
      </c>
      <c r="AO134" s="564">
        <f t="shared" si="55"/>
        <v>6776614.2999999989</v>
      </c>
      <c r="AP134" s="60">
        <f t="shared" si="56"/>
        <v>15236346.869999997</v>
      </c>
    </row>
    <row r="135" spans="1:42" x14ac:dyDescent="0.2">
      <c r="A135" s="449">
        <v>44866</v>
      </c>
      <c r="B135" s="37">
        <f>+'Query Results'!$X$57</f>
        <v>5459416.3799999999</v>
      </c>
      <c r="C135" s="37">
        <f>+'Query Results'!$X$58</f>
        <v>3244269.92</v>
      </c>
      <c r="D135" s="37">
        <f>+'Query Results'!$X$38+'Query Results'!$X$39</f>
        <v>260363.65999999997</v>
      </c>
      <c r="E135" s="37">
        <f>+'Query Results'!$X$40</f>
        <v>57788.04</v>
      </c>
      <c r="F135" s="37">
        <v>0</v>
      </c>
      <c r="G135" s="37">
        <f>+'Query Results'!$X$41+'Query Results'!$X$42</f>
        <v>5868652.7000000002</v>
      </c>
      <c r="J135" s="37">
        <f>+'Query Results'!$X$61</f>
        <v>28019.55</v>
      </c>
      <c r="K135" s="37">
        <f>+'Query Results'!$X$62</f>
        <v>56166.42</v>
      </c>
      <c r="L135" s="60">
        <f t="shared" si="44"/>
        <v>14974676.67</v>
      </c>
      <c r="M135" s="441"/>
      <c r="N135" s="37">
        <f>+'Query Results'!$X$51</f>
        <v>158771.51999999999</v>
      </c>
      <c r="O135" s="37">
        <f>+'Query Results'!$X$50</f>
        <v>265860</v>
      </c>
      <c r="P135" s="441"/>
      <c r="Q135" s="37">
        <f>+'Query Results'!$X$52</f>
        <v>227403.6</v>
      </c>
      <c r="R135" s="37">
        <f>+'Query Results'!$X$53</f>
        <v>1882.28</v>
      </c>
      <c r="S135" s="37">
        <f>+'Query Results'!$X$54</f>
        <v>0</v>
      </c>
      <c r="T135" s="37">
        <f>+'Query Results'!$X$55</f>
        <v>0</v>
      </c>
      <c r="U135" s="441"/>
      <c r="V135" s="441"/>
      <c r="W135" s="441"/>
      <c r="X135" s="60"/>
      <c r="AB135" s="449">
        <v>44866</v>
      </c>
      <c r="AC135" s="37">
        <f t="shared" si="45"/>
        <v>5459416.3799999999</v>
      </c>
      <c r="AD135" s="37">
        <f t="shared" si="46"/>
        <v>3244269.92</v>
      </c>
      <c r="AE135" s="37">
        <f t="shared" si="47"/>
        <v>260363.65999999997</v>
      </c>
      <c r="AF135" s="37">
        <f t="shared" si="48"/>
        <v>57788.04</v>
      </c>
      <c r="AG135" s="37">
        <f t="shared" si="49"/>
        <v>0</v>
      </c>
      <c r="AH135" s="37">
        <f t="shared" si="50"/>
        <v>5868652.7000000002</v>
      </c>
      <c r="AI135" s="60">
        <f t="shared" ref="AI135" si="57">+M135+N135+O135+P135+Q135+R135+S135+T135</f>
        <v>653917.4</v>
      </c>
      <c r="AJ135" s="60">
        <f t="shared" si="51"/>
        <v>0</v>
      </c>
      <c r="AK135" s="37">
        <f t="shared" si="52"/>
        <v>28019.55</v>
      </c>
      <c r="AL135" s="37">
        <f t="shared" si="53"/>
        <v>56166.42</v>
      </c>
      <c r="AN135" s="564">
        <f t="shared" si="54"/>
        <v>6840721.8000000007</v>
      </c>
      <c r="AO135" s="564">
        <f t="shared" si="55"/>
        <v>6840721.8000000007</v>
      </c>
      <c r="AP135" s="60">
        <f t="shared" si="56"/>
        <v>15628594.070000002</v>
      </c>
    </row>
    <row r="136" spans="1:42" x14ac:dyDescent="0.2">
      <c r="A136" s="449">
        <v>44896</v>
      </c>
      <c r="B136" s="37">
        <f>+'Query Results'!$Y$57</f>
        <v>6691915.5700000003</v>
      </c>
      <c r="C136" s="37">
        <f>+'Query Results'!$Y$58</f>
        <v>3766568.8</v>
      </c>
      <c r="D136" s="37">
        <f>+'Query Results'!$Y$38+'Query Results'!$Y$39</f>
        <v>300898.44</v>
      </c>
      <c r="E136" s="37">
        <f>+'Query Results'!$Y$40</f>
        <v>51504.959999999999</v>
      </c>
      <c r="F136" s="37">
        <v>0</v>
      </c>
      <c r="G136" s="37">
        <f>+'Query Results'!$Y$41+'Query Results'!$Y$42</f>
        <v>6173697.6500000004</v>
      </c>
      <c r="J136" s="37">
        <f>+'Query Results'!$Y$61</f>
        <v>28151.4</v>
      </c>
      <c r="K136" s="37">
        <f>+'Query Results'!$Y$62</f>
        <v>60729.52</v>
      </c>
      <c r="L136" s="60">
        <f t="shared" si="44"/>
        <v>17073466.34</v>
      </c>
      <c r="M136" s="441"/>
      <c r="N136" s="37">
        <f>+'Query Results'!$Y$51</f>
        <v>228994.32</v>
      </c>
      <c r="O136" s="37">
        <f>+'Query Results'!$Y$50</f>
        <v>251700.9</v>
      </c>
      <c r="P136" s="441"/>
      <c r="Q136" s="37">
        <f>+'Query Results'!$Y$52</f>
        <v>296918.40000000002</v>
      </c>
      <c r="R136" s="37">
        <f>+'Query Results'!$Y$53</f>
        <v>2080.8000000000002</v>
      </c>
      <c r="S136" s="37">
        <f>+'Query Results'!$Y$54</f>
        <v>0</v>
      </c>
      <c r="T136" s="37">
        <f>+'Query Results'!$Y$55</f>
        <v>0</v>
      </c>
      <c r="U136" s="441"/>
      <c r="V136" s="441"/>
      <c r="W136" s="441"/>
      <c r="X136" s="60"/>
      <c r="AB136" s="449">
        <v>44896</v>
      </c>
      <c r="AC136" s="37">
        <f t="shared" si="45"/>
        <v>6691915.5700000003</v>
      </c>
      <c r="AD136" s="37">
        <f t="shared" si="46"/>
        <v>3766568.8</v>
      </c>
      <c r="AE136" s="37">
        <f t="shared" si="47"/>
        <v>300898.44</v>
      </c>
      <c r="AF136" s="37">
        <f t="shared" si="48"/>
        <v>51504.959999999999</v>
      </c>
      <c r="AG136" s="37">
        <f t="shared" si="49"/>
        <v>0</v>
      </c>
      <c r="AH136" s="37">
        <f t="shared" si="50"/>
        <v>6173697.6500000004</v>
      </c>
      <c r="AI136" s="60">
        <f>+M136+N136+O136+P136+Q136+R136+S136+T136</f>
        <v>779694.42</v>
      </c>
      <c r="AJ136" s="60">
        <f t="shared" si="51"/>
        <v>0</v>
      </c>
      <c r="AK136" s="37">
        <f t="shared" si="52"/>
        <v>28151.4</v>
      </c>
      <c r="AL136" s="37">
        <f t="shared" si="53"/>
        <v>60729.52</v>
      </c>
      <c r="AN136" s="564">
        <f t="shared" si="54"/>
        <v>7305795.4700000007</v>
      </c>
      <c r="AO136" s="564">
        <f t="shared" si="55"/>
        <v>7305795.4700000007</v>
      </c>
      <c r="AP136" s="60">
        <f t="shared" si="56"/>
        <v>17853160.760000002</v>
      </c>
    </row>
    <row r="137" spans="1:42" x14ac:dyDescent="0.2">
      <c r="A137" s="449">
        <v>44927</v>
      </c>
      <c r="B137" s="37"/>
      <c r="C137" s="37"/>
      <c r="D137" s="37"/>
      <c r="E137" s="37"/>
      <c r="F137" s="37"/>
      <c r="G137" s="37"/>
      <c r="J137" s="37"/>
      <c r="K137" s="37"/>
      <c r="L137" s="37"/>
      <c r="M137" s="441"/>
      <c r="N137" s="460"/>
      <c r="O137" s="37"/>
      <c r="P137" s="441"/>
      <c r="Q137" s="460"/>
      <c r="R137" s="460"/>
      <c r="S137" s="460"/>
      <c r="T137" s="460"/>
      <c r="U137" s="441"/>
      <c r="V137" s="441"/>
      <c r="W137" s="441"/>
      <c r="X137" s="60"/>
      <c r="AB137" s="449"/>
      <c r="AC137" s="37"/>
      <c r="AD137" s="37"/>
      <c r="AE137" s="37"/>
      <c r="AF137" s="37"/>
      <c r="AG137" s="37"/>
      <c r="AH137" s="37"/>
      <c r="AI137" s="60"/>
      <c r="AJ137" s="60"/>
      <c r="AK137" s="37"/>
      <c r="AL137" s="37"/>
      <c r="AN137" s="60"/>
      <c r="AO137" s="60"/>
      <c r="AP137" s="60"/>
    </row>
    <row r="138" spans="1:42" x14ac:dyDescent="0.2">
      <c r="A138" s="449">
        <v>44958</v>
      </c>
      <c r="B138" s="37"/>
      <c r="C138" s="37"/>
      <c r="D138" s="37"/>
      <c r="E138" s="37"/>
      <c r="F138" s="37"/>
      <c r="G138" s="37"/>
      <c r="J138" s="37"/>
      <c r="K138" s="37"/>
      <c r="L138" s="37"/>
      <c r="M138" s="441"/>
      <c r="N138" s="460"/>
      <c r="O138" s="37"/>
      <c r="P138" s="441"/>
      <c r="Q138" s="460"/>
      <c r="R138" s="460"/>
      <c r="S138" s="460"/>
      <c r="T138" s="460"/>
      <c r="U138" s="441"/>
      <c r="V138" s="441"/>
      <c r="W138" s="441"/>
      <c r="X138" s="60"/>
      <c r="AB138" s="449"/>
      <c r="AC138" s="37"/>
      <c r="AD138" s="37"/>
      <c r="AE138" s="37"/>
      <c r="AF138" s="37"/>
      <c r="AG138" s="37"/>
      <c r="AH138" s="37"/>
      <c r="AI138" s="60"/>
      <c r="AJ138" s="60"/>
      <c r="AK138" s="37"/>
      <c r="AL138" s="37"/>
      <c r="AN138" s="60"/>
      <c r="AO138" s="60"/>
      <c r="AP138" s="60"/>
    </row>
    <row r="139" spans="1:42" x14ac:dyDescent="0.2">
      <c r="A139" s="449">
        <v>44986</v>
      </c>
      <c r="B139" s="37"/>
      <c r="C139" s="37"/>
      <c r="D139" s="37"/>
      <c r="E139" s="37"/>
      <c r="F139" s="37"/>
      <c r="G139" s="37"/>
      <c r="J139" s="37"/>
      <c r="K139" s="37"/>
      <c r="L139" s="37"/>
      <c r="M139" s="441"/>
      <c r="N139" s="460"/>
      <c r="O139" s="37"/>
      <c r="P139" s="441"/>
      <c r="Q139" s="460"/>
      <c r="R139" s="460"/>
      <c r="S139" s="460"/>
      <c r="T139" s="460"/>
      <c r="U139" s="441"/>
      <c r="V139" s="441"/>
      <c r="W139" s="441"/>
      <c r="X139" s="60"/>
      <c r="AB139" s="449"/>
      <c r="AC139" s="37"/>
      <c r="AD139" s="37"/>
      <c r="AE139" s="37"/>
      <c r="AF139" s="37"/>
      <c r="AG139" s="37"/>
      <c r="AH139" s="37"/>
      <c r="AI139" s="60"/>
      <c r="AJ139" s="60"/>
      <c r="AK139" s="37"/>
      <c r="AL139" s="37"/>
      <c r="AN139" s="60"/>
      <c r="AO139" s="60"/>
      <c r="AP139" s="60"/>
    </row>
    <row r="140" spans="1:42" x14ac:dyDescent="0.2">
      <c r="A140" s="449">
        <v>45017</v>
      </c>
      <c r="B140" s="37"/>
      <c r="C140" s="37"/>
      <c r="D140" s="37"/>
      <c r="E140" s="37"/>
      <c r="F140" s="37"/>
      <c r="G140" s="37"/>
      <c r="J140" s="37"/>
      <c r="K140" s="37"/>
      <c r="L140" s="37"/>
      <c r="M140" s="441"/>
      <c r="N140" s="460"/>
      <c r="O140" s="37"/>
      <c r="P140" s="441"/>
      <c r="Q140" s="460"/>
      <c r="R140" s="460"/>
      <c r="S140" s="460"/>
      <c r="T140" s="460"/>
      <c r="U140" s="441"/>
      <c r="V140" s="441"/>
      <c r="W140" s="441"/>
      <c r="X140" s="60"/>
      <c r="AB140" s="449"/>
      <c r="AC140" s="37"/>
      <c r="AD140" s="37"/>
      <c r="AE140" s="37"/>
      <c r="AF140" s="37"/>
      <c r="AG140" s="37"/>
      <c r="AH140" s="37"/>
      <c r="AI140" s="60"/>
      <c r="AJ140" s="60"/>
      <c r="AK140" s="37"/>
      <c r="AL140" s="37"/>
      <c r="AN140" s="60"/>
      <c r="AO140" s="60"/>
      <c r="AP140" s="60"/>
    </row>
    <row r="141" spans="1:42" x14ac:dyDescent="0.2">
      <c r="A141" s="449">
        <v>45047</v>
      </c>
      <c r="B141" s="37"/>
      <c r="C141" s="37"/>
      <c r="D141" s="37"/>
      <c r="E141" s="37"/>
      <c r="F141" s="37"/>
      <c r="G141" s="37"/>
      <c r="J141" s="37"/>
      <c r="K141" s="37"/>
      <c r="L141" s="37"/>
      <c r="M141" s="441"/>
      <c r="N141" s="460"/>
      <c r="O141" s="37"/>
      <c r="P141" s="441"/>
      <c r="Q141" s="460"/>
      <c r="R141" s="460"/>
      <c r="S141" s="460"/>
      <c r="T141" s="460"/>
      <c r="U141" s="441"/>
      <c r="V141" s="441"/>
      <c r="W141" s="441"/>
      <c r="X141" s="60"/>
      <c r="AB141" s="449"/>
      <c r="AC141" s="37"/>
      <c r="AD141" s="37"/>
      <c r="AE141" s="37"/>
      <c r="AF141" s="37"/>
      <c r="AG141" s="37"/>
      <c r="AH141" s="37"/>
      <c r="AI141" s="60"/>
      <c r="AJ141" s="60"/>
      <c r="AK141" s="37"/>
      <c r="AL141" s="37"/>
      <c r="AN141" s="60"/>
      <c r="AO141" s="60"/>
      <c r="AP141" s="60"/>
    </row>
    <row r="142" spans="1:42" x14ac:dyDescent="0.2">
      <c r="A142" s="449">
        <v>45078</v>
      </c>
      <c r="B142" s="37"/>
      <c r="C142" s="37"/>
      <c r="D142" s="37"/>
      <c r="E142" s="37"/>
      <c r="F142" s="37"/>
      <c r="G142" s="37"/>
      <c r="J142" s="37"/>
      <c r="K142" s="37"/>
      <c r="L142" s="37"/>
      <c r="M142" s="441"/>
      <c r="N142" s="460"/>
      <c r="O142" s="37"/>
      <c r="P142" s="441"/>
      <c r="Q142" s="460"/>
      <c r="R142" s="460"/>
      <c r="S142" s="460"/>
      <c r="T142" s="460"/>
      <c r="U142" s="441"/>
      <c r="V142" s="441"/>
      <c r="W142" s="441"/>
      <c r="X142" s="60"/>
      <c r="AB142" s="449"/>
      <c r="AC142" s="37"/>
      <c r="AD142" s="37"/>
      <c r="AE142" s="37"/>
      <c r="AF142" s="37"/>
      <c r="AG142" s="37"/>
      <c r="AH142" s="37"/>
      <c r="AI142" s="60"/>
      <c r="AJ142" s="60"/>
      <c r="AK142" s="37"/>
      <c r="AL142" s="37"/>
      <c r="AN142" s="60"/>
      <c r="AO142" s="60"/>
      <c r="AP142" s="60"/>
    </row>
    <row r="143" spans="1:42" x14ac:dyDescent="0.2">
      <c r="A143" s="449">
        <v>45108</v>
      </c>
      <c r="B143" s="37"/>
      <c r="C143" s="37"/>
      <c r="D143" s="37"/>
      <c r="E143" s="37"/>
      <c r="F143" s="37"/>
      <c r="G143" s="37"/>
      <c r="J143" s="37"/>
      <c r="K143" s="37"/>
      <c r="L143" s="37"/>
      <c r="M143" s="441"/>
      <c r="N143" s="460"/>
      <c r="O143" s="37"/>
      <c r="P143" s="441"/>
      <c r="Q143" s="460"/>
      <c r="R143" s="460"/>
      <c r="S143" s="460"/>
      <c r="T143" s="460"/>
      <c r="U143" s="441"/>
      <c r="V143" s="441"/>
      <c r="W143" s="441"/>
      <c r="X143" s="60"/>
      <c r="AB143" s="449"/>
      <c r="AC143" s="37"/>
      <c r="AD143" s="37"/>
      <c r="AE143" s="37"/>
      <c r="AF143" s="37"/>
      <c r="AG143" s="37"/>
      <c r="AH143" s="37"/>
      <c r="AI143" s="60"/>
      <c r="AJ143" s="60"/>
      <c r="AK143" s="37"/>
      <c r="AL143" s="37"/>
      <c r="AN143" s="60"/>
      <c r="AO143" s="60"/>
      <c r="AP143" s="60"/>
    </row>
    <row r="144" spans="1:42" x14ac:dyDescent="0.2">
      <c r="A144" s="449">
        <v>45139</v>
      </c>
      <c r="B144" s="37"/>
      <c r="C144" s="37"/>
      <c r="D144" s="37"/>
      <c r="E144" s="37"/>
      <c r="F144" s="37"/>
      <c r="G144" s="37"/>
      <c r="J144" s="37"/>
      <c r="K144" s="37"/>
      <c r="L144" s="37"/>
      <c r="M144" s="441"/>
      <c r="N144" s="460"/>
      <c r="O144" s="37"/>
      <c r="P144" s="441"/>
      <c r="Q144" s="460"/>
      <c r="R144" s="460"/>
      <c r="S144" s="460"/>
      <c r="T144" s="460"/>
      <c r="U144" s="441"/>
      <c r="V144" s="441"/>
      <c r="W144" s="441"/>
      <c r="X144" s="60"/>
      <c r="AB144" s="449"/>
      <c r="AC144" s="37"/>
      <c r="AD144" s="37"/>
      <c r="AE144" s="37"/>
      <c r="AF144" s="37"/>
      <c r="AG144" s="37"/>
      <c r="AH144" s="37"/>
      <c r="AI144" s="60"/>
      <c r="AJ144" s="60"/>
      <c r="AK144" s="37"/>
      <c r="AL144" s="37"/>
      <c r="AN144" s="60"/>
      <c r="AO144" s="60"/>
      <c r="AP144" s="60"/>
    </row>
    <row r="145" spans="1:42" x14ac:dyDescent="0.2">
      <c r="A145" s="449">
        <v>45170</v>
      </c>
      <c r="B145" s="37"/>
      <c r="C145" s="37"/>
      <c r="D145" s="37"/>
      <c r="E145" s="37"/>
      <c r="F145" s="37"/>
      <c r="G145" s="37"/>
      <c r="J145" s="37"/>
      <c r="K145" s="37"/>
      <c r="L145" s="37"/>
      <c r="M145" s="441"/>
      <c r="N145" s="460"/>
      <c r="O145" s="37"/>
      <c r="P145" s="441"/>
      <c r="Q145" s="460"/>
      <c r="R145" s="460"/>
      <c r="S145" s="460"/>
      <c r="T145" s="460"/>
      <c r="U145" s="441"/>
      <c r="V145" s="441"/>
      <c r="W145" s="441"/>
      <c r="X145" s="60"/>
      <c r="AB145" s="449"/>
      <c r="AC145" s="37"/>
      <c r="AD145" s="37"/>
      <c r="AE145" s="37"/>
      <c r="AF145" s="37"/>
      <c r="AG145" s="37"/>
      <c r="AH145" s="37"/>
      <c r="AI145" s="60"/>
      <c r="AJ145" s="60"/>
      <c r="AK145" s="37"/>
      <c r="AL145" s="37"/>
      <c r="AN145" s="60"/>
      <c r="AO145" s="60"/>
      <c r="AP145" s="60"/>
    </row>
    <row r="146" spans="1:42" x14ac:dyDescent="0.2">
      <c r="A146" s="449">
        <v>45200</v>
      </c>
      <c r="B146" s="37"/>
      <c r="C146" s="37"/>
      <c r="D146" s="37"/>
      <c r="E146" s="37"/>
      <c r="F146" s="37"/>
      <c r="G146" s="37"/>
      <c r="J146" s="37"/>
      <c r="K146" s="37"/>
      <c r="L146" s="37"/>
      <c r="M146" s="441"/>
      <c r="N146" s="460"/>
      <c r="O146" s="37"/>
      <c r="P146" s="441"/>
      <c r="Q146" s="460"/>
      <c r="R146" s="460"/>
      <c r="S146" s="460"/>
      <c r="T146" s="460"/>
      <c r="U146" s="441"/>
      <c r="V146" s="441"/>
      <c r="W146" s="441"/>
      <c r="X146" s="60"/>
      <c r="AB146" s="449"/>
      <c r="AC146" s="37"/>
      <c r="AD146" s="37"/>
      <c r="AE146" s="37"/>
      <c r="AF146" s="37"/>
      <c r="AG146" s="37"/>
      <c r="AH146" s="37"/>
      <c r="AI146" s="60"/>
      <c r="AJ146" s="60"/>
      <c r="AK146" s="37"/>
      <c r="AL146" s="37"/>
      <c r="AN146" s="60"/>
      <c r="AO146" s="60"/>
      <c r="AP146" s="60"/>
    </row>
    <row r="147" spans="1:42" x14ac:dyDescent="0.2">
      <c r="A147" s="449">
        <v>45231</v>
      </c>
      <c r="B147" s="37"/>
      <c r="C147" s="37"/>
      <c r="D147" s="37"/>
      <c r="E147" s="37"/>
      <c r="F147" s="37"/>
      <c r="G147" s="37"/>
      <c r="J147" s="37"/>
      <c r="K147" s="37"/>
      <c r="L147" s="37"/>
      <c r="M147" s="441"/>
      <c r="N147" s="460"/>
      <c r="O147" s="37"/>
      <c r="P147" s="441"/>
      <c r="Q147" s="460"/>
      <c r="R147" s="460"/>
      <c r="S147" s="460"/>
      <c r="T147" s="460"/>
      <c r="U147" s="441"/>
      <c r="V147" s="441"/>
      <c r="W147" s="441"/>
      <c r="X147" s="60"/>
      <c r="AB147" s="449"/>
      <c r="AC147" s="37"/>
      <c r="AD147" s="37"/>
      <c r="AE147" s="37"/>
      <c r="AF147" s="37"/>
      <c r="AG147" s="37"/>
      <c r="AH147" s="37"/>
      <c r="AI147" s="60"/>
      <c r="AJ147" s="60"/>
      <c r="AK147" s="37"/>
      <c r="AL147" s="37"/>
      <c r="AN147" s="60"/>
      <c r="AO147" s="60"/>
      <c r="AP147" s="60"/>
    </row>
    <row r="148" spans="1:42" x14ac:dyDescent="0.2">
      <c r="A148" s="449">
        <v>45261</v>
      </c>
      <c r="B148" s="37"/>
      <c r="C148" s="37"/>
      <c r="D148" s="37"/>
      <c r="E148" s="37"/>
      <c r="F148" s="37"/>
      <c r="G148" s="37"/>
      <c r="J148" s="37"/>
      <c r="K148" s="37"/>
      <c r="L148" s="37"/>
      <c r="M148" s="441"/>
      <c r="N148" s="460"/>
      <c r="O148" s="37"/>
      <c r="P148" s="441"/>
      <c r="Q148" s="460"/>
      <c r="R148" s="460"/>
      <c r="S148" s="460"/>
      <c r="T148" s="460"/>
      <c r="U148" s="441"/>
      <c r="V148" s="441"/>
      <c r="W148" s="441"/>
      <c r="X148" s="60"/>
      <c r="AB148" s="449"/>
      <c r="AC148" s="37"/>
      <c r="AD148" s="37"/>
      <c r="AE148" s="37"/>
      <c r="AF148" s="37"/>
      <c r="AG148" s="37"/>
      <c r="AH148" s="37"/>
      <c r="AI148" s="60"/>
      <c r="AJ148" s="60"/>
      <c r="AK148" s="37"/>
      <c r="AL148" s="37"/>
      <c r="AN148" s="60"/>
      <c r="AO148" s="60"/>
      <c r="AP148" s="60"/>
    </row>
    <row r="149" spans="1:42" x14ac:dyDescent="0.2">
      <c r="A149" s="449">
        <v>45292</v>
      </c>
      <c r="B149" s="37"/>
      <c r="C149" s="37"/>
      <c r="D149" s="37"/>
      <c r="E149" s="37"/>
      <c r="F149" s="37"/>
      <c r="G149" s="37"/>
      <c r="J149" s="37"/>
      <c r="K149" s="37"/>
      <c r="L149" s="37"/>
      <c r="M149" s="441"/>
      <c r="N149" s="460"/>
      <c r="O149" s="37"/>
      <c r="P149" s="441"/>
      <c r="Q149" s="460"/>
      <c r="R149" s="460"/>
      <c r="S149" s="460"/>
      <c r="T149" s="460"/>
      <c r="U149" s="441"/>
      <c r="V149" s="441"/>
      <c r="W149" s="441"/>
      <c r="X149" s="60"/>
      <c r="AB149" s="449"/>
      <c r="AC149" s="37"/>
      <c r="AD149" s="37"/>
      <c r="AE149" s="37"/>
      <c r="AF149" s="37"/>
      <c r="AG149" s="37"/>
      <c r="AH149" s="37"/>
      <c r="AI149" s="60"/>
      <c r="AJ149" s="60"/>
      <c r="AK149" s="37"/>
      <c r="AL149" s="37"/>
      <c r="AN149" s="60"/>
      <c r="AO149" s="60"/>
      <c r="AP149" s="60"/>
    </row>
    <row r="150" spans="1:42" x14ac:dyDescent="0.2">
      <c r="A150" s="449">
        <v>45323</v>
      </c>
      <c r="B150" s="37"/>
      <c r="C150" s="37"/>
      <c r="D150" s="37"/>
      <c r="E150" s="37"/>
      <c r="F150" s="37"/>
      <c r="G150" s="37"/>
      <c r="J150" s="37"/>
      <c r="K150" s="37"/>
      <c r="L150" s="37"/>
      <c r="M150" s="441"/>
      <c r="N150" s="460"/>
      <c r="O150" s="37"/>
      <c r="P150" s="441"/>
      <c r="Q150" s="460"/>
      <c r="R150" s="460"/>
      <c r="S150" s="460"/>
      <c r="T150" s="460"/>
      <c r="U150" s="441"/>
      <c r="V150" s="441"/>
      <c r="W150" s="441"/>
      <c r="X150" s="60"/>
      <c r="AB150" s="449"/>
      <c r="AC150" s="37"/>
      <c r="AD150" s="37"/>
      <c r="AE150" s="37"/>
      <c r="AF150" s="37"/>
      <c r="AG150" s="37"/>
      <c r="AH150" s="37"/>
      <c r="AI150" s="60"/>
      <c r="AJ150" s="60"/>
      <c r="AK150" s="37"/>
      <c r="AL150" s="37"/>
      <c r="AN150" s="60"/>
      <c r="AO150" s="60"/>
      <c r="AP150" s="60"/>
    </row>
    <row r="151" spans="1:42" x14ac:dyDescent="0.2">
      <c r="A151" s="449">
        <v>45352</v>
      </c>
      <c r="B151" s="37"/>
      <c r="C151" s="37"/>
      <c r="D151" s="37"/>
      <c r="E151" s="37"/>
      <c r="F151" s="37"/>
      <c r="G151" s="37"/>
      <c r="J151" s="37"/>
      <c r="K151" s="37"/>
      <c r="L151" s="37"/>
      <c r="M151" s="441"/>
      <c r="N151" s="460"/>
      <c r="O151" s="37"/>
      <c r="P151" s="441"/>
      <c r="Q151" s="460"/>
      <c r="R151" s="460"/>
      <c r="S151" s="460"/>
      <c r="T151" s="460"/>
      <c r="U151" s="441"/>
      <c r="V151" s="441"/>
      <c r="W151" s="441"/>
      <c r="X151" s="60"/>
      <c r="AB151" s="449"/>
      <c r="AC151" s="37"/>
      <c r="AD151" s="37"/>
      <c r="AE151" s="37"/>
      <c r="AF151" s="37"/>
      <c r="AG151" s="37"/>
      <c r="AH151" s="37"/>
      <c r="AI151" s="60"/>
      <c r="AJ151" s="60"/>
      <c r="AK151" s="37"/>
      <c r="AL151" s="37"/>
      <c r="AN151" s="60"/>
      <c r="AO151" s="60"/>
      <c r="AP151" s="60"/>
    </row>
    <row r="152" spans="1:42" x14ac:dyDescent="0.2">
      <c r="A152" s="449">
        <v>45383</v>
      </c>
      <c r="B152" s="37"/>
      <c r="C152" s="37"/>
      <c r="D152" s="37"/>
      <c r="E152" s="37"/>
      <c r="F152" s="37"/>
      <c r="G152" s="37"/>
      <c r="J152" s="37"/>
      <c r="K152" s="37"/>
      <c r="L152" s="37"/>
      <c r="M152" s="441"/>
      <c r="N152" s="460"/>
      <c r="O152" s="37"/>
      <c r="P152" s="441"/>
      <c r="Q152" s="460"/>
      <c r="R152" s="460"/>
      <c r="S152" s="460"/>
      <c r="T152" s="460"/>
      <c r="U152" s="441"/>
      <c r="V152" s="441"/>
      <c r="W152" s="441"/>
      <c r="X152" s="60"/>
      <c r="AB152" s="449"/>
      <c r="AC152" s="37"/>
      <c r="AD152" s="37"/>
      <c r="AE152" s="37"/>
      <c r="AF152" s="37"/>
      <c r="AG152" s="37"/>
      <c r="AH152" s="37"/>
      <c r="AI152" s="60"/>
      <c r="AJ152" s="60"/>
      <c r="AK152" s="37"/>
      <c r="AL152" s="37"/>
      <c r="AN152" s="60"/>
      <c r="AO152" s="60"/>
      <c r="AP152" s="60"/>
    </row>
    <row r="153" spans="1:42" x14ac:dyDescent="0.2">
      <c r="A153" s="449">
        <v>45413</v>
      </c>
      <c r="B153" s="37"/>
      <c r="C153" s="37"/>
      <c r="D153" s="37"/>
      <c r="E153" s="37"/>
      <c r="F153" s="37"/>
      <c r="G153" s="37"/>
      <c r="J153" s="37"/>
      <c r="K153" s="37"/>
      <c r="L153" s="37"/>
      <c r="M153" s="441"/>
      <c r="N153" s="460"/>
      <c r="O153" s="37"/>
      <c r="P153" s="441"/>
      <c r="Q153" s="460"/>
      <c r="R153" s="460"/>
      <c r="S153" s="460"/>
      <c r="T153" s="460"/>
      <c r="U153" s="441"/>
      <c r="V153" s="441"/>
      <c r="W153" s="441"/>
      <c r="X153" s="60"/>
      <c r="AB153" s="449"/>
      <c r="AC153" s="37"/>
      <c r="AD153" s="37"/>
      <c r="AE153" s="37"/>
      <c r="AF153" s="37"/>
      <c r="AG153" s="37"/>
      <c r="AH153" s="37"/>
      <c r="AI153" s="60"/>
      <c r="AJ153" s="60"/>
      <c r="AK153" s="37"/>
      <c r="AL153" s="37"/>
      <c r="AN153" s="60"/>
      <c r="AO153" s="60"/>
      <c r="AP153" s="60"/>
    </row>
    <row r="154" spans="1:42" x14ac:dyDescent="0.2">
      <c r="A154" s="449">
        <v>45444</v>
      </c>
      <c r="B154" s="37"/>
      <c r="C154" s="37"/>
      <c r="D154" s="37"/>
      <c r="E154" s="37"/>
      <c r="F154" s="37"/>
      <c r="G154" s="37"/>
      <c r="J154" s="37"/>
      <c r="K154" s="37"/>
      <c r="L154" s="37"/>
      <c r="M154" s="441"/>
      <c r="N154" s="460"/>
      <c r="O154" s="37"/>
      <c r="P154" s="441"/>
      <c r="Q154" s="460"/>
      <c r="R154" s="460"/>
      <c r="S154" s="460"/>
      <c r="T154" s="460"/>
      <c r="U154" s="441"/>
      <c r="V154" s="441"/>
      <c r="W154" s="441"/>
      <c r="X154" s="60"/>
      <c r="AB154" s="449"/>
      <c r="AC154" s="37"/>
      <c r="AD154" s="37"/>
      <c r="AE154" s="37"/>
      <c r="AF154" s="37"/>
      <c r="AG154" s="37"/>
      <c r="AH154" s="37"/>
      <c r="AI154" s="60"/>
      <c r="AJ154" s="60"/>
      <c r="AK154" s="37"/>
      <c r="AL154" s="37"/>
      <c r="AN154" s="60"/>
      <c r="AO154" s="60"/>
      <c r="AP154" s="60"/>
    </row>
    <row r="155" spans="1:42" x14ac:dyDescent="0.2">
      <c r="A155" s="449">
        <v>45474</v>
      </c>
      <c r="B155" s="37"/>
      <c r="C155" s="37"/>
      <c r="D155" s="37"/>
      <c r="E155" s="37"/>
      <c r="F155" s="37"/>
      <c r="G155" s="37"/>
      <c r="J155" s="37"/>
      <c r="K155" s="37"/>
      <c r="L155" s="37"/>
      <c r="M155" s="441"/>
      <c r="N155" s="460"/>
      <c r="O155" s="37"/>
      <c r="P155" s="441"/>
      <c r="Q155" s="460"/>
      <c r="R155" s="460"/>
      <c r="S155" s="460"/>
      <c r="T155" s="460"/>
      <c r="U155" s="441"/>
      <c r="V155" s="441"/>
      <c r="W155" s="441"/>
      <c r="X155" s="60"/>
      <c r="AB155" s="449"/>
      <c r="AC155" s="37"/>
      <c r="AD155" s="37"/>
      <c r="AE155" s="37"/>
      <c r="AF155" s="37"/>
      <c r="AG155" s="37"/>
      <c r="AH155" s="37"/>
      <c r="AI155" s="60"/>
      <c r="AJ155" s="60"/>
      <c r="AK155" s="37"/>
      <c r="AL155" s="37"/>
      <c r="AN155" s="60"/>
      <c r="AO155" s="60"/>
      <c r="AP155" s="60"/>
    </row>
    <row r="156" spans="1:42" x14ac:dyDescent="0.2">
      <c r="A156" s="449">
        <v>45505</v>
      </c>
      <c r="B156" s="37"/>
      <c r="C156" s="37"/>
      <c r="D156" s="37"/>
      <c r="E156" s="37"/>
      <c r="F156" s="37"/>
      <c r="G156" s="37"/>
      <c r="J156" s="37"/>
      <c r="K156" s="37"/>
      <c r="L156" s="37"/>
      <c r="M156" s="441"/>
      <c r="N156" s="460"/>
      <c r="O156" s="37"/>
      <c r="P156" s="441"/>
      <c r="Q156" s="460"/>
      <c r="R156" s="460"/>
      <c r="S156" s="460"/>
      <c r="T156" s="460"/>
      <c r="U156" s="441"/>
      <c r="V156" s="441"/>
      <c r="W156" s="441"/>
      <c r="X156" s="60"/>
      <c r="AB156" s="449"/>
      <c r="AC156" s="37"/>
      <c r="AD156" s="37"/>
      <c r="AE156" s="37"/>
      <c r="AF156" s="37"/>
      <c r="AG156" s="37"/>
      <c r="AH156" s="37"/>
      <c r="AI156" s="60"/>
      <c r="AJ156" s="60"/>
      <c r="AK156" s="37"/>
      <c r="AL156" s="37"/>
      <c r="AN156" s="60"/>
      <c r="AO156" s="60"/>
      <c r="AP156" s="60"/>
    </row>
    <row r="157" spans="1:42" x14ac:dyDescent="0.2">
      <c r="A157" s="449">
        <v>45536</v>
      </c>
      <c r="B157" s="37"/>
      <c r="C157" s="37"/>
      <c r="D157" s="37"/>
      <c r="E157" s="37"/>
      <c r="F157" s="37"/>
      <c r="G157" s="37"/>
      <c r="J157" s="37"/>
      <c r="K157" s="37"/>
      <c r="L157" s="37"/>
      <c r="M157" s="441"/>
      <c r="N157" s="460"/>
      <c r="O157" s="37"/>
      <c r="P157" s="441"/>
      <c r="Q157" s="460"/>
      <c r="R157" s="460"/>
      <c r="S157" s="460"/>
      <c r="T157" s="460"/>
      <c r="U157" s="441"/>
      <c r="V157" s="441"/>
      <c r="W157" s="441"/>
      <c r="X157" s="60"/>
      <c r="AB157" s="449"/>
      <c r="AC157" s="37"/>
      <c r="AD157" s="37"/>
      <c r="AE157" s="37"/>
      <c r="AF157" s="37"/>
      <c r="AG157" s="37"/>
      <c r="AH157" s="37"/>
      <c r="AI157" s="60"/>
      <c r="AJ157" s="60"/>
      <c r="AK157" s="37"/>
      <c r="AL157" s="37"/>
      <c r="AN157" s="60"/>
      <c r="AO157" s="60"/>
      <c r="AP157" s="60"/>
    </row>
    <row r="158" spans="1:42" x14ac:dyDescent="0.2">
      <c r="A158" s="449">
        <v>45566</v>
      </c>
    </row>
    <row r="159" spans="1:42" x14ac:dyDescent="0.2">
      <c r="A159" s="449">
        <v>45597</v>
      </c>
    </row>
    <row r="160" spans="1:42" x14ac:dyDescent="0.2">
      <c r="A160" s="449">
        <v>45627</v>
      </c>
    </row>
    <row r="162" spans="1:38" x14ac:dyDescent="0.2">
      <c r="A162" s="1" t="s">
        <v>320</v>
      </c>
    </row>
    <row r="163" spans="1:38" x14ac:dyDescent="0.2">
      <c r="A163" s="24">
        <v>2012</v>
      </c>
      <c r="X163" s="450">
        <f>SUM(X5:X16)</f>
        <v>0</v>
      </c>
    </row>
    <row r="164" spans="1:38" x14ac:dyDescent="0.2">
      <c r="A164" s="24">
        <v>2013</v>
      </c>
      <c r="X164" s="450">
        <f>SUM(X17:X28)</f>
        <v>0</v>
      </c>
    </row>
    <row r="165" spans="1:38" x14ac:dyDescent="0.2">
      <c r="A165" s="24">
        <v>2014</v>
      </c>
      <c r="X165" s="450">
        <f>SUM(X29:X40)</f>
        <v>153044.25</v>
      </c>
    </row>
    <row r="166" spans="1:38" x14ac:dyDescent="0.2">
      <c r="A166" s="24">
        <v>2015</v>
      </c>
      <c r="X166" s="450">
        <f>SUM(X41:X52)</f>
        <v>462285.72</v>
      </c>
    </row>
    <row r="167" spans="1:38" x14ac:dyDescent="0.2">
      <c r="A167" s="24">
        <v>2016</v>
      </c>
      <c r="X167" s="450">
        <f>SUM(X53:X64)</f>
        <v>1540454.67</v>
      </c>
    </row>
    <row r="168" spans="1:38" x14ac:dyDescent="0.2">
      <c r="A168" s="24">
        <v>2017</v>
      </c>
      <c r="X168" s="450">
        <f>SUM(X65:X76)</f>
        <v>2592620.9800000004</v>
      </c>
      <c r="AB168" s="1" t="s">
        <v>293</v>
      </c>
    </row>
    <row r="169" spans="1:38" x14ac:dyDescent="0.2">
      <c r="A169" s="24">
        <v>2018</v>
      </c>
      <c r="X169" s="450">
        <f>SUM(X77:X88)</f>
        <v>11056797.779999997</v>
      </c>
    </row>
    <row r="170" spans="1:38" x14ac:dyDescent="0.2">
      <c r="A170" s="24" t="s">
        <v>321</v>
      </c>
      <c r="X170" s="450">
        <f>SUM(X89:X92)</f>
        <v>8551956</v>
      </c>
      <c r="AB170" s="1" t="s">
        <v>375</v>
      </c>
      <c r="AC170" s="60">
        <f t="shared" ref="AC170:AH171" si="58">AVERAGE(AC10,AC22,AC34,AC46,AC70,AC82)</f>
        <v>6076755.9933333332</v>
      </c>
      <c r="AD170" s="60">
        <f t="shared" si="58"/>
        <v>3307340.8616666668</v>
      </c>
      <c r="AE170" s="60">
        <f t="shared" si="58"/>
        <v>229353.18499999997</v>
      </c>
      <c r="AF170" s="60">
        <f t="shared" si="58"/>
        <v>232298.24666666667</v>
      </c>
      <c r="AG170" s="60">
        <f t="shared" si="58"/>
        <v>2860423.44</v>
      </c>
      <c r="AH170" s="60">
        <f t="shared" si="58"/>
        <v>3609509.8433333337</v>
      </c>
      <c r="AI170" s="60"/>
      <c r="AJ170" s="60"/>
      <c r="AK170" s="60">
        <f>AVERAGE(AK10,AK22,AK34,AK46,AK70,AK82)</f>
        <v>19084.213333333333</v>
      </c>
      <c r="AL170" s="60">
        <f>AVERAGE(AL10,AL22,AL34,AL46,AL70,AL82)</f>
        <v>60866.863333333335</v>
      </c>
    </row>
    <row r="171" spans="1:38" x14ac:dyDescent="0.2">
      <c r="A171" s="24">
        <v>2020</v>
      </c>
      <c r="X171" s="1">
        <v>0</v>
      </c>
      <c r="AB171" s="1" t="s">
        <v>295</v>
      </c>
      <c r="AC171" s="60">
        <f t="shared" si="58"/>
        <v>7667244.6066666665</v>
      </c>
      <c r="AD171" s="60">
        <f t="shared" si="58"/>
        <v>3964612.0383333336</v>
      </c>
      <c r="AE171" s="60">
        <f t="shared" si="58"/>
        <v>260816.55500000002</v>
      </c>
      <c r="AF171" s="60">
        <f t="shared" si="58"/>
        <v>241767.74833333332</v>
      </c>
      <c r="AG171" s="60">
        <f t="shared" si="58"/>
        <v>3256810.3066666666</v>
      </c>
      <c r="AH171" s="60">
        <f t="shared" si="58"/>
        <v>3804725.4983333335</v>
      </c>
      <c r="AI171" s="60"/>
      <c r="AJ171" s="60"/>
      <c r="AK171" s="60">
        <f>AVERAGE(AK11,AK23,AK35,AK47,AK71,AK83)</f>
        <v>19091.791666666668</v>
      </c>
      <c r="AL171" s="60">
        <f>AVERAGE(AL11,AL23,AL35,AL47,AL71,AL83)</f>
        <v>65359.253333333334</v>
      </c>
    </row>
    <row r="172" spans="1:38" x14ac:dyDescent="0.2">
      <c r="A172" s="24">
        <v>2021</v>
      </c>
      <c r="X172" s="1">
        <v>0</v>
      </c>
      <c r="AC172" s="60"/>
      <c r="AD172" s="60"/>
      <c r="AE172" s="60"/>
      <c r="AF172" s="60"/>
      <c r="AG172" s="60"/>
      <c r="AH172" s="60"/>
      <c r="AI172" s="60"/>
      <c r="AJ172" s="60"/>
      <c r="AK172" s="60"/>
      <c r="AL172" s="60"/>
    </row>
    <row r="173" spans="1:38" x14ac:dyDescent="0.2">
      <c r="A173" s="24" t="s">
        <v>414</v>
      </c>
      <c r="X173" s="60">
        <f>SUM(X131:X136)</f>
        <v>598864</v>
      </c>
      <c r="AC173" s="60"/>
      <c r="AD173" s="60"/>
      <c r="AE173" s="60"/>
      <c r="AF173" s="60"/>
      <c r="AG173" s="60"/>
      <c r="AH173" s="60"/>
      <c r="AI173" s="60"/>
      <c r="AJ173" s="60"/>
      <c r="AK173" s="60"/>
      <c r="AL173" s="60"/>
    </row>
    <row r="174" spans="1:38" x14ac:dyDescent="0.2">
      <c r="A174" s="24">
        <v>2023</v>
      </c>
      <c r="AC174" s="60"/>
      <c r="AD174" s="60"/>
      <c r="AE174" s="60"/>
      <c r="AF174" s="60"/>
      <c r="AG174" s="60"/>
      <c r="AH174" s="60"/>
      <c r="AI174" s="60"/>
      <c r="AJ174" s="60"/>
      <c r="AK174" s="60"/>
      <c r="AL174" s="60"/>
    </row>
    <row r="175" spans="1:38" x14ac:dyDescent="0.2">
      <c r="A175" s="24">
        <v>2024</v>
      </c>
      <c r="AC175" s="60"/>
      <c r="AD175" s="60"/>
      <c r="AE175" s="60"/>
      <c r="AF175" s="60"/>
      <c r="AG175" s="60"/>
      <c r="AH175" s="60"/>
      <c r="AI175" s="60"/>
      <c r="AJ175" s="60"/>
      <c r="AK175" s="60"/>
      <c r="AL175" s="60"/>
    </row>
    <row r="176" spans="1:38" x14ac:dyDescent="0.2">
      <c r="AC176" s="60"/>
      <c r="AD176" s="60"/>
      <c r="AE176" s="60"/>
      <c r="AF176" s="60"/>
      <c r="AG176" s="60"/>
      <c r="AH176" s="60"/>
      <c r="AI176" s="60"/>
      <c r="AJ176" s="60"/>
      <c r="AK176" s="60"/>
      <c r="AL176" s="60"/>
    </row>
    <row r="177" spans="29:38" x14ac:dyDescent="0.2">
      <c r="AC177" s="60"/>
      <c r="AD177" s="60"/>
      <c r="AE177" s="60"/>
      <c r="AF177" s="60"/>
      <c r="AG177" s="60"/>
      <c r="AH177" s="60"/>
      <c r="AI177" s="60"/>
      <c r="AJ177" s="60"/>
      <c r="AK177" s="60"/>
      <c r="AL177" s="60"/>
    </row>
    <row r="178" spans="29:38" x14ac:dyDescent="0.2">
      <c r="AC178" s="60"/>
      <c r="AD178" s="60"/>
      <c r="AE178" s="60"/>
      <c r="AF178" s="60"/>
      <c r="AG178" s="60"/>
      <c r="AH178" s="60"/>
      <c r="AI178" s="60"/>
      <c r="AJ178" s="60"/>
      <c r="AK178" s="60"/>
      <c r="AL178" s="60"/>
    </row>
    <row r="179" spans="29:38" x14ac:dyDescent="0.2">
      <c r="AC179" s="60"/>
      <c r="AD179" s="60"/>
      <c r="AE179" s="60"/>
      <c r="AF179" s="60"/>
      <c r="AG179" s="60"/>
      <c r="AH179" s="60"/>
      <c r="AI179" s="60"/>
      <c r="AJ179" s="60"/>
      <c r="AK179" s="60"/>
      <c r="AL179" s="60"/>
    </row>
    <row r="180" spans="29:38" x14ac:dyDescent="0.2">
      <c r="AC180" s="60"/>
      <c r="AD180" s="60"/>
      <c r="AE180" s="60"/>
      <c r="AF180" s="60"/>
      <c r="AG180" s="60"/>
      <c r="AH180" s="60"/>
      <c r="AI180" s="60"/>
      <c r="AJ180" s="60"/>
      <c r="AK180" s="60"/>
      <c r="AL180" s="60"/>
    </row>
    <row r="181" spans="29:38" x14ac:dyDescent="0.2">
      <c r="AC181" s="60"/>
      <c r="AD181" s="60"/>
      <c r="AE181" s="60"/>
      <c r="AF181" s="60"/>
      <c r="AG181" s="60"/>
      <c r="AH181" s="60"/>
      <c r="AI181" s="60"/>
      <c r="AJ181" s="60"/>
      <c r="AK181" s="60"/>
      <c r="AL181" s="60"/>
    </row>
    <row r="182" spans="29:38" x14ac:dyDescent="0.2">
      <c r="AC182" s="60"/>
      <c r="AD182" s="60"/>
      <c r="AE182" s="60"/>
      <c r="AF182" s="60"/>
      <c r="AG182" s="60"/>
      <c r="AH182" s="60"/>
      <c r="AI182" s="60"/>
      <c r="AJ182" s="60"/>
      <c r="AK182" s="60"/>
      <c r="AL182" s="60"/>
    </row>
    <row r="183" spans="29:38" x14ac:dyDescent="0.2">
      <c r="AC183" s="60"/>
      <c r="AD183" s="60"/>
      <c r="AE183" s="60"/>
      <c r="AF183" s="60"/>
      <c r="AG183" s="60"/>
      <c r="AH183" s="60"/>
      <c r="AI183" s="60"/>
      <c r="AJ183" s="60"/>
      <c r="AK183" s="60"/>
      <c r="AL183" s="60"/>
    </row>
    <row r="184" spans="29:38" x14ac:dyDescent="0.2">
      <c r="AC184" s="60"/>
      <c r="AD184" s="60"/>
      <c r="AE184" s="60"/>
      <c r="AF184" s="60"/>
      <c r="AG184" s="60"/>
      <c r="AH184" s="60"/>
      <c r="AI184" s="60"/>
      <c r="AJ184" s="60"/>
      <c r="AK184" s="60"/>
      <c r="AL184" s="60"/>
    </row>
    <row r="185" spans="29:38" x14ac:dyDescent="0.2">
      <c r="AC185" s="60"/>
      <c r="AD185" s="60"/>
      <c r="AE185" s="60"/>
      <c r="AF185" s="60"/>
      <c r="AG185" s="60"/>
      <c r="AH185" s="60"/>
      <c r="AI185" s="60"/>
      <c r="AJ185" s="60"/>
      <c r="AK185" s="60"/>
      <c r="AL185" s="60"/>
    </row>
    <row r="186" spans="29:38" x14ac:dyDescent="0.2">
      <c r="AC186" s="60"/>
      <c r="AD186" s="60"/>
      <c r="AE186" s="60"/>
      <c r="AF186" s="60"/>
      <c r="AG186" s="60"/>
      <c r="AH186" s="60"/>
      <c r="AI186" s="60"/>
      <c r="AJ186" s="60"/>
      <c r="AK186" s="60"/>
      <c r="AL186" s="60"/>
    </row>
    <row r="187" spans="29:38" x14ac:dyDescent="0.2">
      <c r="AC187" s="60"/>
      <c r="AD187" s="60"/>
      <c r="AE187" s="60"/>
      <c r="AF187" s="60"/>
      <c r="AG187" s="60"/>
      <c r="AH187" s="60"/>
      <c r="AI187" s="60"/>
      <c r="AJ187" s="60"/>
      <c r="AK187" s="60"/>
      <c r="AL187" s="60"/>
    </row>
    <row r="188" spans="29:38" x14ac:dyDescent="0.2">
      <c r="AC188" s="60"/>
      <c r="AD188" s="60"/>
      <c r="AE188" s="60"/>
      <c r="AF188" s="60"/>
      <c r="AG188" s="60"/>
      <c r="AH188" s="60"/>
      <c r="AI188" s="60"/>
      <c r="AJ188" s="60"/>
      <c r="AK188" s="60"/>
      <c r="AL188" s="60"/>
    </row>
    <row r="189" spans="29:38" x14ac:dyDescent="0.2">
      <c r="AC189" s="60"/>
      <c r="AD189" s="60"/>
      <c r="AE189" s="60"/>
      <c r="AF189" s="60"/>
      <c r="AG189" s="60"/>
      <c r="AH189" s="60"/>
      <c r="AI189" s="60"/>
      <c r="AJ189" s="60"/>
      <c r="AK189" s="60"/>
      <c r="AL189" s="60"/>
    </row>
    <row r="190" spans="29:38" x14ac:dyDescent="0.2">
      <c r="AC190" s="60"/>
      <c r="AD190" s="60"/>
      <c r="AE190" s="60"/>
      <c r="AF190" s="60"/>
      <c r="AG190" s="60"/>
      <c r="AH190" s="60"/>
      <c r="AI190" s="60"/>
      <c r="AJ190" s="60"/>
      <c r="AK190" s="60"/>
      <c r="AL190" s="60"/>
    </row>
    <row r="191" spans="29:38" x14ac:dyDescent="0.2">
      <c r="AC191" s="60"/>
      <c r="AD191" s="60"/>
      <c r="AE191" s="60"/>
      <c r="AF191" s="60"/>
      <c r="AG191" s="60"/>
      <c r="AH191" s="60"/>
      <c r="AI191" s="60"/>
      <c r="AJ191" s="60"/>
      <c r="AK191" s="60"/>
      <c r="AL191" s="60"/>
    </row>
    <row r="192" spans="29:38" x14ac:dyDescent="0.2">
      <c r="AC192" s="60"/>
      <c r="AD192" s="60"/>
      <c r="AE192" s="60"/>
      <c r="AF192" s="60"/>
      <c r="AG192" s="60"/>
      <c r="AH192" s="60"/>
      <c r="AI192" s="60"/>
      <c r="AJ192" s="60"/>
      <c r="AK192" s="60"/>
      <c r="AL192" s="60"/>
    </row>
    <row r="193" spans="28:38" x14ac:dyDescent="0.2">
      <c r="AC193" s="60"/>
      <c r="AD193" s="60"/>
      <c r="AE193" s="60"/>
      <c r="AF193" s="60"/>
      <c r="AG193" s="60"/>
      <c r="AH193" s="60"/>
      <c r="AI193" s="60"/>
      <c r="AJ193" s="60"/>
      <c r="AK193" s="60"/>
      <c r="AL193" s="60"/>
    </row>
    <row r="194" spans="28:38" x14ac:dyDescent="0.2">
      <c r="AB194" s="1" t="s">
        <v>15</v>
      </c>
      <c r="AC194" s="60">
        <f>+AC170+AC171</f>
        <v>13744000.6</v>
      </c>
      <c r="AD194" s="60">
        <f t="shared" ref="AD194:AL194" si="59">+AD170+AD171</f>
        <v>7271952.9000000004</v>
      </c>
      <c r="AE194" s="60">
        <f t="shared" si="59"/>
        <v>490169.74</v>
      </c>
      <c r="AF194" s="60">
        <f t="shared" si="59"/>
        <v>474065.995</v>
      </c>
      <c r="AG194" s="60">
        <f t="shared" si="59"/>
        <v>6117233.7466666661</v>
      </c>
      <c r="AH194" s="60">
        <f t="shared" si="59"/>
        <v>7414235.3416666668</v>
      </c>
      <c r="AI194" s="60"/>
      <c r="AJ194" s="60"/>
      <c r="AK194" s="60">
        <f t="shared" si="59"/>
        <v>38176.005000000005</v>
      </c>
      <c r="AL194" s="60">
        <f t="shared" si="59"/>
        <v>126226.11666666667</v>
      </c>
    </row>
    <row r="196" spans="28:38" x14ac:dyDescent="0.2">
      <c r="AB196" s="1" t="s">
        <v>296</v>
      </c>
      <c r="AC196" s="60">
        <f t="shared" ref="AC196:AH196" si="60">+B58+B59</f>
        <v>15057050.379999999</v>
      </c>
      <c r="AD196" s="60">
        <f t="shared" si="60"/>
        <v>8354908.6200000001</v>
      </c>
      <c r="AE196" s="60">
        <f t="shared" si="60"/>
        <v>470548.17000000004</v>
      </c>
      <c r="AF196" s="60">
        <f t="shared" si="60"/>
        <v>582629.67000000004</v>
      </c>
      <c r="AG196" s="60">
        <f t="shared" si="60"/>
        <v>6445445</v>
      </c>
      <c r="AH196" s="60">
        <f t="shared" si="60"/>
        <v>7874951.6600000001</v>
      </c>
      <c r="AI196" s="60"/>
      <c r="AJ196" s="60"/>
      <c r="AK196" s="60">
        <f>+J58+J59</f>
        <v>36250</v>
      </c>
      <c r="AL196" s="60">
        <f>+K58+K59</f>
        <v>107775.37999999999</v>
      </c>
    </row>
    <row r="198" spans="28:38" x14ac:dyDescent="0.2">
      <c r="AB198" s="1" t="s">
        <v>297</v>
      </c>
      <c r="AC198" s="37">
        <f>+AC170/AC194*AC196</f>
        <v>6657306.25321618</v>
      </c>
      <c r="AD198" s="37">
        <f t="shared" ref="AD198:AL198" si="61">+AD170/AD194*AD196</f>
        <v>3799877.5644458672</v>
      </c>
      <c r="AE198" s="37">
        <f t="shared" si="61"/>
        <v>220172.14176750579</v>
      </c>
      <c r="AF198" s="37">
        <f t="shared" si="61"/>
        <v>285495.80063631991</v>
      </c>
      <c r="AG198" s="37">
        <f t="shared" si="61"/>
        <v>3013895.2871103087</v>
      </c>
      <c r="AH198" s="37">
        <f t="shared" si="61"/>
        <v>3833802.7082580444</v>
      </c>
      <c r="AI198" s="37"/>
      <c r="AJ198" s="37"/>
      <c r="AK198" s="37">
        <f>+AK196/2</f>
        <v>18125</v>
      </c>
      <c r="AL198" s="37">
        <f t="shared" si="61"/>
        <v>51969.826042270965</v>
      </c>
    </row>
    <row r="199" spans="28:38" x14ac:dyDescent="0.2">
      <c r="AB199" s="1" t="s">
        <v>298</v>
      </c>
      <c r="AC199" s="37">
        <f>+AC171/AC194*AC196</f>
        <v>8399744.126783818</v>
      </c>
      <c r="AD199" s="37">
        <f t="shared" ref="AD199:AL199" si="62">+AD171/AD194*AD196</f>
        <v>4555031.0555541329</v>
      </c>
      <c r="AE199" s="37">
        <f t="shared" si="62"/>
        <v>250376.02823249425</v>
      </c>
      <c r="AF199" s="37">
        <f t="shared" si="62"/>
        <v>297133.86936368013</v>
      </c>
      <c r="AG199" s="37">
        <f t="shared" si="62"/>
        <v>3431549.7128896923</v>
      </c>
      <c r="AH199" s="37">
        <f t="shared" si="62"/>
        <v>4041148.9517419557</v>
      </c>
      <c r="AI199" s="37"/>
      <c r="AJ199" s="37"/>
      <c r="AK199" s="37">
        <f>+AK196/2</f>
        <v>18125</v>
      </c>
      <c r="AL199" s="37">
        <f t="shared" si="62"/>
        <v>55805.553957729033</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79998168889431442"/>
  </sheetPr>
  <dimension ref="A1:D26"/>
  <sheetViews>
    <sheetView showGridLines="0" zoomScaleNormal="100" workbookViewId="0"/>
  </sheetViews>
  <sheetFormatPr defaultRowHeight="12.75" x14ac:dyDescent="0.2"/>
  <cols>
    <col min="1" max="1" width="37" style="1" bestFit="1" customWidth="1"/>
    <col min="2" max="2" width="25.1640625" style="1" customWidth="1"/>
    <col min="3" max="4" width="29.5" style="22" customWidth="1"/>
    <col min="5" max="5" width="14.83203125" style="1" bestFit="1" customWidth="1"/>
    <col min="6" max="6" width="2.1640625" style="1" bestFit="1" customWidth="1"/>
    <col min="7" max="16384" width="9.33203125" style="1"/>
  </cols>
  <sheetData>
    <row r="1" spans="1:4" x14ac:dyDescent="0.2">
      <c r="A1" s="1" t="str">
        <f>+'1. Assumptions'!A1</f>
        <v>Niagara-on-the-Lake Hydro Inc.</v>
      </c>
      <c r="C1" s="1"/>
      <c r="D1" s="1"/>
    </row>
    <row r="2" spans="1:4" x14ac:dyDescent="0.2">
      <c r="A2" s="596" t="s">
        <v>89</v>
      </c>
      <c r="B2" s="596"/>
      <c r="C2" s="260"/>
      <c r="D2" s="260"/>
    </row>
    <row r="3" spans="1:4" x14ac:dyDescent="0.2">
      <c r="A3" s="1" t="str">
        <f>+'1. Assumptions'!A3</f>
        <v>2024 Test &amp; 2023 Bridge</v>
      </c>
      <c r="C3" s="1"/>
      <c r="D3" s="1"/>
    </row>
    <row r="4" spans="1:4" x14ac:dyDescent="0.2">
      <c r="C4" s="1"/>
      <c r="D4" s="1"/>
    </row>
    <row r="5" spans="1:4" ht="38.25" x14ac:dyDescent="0.2">
      <c r="A5" s="273" t="s">
        <v>47</v>
      </c>
      <c r="B5" s="274" t="s">
        <v>202</v>
      </c>
      <c r="C5" s="274" t="s">
        <v>203</v>
      </c>
      <c r="D5" s="274" t="s">
        <v>204</v>
      </c>
    </row>
    <row r="6" spans="1:4" x14ac:dyDescent="0.2">
      <c r="A6" s="275" t="s">
        <v>5</v>
      </c>
      <c r="B6" s="5" t="s">
        <v>71</v>
      </c>
      <c r="C6" s="5" t="s">
        <v>72</v>
      </c>
      <c r="D6" s="5" t="s">
        <v>33</v>
      </c>
    </row>
    <row r="7" spans="1:4" x14ac:dyDescent="0.2">
      <c r="A7" s="275" t="s">
        <v>48</v>
      </c>
      <c r="B7" s="5" t="s">
        <v>71</v>
      </c>
      <c r="C7" s="5" t="s">
        <v>72</v>
      </c>
      <c r="D7" s="5" t="s">
        <v>33</v>
      </c>
    </row>
    <row r="8" spans="1:4" x14ac:dyDescent="0.2">
      <c r="A8" s="275" t="s">
        <v>52</v>
      </c>
      <c r="B8" s="5" t="s">
        <v>39</v>
      </c>
      <c r="C8" s="5" t="s">
        <v>39</v>
      </c>
      <c r="D8" s="5" t="s">
        <v>33</v>
      </c>
    </row>
    <row r="9" spans="1:4" ht="13.5" customHeight="1" x14ac:dyDescent="0.2">
      <c r="A9" s="275" t="s">
        <v>132</v>
      </c>
      <c r="B9" s="5" t="s">
        <v>39</v>
      </c>
      <c r="C9" s="5" t="s">
        <v>39</v>
      </c>
      <c r="D9" s="5" t="s">
        <v>34</v>
      </c>
    </row>
    <row r="10" spans="1:4" x14ac:dyDescent="0.2">
      <c r="A10" s="276" t="s">
        <v>51</v>
      </c>
      <c r="B10" s="5" t="s">
        <v>39</v>
      </c>
      <c r="C10" s="5" t="s">
        <v>39</v>
      </c>
      <c r="D10" s="5" t="s">
        <v>34</v>
      </c>
    </row>
    <row r="11" spans="1:4" x14ac:dyDescent="0.2">
      <c r="A11" s="276" t="s">
        <v>147</v>
      </c>
      <c r="B11" s="5" t="s">
        <v>39</v>
      </c>
      <c r="C11" s="5" t="s">
        <v>39</v>
      </c>
      <c r="D11" s="5" t="s">
        <v>34</v>
      </c>
    </row>
    <row r="12" spans="1:4" hidden="1" x14ac:dyDescent="0.2">
      <c r="A12" s="271" t="s">
        <v>53</v>
      </c>
      <c r="B12" s="272" t="s">
        <v>72</v>
      </c>
      <c r="C12" s="272" t="s">
        <v>72</v>
      </c>
      <c r="D12" s="272" t="s">
        <v>72</v>
      </c>
    </row>
    <row r="13" spans="1:4" hidden="1" x14ac:dyDescent="0.2">
      <c r="A13" s="271" t="s">
        <v>53</v>
      </c>
      <c r="B13" s="272" t="s">
        <v>72</v>
      </c>
      <c r="C13" s="272" t="s">
        <v>72</v>
      </c>
      <c r="D13" s="272" t="s">
        <v>72</v>
      </c>
    </row>
    <row r="14" spans="1:4" x14ac:dyDescent="0.2">
      <c r="C14" s="1"/>
      <c r="D14" s="1"/>
    </row>
    <row r="15" spans="1:4" x14ac:dyDescent="0.2">
      <c r="C15" s="1"/>
      <c r="D15" s="1"/>
    </row>
    <row r="16" spans="1:4" x14ac:dyDescent="0.2">
      <c r="C16" s="1"/>
      <c r="D16" s="1"/>
    </row>
    <row r="17" spans="2:4" x14ac:dyDescent="0.2">
      <c r="C17" s="1"/>
      <c r="D17" s="1"/>
    </row>
    <row r="18" spans="2:4" x14ac:dyDescent="0.2">
      <c r="C18" s="1"/>
      <c r="D18" s="1"/>
    </row>
    <row r="19" spans="2:4" x14ac:dyDescent="0.2">
      <c r="C19" s="1"/>
      <c r="D19" s="1"/>
    </row>
    <row r="20" spans="2:4" x14ac:dyDescent="0.2">
      <c r="C20" s="1"/>
      <c r="D20" s="1"/>
    </row>
    <row r="21" spans="2:4" x14ac:dyDescent="0.2">
      <c r="C21" s="1"/>
      <c r="D21" s="1"/>
    </row>
    <row r="22" spans="2:4" x14ac:dyDescent="0.2">
      <c r="C22" s="1"/>
      <c r="D22" s="1"/>
    </row>
    <row r="23" spans="2:4" x14ac:dyDescent="0.2">
      <c r="C23" s="1"/>
      <c r="D23" s="1"/>
    </row>
    <row r="24" spans="2:4" x14ac:dyDescent="0.2">
      <c r="C24" s="1"/>
      <c r="D24" s="1"/>
    </row>
    <row r="25" spans="2:4" x14ac:dyDescent="0.2">
      <c r="C25" s="1"/>
      <c r="D25" s="1"/>
    </row>
    <row r="26" spans="2:4" x14ac:dyDescent="0.2">
      <c r="B26" s="22"/>
    </row>
  </sheetData>
  <mergeCells count="1">
    <mergeCell ref="A2:B2"/>
  </mergeCells>
  <dataValidations count="1">
    <dataValidation type="list" allowBlank="1" showInputMessage="1" showErrorMessage="1" sqref="B12:D13" xr:uid="{00000000-0002-0000-0100-000000000000}">
      <formula1>"Weather-Sensitive,Non-Weather Sensitive,n/a"</formula1>
    </dataValidation>
  </dataValidations>
  <pageMargins left="0.7" right="0.7" top="0.75" bottom="0.75" header="0.3" footer="0.3"/>
  <pageSetup scale="71" orientation="landscape" horizontalDpi="4294967293" verticalDpi="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67374-EDDA-46A5-AE19-56176D882895}">
  <sheetPr>
    <tabColor theme="6" tint="0.59999389629810485"/>
  </sheetPr>
  <dimension ref="A2:AA87"/>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1.83203125" style="1" bestFit="1" customWidth="1"/>
    <col min="2" max="2" width="16.33203125" style="1" bestFit="1" customWidth="1"/>
    <col min="3" max="25" width="15.1640625" style="1" bestFit="1" customWidth="1"/>
    <col min="26" max="26" width="9.33203125" style="1"/>
    <col min="27" max="27" width="16.33203125" style="1" bestFit="1" customWidth="1"/>
    <col min="28" max="16384" width="9.33203125" style="1"/>
  </cols>
  <sheetData>
    <row r="2" spans="1:27" x14ac:dyDescent="0.2">
      <c r="A2" s="563">
        <v>44986</v>
      </c>
    </row>
    <row r="4" spans="1:27" x14ac:dyDescent="0.2">
      <c r="A4" s="33" t="s">
        <v>431</v>
      </c>
      <c r="B4" s="561">
        <v>44197</v>
      </c>
      <c r="C4" s="561">
        <v>44228</v>
      </c>
      <c r="D4" s="561">
        <v>44256</v>
      </c>
      <c r="E4" s="561">
        <v>44287</v>
      </c>
      <c r="F4" s="561">
        <v>44317</v>
      </c>
      <c r="G4" s="561">
        <v>44348</v>
      </c>
      <c r="H4" s="561">
        <v>44378</v>
      </c>
      <c r="I4" s="561">
        <v>44409</v>
      </c>
      <c r="J4" s="561">
        <v>44440</v>
      </c>
      <c r="K4" s="561">
        <v>44470</v>
      </c>
      <c r="L4" s="561">
        <v>44501</v>
      </c>
      <c r="M4" s="561">
        <v>44531</v>
      </c>
      <c r="N4" s="561">
        <v>44562</v>
      </c>
      <c r="O4" s="561">
        <v>44593</v>
      </c>
      <c r="P4" s="561">
        <v>44621</v>
      </c>
      <c r="Q4" s="561">
        <v>44652</v>
      </c>
      <c r="R4" s="561">
        <v>44682</v>
      </c>
      <c r="S4" s="561">
        <v>44713</v>
      </c>
      <c r="T4" s="561">
        <v>44743</v>
      </c>
      <c r="U4" s="561">
        <v>44774</v>
      </c>
      <c r="V4" s="561">
        <v>44805</v>
      </c>
      <c r="W4" s="561">
        <v>44835</v>
      </c>
      <c r="X4" s="561">
        <v>44866</v>
      </c>
      <c r="Y4" s="561">
        <v>44896</v>
      </c>
    </row>
    <row r="5" spans="1:27" x14ac:dyDescent="0.2">
      <c r="A5" s="1" t="s">
        <v>415</v>
      </c>
      <c r="B5" s="235">
        <v>484411.9</v>
      </c>
      <c r="C5" s="235">
        <v>451989.09</v>
      </c>
      <c r="D5" s="235">
        <v>448909.94</v>
      </c>
      <c r="E5" s="235">
        <v>412394.85</v>
      </c>
      <c r="F5" s="235">
        <v>447108.44</v>
      </c>
      <c r="G5" s="235">
        <v>595313.43999999994</v>
      </c>
      <c r="H5" s="235">
        <v>636898.21</v>
      </c>
      <c r="I5" s="235">
        <v>773161.35</v>
      </c>
      <c r="J5" s="235">
        <v>490925.09</v>
      </c>
      <c r="K5" s="235">
        <v>456614.87</v>
      </c>
      <c r="L5" s="235">
        <v>478958.49</v>
      </c>
      <c r="M5" s="235">
        <v>548885.43000000005</v>
      </c>
      <c r="N5" s="235">
        <v>590660.21</v>
      </c>
      <c r="O5" s="235">
        <v>509876.63</v>
      </c>
      <c r="P5" s="235">
        <v>514677.75</v>
      </c>
      <c r="Q5" s="235">
        <v>449435.16</v>
      </c>
      <c r="R5" s="235">
        <v>480632.57</v>
      </c>
      <c r="S5" s="235">
        <v>562576.78</v>
      </c>
      <c r="T5" s="235">
        <v>721013.95</v>
      </c>
      <c r="U5" s="235">
        <v>723859.37</v>
      </c>
      <c r="V5" s="235">
        <v>517175.88</v>
      </c>
      <c r="W5" s="235">
        <v>449997.17</v>
      </c>
      <c r="X5" s="235">
        <v>480836.7</v>
      </c>
      <c r="Y5" s="235">
        <v>589538.18999999994</v>
      </c>
      <c r="Z5" s="235"/>
      <c r="AA5" s="235">
        <f>SUM(N5:Y5)</f>
        <v>6590280.3599999994</v>
      </c>
    </row>
    <row r="6" spans="1:27" x14ac:dyDescent="0.2">
      <c r="A6" s="1" t="s">
        <v>416</v>
      </c>
      <c r="B6" s="235">
        <v>6388943.1399999997</v>
      </c>
      <c r="C6" s="235">
        <v>5882287.3499999996</v>
      </c>
      <c r="D6" s="235">
        <v>5511190.79</v>
      </c>
      <c r="E6" s="235">
        <v>4882399.7300000004</v>
      </c>
      <c r="F6" s="235">
        <v>5337924.1900000004</v>
      </c>
      <c r="G6" s="235">
        <v>6828865.4100000001</v>
      </c>
      <c r="H6" s="235">
        <v>7237677.0499999998</v>
      </c>
      <c r="I6" s="235">
        <v>8648190.2699999996</v>
      </c>
      <c r="J6" s="235">
        <v>5678869.0300000003</v>
      </c>
      <c r="K6" s="235">
        <v>5020831.2699999996</v>
      </c>
      <c r="L6" s="235">
        <v>5085201.41</v>
      </c>
      <c r="M6" s="235">
        <v>5917769.9299999997</v>
      </c>
      <c r="N6" s="235">
        <v>6626369.5700000003</v>
      </c>
      <c r="O6" s="235">
        <v>5726851.0300000003</v>
      </c>
      <c r="P6" s="235">
        <v>5660756.3899999997</v>
      </c>
      <c r="Q6" s="235">
        <v>4818593.67</v>
      </c>
      <c r="R6" s="235">
        <v>5240625.3</v>
      </c>
      <c r="S6" s="235">
        <v>6220817.5700000003</v>
      </c>
      <c r="T6" s="235">
        <v>7882831.2400000002</v>
      </c>
      <c r="U6" s="235">
        <v>7841488.8600000003</v>
      </c>
      <c r="V6" s="235">
        <v>5610522.6299999999</v>
      </c>
      <c r="W6" s="235">
        <v>4758171.72</v>
      </c>
      <c r="X6" s="235">
        <v>4978579.68</v>
      </c>
      <c r="Y6" s="235">
        <v>6102377.3799999999</v>
      </c>
      <c r="Z6" s="235"/>
      <c r="AA6" s="235">
        <f t="shared" ref="AA6:AA16" si="0">SUM(N6:Y6)</f>
        <v>71467985.040000007</v>
      </c>
    </row>
    <row r="7" spans="1:27" x14ac:dyDescent="0.2">
      <c r="A7" s="1" t="s">
        <v>417</v>
      </c>
      <c r="B7" s="235">
        <v>22952.51</v>
      </c>
      <c r="C7" s="235">
        <v>21268.6</v>
      </c>
      <c r="D7" s="235">
        <v>21225</v>
      </c>
      <c r="E7" s="235">
        <v>21225</v>
      </c>
      <c r="F7" s="235">
        <v>21225</v>
      </c>
      <c r="G7" s="235">
        <v>21225</v>
      </c>
      <c r="H7" s="235">
        <v>21225</v>
      </c>
      <c r="I7" s="235">
        <v>21225</v>
      </c>
      <c r="J7" s="235">
        <v>21424.68</v>
      </c>
      <c r="K7" s="235">
        <v>22040.13</v>
      </c>
      <c r="L7" s="235">
        <v>22508.06</v>
      </c>
      <c r="M7" s="235">
        <v>25221.25</v>
      </c>
      <c r="N7" s="235">
        <v>25764.35</v>
      </c>
      <c r="O7" s="235">
        <v>24298.68</v>
      </c>
      <c r="P7" s="235">
        <v>24033</v>
      </c>
      <c r="Q7" s="235">
        <v>24220.2</v>
      </c>
      <c r="R7" s="235">
        <v>24650.7</v>
      </c>
      <c r="S7" s="235">
        <v>24990.9</v>
      </c>
      <c r="T7" s="235">
        <v>27354.9</v>
      </c>
      <c r="U7" s="235">
        <v>27964.2</v>
      </c>
      <c r="V7" s="235">
        <v>27964.2</v>
      </c>
      <c r="W7" s="235">
        <v>27964.2</v>
      </c>
      <c r="X7" s="235">
        <v>28019.55</v>
      </c>
      <c r="Y7" s="235">
        <v>28151.4</v>
      </c>
      <c r="Z7" s="235"/>
      <c r="AA7" s="235">
        <f t="shared" si="0"/>
        <v>315376.28000000003</v>
      </c>
    </row>
    <row r="8" spans="1:27" x14ac:dyDescent="0.2">
      <c r="A8" s="1" t="s">
        <v>418</v>
      </c>
      <c r="B8" s="235">
        <v>39169.230000000003</v>
      </c>
      <c r="C8" s="235">
        <v>34776.519999999997</v>
      </c>
      <c r="D8" s="235">
        <v>32854.410000000003</v>
      </c>
      <c r="E8" s="235">
        <v>28701.11</v>
      </c>
      <c r="F8" s="235">
        <v>30542.81</v>
      </c>
      <c r="G8" s="235">
        <v>34720.1</v>
      </c>
      <c r="H8" s="235">
        <v>42567.519999999997</v>
      </c>
      <c r="I8" s="235">
        <v>51879.92</v>
      </c>
      <c r="J8" s="235">
        <v>35257.32</v>
      </c>
      <c r="K8" s="235">
        <v>31435.96</v>
      </c>
      <c r="L8" s="235">
        <v>42073.599999999999</v>
      </c>
      <c r="M8" s="235">
        <v>47212.92</v>
      </c>
      <c r="N8" s="235">
        <v>58517.68</v>
      </c>
      <c r="O8" s="235">
        <v>44565.43</v>
      </c>
      <c r="P8" s="235">
        <v>44641.4</v>
      </c>
      <c r="Q8" s="235">
        <v>36255.65</v>
      </c>
      <c r="R8" s="235">
        <v>34296.11</v>
      </c>
      <c r="S8" s="235">
        <v>39922.31</v>
      </c>
      <c r="T8" s="235">
        <v>56550.879999999997</v>
      </c>
      <c r="U8" s="235">
        <v>56375.57</v>
      </c>
      <c r="V8" s="235">
        <v>40720.58</v>
      </c>
      <c r="W8" s="235">
        <v>39505.72</v>
      </c>
      <c r="X8" s="235">
        <v>45320.160000000003</v>
      </c>
      <c r="Y8" s="235">
        <v>50686.71</v>
      </c>
      <c r="Z8" s="235"/>
      <c r="AA8" s="235">
        <f t="shared" si="0"/>
        <v>547358.20000000007</v>
      </c>
    </row>
    <row r="9" spans="1:27" x14ac:dyDescent="0.2">
      <c r="A9" s="1" t="s">
        <v>419</v>
      </c>
      <c r="B9" s="235">
        <v>3313823.69</v>
      </c>
      <c r="C9" s="235">
        <v>3204463.35</v>
      </c>
      <c r="D9" s="235">
        <v>3278148.93</v>
      </c>
      <c r="E9" s="235">
        <v>2772416.15</v>
      </c>
      <c r="F9" s="235">
        <v>2816484.62</v>
      </c>
      <c r="G9" s="235">
        <v>3445681.95</v>
      </c>
      <c r="H9" s="235">
        <v>4080284.32</v>
      </c>
      <c r="I9" s="235">
        <v>4778658.09</v>
      </c>
      <c r="J9" s="235">
        <v>3520337.89</v>
      </c>
      <c r="K9" s="235">
        <v>3294928.28</v>
      </c>
      <c r="L9" s="235">
        <v>3268168.06</v>
      </c>
      <c r="M9" s="235">
        <v>3600829</v>
      </c>
      <c r="N9" s="235">
        <v>3927999.8</v>
      </c>
      <c r="O9" s="235">
        <v>3602744.88</v>
      </c>
      <c r="P9" s="571">
        <v>3714558.07</v>
      </c>
      <c r="Q9" s="571">
        <v>3208925.58</v>
      </c>
      <c r="R9" s="571">
        <v>3357419.92</v>
      </c>
      <c r="S9" s="571">
        <v>3671031.74</v>
      </c>
      <c r="T9" s="571">
        <v>4364808.82</v>
      </c>
      <c r="U9" s="571">
        <v>4502515.38</v>
      </c>
      <c r="V9" s="571">
        <v>3464632.13</v>
      </c>
      <c r="W9" s="571">
        <v>3131344.24</v>
      </c>
      <c r="X9" s="235">
        <v>3198949.76</v>
      </c>
      <c r="Y9" s="235">
        <v>3715882.09</v>
      </c>
      <c r="Z9" s="235"/>
      <c r="AA9" s="235">
        <f t="shared" si="0"/>
        <v>43860812.409999996</v>
      </c>
    </row>
    <row r="10" spans="1:27" x14ac:dyDescent="0.2">
      <c r="A10" s="1" t="s">
        <v>420</v>
      </c>
      <c r="B10" s="235">
        <v>318743.5</v>
      </c>
      <c r="C10" s="235">
        <v>302951.98</v>
      </c>
      <c r="D10" s="235">
        <v>284393</v>
      </c>
      <c r="E10" s="235">
        <v>241911.6</v>
      </c>
      <c r="F10" s="235">
        <v>236519.86</v>
      </c>
      <c r="G10" s="235">
        <v>264366</v>
      </c>
      <c r="H10" s="235">
        <v>283544.12</v>
      </c>
      <c r="I10" s="235">
        <v>326610.26</v>
      </c>
      <c r="J10" s="235">
        <v>258220.04</v>
      </c>
      <c r="K10" s="235">
        <v>248298.64</v>
      </c>
      <c r="L10" s="235">
        <v>261046.84</v>
      </c>
      <c r="M10" s="235">
        <v>292439.98</v>
      </c>
      <c r="N10" s="235">
        <v>344453.52</v>
      </c>
      <c r="O10" s="235">
        <v>298089.15999999997</v>
      </c>
      <c r="P10" s="235">
        <v>298659.20000000001</v>
      </c>
      <c r="Q10" s="235">
        <v>249484.48</v>
      </c>
      <c r="R10" s="235">
        <v>245998.16</v>
      </c>
      <c r="S10" s="235">
        <v>257946.3</v>
      </c>
      <c r="T10" s="235">
        <v>300921.7</v>
      </c>
      <c r="U10" s="235">
        <v>305377.96000000002</v>
      </c>
      <c r="V10" s="235">
        <v>256200.16</v>
      </c>
      <c r="W10" s="235">
        <v>241668.6</v>
      </c>
      <c r="X10" s="235">
        <v>49861.8</v>
      </c>
      <c r="Y10" s="235">
        <v>42284.34</v>
      </c>
      <c r="Z10" s="235"/>
      <c r="AA10" s="235">
        <f t="shared" si="0"/>
        <v>2890945.38</v>
      </c>
    </row>
    <row r="11" spans="1:27" x14ac:dyDescent="0.2">
      <c r="A11" s="1" t="s">
        <v>426</v>
      </c>
      <c r="B11" s="235">
        <v>0</v>
      </c>
      <c r="C11" s="235">
        <v>0</v>
      </c>
      <c r="D11" s="235">
        <v>0</v>
      </c>
      <c r="E11" s="235">
        <v>0</v>
      </c>
      <c r="F11" s="235">
        <v>0</v>
      </c>
      <c r="G11" s="235">
        <v>0</v>
      </c>
      <c r="H11" s="235">
        <v>0</v>
      </c>
      <c r="I11" s="235">
        <v>0</v>
      </c>
      <c r="J11" s="235">
        <v>0</v>
      </c>
      <c r="K11" s="235">
        <v>0</v>
      </c>
      <c r="L11" s="235">
        <v>0</v>
      </c>
      <c r="M11" s="235">
        <v>0</v>
      </c>
      <c r="N11" s="235">
        <v>0</v>
      </c>
      <c r="O11" s="235">
        <v>0</v>
      </c>
      <c r="P11" s="235">
        <v>0</v>
      </c>
      <c r="Q11" s="235">
        <v>0</v>
      </c>
      <c r="R11" s="235">
        <v>0</v>
      </c>
      <c r="S11" s="235">
        <v>0</v>
      </c>
      <c r="T11" s="235">
        <v>0</v>
      </c>
      <c r="U11" s="235">
        <v>0</v>
      </c>
      <c r="V11" s="235">
        <v>0</v>
      </c>
      <c r="W11" s="235">
        <v>0</v>
      </c>
      <c r="X11" s="235">
        <v>210501.86</v>
      </c>
      <c r="Y11" s="235">
        <v>258614.1</v>
      </c>
      <c r="Z11" s="235"/>
      <c r="AA11" s="235">
        <f t="shared" si="0"/>
        <v>469115.95999999996</v>
      </c>
    </row>
    <row r="12" spans="1:27" x14ac:dyDescent="0.2">
      <c r="A12" s="1" t="s">
        <v>421</v>
      </c>
      <c r="B12" s="235">
        <v>55652.639999999999</v>
      </c>
      <c r="C12" s="235">
        <v>51030</v>
      </c>
      <c r="D12" s="235">
        <v>58492.08</v>
      </c>
      <c r="E12" s="235">
        <v>57424.62</v>
      </c>
      <c r="F12" s="235">
        <v>61167.96</v>
      </c>
      <c r="G12" s="235">
        <v>67962.66</v>
      </c>
      <c r="H12" s="235">
        <v>75241.8</v>
      </c>
      <c r="I12" s="235">
        <v>88070.04</v>
      </c>
      <c r="J12" s="235">
        <v>76853.88</v>
      </c>
      <c r="K12" s="235">
        <v>75363.360000000001</v>
      </c>
      <c r="L12" s="235">
        <v>62963.16</v>
      </c>
      <c r="M12" s="235">
        <v>55661.1</v>
      </c>
      <c r="N12" s="235">
        <v>54280.14</v>
      </c>
      <c r="O12" s="235">
        <v>51748.26</v>
      </c>
      <c r="P12" s="235">
        <v>59731.08</v>
      </c>
      <c r="Q12" s="235">
        <v>62976.84</v>
      </c>
      <c r="R12" s="235">
        <v>77970.66</v>
      </c>
      <c r="S12" s="235">
        <v>81309.42</v>
      </c>
      <c r="T12" s="235">
        <v>85985.46</v>
      </c>
      <c r="U12" s="235">
        <v>84056.94</v>
      </c>
      <c r="V12" s="235">
        <v>78070.14</v>
      </c>
      <c r="W12" s="235">
        <v>69461.759999999995</v>
      </c>
      <c r="X12" s="235">
        <v>57788.04</v>
      </c>
      <c r="Y12" s="235">
        <v>51504.959999999999</v>
      </c>
      <c r="Z12" s="235"/>
      <c r="AA12" s="235">
        <f t="shared" si="0"/>
        <v>814883.70000000007</v>
      </c>
    </row>
    <row r="13" spans="1:27" x14ac:dyDescent="0.2">
      <c r="A13" s="1" t="s">
        <v>422</v>
      </c>
      <c r="B13" s="235">
        <v>3529617.45</v>
      </c>
      <c r="C13" s="235">
        <v>3251822.15</v>
      </c>
      <c r="D13" s="235">
        <v>3568217.78</v>
      </c>
      <c r="E13" s="235">
        <v>3100746.36</v>
      </c>
      <c r="F13" s="235">
        <v>3133213.18</v>
      </c>
      <c r="G13" s="235">
        <v>3718288.3</v>
      </c>
      <c r="H13" s="235">
        <v>4131142.13</v>
      </c>
      <c r="I13" s="235">
        <v>4755498.66</v>
      </c>
      <c r="J13" s="235">
        <v>4074330.2</v>
      </c>
      <c r="K13" s="235">
        <v>3959309.47</v>
      </c>
      <c r="L13" s="235">
        <v>3709921.01</v>
      </c>
      <c r="M13" s="235">
        <v>3902814.06</v>
      </c>
      <c r="N13" s="235">
        <v>3970040.57</v>
      </c>
      <c r="O13" s="235">
        <v>3698728.64</v>
      </c>
      <c r="P13" s="235">
        <v>4010777.81</v>
      </c>
      <c r="Q13" s="235">
        <v>3639020.78</v>
      </c>
      <c r="R13" s="235">
        <v>3977362.22</v>
      </c>
      <c r="S13" s="235">
        <v>4138145.15</v>
      </c>
      <c r="T13" s="235">
        <v>4689744.92</v>
      </c>
      <c r="U13" s="235">
        <v>4771689.16</v>
      </c>
      <c r="V13" s="235">
        <v>4220142.1500000004</v>
      </c>
      <c r="W13" s="235">
        <v>3915774.11</v>
      </c>
      <c r="X13" s="235">
        <v>4176945.32</v>
      </c>
      <c r="Y13" s="235">
        <v>4409829.0599999996</v>
      </c>
      <c r="Z13" s="235"/>
      <c r="AA13" s="235">
        <f t="shared" si="0"/>
        <v>49618199.890000001</v>
      </c>
    </row>
    <row r="14" spans="1:27" x14ac:dyDescent="0.2">
      <c r="A14" s="1" t="s">
        <v>423</v>
      </c>
      <c r="B14" s="235">
        <v>1821130.91</v>
      </c>
      <c r="C14" s="235">
        <v>1603523.82</v>
      </c>
      <c r="D14" s="235">
        <v>1691493.86</v>
      </c>
      <c r="E14" s="235">
        <v>1441811.32</v>
      </c>
      <c r="F14" s="235">
        <v>1535688.75</v>
      </c>
      <c r="G14" s="235">
        <v>1961179.27</v>
      </c>
      <c r="H14" s="235">
        <v>2057376.76</v>
      </c>
      <c r="I14" s="235">
        <v>2549421.34</v>
      </c>
      <c r="J14" s="235">
        <v>1832139.57</v>
      </c>
      <c r="K14" s="235">
        <v>1730652.19</v>
      </c>
      <c r="L14" s="235">
        <v>1833695.75</v>
      </c>
      <c r="M14" s="235">
        <v>1947385.12</v>
      </c>
      <c r="N14" s="235">
        <v>2072836.71</v>
      </c>
      <c r="O14" s="235">
        <v>1910942.27</v>
      </c>
      <c r="P14" s="235">
        <v>1854538.12</v>
      </c>
      <c r="Q14" s="235">
        <v>1537838.63</v>
      </c>
      <c r="R14" s="235">
        <v>1752084.51</v>
      </c>
      <c r="S14" s="235">
        <v>2110812.81</v>
      </c>
      <c r="T14" s="235">
        <v>2624376.44</v>
      </c>
      <c r="U14" s="235">
        <v>2784184.37</v>
      </c>
      <c r="V14" s="235">
        <v>2122388.62</v>
      </c>
      <c r="W14" s="235">
        <v>1754007.49</v>
      </c>
      <c r="X14" s="235">
        <v>1596684.12</v>
      </c>
      <c r="Y14" s="235">
        <v>1665215.27</v>
      </c>
      <c r="Z14" s="235"/>
      <c r="AA14" s="235">
        <f t="shared" si="0"/>
        <v>23785909.359999999</v>
      </c>
    </row>
    <row r="15" spans="1:27" x14ac:dyDescent="0.2">
      <c r="A15" s="1" t="s">
        <v>424</v>
      </c>
      <c r="B15" s="235">
        <v>7452.08</v>
      </c>
      <c r="C15" s="235">
        <v>6214.11</v>
      </c>
      <c r="D15" s="235">
        <v>6176.97</v>
      </c>
      <c r="E15" s="235">
        <v>5220.4799999999996</v>
      </c>
      <c r="F15" s="235">
        <v>4753.33</v>
      </c>
      <c r="G15" s="235">
        <v>4281.78</v>
      </c>
      <c r="H15" s="235">
        <v>4597.99</v>
      </c>
      <c r="I15" s="235">
        <v>5164.2299999999996</v>
      </c>
      <c r="J15" s="235">
        <v>5697.34</v>
      </c>
      <c r="K15" s="235">
        <v>6640.1</v>
      </c>
      <c r="L15" s="235">
        <v>7070.16</v>
      </c>
      <c r="M15" s="235">
        <v>7644.45</v>
      </c>
      <c r="N15" s="235">
        <v>7452.08</v>
      </c>
      <c r="O15" s="235">
        <v>6214.11</v>
      </c>
      <c r="P15" s="235">
        <v>6176.97</v>
      </c>
      <c r="Q15" s="235">
        <v>5220.4799999999996</v>
      </c>
      <c r="R15" s="235">
        <v>4753.33</v>
      </c>
      <c r="S15" s="235">
        <v>4281.78</v>
      </c>
      <c r="T15" s="235">
        <v>4597.99</v>
      </c>
      <c r="U15" s="235">
        <v>5164.2299999999996</v>
      </c>
      <c r="V15" s="235">
        <v>5697.34</v>
      </c>
      <c r="W15" s="235">
        <v>6640.1</v>
      </c>
      <c r="X15" s="235">
        <v>7070.16</v>
      </c>
      <c r="Y15" s="235">
        <v>7644.45</v>
      </c>
      <c r="Z15" s="235"/>
      <c r="AA15" s="235">
        <f t="shared" si="0"/>
        <v>70913.01999999999</v>
      </c>
    </row>
    <row r="16" spans="1:27" x14ac:dyDescent="0.2">
      <c r="A16" s="1" t="s">
        <v>425</v>
      </c>
      <c r="B16" s="235">
        <v>51206.73</v>
      </c>
      <c r="C16" s="235">
        <v>42698.94</v>
      </c>
      <c r="D16" s="235">
        <v>42444</v>
      </c>
      <c r="E16" s="235">
        <v>36252.03</v>
      </c>
      <c r="F16" s="235">
        <v>33007.599999999999</v>
      </c>
      <c r="G16" s="235">
        <v>29734.44</v>
      </c>
      <c r="H16" s="235">
        <v>31929.26</v>
      </c>
      <c r="I16" s="235">
        <v>35860.79</v>
      </c>
      <c r="J16" s="235">
        <v>39563.29</v>
      </c>
      <c r="K16" s="235">
        <v>46109.42</v>
      </c>
      <c r="L16" s="235">
        <v>49096.26</v>
      </c>
      <c r="M16" s="235">
        <v>53085.07</v>
      </c>
      <c r="N16" s="235">
        <v>51749.08</v>
      </c>
      <c r="O16" s="235">
        <v>43151.25</v>
      </c>
      <c r="P16" s="235">
        <v>42893.62</v>
      </c>
      <c r="Q16" s="235">
        <v>36252.03</v>
      </c>
      <c r="R16" s="235">
        <v>33007.599999999999</v>
      </c>
      <c r="S16" s="235">
        <v>29734.44</v>
      </c>
      <c r="T16" s="235">
        <v>31929.26</v>
      </c>
      <c r="U16" s="235">
        <v>35860.79</v>
      </c>
      <c r="V16" s="235">
        <v>39563.29</v>
      </c>
      <c r="W16" s="235">
        <v>46109.42</v>
      </c>
      <c r="X16" s="235">
        <v>49096.26</v>
      </c>
      <c r="Y16" s="235">
        <v>53085.07</v>
      </c>
      <c r="Z16" s="235"/>
      <c r="AA16" s="235">
        <f t="shared" si="0"/>
        <v>492432.11</v>
      </c>
    </row>
    <row r="17" spans="1:27" x14ac:dyDescent="0.2">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row>
    <row r="18" spans="1:27" x14ac:dyDescent="0.2">
      <c r="A18" s="33" t="s">
        <v>430</v>
      </c>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row>
    <row r="19" spans="1:27" x14ac:dyDescent="0.2">
      <c r="A19" s="1" t="s">
        <v>415</v>
      </c>
      <c r="B19" s="235"/>
      <c r="C19" s="235"/>
      <c r="D19" s="235"/>
      <c r="E19" s="235"/>
      <c r="F19" s="235"/>
      <c r="G19" s="235"/>
      <c r="H19" s="235"/>
      <c r="I19" s="235"/>
      <c r="J19" s="235"/>
      <c r="K19" s="235"/>
      <c r="L19" s="235"/>
      <c r="M19" s="235"/>
      <c r="N19" s="235"/>
      <c r="O19" s="235"/>
      <c r="P19" s="235"/>
      <c r="Q19" s="235"/>
      <c r="R19" s="235"/>
      <c r="S19" s="235"/>
      <c r="T19" s="235"/>
      <c r="U19" s="235">
        <v>62.93</v>
      </c>
      <c r="V19" s="235"/>
      <c r="W19" s="235"/>
      <c r="X19" s="235"/>
      <c r="Y19" s="235"/>
      <c r="Z19" s="235"/>
    </row>
    <row r="20" spans="1:27" x14ac:dyDescent="0.2">
      <c r="A20" s="1" t="s">
        <v>416</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row>
    <row r="21" spans="1:27" x14ac:dyDescent="0.2">
      <c r="A21" s="1" t="s">
        <v>417</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row>
    <row r="22" spans="1:27" x14ac:dyDescent="0.2">
      <c r="A22" s="1" t="s">
        <v>418</v>
      </c>
      <c r="B22" s="235"/>
      <c r="C22" s="235"/>
      <c r="D22" s="235"/>
      <c r="E22" s="235"/>
      <c r="F22" s="235"/>
      <c r="G22" s="235">
        <v>127481.2</v>
      </c>
      <c r="H22" s="235"/>
      <c r="I22" s="235"/>
      <c r="J22" s="235"/>
      <c r="K22" s="235"/>
      <c r="L22" s="235"/>
      <c r="M22" s="235"/>
      <c r="N22" s="235"/>
      <c r="O22" s="235"/>
      <c r="P22" s="235"/>
      <c r="Q22" s="235"/>
      <c r="R22" s="235"/>
      <c r="S22" s="235"/>
      <c r="T22" s="235"/>
      <c r="U22" s="235"/>
      <c r="V22" s="235"/>
      <c r="W22" s="235"/>
      <c r="X22" s="235"/>
      <c r="Y22" s="235"/>
      <c r="Z22" s="235"/>
    </row>
    <row r="23" spans="1:27" x14ac:dyDescent="0.2">
      <c r="A23" s="1" t="s">
        <v>419</v>
      </c>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row>
    <row r="24" spans="1:27" x14ac:dyDescent="0.2">
      <c r="A24" s="1" t="s">
        <v>420</v>
      </c>
      <c r="B24" s="235"/>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row>
    <row r="25" spans="1:27" x14ac:dyDescent="0.2">
      <c r="A25" s="1" t="s">
        <v>426</v>
      </c>
      <c r="B25" s="235"/>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row>
    <row r="26" spans="1:27" x14ac:dyDescent="0.2">
      <c r="A26" s="1" t="s">
        <v>421</v>
      </c>
      <c r="B26" s="235"/>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row>
    <row r="27" spans="1:27" x14ac:dyDescent="0.2">
      <c r="A27" s="1" t="s">
        <v>422</v>
      </c>
      <c r="B27" s="235">
        <v>57168.72</v>
      </c>
      <c r="C27" s="235">
        <v>56478.78</v>
      </c>
      <c r="D27" s="235">
        <v>49950.9</v>
      </c>
      <c r="E27" s="235">
        <v>55447.56</v>
      </c>
      <c r="F27" s="235">
        <v>57444.480000000003</v>
      </c>
      <c r="G27" s="235">
        <v>63892.800000000003</v>
      </c>
      <c r="H27" s="235">
        <v>75792.539999999994</v>
      </c>
      <c r="I27" s="235">
        <v>75295.98</v>
      </c>
      <c r="J27" s="235">
        <v>72224.820000000007</v>
      </c>
      <c r="K27" s="235">
        <v>88871.76</v>
      </c>
      <c r="L27" s="235">
        <v>79529.399999999994</v>
      </c>
      <c r="M27" s="235">
        <v>80664.5</v>
      </c>
      <c r="N27" s="235">
        <v>88462.080000000002</v>
      </c>
      <c r="O27" s="235">
        <v>76642.2</v>
      </c>
      <c r="P27" s="235">
        <v>60594.66</v>
      </c>
      <c r="Q27" s="235">
        <v>50391.54</v>
      </c>
      <c r="R27" s="235">
        <v>61702.46</v>
      </c>
      <c r="S27" s="235">
        <v>60963.3</v>
      </c>
      <c r="T27" s="235">
        <v>70717.320000000007</v>
      </c>
      <c r="U27" s="235">
        <v>77265.179999999993</v>
      </c>
      <c r="V27" s="235">
        <v>78667.199999999997</v>
      </c>
      <c r="W27" s="235">
        <v>78346.259999999995</v>
      </c>
      <c r="X27" s="235">
        <v>81524.52</v>
      </c>
      <c r="Y27" s="235">
        <v>82039.86</v>
      </c>
      <c r="Z27" s="235"/>
      <c r="AA27" s="235">
        <f>SUM(N27:Y27)</f>
        <v>867316.58</v>
      </c>
    </row>
    <row r="28" spans="1:27" x14ac:dyDescent="0.2">
      <c r="A28" s="1" t="s">
        <v>423</v>
      </c>
      <c r="B28" s="235">
        <v>16213.92</v>
      </c>
      <c r="C28" s="235">
        <v>13784.64</v>
      </c>
      <c r="D28" s="235">
        <v>11326.32</v>
      </c>
      <c r="E28" s="235">
        <v>8870.82</v>
      </c>
      <c r="F28" s="235">
        <v>9144.5400000000009</v>
      </c>
      <c r="G28" s="235">
        <v>13317.06</v>
      </c>
      <c r="H28" s="235">
        <v>15381.66</v>
      </c>
      <c r="I28" s="235">
        <v>17208.66</v>
      </c>
      <c r="J28" s="235">
        <v>14415.24</v>
      </c>
      <c r="K28" s="235">
        <v>19359.419999999998</v>
      </c>
      <c r="L28" s="235">
        <v>13168.44</v>
      </c>
      <c r="M28" s="235">
        <v>19933.560000000001</v>
      </c>
      <c r="N28" s="235">
        <v>21335.4</v>
      </c>
      <c r="O28" s="235">
        <v>18211.259999999998</v>
      </c>
      <c r="P28" s="235">
        <v>14829.66</v>
      </c>
      <c r="Q28" s="235">
        <v>11628.42</v>
      </c>
      <c r="R28" s="235">
        <v>10820.46</v>
      </c>
      <c r="S28" s="235">
        <v>12131.16</v>
      </c>
      <c r="T28" s="235">
        <v>14514.18</v>
      </c>
      <c r="U28" s="235">
        <v>15228.3</v>
      </c>
      <c r="V28" s="235">
        <v>13058.82</v>
      </c>
      <c r="W28" s="235">
        <v>12124.26</v>
      </c>
      <c r="X28" s="235">
        <v>13498.74</v>
      </c>
      <c r="Y28" s="235">
        <v>16613.46</v>
      </c>
      <c r="Z28" s="235"/>
      <c r="AA28" s="235">
        <f>SUM(N28:Y28)</f>
        <v>173994.12</v>
      </c>
    </row>
    <row r="29" spans="1:27" x14ac:dyDescent="0.2">
      <c r="A29" s="1" t="s">
        <v>424</v>
      </c>
      <c r="B29" s="235"/>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row>
    <row r="30" spans="1:27" x14ac:dyDescent="0.2">
      <c r="A30" s="1" t="s">
        <v>425</v>
      </c>
      <c r="B30" s="235"/>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row>
    <row r="31" spans="1:27" x14ac:dyDescent="0.2">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row>
    <row r="32" spans="1:27" x14ac:dyDescent="0.2">
      <c r="A32" s="33" t="s">
        <v>433</v>
      </c>
      <c r="B32" s="235"/>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row>
    <row r="33" spans="1:27" x14ac:dyDescent="0.2">
      <c r="A33" s="1" t="s">
        <v>415</v>
      </c>
      <c r="B33" s="235">
        <f>+B5+B19</f>
        <v>484411.9</v>
      </c>
      <c r="C33" s="235">
        <f t="shared" ref="C33:Y44" si="1">+C5+C19</f>
        <v>451989.09</v>
      </c>
      <c r="D33" s="235">
        <f t="shared" si="1"/>
        <v>448909.94</v>
      </c>
      <c r="E33" s="235">
        <f t="shared" si="1"/>
        <v>412394.85</v>
      </c>
      <c r="F33" s="235">
        <f t="shared" si="1"/>
        <v>447108.44</v>
      </c>
      <c r="G33" s="235">
        <f t="shared" si="1"/>
        <v>595313.43999999994</v>
      </c>
      <c r="H33" s="235">
        <f t="shared" si="1"/>
        <v>636898.21</v>
      </c>
      <c r="I33" s="235">
        <f t="shared" si="1"/>
        <v>773161.35</v>
      </c>
      <c r="J33" s="235">
        <f t="shared" si="1"/>
        <v>490925.09</v>
      </c>
      <c r="K33" s="235">
        <f t="shared" si="1"/>
        <v>456614.87</v>
      </c>
      <c r="L33" s="235">
        <f t="shared" si="1"/>
        <v>478958.49</v>
      </c>
      <c r="M33" s="235">
        <f t="shared" si="1"/>
        <v>548885.43000000005</v>
      </c>
      <c r="N33" s="235">
        <f t="shared" si="1"/>
        <v>590660.21</v>
      </c>
      <c r="O33" s="235">
        <f t="shared" si="1"/>
        <v>509876.63</v>
      </c>
      <c r="P33" s="235">
        <f t="shared" si="1"/>
        <v>514677.75</v>
      </c>
      <c r="Q33" s="235">
        <f t="shared" si="1"/>
        <v>449435.16</v>
      </c>
      <c r="R33" s="235">
        <f t="shared" si="1"/>
        <v>480632.57</v>
      </c>
      <c r="S33" s="235">
        <f t="shared" si="1"/>
        <v>562576.78</v>
      </c>
      <c r="T33" s="235">
        <f t="shared" si="1"/>
        <v>721013.95</v>
      </c>
      <c r="U33" s="235">
        <f t="shared" si="1"/>
        <v>723922.3</v>
      </c>
      <c r="V33" s="235">
        <f t="shared" si="1"/>
        <v>517175.88</v>
      </c>
      <c r="W33" s="235">
        <f t="shared" si="1"/>
        <v>449997.17</v>
      </c>
      <c r="X33" s="235">
        <f t="shared" si="1"/>
        <v>480836.7</v>
      </c>
      <c r="Y33" s="235">
        <f t="shared" si="1"/>
        <v>589538.18999999994</v>
      </c>
      <c r="Z33" s="235"/>
      <c r="AA33" s="235">
        <f>SUM(N33:Y33)</f>
        <v>6590343.2899999991</v>
      </c>
    </row>
    <row r="34" spans="1:27" x14ac:dyDescent="0.2">
      <c r="A34" s="1" t="s">
        <v>416</v>
      </c>
      <c r="B34" s="235">
        <f t="shared" ref="B34:Q44" si="2">+B6+B20</f>
        <v>6388943.1399999997</v>
      </c>
      <c r="C34" s="235">
        <f t="shared" si="2"/>
        <v>5882287.3499999996</v>
      </c>
      <c r="D34" s="235">
        <f t="shared" si="2"/>
        <v>5511190.79</v>
      </c>
      <c r="E34" s="235">
        <f t="shared" si="2"/>
        <v>4882399.7300000004</v>
      </c>
      <c r="F34" s="235">
        <f t="shared" si="2"/>
        <v>5337924.1900000004</v>
      </c>
      <c r="G34" s="235">
        <f t="shared" si="2"/>
        <v>6828865.4100000001</v>
      </c>
      <c r="H34" s="235">
        <f t="shared" si="2"/>
        <v>7237677.0499999998</v>
      </c>
      <c r="I34" s="235">
        <f t="shared" si="2"/>
        <v>8648190.2699999996</v>
      </c>
      <c r="J34" s="235">
        <f t="shared" si="2"/>
        <v>5678869.0300000003</v>
      </c>
      <c r="K34" s="235">
        <f t="shared" si="2"/>
        <v>5020831.2699999996</v>
      </c>
      <c r="L34" s="235">
        <f t="shared" si="2"/>
        <v>5085201.41</v>
      </c>
      <c r="M34" s="235">
        <f t="shared" si="2"/>
        <v>5917769.9299999997</v>
      </c>
      <c r="N34" s="235">
        <f t="shared" si="2"/>
        <v>6626369.5700000003</v>
      </c>
      <c r="O34" s="235">
        <f t="shared" si="2"/>
        <v>5726851.0300000003</v>
      </c>
      <c r="P34" s="235">
        <f t="shared" si="2"/>
        <v>5660756.3899999997</v>
      </c>
      <c r="Q34" s="235">
        <f t="shared" si="2"/>
        <v>4818593.67</v>
      </c>
      <c r="R34" s="235">
        <f t="shared" si="1"/>
        <v>5240625.3</v>
      </c>
      <c r="S34" s="235">
        <f t="shared" si="1"/>
        <v>6220817.5700000003</v>
      </c>
      <c r="T34" s="235">
        <f t="shared" si="1"/>
        <v>7882831.2400000002</v>
      </c>
      <c r="U34" s="235">
        <f t="shared" si="1"/>
        <v>7841488.8600000003</v>
      </c>
      <c r="V34" s="235">
        <f t="shared" si="1"/>
        <v>5610522.6299999999</v>
      </c>
      <c r="W34" s="235">
        <f t="shared" si="1"/>
        <v>4758171.72</v>
      </c>
      <c r="X34" s="235">
        <f t="shared" si="1"/>
        <v>4978579.68</v>
      </c>
      <c r="Y34" s="235">
        <f t="shared" si="1"/>
        <v>6102377.3799999999</v>
      </c>
      <c r="Z34" s="235"/>
      <c r="AA34" s="235">
        <f t="shared" ref="AA34:AA44" si="3">SUM(N34:Y34)</f>
        <v>71467985.040000007</v>
      </c>
    </row>
    <row r="35" spans="1:27" x14ac:dyDescent="0.2">
      <c r="A35" s="1" t="s">
        <v>417</v>
      </c>
      <c r="B35" s="235">
        <f t="shared" si="2"/>
        <v>22952.51</v>
      </c>
      <c r="C35" s="235">
        <f t="shared" si="1"/>
        <v>21268.6</v>
      </c>
      <c r="D35" s="235">
        <f t="shared" si="1"/>
        <v>21225</v>
      </c>
      <c r="E35" s="235">
        <f t="shared" si="1"/>
        <v>21225</v>
      </c>
      <c r="F35" s="235">
        <f t="shared" si="1"/>
        <v>21225</v>
      </c>
      <c r="G35" s="235">
        <f t="shared" si="1"/>
        <v>21225</v>
      </c>
      <c r="H35" s="235">
        <f t="shared" si="1"/>
        <v>21225</v>
      </c>
      <c r="I35" s="235">
        <f t="shared" si="1"/>
        <v>21225</v>
      </c>
      <c r="J35" s="235">
        <f t="shared" si="1"/>
        <v>21424.68</v>
      </c>
      <c r="K35" s="235">
        <f t="shared" si="1"/>
        <v>22040.13</v>
      </c>
      <c r="L35" s="235">
        <f t="shared" si="1"/>
        <v>22508.06</v>
      </c>
      <c r="M35" s="235">
        <f t="shared" si="1"/>
        <v>25221.25</v>
      </c>
      <c r="N35" s="235">
        <f t="shared" si="1"/>
        <v>25764.35</v>
      </c>
      <c r="O35" s="235">
        <f t="shared" si="1"/>
        <v>24298.68</v>
      </c>
      <c r="P35" s="235">
        <f t="shared" si="1"/>
        <v>24033</v>
      </c>
      <c r="Q35" s="235">
        <f t="shared" si="1"/>
        <v>24220.2</v>
      </c>
      <c r="R35" s="235">
        <f t="shared" si="1"/>
        <v>24650.7</v>
      </c>
      <c r="S35" s="235">
        <f t="shared" si="1"/>
        <v>24990.9</v>
      </c>
      <c r="T35" s="235">
        <f t="shared" si="1"/>
        <v>27354.9</v>
      </c>
      <c r="U35" s="235">
        <f t="shared" si="1"/>
        <v>27964.2</v>
      </c>
      <c r="V35" s="235">
        <f t="shared" si="1"/>
        <v>27964.2</v>
      </c>
      <c r="W35" s="235">
        <f t="shared" si="1"/>
        <v>27964.2</v>
      </c>
      <c r="X35" s="235">
        <f t="shared" si="1"/>
        <v>28019.55</v>
      </c>
      <c r="Y35" s="235">
        <f t="shared" si="1"/>
        <v>28151.4</v>
      </c>
      <c r="Z35" s="235"/>
      <c r="AA35" s="235">
        <f t="shared" si="3"/>
        <v>315376.28000000003</v>
      </c>
    </row>
    <row r="36" spans="1:27" x14ac:dyDescent="0.2">
      <c r="A36" s="1" t="s">
        <v>418</v>
      </c>
      <c r="B36" s="235">
        <f t="shared" si="2"/>
        <v>39169.230000000003</v>
      </c>
      <c r="C36" s="235">
        <f t="shared" si="1"/>
        <v>34776.519999999997</v>
      </c>
      <c r="D36" s="235">
        <f t="shared" si="1"/>
        <v>32854.410000000003</v>
      </c>
      <c r="E36" s="235">
        <f t="shared" si="1"/>
        <v>28701.11</v>
      </c>
      <c r="F36" s="235">
        <f t="shared" si="1"/>
        <v>30542.81</v>
      </c>
      <c r="G36" s="235">
        <f t="shared" si="1"/>
        <v>162201.29999999999</v>
      </c>
      <c r="H36" s="235">
        <f t="shared" si="1"/>
        <v>42567.519999999997</v>
      </c>
      <c r="I36" s="235">
        <f t="shared" si="1"/>
        <v>51879.92</v>
      </c>
      <c r="J36" s="235">
        <f t="shared" si="1"/>
        <v>35257.32</v>
      </c>
      <c r="K36" s="235">
        <f t="shared" si="1"/>
        <v>31435.96</v>
      </c>
      <c r="L36" s="235">
        <f t="shared" si="1"/>
        <v>42073.599999999999</v>
      </c>
      <c r="M36" s="235">
        <f t="shared" si="1"/>
        <v>47212.92</v>
      </c>
      <c r="N36" s="235">
        <f t="shared" si="1"/>
        <v>58517.68</v>
      </c>
      <c r="O36" s="235">
        <f t="shared" si="1"/>
        <v>44565.43</v>
      </c>
      <c r="P36" s="235">
        <f t="shared" si="1"/>
        <v>44641.4</v>
      </c>
      <c r="Q36" s="235">
        <f t="shared" si="1"/>
        <v>36255.65</v>
      </c>
      <c r="R36" s="235">
        <f t="shared" si="1"/>
        <v>34296.11</v>
      </c>
      <c r="S36" s="235">
        <f t="shared" si="1"/>
        <v>39922.31</v>
      </c>
      <c r="T36" s="235">
        <f t="shared" si="1"/>
        <v>56550.879999999997</v>
      </c>
      <c r="U36" s="235">
        <f t="shared" si="1"/>
        <v>56375.57</v>
      </c>
      <c r="V36" s="235">
        <f t="shared" si="1"/>
        <v>40720.58</v>
      </c>
      <c r="W36" s="235">
        <f t="shared" si="1"/>
        <v>39505.72</v>
      </c>
      <c r="X36" s="235">
        <f t="shared" si="1"/>
        <v>45320.160000000003</v>
      </c>
      <c r="Y36" s="235">
        <f t="shared" si="1"/>
        <v>50686.71</v>
      </c>
      <c r="Z36" s="235"/>
      <c r="AA36" s="235">
        <f t="shared" si="3"/>
        <v>547358.20000000007</v>
      </c>
    </row>
    <row r="37" spans="1:27" x14ac:dyDescent="0.2">
      <c r="A37" s="1" t="s">
        <v>419</v>
      </c>
      <c r="B37" s="235">
        <f t="shared" si="2"/>
        <v>3313823.69</v>
      </c>
      <c r="C37" s="235">
        <f t="shared" si="1"/>
        <v>3204463.35</v>
      </c>
      <c r="D37" s="235">
        <f t="shared" si="1"/>
        <v>3278148.93</v>
      </c>
      <c r="E37" s="235">
        <f t="shared" si="1"/>
        <v>2772416.15</v>
      </c>
      <c r="F37" s="235">
        <f t="shared" si="1"/>
        <v>2816484.62</v>
      </c>
      <c r="G37" s="235">
        <f t="shared" si="1"/>
        <v>3445681.95</v>
      </c>
      <c r="H37" s="235">
        <f t="shared" si="1"/>
        <v>4080284.32</v>
      </c>
      <c r="I37" s="235">
        <f t="shared" si="1"/>
        <v>4778658.09</v>
      </c>
      <c r="J37" s="235">
        <f t="shared" si="1"/>
        <v>3520337.89</v>
      </c>
      <c r="K37" s="235">
        <f t="shared" si="1"/>
        <v>3294928.28</v>
      </c>
      <c r="L37" s="235">
        <f t="shared" si="1"/>
        <v>3268168.06</v>
      </c>
      <c r="M37" s="235">
        <f t="shared" si="1"/>
        <v>3600829</v>
      </c>
      <c r="N37" s="235">
        <f t="shared" si="1"/>
        <v>3927999.8</v>
      </c>
      <c r="O37" s="235">
        <f t="shared" si="1"/>
        <v>3602744.88</v>
      </c>
      <c r="P37" s="235">
        <f t="shared" si="1"/>
        <v>3714558.07</v>
      </c>
      <c r="Q37" s="235">
        <f t="shared" si="1"/>
        <v>3208925.58</v>
      </c>
      <c r="R37" s="235">
        <f t="shared" si="1"/>
        <v>3357419.92</v>
      </c>
      <c r="S37" s="235">
        <f t="shared" si="1"/>
        <v>3671031.74</v>
      </c>
      <c r="T37" s="235">
        <f t="shared" si="1"/>
        <v>4364808.82</v>
      </c>
      <c r="U37" s="235">
        <f t="shared" si="1"/>
        <v>4502515.38</v>
      </c>
      <c r="V37" s="235">
        <f t="shared" si="1"/>
        <v>3464632.13</v>
      </c>
      <c r="W37" s="235">
        <f t="shared" si="1"/>
        <v>3131344.24</v>
      </c>
      <c r="X37" s="235">
        <f t="shared" si="1"/>
        <v>3198949.76</v>
      </c>
      <c r="Y37" s="235">
        <f t="shared" si="1"/>
        <v>3715882.09</v>
      </c>
      <c r="Z37" s="235"/>
      <c r="AA37" s="235">
        <f t="shared" si="3"/>
        <v>43860812.409999996</v>
      </c>
    </row>
    <row r="38" spans="1:27" x14ac:dyDescent="0.2">
      <c r="A38" s="1" t="s">
        <v>420</v>
      </c>
      <c r="B38" s="235">
        <f t="shared" si="2"/>
        <v>318743.5</v>
      </c>
      <c r="C38" s="235">
        <f t="shared" si="1"/>
        <v>302951.98</v>
      </c>
      <c r="D38" s="235">
        <f t="shared" si="1"/>
        <v>284393</v>
      </c>
      <c r="E38" s="235">
        <f t="shared" si="1"/>
        <v>241911.6</v>
      </c>
      <c r="F38" s="235">
        <f t="shared" si="1"/>
        <v>236519.86</v>
      </c>
      <c r="G38" s="235">
        <f t="shared" si="1"/>
        <v>264366</v>
      </c>
      <c r="H38" s="235">
        <f t="shared" si="1"/>
        <v>283544.12</v>
      </c>
      <c r="I38" s="235">
        <f t="shared" si="1"/>
        <v>326610.26</v>
      </c>
      <c r="J38" s="235">
        <f t="shared" si="1"/>
        <v>258220.04</v>
      </c>
      <c r="K38" s="235">
        <f t="shared" si="1"/>
        <v>248298.64</v>
      </c>
      <c r="L38" s="235">
        <f t="shared" si="1"/>
        <v>261046.84</v>
      </c>
      <c r="M38" s="235">
        <f t="shared" si="1"/>
        <v>292439.98</v>
      </c>
      <c r="N38" s="235">
        <f t="shared" si="1"/>
        <v>344453.52</v>
      </c>
      <c r="O38" s="235">
        <f t="shared" si="1"/>
        <v>298089.15999999997</v>
      </c>
      <c r="P38" s="235">
        <f t="shared" si="1"/>
        <v>298659.20000000001</v>
      </c>
      <c r="Q38" s="235">
        <f t="shared" si="1"/>
        <v>249484.48</v>
      </c>
      <c r="R38" s="235">
        <f t="shared" si="1"/>
        <v>245998.16</v>
      </c>
      <c r="S38" s="235">
        <f t="shared" si="1"/>
        <v>257946.3</v>
      </c>
      <c r="T38" s="235">
        <f t="shared" si="1"/>
        <v>300921.7</v>
      </c>
      <c r="U38" s="235">
        <f t="shared" si="1"/>
        <v>305377.96000000002</v>
      </c>
      <c r="V38" s="235">
        <f t="shared" si="1"/>
        <v>256200.16</v>
      </c>
      <c r="W38" s="235">
        <f t="shared" si="1"/>
        <v>241668.6</v>
      </c>
      <c r="X38" s="235">
        <f t="shared" si="1"/>
        <v>49861.8</v>
      </c>
      <c r="Y38" s="235">
        <f t="shared" si="1"/>
        <v>42284.34</v>
      </c>
      <c r="Z38" s="235"/>
      <c r="AA38" s="235">
        <f t="shared" si="3"/>
        <v>2890945.38</v>
      </c>
    </row>
    <row r="39" spans="1:27" x14ac:dyDescent="0.2">
      <c r="A39" s="1" t="s">
        <v>426</v>
      </c>
      <c r="B39" s="235">
        <f t="shared" si="2"/>
        <v>0</v>
      </c>
      <c r="C39" s="235">
        <f t="shared" si="1"/>
        <v>0</v>
      </c>
      <c r="D39" s="235">
        <f t="shared" si="1"/>
        <v>0</v>
      </c>
      <c r="E39" s="235">
        <f t="shared" si="1"/>
        <v>0</v>
      </c>
      <c r="F39" s="235">
        <f t="shared" si="1"/>
        <v>0</v>
      </c>
      <c r="G39" s="235">
        <f t="shared" si="1"/>
        <v>0</v>
      </c>
      <c r="H39" s="235">
        <f t="shared" si="1"/>
        <v>0</v>
      </c>
      <c r="I39" s="235">
        <f t="shared" si="1"/>
        <v>0</v>
      </c>
      <c r="J39" s="235">
        <f t="shared" si="1"/>
        <v>0</v>
      </c>
      <c r="K39" s="235">
        <f t="shared" si="1"/>
        <v>0</v>
      </c>
      <c r="L39" s="235">
        <f t="shared" si="1"/>
        <v>0</v>
      </c>
      <c r="M39" s="235">
        <f t="shared" si="1"/>
        <v>0</v>
      </c>
      <c r="N39" s="235">
        <f t="shared" si="1"/>
        <v>0</v>
      </c>
      <c r="O39" s="235">
        <f t="shared" si="1"/>
        <v>0</v>
      </c>
      <c r="P39" s="235">
        <f t="shared" si="1"/>
        <v>0</v>
      </c>
      <c r="Q39" s="235">
        <f t="shared" si="1"/>
        <v>0</v>
      </c>
      <c r="R39" s="235">
        <f t="shared" si="1"/>
        <v>0</v>
      </c>
      <c r="S39" s="235">
        <f t="shared" si="1"/>
        <v>0</v>
      </c>
      <c r="T39" s="235">
        <f t="shared" si="1"/>
        <v>0</v>
      </c>
      <c r="U39" s="235">
        <f t="shared" si="1"/>
        <v>0</v>
      </c>
      <c r="V39" s="235">
        <f t="shared" si="1"/>
        <v>0</v>
      </c>
      <c r="W39" s="235">
        <f t="shared" si="1"/>
        <v>0</v>
      </c>
      <c r="X39" s="235">
        <f t="shared" si="1"/>
        <v>210501.86</v>
      </c>
      <c r="Y39" s="235">
        <f t="shared" si="1"/>
        <v>258614.1</v>
      </c>
      <c r="Z39" s="235"/>
      <c r="AA39" s="235">
        <f t="shared" si="3"/>
        <v>469115.95999999996</v>
      </c>
    </row>
    <row r="40" spans="1:27" x14ac:dyDescent="0.2">
      <c r="A40" s="1" t="s">
        <v>421</v>
      </c>
      <c r="B40" s="235">
        <f t="shared" si="2"/>
        <v>55652.639999999999</v>
      </c>
      <c r="C40" s="235">
        <f t="shared" si="1"/>
        <v>51030</v>
      </c>
      <c r="D40" s="235">
        <f t="shared" si="1"/>
        <v>58492.08</v>
      </c>
      <c r="E40" s="235">
        <f t="shared" si="1"/>
        <v>57424.62</v>
      </c>
      <c r="F40" s="235">
        <f t="shared" si="1"/>
        <v>61167.96</v>
      </c>
      <c r="G40" s="235">
        <f t="shared" si="1"/>
        <v>67962.66</v>
      </c>
      <c r="H40" s="235">
        <f t="shared" si="1"/>
        <v>75241.8</v>
      </c>
      <c r="I40" s="235">
        <f t="shared" si="1"/>
        <v>88070.04</v>
      </c>
      <c r="J40" s="235">
        <f t="shared" si="1"/>
        <v>76853.88</v>
      </c>
      <c r="K40" s="235">
        <f t="shared" si="1"/>
        <v>75363.360000000001</v>
      </c>
      <c r="L40" s="235">
        <f t="shared" si="1"/>
        <v>62963.16</v>
      </c>
      <c r="M40" s="235">
        <f t="shared" si="1"/>
        <v>55661.1</v>
      </c>
      <c r="N40" s="235">
        <f t="shared" si="1"/>
        <v>54280.14</v>
      </c>
      <c r="O40" s="235">
        <f t="shared" si="1"/>
        <v>51748.26</v>
      </c>
      <c r="P40" s="235">
        <f t="shared" si="1"/>
        <v>59731.08</v>
      </c>
      <c r="Q40" s="235">
        <f t="shared" si="1"/>
        <v>62976.84</v>
      </c>
      <c r="R40" s="235">
        <f t="shared" si="1"/>
        <v>77970.66</v>
      </c>
      <c r="S40" s="235">
        <f t="shared" si="1"/>
        <v>81309.42</v>
      </c>
      <c r="T40" s="235">
        <f t="shared" si="1"/>
        <v>85985.46</v>
      </c>
      <c r="U40" s="235">
        <f t="shared" si="1"/>
        <v>84056.94</v>
      </c>
      <c r="V40" s="235">
        <f t="shared" si="1"/>
        <v>78070.14</v>
      </c>
      <c r="W40" s="235">
        <f t="shared" si="1"/>
        <v>69461.759999999995</v>
      </c>
      <c r="X40" s="235">
        <f t="shared" si="1"/>
        <v>57788.04</v>
      </c>
      <c r="Y40" s="235">
        <f t="shared" si="1"/>
        <v>51504.959999999999</v>
      </c>
      <c r="Z40" s="235"/>
      <c r="AA40" s="235">
        <f t="shared" si="3"/>
        <v>814883.70000000007</v>
      </c>
    </row>
    <row r="41" spans="1:27" x14ac:dyDescent="0.2">
      <c r="A41" s="1" t="s">
        <v>422</v>
      </c>
      <c r="B41" s="235">
        <f t="shared" si="2"/>
        <v>3586786.1700000004</v>
      </c>
      <c r="C41" s="235">
        <f t="shared" si="1"/>
        <v>3308300.9299999997</v>
      </c>
      <c r="D41" s="235">
        <f t="shared" si="1"/>
        <v>3618168.6799999997</v>
      </c>
      <c r="E41" s="235">
        <f t="shared" si="1"/>
        <v>3156193.92</v>
      </c>
      <c r="F41" s="235">
        <f t="shared" si="1"/>
        <v>3190657.66</v>
      </c>
      <c r="G41" s="235">
        <f t="shared" si="1"/>
        <v>3782181.0999999996</v>
      </c>
      <c r="H41" s="235">
        <f t="shared" si="1"/>
        <v>4206934.67</v>
      </c>
      <c r="I41" s="235">
        <f t="shared" si="1"/>
        <v>4830794.6400000006</v>
      </c>
      <c r="J41" s="235">
        <f t="shared" si="1"/>
        <v>4146555.02</v>
      </c>
      <c r="K41" s="235">
        <f t="shared" si="1"/>
        <v>4048181.23</v>
      </c>
      <c r="L41" s="235">
        <f t="shared" si="1"/>
        <v>3789450.4099999997</v>
      </c>
      <c r="M41" s="235">
        <f t="shared" si="1"/>
        <v>3983478.56</v>
      </c>
      <c r="N41" s="235">
        <f t="shared" si="1"/>
        <v>4058502.65</v>
      </c>
      <c r="O41" s="235">
        <f t="shared" si="1"/>
        <v>3775370.8400000003</v>
      </c>
      <c r="P41" s="235">
        <f t="shared" si="1"/>
        <v>4071372.47</v>
      </c>
      <c r="Q41" s="235">
        <f t="shared" si="1"/>
        <v>3689412.32</v>
      </c>
      <c r="R41" s="235">
        <f t="shared" si="1"/>
        <v>4039064.68</v>
      </c>
      <c r="S41" s="235">
        <f t="shared" si="1"/>
        <v>4199108.45</v>
      </c>
      <c r="T41" s="235">
        <f t="shared" si="1"/>
        <v>4760462.24</v>
      </c>
      <c r="U41" s="235">
        <f t="shared" si="1"/>
        <v>4848954.34</v>
      </c>
      <c r="V41" s="235">
        <f t="shared" si="1"/>
        <v>4298809.3500000006</v>
      </c>
      <c r="W41" s="235">
        <f t="shared" si="1"/>
        <v>3994120.3699999996</v>
      </c>
      <c r="X41" s="235">
        <f t="shared" si="1"/>
        <v>4258469.84</v>
      </c>
      <c r="Y41" s="235">
        <f t="shared" si="1"/>
        <v>4491868.92</v>
      </c>
      <c r="Z41" s="235"/>
      <c r="AA41" s="235">
        <f t="shared" si="3"/>
        <v>50485516.469999999</v>
      </c>
    </row>
    <row r="42" spans="1:27" x14ac:dyDescent="0.2">
      <c r="A42" s="1" t="s">
        <v>423</v>
      </c>
      <c r="B42" s="235">
        <f t="shared" si="2"/>
        <v>1837344.8299999998</v>
      </c>
      <c r="C42" s="235">
        <f t="shared" si="1"/>
        <v>1617308.46</v>
      </c>
      <c r="D42" s="235">
        <f t="shared" si="1"/>
        <v>1702820.1800000002</v>
      </c>
      <c r="E42" s="235">
        <f t="shared" si="1"/>
        <v>1450682.1400000001</v>
      </c>
      <c r="F42" s="235">
        <f t="shared" si="1"/>
        <v>1544833.29</v>
      </c>
      <c r="G42" s="235">
        <f t="shared" si="1"/>
        <v>1974496.33</v>
      </c>
      <c r="H42" s="235">
        <f t="shared" si="1"/>
        <v>2072758.42</v>
      </c>
      <c r="I42" s="235">
        <f t="shared" si="1"/>
        <v>2566630</v>
      </c>
      <c r="J42" s="235">
        <f t="shared" si="1"/>
        <v>1846554.81</v>
      </c>
      <c r="K42" s="235">
        <f t="shared" si="1"/>
        <v>1750011.6099999999</v>
      </c>
      <c r="L42" s="235">
        <f t="shared" si="1"/>
        <v>1846864.19</v>
      </c>
      <c r="M42" s="235">
        <f t="shared" si="1"/>
        <v>1967318.6800000002</v>
      </c>
      <c r="N42" s="235">
        <f t="shared" si="1"/>
        <v>2094172.1099999999</v>
      </c>
      <c r="O42" s="235">
        <f t="shared" si="1"/>
        <v>1929153.53</v>
      </c>
      <c r="P42" s="235">
        <f t="shared" si="1"/>
        <v>1869367.78</v>
      </c>
      <c r="Q42" s="235">
        <f t="shared" si="1"/>
        <v>1549467.0499999998</v>
      </c>
      <c r="R42" s="235">
        <f t="shared" si="1"/>
        <v>1762904.97</v>
      </c>
      <c r="S42" s="235">
        <f t="shared" si="1"/>
        <v>2122943.9700000002</v>
      </c>
      <c r="T42" s="235">
        <f t="shared" si="1"/>
        <v>2638890.62</v>
      </c>
      <c r="U42" s="235">
        <f t="shared" si="1"/>
        <v>2799412.67</v>
      </c>
      <c r="V42" s="235">
        <f t="shared" si="1"/>
        <v>2135447.44</v>
      </c>
      <c r="W42" s="235">
        <f t="shared" si="1"/>
        <v>1766131.75</v>
      </c>
      <c r="X42" s="235">
        <f t="shared" si="1"/>
        <v>1610182.86</v>
      </c>
      <c r="Y42" s="235">
        <f t="shared" si="1"/>
        <v>1681828.73</v>
      </c>
      <c r="Z42" s="235"/>
      <c r="AA42" s="235">
        <f t="shared" si="3"/>
        <v>23959903.48</v>
      </c>
    </row>
    <row r="43" spans="1:27" x14ac:dyDescent="0.2">
      <c r="A43" s="1" t="s">
        <v>424</v>
      </c>
      <c r="B43" s="235">
        <f t="shared" si="2"/>
        <v>7452.08</v>
      </c>
      <c r="C43" s="235">
        <f t="shared" si="1"/>
        <v>6214.11</v>
      </c>
      <c r="D43" s="235">
        <f t="shared" si="1"/>
        <v>6176.97</v>
      </c>
      <c r="E43" s="235">
        <f t="shared" si="1"/>
        <v>5220.4799999999996</v>
      </c>
      <c r="F43" s="235">
        <f t="shared" si="1"/>
        <v>4753.33</v>
      </c>
      <c r="G43" s="235">
        <f t="shared" si="1"/>
        <v>4281.78</v>
      </c>
      <c r="H43" s="235">
        <f t="shared" si="1"/>
        <v>4597.99</v>
      </c>
      <c r="I43" s="235">
        <f t="shared" si="1"/>
        <v>5164.2299999999996</v>
      </c>
      <c r="J43" s="235">
        <f t="shared" si="1"/>
        <v>5697.34</v>
      </c>
      <c r="K43" s="235">
        <f t="shared" si="1"/>
        <v>6640.1</v>
      </c>
      <c r="L43" s="235">
        <f t="shared" si="1"/>
        <v>7070.16</v>
      </c>
      <c r="M43" s="235">
        <f t="shared" si="1"/>
        <v>7644.45</v>
      </c>
      <c r="N43" s="235">
        <f t="shared" si="1"/>
        <v>7452.08</v>
      </c>
      <c r="O43" s="235">
        <f t="shared" si="1"/>
        <v>6214.11</v>
      </c>
      <c r="P43" s="235">
        <f t="shared" si="1"/>
        <v>6176.97</v>
      </c>
      <c r="Q43" s="235">
        <f t="shared" si="1"/>
        <v>5220.4799999999996</v>
      </c>
      <c r="R43" s="235">
        <f t="shared" si="1"/>
        <v>4753.33</v>
      </c>
      <c r="S43" s="235">
        <f t="shared" si="1"/>
        <v>4281.78</v>
      </c>
      <c r="T43" s="235">
        <f t="shared" si="1"/>
        <v>4597.99</v>
      </c>
      <c r="U43" s="235">
        <f t="shared" si="1"/>
        <v>5164.2299999999996</v>
      </c>
      <c r="V43" s="235">
        <f t="shared" si="1"/>
        <v>5697.34</v>
      </c>
      <c r="W43" s="235">
        <f t="shared" si="1"/>
        <v>6640.1</v>
      </c>
      <c r="X43" s="235">
        <f t="shared" si="1"/>
        <v>7070.16</v>
      </c>
      <c r="Y43" s="235">
        <f t="shared" si="1"/>
        <v>7644.45</v>
      </c>
      <c r="Z43" s="235"/>
      <c r="AA43" s="235">
        <f t="shared" si="3"/>
        <v>70913.01999999999</v>
      </c>
    </row>
    <row r="44" spans="1:27" x14ac:dyDescent="0.2">
      <c r="A44" s="1" t="s">
        <v>425</v>
      </c>
      <c r="B44" s="235">
        <f t="shared" si="2"/>
        <v>51206.73</v>
      </c>
      <c r="C44" s="235">
        <f t="shared" si="1"/>
        <v>42698.94</v>
      </c>
      <c r="D44" s="235">
        <f t="shared" si="1"/>
        <v>42444</v>
      </c>
      <c r="E44" s="235">
        <f t="shared" si="1"/>
        <v>36252.03</v>
      </c>
      <c r="F44" s="235">
        <f t="shared" si="1"/>
        <v>33007.599999999999</v>
      </c>
      <c r="G44" s="235">
        <f t="shared" si="1"/>
        <v>29734.44</v>
      </c>
      <c r="H44" s="235">
        <f t="shared" si="1"/>
        <v>31929.26</v>
      </c>
      <c r="I44" s="235">
        <f t="shared" si="1"/>
        <v>35860.79</v>
      </c>
      <c r="J44" s="235">
        <f t="shared" si="1"/>
        <v>39563.29</v>
      </c>
      <c r="K44" s="235">
        <f t="shared" si="1"/>
        <v>46109.42</v>
      </c>
      <c r="L44" s="235">
        <f t="shared" si="1"/>
        <v>49096.26</v>
      </c>
      <c r="M44" s="235">
        <f t="shared" si="1"/>
        <v>53085.07</v>
      </c>
      <c r="N44" s="235">
        <f t="shared" si="1"/>
        <v>51749.08</v>
      </c>
      <c r="O44" s="235">
        <f t="shared" si="1"/>
        <v>43151.25</v>
      </c>
      <c r="P44" s="235">
        <f t="shared" si="1"/>
        <v>42893.62</v>
      </c>
      <c r="Q44" s="235">
        <f t="shared" si="1"/>
        <v>36252.03</v>
      </c>
      <c r="R44" s="235">
        <f t="shared" si="1"/>
        <v>33007.599999999999</v>
      </c>
      <c r="S44" s="235">
        <f t="shared" si="1"/>
        <v>29734.44</v>
      </c>
      <c r="T44" s="235">
        <f t="shared" ref="T44:Y44" si="4">+T16+T30</f>
        <v>31929.26</v>
      </c>
      <c r="U44" s="235">
        <f t="shared" si="4"/>
        <v>35860.79</v>
      </c>
      <c r="V44" s="235">
        <f t="shared" si="4"/>
        <v>39563.29</v>
      </c>
      <c r="W44" s="235">
        <f t="shared" si="4"/>
        <v>46109.42</v>
      </c>
      <c r="X44" s="235">
        <f t="shared" si="4"/>
        <v>49096.26</v>
      </c>
      <c r="Y44" s="235">
        <f t="shared" si="4"/>
        <v>53085.07</v>
      </c>
      <c r="Z44" s="235"/>
      <c r="AA44" s="235">
        <f t="shared" si="3"/>
        <v>492432.11</v>
      </c>
    </row>
    <row r="45" spans="1:27" x14ac:dyDescent="0.2">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row>
    <row r="46" spans="1:27" x14ac:dyDescent="0.2">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row>
    <row r="47" spans="1:27" x14ac:dyDescent="0.2">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row>
    <row r="48" spans="1:27" x14ac:dyDescent="0.2">
      <c r="A48" s="1" t="s">
        <v>429</v>
      </c>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row>
    <row r="49" spans="1:26" x14ac:dyDescent="0.2">
      <c r="A49" s="24">
        <v>27187</v>
      </c>
      <c r="B49" s="235">
        <v>2278981.6</v>
      </c>
      <c r="C49" s="235">
        <v>2144486.3999999999</v>
      </c>
      <c r="D49" s="235">
        <v>1888992</v>
      </c>
      <c r="E49" s="235">
        <v>1604528.8</v>
      </c>
      <c r="F49" s="235">
        <v>1456873.6</v>
      </c>
      <c r="G49" s="235">
        <v>1443859.2</v>
      </c>
      <c r="H49" s="235">
        <v>1411771.2</v>
      </c>
      <c r="I49" s="235">
        <v>1548148</v>
      </c>
      <c r="J49" s="235">
        <v>1639422.4</v>
      </c>
      <c r="K49" s="235">
        <v>2076334.4</v>
      </c>
      <c r="L49" s="235">
        <v>1253078.3999999999</v>
      </c>
      <c r="M49" s="235">
        <v>389317.6</v>
      </c>
      <c r="N49" s="235">
        <v>343459.2</v>
      </c>
      <c r="O49" s="235">
        <v>191245.6</v>
      </c>
      <c r="P49" s="235">
        <v>195451.2</v>
      </c>
      <c r="Q49" s="235">
        <v>186037.6</v>
      </c>
      <c r="R49" s="235">
        <v>173056.8</v>
      </c>
      <c r="S49" s="235">
        <v>161610.4</v>
      </c>
      <c r="T49" s="562"/>
      <c r="U49" s="562"/>
      <c r="V49" s="562"/>
      <c r="W49" s="562"/>
      <c r="X49" s="562"/>
      <c r="Y49" s="562"/>
      <c r="Z49" s="235"/>
    </row>
    <row r="50" spans="1:26" x14ac:dyDescent="0.2">
      <c r="A50" s="24">
        <v>6517</v>
      </c>
      <c r="B50" s="235">
        <v>275308.79999999999</v>
      </c>
      <c r="C50" s="235">
        <v>249369.9</v>
      </c>
      <c r="D50" s="235">
        <v>300464.40000000002</v>
      </c>
      <c r="E50" s="235">
        <v>282460.2</v>
      </c>
      <c r="F50" s="235">
        <v>296261.40000000002</v>
      </c>
      <c r="G50" s="235">
        <v>316442.09999999998</v>
      </c>
      <c r="H50" s="235">
        <v>315747.3</v>
      </c>
      <c r="I50" s="235">
        <v>347772.3</v>
      </c>
      <c r="J50" s="235">
        <v>314660.7</v>
      </c>
      <c r="K50" s="235">
        <v>267817.8</v>
      </c>
      <c r="L50" s="235">
        <v>264489</v>
      </c>
      <c r="M50" s="235">
        <v>250482.9</v>
      </c>
      <c r="N50" s="235">
        <v>229131</v>
      </c>
      <c r="O50" s="235">
        <v>237195.3</v>
      </c>
      <c r="P50" s="235">
        <v>276898.8</v>
      </c>
      <c r="Q50" s="235">
        <v>262881.90000000002</v>
      </c>
      <c r="R50" s="235">
        <v>301019.7</v>
      </c>
      <c r="S50" s="235">
        <v>321153.3</v>
      </c>
      <c r="T50" s="235">
        <v>320354.40000000002</v>
      </c>
      <c r="U50" s="235">
        <v>344087.4</v>
      </c>
      <c r="V50" s="235">
        <v>301308.3</v>
      </c>
      <c r="W50" s="235">
        <v>279939.3</v>
      </c>
      <c r="X50" s="235">
        <v>265860</v>
      </c>
      <c r="Y50" s="235">
        <v>251700.9</v>
      </c>
      <c r="Z50" s="235"/>
    </row>
    <row r="51" spans="1:26" x14ac:dyDescent="0.2">
      <c r="A51" s="24">
        <v>23441</v>
      </c>
      <c r="B51" s="562"/>
      <c r="C51" s="562"/>
      <c r="D51" s="562"/>
      <c r="E51" s="562"/>
      <c r="F51" s="562"/>
      <c r="G51" s="562"/>
      <c r="H51" s="235">
        <v>298463.28000000003</v>
      </c>
      <c r="I51" s="235">
        <v>307714.32</v>
      </c>
      <c r="J51" s="235">
        <v>273049.68</v>
      </c>
      <c r="K51" s="235">
        <v>215187.84</v>
      </c>
      <c r="L51" s="235">
        <v>173169.36</v>
      </c>
      <c r="M51" s="235">
        <v>235544.4</v>
      </c>
      <c r="N51" s="235">
        <v>252547.68</v>
      </c>
      <c r="O51" s="235">
        <v>236482.32</v>
      </c>
      <c r="P51" s="235">
        <v>278795.03999999998</v>
      </c>
      <c r="Q51" s="235">
        <v>287539.68</v>
      </c>
      <c r="R51" s="235">
        <v>304755.84000000003</v>
      </c>
      <c r="S51" s="235">
        <v>303959.76</v>
      </c>
      <c r="T51" s="235">
        <v>321959.03999999998</v>
      </c>
      <c r="U51" s="235">
        <v>314704.32</v>
      </c>
      <c r="V51" s="235">
        <v>274956.24</v>
      </c>
      <c r="W51" s="235">
        <v>238535.28</v>
      </c>
      <c r="X51" s="235">
        <v>158771.51999999999</v>
      </c>
      <c r="Y51" s="235">
        <v>228994.32</v>
      </c>
      <c r="Z51" s="235"/>
    </row>
    <row r="52" spans="1:26" x14ac:dyDescent="0.2">
      <c r="A52" s="24">
        <v>27719</v>
      </c>
      <c r="B52" s="562"/>
      <c r="C52" s="562"/>
      <c r="D52" s="562"/>
      <c r="E52" s="562"/>
      <c r="F52" s="562"/>
      <c r="G52" s="562"/>
      <c r="H52" s="562"/>
      <c r="I52" s="562"/>
      <c r="J52" s="562"/>
      <c r="K52" s="562"/>
      <c r="L52" s="562"/>
      <c r="M52" s="562"/>
      <c r="N52" s="562"/>
      <c r="O52" s="562"/>
      <c r="P52" s="562"/>
      <c r="Q52" s="562"/>
      <c r="R52" s="562"/>
      <c r="S52" s="562"/>
      <c r="T52" s="235">
        <v>113101.8</v>
      </c>
      <c r="U52" s="235">
        <v>117113.4</v>
      </c>
      <c r="V52" s="235">
        <v>150459.6</v>
      </c>
      <c r="W52" s="235">
        <v>184996.8</v>
      </c>
      <c r="X52" s="235">
        <v>227403.6</v>
      </c>
      <c r="Y52" s="235">
        <v>296918.40000000002</v>
      </c>
      <c r="Z52" s="235"/>
    </row>
    <row r="53" spans="1:26" x14ac:dyDescent="0.2">
      <c r="A53" s="24">
        <v>2266</v>
      </c>
      <c r="B53" s="562"/>
      <c r="C53" s="562"/>
      <c r="D53" s="562"/>
      <c r="E53" s="562"/>
      <c r="F53" s="562"/>
      <c r="G53" s="562"/>
      <c r="H53" s="562"/>
      <c r="I53" s="562"/>
      <c r="J53" s="562"/>
      <c r="K53" s="562"/>
      <c r="L53" s="562"/>
      <c r="M53" s="562"/>
      <c r="N53" s="562"/>
      <c r="O53" s="562"/>
      <c r="P53" s="562"/>
      <c r="Q53" s="562"/>
      <c r="R53" s="562"/>
      <c r="S53" s="562"/>
      <c r="T53" s="235">
        <v>1709.7</v>
      </c>
      <c r="U53" s="235">
        <v>1896.76</v>
      </c>
      <c r="V53" s="235">
        <v>1662</v>
      </c>
      <c r="W53" s="235">
        <v>1760.44</v>
      </c>
      <c r="X53" s="235">
        <v>1882.28</v>
      </c>
      <c r="Y53" s="235">
        <v>2080.8000000000002</v>
      </c>
      <c r="Z53" s="235"/>
    </row>
    <row r="54" spans="1:26" x14ac:dyDescent="0.2">
      <c r="A54" s="24">
        <v>27877</v>
      </c>
      <c r="B54" s="562"/>
      <c r="C54" s="562"/>
      <c r="D54" s="562"/>
      <c r="E54" s="562"/>
      <c r="F54" s="562"/>
      <c r="G54" s="562"/>
      <c r="H54" s="562"/>
      <c r="I54" s="562"/>
      <c r="J54" s="562"/>
      <c r="K54" s="562"/>
      <c r="L54" s="562"/>
      <c r="M54" s="562"/>
      <c r="N54" s="562"/>
      <c r="O54" s="562"/>
      <c r="P54" s="562"/>
      <c r="Q54" s="562"/>
      <c r="R54" s="562"/>
      <c r="S54" s="562"/>
      <c r="T54" s="235">
        <v>0</v>
      </c>
      <c r="U54" s="235">
        <v>0</v>
      </c>
      <c r="V54" s="235">
        <v>0</v>
      </c>
      <c r="W54" s="235">
        <v>0</v>
      </c>
      <c r="X54" s="235">
        <v>0</v>
      </c>
      <c r="Y54" s="235">
        <v>0</v>
      </c>
      <c r="Z54" s="235"/>
    </row>
    <row r="55" spans="1:26" x14ac:dyDescent="0.2">
      <c r="A55" s="24">
        <v>27878</v>
      </c>
      <c r="B55" s="562"/>
      <c r="C55" s="562"/>
      <c r="D55" s="562"/>
      <c r="E55" s="562"/>
      <c r="F55" s="562"/>
      <c r="G55" s="562"/>
      <c r="H55" s="562"/>
      <c r="I55" s="562"/>
      <c r="J55" s="562"/>
      <c r="K55" s="562"/>
      <c r="L55" s="562"/>
      <c r="M55" s="562"/>
      <c r="N55" s="562"/>
      <c r="O55" s="562"/>
      <c r="P55" s="562"/>
      <c r="Q55" s="562"/>
      <c r="R55" s="562"/>
      <c r="S55" s="562"/>
      <c r="T55" s="235">
        <v>0</v>
      </c>
      <c r="U55" s="235">
        <v>0</v>
      </c>
      <c r="V55" s="235">
        <v>0</v>
      </c>
      <c r="W55" s="235">
        <v>0</v>
      </c>
      <c r="X55" s="235">
        <v>0</v>
      </c>
      <c r="Y55" s="235">
        <v>0</v>
      </c>
      <c r="Z55" s="235"/>
    </row>
    <row r="56" spans="1:26" x14ac:dyDescent="0.2">
      <c r="B56" s="235"/>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235"/>
    </row>
    <row r="57" spans="1:26" x14ac:dyDescent="0.2">
      <c r="A57" s="1" t="s">
        <v>5</v>
      </c>
      <c r="B57" s="235">
        <f>+B5+B6+B19+B20</f>
        <v>6873355.04</v>
      </c>
      <c r="C57" s="235">
        <f t="shared" ref="C57:N57" si="5">+C5+C6+C19+C20</f>
        <v>6334276.4399999995</v>
      </c>
      <c r="D57" s="235">
        <f t="shared" si="5"/>
        <v>5960100.7300000004</v>
      </c>
      <c r="E57" s="235">
        <f t="shared" si="5"/>
        <v>5294794.58</v>
      </c>
      <c r="F57" s="235">
        <f t="shared" si="5"/>
        <v>5785032.6300000008</v>
      </c>
      <c r="G57" s="235">
        <f t="shared" si="5"/>
        <v>7424178.8499999996</v>
      </c>
      <c r="H57" s="235">
        <f t="shared" si="5"/>
        <v>7874575.2599999998</v>
      </c>
      <c r="I57" s="235">
        <f t="shared" si="5"/>
        <v>9421351.6199999992</v>
      </c>
      <c r="J57" s="235">
        <f t="shared" si="5"/>
        <v>6169794.1200000001</v>
      </c>
      <c r="K57" s="235">
        <f t="shared" si="5"/>
        <v>5477446.1399999997</v>
      </c>
      <c r="L57" s="235">
        <f t="shared" si="5"/>
        <v>5564159.9000000004</v>
      </c>
      <c r="M57" s="235">
        <f t="shared" si="5"/>
        <v>6466655.3599999994</v>
      </c>
      <c r="N57" s="235">
        <f t="shared" si="5"/>
        <v>7217029.7800000003</v>
      </c>
      <c r="O57" s="235">
        <f t="shared" ref="O57:Y57" si="6">+O5+O6+O19+O20</f>
        <v>6236727.6600000001</v>
      </c>
      <c r="P57" s="235">
        <f t="shared" si="6"/>
        <v>6175434.1399999997</v>
      </c>
      <c r="Q57" s="235">
        <f t="shared" si="6"/>
        <v>5268028.83</v>
      </c>
      <c r="R57" s="235">
        <f t="shared" si="6"/>
        <v>5721257.8700000001</v>
      </c>
      <c r="S57" s="235">
        <f t="shared" si="6"/>
        <v>6783394.3500000006</v>
      </c>
      <c r="T57" s="235">
        <f t="shared" si="6"/>
        <v>8603845.1899999995</v>
      </c>
      <c r="U57" s="235">
        <f t="shared" si="6"/>
        <v>8565411.1600000001</v>
      </c>
      <c r="V57" s="235">
        <f t="shared" si="6"/>
        <v>6127698.5099999998</v>
      </c>
      <c r="W57" s="235">
        <f t="shared" si="6"/>
        <v>5208168.8899999997</v>
      </c>
      <c r="X57" s="235">
        <f t="shared" si="6"/>
        <v>5459416.3799999999</v>
      </c>
      <c r="Y57" s="235">
        <f t="shared" si="6"/>
        <v>6691915.5700000003</v>
      </c>
      <c r="Z57" s="235"/>
    </row>
    <row r="58" spans="1:26" x14ac:dyDescent="0.2">
      <c r="A58" s="1" t="s">
        <v>172</v>
      </c>
      <c r="B58" s="235">
        <f>+B8+B9+B22+B23</f>
        <v>3352992.92</v>
      </c>
      <c r="C58" s="235">
        <f t="shared" ref="C58:M58" si="7">+C8+C9+C22+C23</f>
        <v>3239239.87</v>
      </c>
      <c r="D58" s="235">
        <f t="shared" si="7"/>
        <v>3311003.3400000003</v>
      </c>
      <c r="E58" s="235">
        <f t="shared" si="7"/>
        <v>2801117.26</v>
      </c>
      <c r="F58" s="235">
        <f t="shared" si="7"/>
        <v>2847027.43</v>
      </c>
      <c r="G58" s="235">
        <f t="shared" si="7"/>
        <v>3607883.2500000005</v>
      </c>
      <c r="H58" s="235">
        <f t="shared" si="7"/>
        <v>4122851.84</v>
      </c>
      <c r="I58" s="235">
        <f t="shared" si="7"/>
        <v>4830538.01</v>
      </c>
      <c r="J58" s="235">
        <f t="shared" si="7"/>
        <v>3555595.21</v>
      </c>
      <c r="K58" s="235">
        <f t="shared" si="7"/>
        <v>3326364.2399999998</v>
      </c>
      <c r="L58" s="235">
        <f t="shared" si="7"/>
        <v>3310241.66</v>
      </c>
      <c r="M58" s="235">
        <f t="shared" si="7"/>
        <v>3648041.92</v>
      </c>
      <c r="N58" s="235">
        <f>+N8+N9+N22+N23</f>
        <v>3986517.48</v>
      </c>
      <c r="O58" s="235">
        <f t="shared" ref="O58:Y58" si="8">+O8+O9+O22+O23</f>
        <v>3647310.31</v>
      </c>
      <c r="P58" s="235">
        <f t="shared" si="8"/>
        <v>3759199.4699999997</v>
      </c>
      <c r="Q58" s="235">
        <f t="shared" si="8"/>
        <v>3245181.23</v>
      </c>
      <c r="R58" s="235">
        <f t="shared" si="8"/>
        <v>3391716.03</v>
      </c>
      <c r="S58" s="235">
        <f t="shared" si="8"/>
        <v>3710954.0500000003</v>
      </c>
      <c r="T58" s="235">
        <f t="shared" si="8"/>
        <v>4421359.7</v>
      </c>
      <c r="U58" s="235">
        <f t="shared" si="8"/>
        <v>4558890.95</v>
      </c>
      <c r="V58" s="235">
        <f t="shared" si="8"/>
        <v>3505352.71</v>
      </c>
      <c r="W58" s="235">
        <f t="shared" si="8"/>
        <v>3170849.9600000004</v>
      </c>
      <c r="X58" s="235">
        <f t="shared" si="8"/>
        <v>3244269.92</v>
      </c>
      <c r="Y58" s="235">
        <f t="shared" si="8"/>
        <v>3766568.8</v>
      </c>
      <c r="Z58" s="235"/>
    </row>
    <row r="59" spans="1:26" x14ac:dyDescent="0.2">
      <c r="A59" s="1" t="s">
        <v>173</v>
      </c>
      <c r="B59" s="235">
        <f>+B10+B11+B12+B13+B14+B50+B51+B52+B53+B54+B55+B24+B25+B26+B27+B28</f>
        <v>6073835.9399999995</v>
      </c>
      <c r="C59" s="235">
        <f t="shared" ref="C59:N59" si="9">+C10+C11+C12+C13+C14+C50+C51+C52+C53+C54+C55+C24+C25+C26+C27+C28</f>
        <v>5528961.2700000005</v>
      </c>
      <c r="D59" s="235">
        <f t="shared" si="9"/>
        <v>5964338.3400000008</v>
      </c>
      <c r="E59" s="235">
        <f t="shared" si="9"/>
        <v>5188672.4800000004</v>
      </c>
      <c r="F59" s="235">
        <f t="shared" si="9"/>
        <v>5329440.1700000009</v>
      </c>
      <c r="G59" s="235">
        <f t="shared" si="9"/>
        <v>6405448.1899999995</v>
      </c>
      <c r="H59" s="235">
        <f t="shared" si="9"/>
        <v>7252689.5899999999</v>
      </c>
      <c r="I59" s="235">
        <f t="shared" si="9"/>
        <v>8467591.5600000005</v>
      </c>
      <c r="J59" s="235">
        <f t="shared" si="9"/>
        <v>6915894.1300000008</v>
      </c>
      <c r="K59" s="235">
        <f t="shared" si="9"/>
        <v>6604860.4799999995</v>
      </c>
      <c r="L59" s="235">
        <f t="shared" si="9"/>
        <v>6397982.9600000009</v>
      </c>
      <c r="M59" s="235">
        <f t="shared" si="9"/>
        <v>6784925.6200000001</v>
      </c>
      <c r="N59" s="235">
        <f t="shared" si="9"/>
        <v>7033087.0999999996</v>
      </c>
      <c r="O59" s="235">
        <f t="shared" ref="O59:Y59" si="10">+O10+O11+O12+O13+O14+O50+O51+O52+O53+O54+O55+O24+O25+O26+O27+O28</f>
        <v>6528039.4100000001</v>
      </c>
      <c r="P59" s="235">
        <f t="shared" si="10"/>
        <v>6854824.3700000001</v>
      </c>
      <c r="Q59" s="235">
        <f t="shared" si="10"/>
        <v>6101762.2699999996</v>
      </c>
      <c r="R59" s="235">
        <f t="shared" si="10"/>
        <v>6731714.0099999998</v>
      </c>
      <c r="S59" s="235">
        <f t="shared" si="10"/>
        <v>7286421.1999999993</v>
      </c>
      <c r="T59" s="235">
        <f t="shared" si="10"/>
        <v>8543384.959999999</v>
      </c>
      <c r="U59" s="235">
        <f t="shared" si="10"/>
        <v>8815603.790000001</v>
      </c>
      <c r="V59" s="235">
        <f t="shared" si="10"/>
        <v>7496913.2300000004</v>
      </c>
      <c r="W59" s="235">
        <f t="shared" si="10"/>
        <v>6776614.2999999998</v>
      </c>
      <c r="X59" s="235">
        <f t="shared" si="10"/>
        <v>6840721.7999999989</v>
      </c>
      <c r="Y59" s="235">
        <f t="shared" si="10"/>
        <v>7305795.4700000016</v>
      </c>
      <c r="Z59" s="235"/>
    </row>
    <row r="60" spans="1:26" x14ac:dyDescent="0.2">
      <c r="A60" s="1" t="s">
        <v>251</v>
      </c>
      <c r="B60" s="235">
        <f>+B49</f>
        <v>2278981.6</v>
      </c>
      <c r="C60" s="235">
        <f t="shared" ref="C60:N60" si="11">+C49</f>
        <v>2144486.3999999999</v>
      </c>
      <c r="D60" s="235">
        <f t="shared" si="11"/>
        <v>1888992</v>
      </c>
      <c r="E60" s="235">
        <f t="shared" si="11"/>
        <v>1604528.8</v>
      </c>
      <c r="F60" s="235">
        <f t="shared" si="11"/>
        <v>1456873.6</v>
      </c>
      <c r="G60" s="235">
        <f t="shared" si="11"/>
        <v>1443859.2</v>
      </c>
      <c r="H60" s="235">
        <f t="shared" si="11"/>
        <v>1411771.2</v>
      </c>
      <c r="I60" s="235">
        <f t="shared" si="11"/>
        <v>1548148</v>
      </c>
      <c r="J60" s="235">
        <f t="shared" si="11"/>
        <v>1639422.4</v>
      </c>
      <c r="K60" s="235">
        <f t="shared" si="11"/>
        <v>2076334.4</v>
      </c>
      <c r="L60" s="235">
        <f t="shared" si="11"/>
        <v>1253078.3999999999</v>
      </c>
      <c r="M60" s="235">
        <f t="shared" si="11"/>
        <v>389317.6</v>
      </c>
      <c r="N60" s="235">
        <f t="shared" si="11"/>
        <v>343459.2</v>
      </c>
      <c r="O60" s="235">
        <f t="shared" ref="O60:Y60" si="12">+O49</f>
        <v>191245.6</v>
      </c>
      <c r="P60" s="235">
        <f t="shared" si="12"/>
        <v>195451.2</v>
      </c>
      <c r="Q60" s="235">
        <f t="shared" si="12"/>
        <v>186037.6</v>
      </c>
      <c r="R60" s="235">
        <f t="shared" si="12"/>
        <v>173056.8</v>
      </c>
      <c r="S60" s="235">
        <f t="shared" si="12"/>
        <v>161610.4</v>
      </c>
      <c r="T60" s="235">
        <f t="shared" si="12"/>
        <v>0</v>
      </c>
      <c r="U60" s="235">
        <f t="shared" si="12"/>
        <v>0</v>
      </c>
      <c r="V60" s="235">
        <f t="shared" si="12"/>
        <v>0</v>
      </c>
      <c r="W60" s="235">
        <f t="shared" si="12"/>
        <v>0</v>
      </c>
      <c r="X60" s="235">
        <f t="shared" si="12"/>
        <v>0</v>
      </c>
      <c r="Y60" s="235">
        <f t="shared" si="12"/>
        <v>0</v>
      </c>
      <c r="Z60" s="235"/>
    </row>
    <row r="61" spans="1:26" x14ac:dyDescent="0.2">
      <c r="A61" s="1" t="s">
        <v>427</v>
      </c>
      <c r="B61" s="235">
        <f>+B7+B21</f>
        <v>22952.51</v>
      </c>
      <c r="C61" s="235">
        <f t="shared" ref="C61:N61" si="13">+C7+C21</f>
        <v>21268.6</v>
      </c>
      <c r="D61" s="235">
        <f t="shared" si="13"/>
        <v>21225</v>
      </c>
      <c r="E61" s="235">
        <f t="shared" si="13"/>
        <v>21225</v>
      </c>
      <c r="F61" s="235">
        <f t="shared" si="13"/>
        <v>21225</v>
      </c>
      <c r="G61" s="235">
        <f t="shared" si="13"/>
        <v>21225</v>
      </c>
      <c r="H61" s="235">
        <f t="shared" si="13"/>
        <v>21225</v>
      </c>
      <c r="I61" s="235">
        <f t="shared" si="13"/>
        <v>21225</v>
      </c>
      <c r="J61" s="235">
        <f t="shared" si="13"/>
        <v>21424.68</v>
      </c>
      <c r="K61" s="235">
        <f t="shared" si="13"/>
        <v>22040.13</v>
      </c>
      <c r="L61" s="235">
        <f t="shared" si="13"/>
        <v>22508.06</v>
      </c>
      <c r="M61" s="235">
        <f t="shared" si="13"/>
        <v>25221.25</v>
      </c>
      <c r="N61" s="235">
        <f t="shared" si="13"/>
        <v>25764.35</v>
      </c>
      <c r="O61" s="235">
        <f t="shared" ref="O61:Y61" si="14">+O7+O21</f>
        <v>24298.68</v>
      </c>
      <c r="P61" s="235">
        <f t="shared" si="14"/>
        <v>24033</v>
      </c>
      <c r="Q61" s="235">
        <f t="shared" si="14"/>
        <v>24220.2</v>
      </c>
      <c r="R61" s="235">
        <f t="shared" si="14"/>
        <v>24650.7</v>
      </c>
      <c r="S61" s="235">
        <f t="shared" si="14"/>
        <v>24990.9</v>
      </c>
      <c r="T61" s="235">
        <f t="shared" si="14"/>
        <v>27354.9</v>
      </c>
      <c r="U61" s="235">
        <f t="shared" si="14"/>
        <v>27964.2</v>
      </c>
      <c r="V61" s="235">
        <f t="shared" si="14"/>
        <v>27964.2</v>
      </c>
      <c r="W61" s="235">
        <f t="shared" si="14"/>
        <v>27964.2</v>
      </c>
      <c r="X61" s="235">
        <f t="shared" si="14"/>
        <v>28019.55</v>
      </c>
      <c r="Y61" s="235">
        <f t="shared" si="14"/>
        <v>28151.4</v>
      </c>
      <c r="Z61" s="235"/>
    </row>
    <row r="62" spans="1:26" x14ac:dyDescent="0.2">
      <c r="A62" s="1" t="s">
        <v>428</v>
      </c>
      <c r="B62" s="235">
        <f>+B15+B16+B29+B30</f>
        <v>58658.810000000005</v>
      </c>
      <c r="C62" s="235">
        <f t="shared" ref="C62:N62" si="15">+C15+C16+C29+C30</f>
        <v>48913.05</v>
      </c>
      <c r="D62" s="235">
        <f t="shared" si="15"/>
        <v>48620.97</v>
      </c>
      <c r="E62" s="235">
        <f t="shared" si="15"/>
        <v>41472.509999999995</v>
      </c>
      <c r="F62" s="235">
        <f t="shared" si="15"/>
        <v>37760.93</v>
      </c>
      <c r="G62" s="235">
        <f t="shared" si="15"/>
        <v>34016.22</v>
      </c>
      <c r="H62" s="235">
        <f t="shared" si="15"/>
        <v>36527.25</v>
      </c>
      <c r="I62" s="235">
        <f t="shared" si="15"/>
        <v>41025.020000000004</v>
      </c>
      <c r="J62" s="235">
        <f t="shared" si="15"/>
        <v>45260.630000000005</v>
      </c>
      <c r="K62" s="235">
        <f t="shared" si="15"/>
        <v>52749.52</v>
      </c>
      <c r="L62" s="235">
        <f t="shared" si="15"/>
        <v>56166.42</v>
      </c>
      <c r="M62" s="235">
        <f t="shared" si="15"/>
        <v>60729.52</v>
      </c>
      <c r="N62" s="235">
        <f t="shared" si="15"/>
        <v>59201.16</v>
      </c>
      <c r="O62" s="235">
        <f t="shared" ref="O62:Y62" si="16">+O15+O16+O29+O30</f>
        <v>49365.36</v>
      </c>
      <c r="P62" s="235">
        <f t="shared" si="16"/>
        <v>49070.590000000004</v>
      </c>
      <c r="Q62" s="235">
        <f t="shared" si="16"/>
        <v>41472.509999999995</v>
      </c>
      <c r="R62" s="235">
        <f t="shared" si="16"/>
        <v>37760.93</v>
      </c>
      <c r="S62" s="235">
        <f t="shared" si="16"/>
        <v>34016.22</v>
      </c>
      <c r="T62" s="235">
        <f t="shared" si="16"/>
        <v>36527.25</v>
      </c>
      <c r="U62" s="235">
        <f t="shared" si="16"/>
        <v>41025.020000000004</v>
      </c>
      <c r="V62" s="235">
        <f t="shared" si="16"/>
        <v>45260.630000000005</v>
      </c>
      <c r="W62" s="235">
        <f t="shared" si="16"/>
        <v>52749.52</v>
      </c>
      <c r="X62" s="235">
        <f t="shared" si="16"/>
        <v>56166.42</v>
      </c>
      <c r="Y62" s="235">
        <f t="shared" si="16"/>
        <v>60729.52</v>
      </c>
      <c r="Z62" s="235"/>
    </row>
    <row r="63" spans="1:26" x14ac:dyDescent="0.2">
      <c r="B63" s="235"/>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row>
    <row r="64" spans="1:26" ht="15" customHeight="1" x14ac:dyDescent="0.2">
      <c r="A64" s="33" t="s">
        <v>432</v>
      </c>
      <c r="B64" s="235"/>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row>
    <row r="65" spans="1:26" x14ac:dyDescent="0.2">
      <c r="A65" s="1" t="s">
        <v>5</v>
      </c>
      <c r="B65" s="235">
        <v>6889076.6400000006</v>
      </c>
      <c r="C65" s="235">
        <v>6346623.2599999998</v>
      </c>
      <c r="D65" s="235">
        <v>5966086.8400000008</v>
      </c>
      <c r="E65" s="235">
        <v>5297403.33</v>
      </c>
      <c r="F65" s="235">
        <v>5785056.8800000008</v>
      </c>
      <c r="G65" s="235">
        <v>7401447.8700000001</v>
      </c>
      <c r="H65" s="235">
        <v>7851432.0599999996</v>
      </c>
      <c r="I65" s="235">
        <v>9392670.0200000014</v>
      </c>
      <c r="J65" s="235">
        <v>6150565.5199999996</v>
      </c>
      <c r="K65" s="235">
        <v>5462146.1399999997</v>
      </c>
      <c r="L65" s="235">
        <v>5548191.3700000001</v>
      </c>
      <c r="M65" s="235">
        <v>6447837.3599999994</v>
      </c>
      <c r="N65" s="235">
        <v>7217029.7800000003</v>
      </c>
      <c r="O65" s="235">
        <v>6236727.6600000001</v>
      </c>
      <c r="P65" s="235">
        <v>6175434.1399999997</v>
      </c>
      <c r="Q65" s="235">
        <v>5268028.83</v>
      </c>
      <c r="R65" s="235">
        <v>5719950.9199999999</v>
      </c>
      <c r="S65" s="235">
        <v>6781484.2400000002</v>
      </c>
      <c r="T65" s="235">
        <v>8601455.6500000004</v>
      </c>
      <c r="U65" s="235">
        <v>8563172.379999999</v>
      </c>
      <c r="V65" s="235">
        <v>6126247.3399999999</v>
      </c>
      <c r="W65" s="235"/>
      <c r="X65" s="235"/>
      <c r="Y65" s="235"/>
      <c r="Z65" s="235"/>
    </row>
    <row r="66" spans="1:26" x14ac:dyDescent="0.2">
      <c r="A66" s="1" t="s">
        <v>172</v>
      </c>
      <c r="B66" s="235">
        <v>3334602.02</v>
      </c>
      <c r="C66" s="235">
        <v>3220899.22</v>
      </c>
      <c r="D66" s="235">
        <v>3296043.85</v>
      </c>
      <c r="E66" s="235">
        <v>2792228.28</v>
      </c>
      <c r="F66" s="235">
        <v>2846480.4099999997</v>
      </c>
      <c r="G66" s="235">
        <v>3627447.81</v>
      </c>
      <c r="H66" s="235">
        <v>4139470.3000000003</v>
      </c>
      <c r="I66" s="235">
        <v>4851912.8899999997</v>
      </c>
      <c r="J66" s="235">
        <v>3578948.7100000004</v>
      </c>
      <c r="K66" s="235">
        <v>3344285.94</v>
      </c>
      <c r="L66" s="235">
        <v>3337658.07</v>
      </c>
      <c r="M66" s="235">
        <v>3678823.4299999997</v>
      </c>
      <c r="N66" s="235">
        <v>3987660.68</v>
      </c>
      <c r="O66" s="235">
        <v>3648264.0100000002</v>
      </c>
      <c r="P66" s="235">
        <v>3760049.4699999997</v>
      </c>
      <c r="Q66" s="235">
        <v>3246560.83</v>
      </c>
      <c r="R66" s="235">
        <v>3394067.1799999997</v>
      </c>
      <c r="S66" s="235">
        <v>3714077.96</v>
      </c>
      <c r="T66" s="235">
        <v>4425322.1399999997</v>
      </c>
      <c r="U66" s="235">
        <v>4562897.4300000006</v>
      </c>
      <c r="V66" s="235">
        <v>3508114.96</v>
      </c>
      <c r="W66" s="235"/>
      <c r="X66" s="235"/>
      <c r="Y66" s="235"/>
      <c r="Z66" s="235"/>
    </row>
    <row r="67" spans="1:26" x14ac:dyDescent="0.2">
      <c r="A67" s="1" t="s">
        <v>173</v>
      </c>
      <c r="B67" s="235">
        <v>6067359.5999999996</v>
      </c>
      <c r="C67" s="235">
        <v>5509525.8499999996</v>
      </c>
      <c r="D67" s="235">
        <v>5904907.7200000007</v>
      </c>
      <c r="E67" s="235">
        <v>5132146.6999999993</v>
      </c>
      <c r="F67" s="235">
        <v>5263414.5500000007</v>
      </c>
      <c r="G67" s="235">
        <v>6340389.629999999</v>
      </c>
      <c r="H67" s="235">
        <v>7204979.79</v>
      </c>
      <c r="I67" s="235">
        <v>8417115.8200000003</v>
      </c>
      <c r="J67" s="235">
        <v>6871270.2700000005</v>
      </c>
      <c r="K67" s="235">
        <v>6590132.2999999998</v>
      </c>
      <c r="L67" s="235">
        <v>6390001.4199999999</v>
      </c>
      <c r="M67" s="235">
        <v>6779683.2599999998</v>
      </c>
      <c r="N67" s="235">
        <v>7028721.6099999994</v>
      </c>
      <c r="O67" s="235">
        <v>6516254.5100000007</v>
      </c>
      <c r="P67" s="235">
        <v>6822053.330000001</v>
      </c>
      <c r="Q67" s="235">
        <v>6101762.2699999996</v>
      </c>
      <c r="R67" s="235">
        <v>6731714.0100000007</v>
      </c>
      <c r="S67" s="235">
        <v>7286421.1999999993</v>
      </c>
      <c r="T67" s="235">
        <v>8428573.4600000009</v>
      </c>
      <c r="U67" s="235">
        <v>8696593.6300000008</v>
      </c>
      <c r="V67" s="235">
        <v>7344791.6300000008</v>
      </c>
    </row>
    <row r="68" spans="1:26" x14ac:dyDescent="0.2">
      <c r="A68" s="1" t="s">
        <v>251</v>
      </c>
      <c r="B68" s="235">
        <v>2278981.6</v>
      </c>
      <c r="C68" s="235">
        <v>2144486.3999999999</v>
      </c>
      <c r="D68" s="235">
        <v>1888992</v>
      </c>
      <c r="E68" s="235">
        <v>1604528.8</v>
      </c>
      <c r="F68" s="235">
        <v>1456873.6</v>
      </c>
      <c r="G68" s="235">
        <v>1443859.2</v>
      </c>
      <c r="H68" s="235">
        <v>1411771.2</v>
      </c>
      <c r="I68" s="235">
        <v>1548148</v>
      </c>
      <c r="J68" s="235">
        <v>1639422.4</v>
      </c>
      <c r="K68" s="235">
        <v>2076334.4</v>
      </c>
      <c r="L68" s="235">
        <v>1253078.3999999999</v>
      </c>
      <c r="M68" s="235">
        <v>389317.6</v>
      </c>
      <c r="N68" s="235">
        <v>343459.2</v>
      </c>
      <c r="O68" s="235">
        <v>191245.6</v>
      </c>
      <c r="P68" s="235">
        <v>195451.2</v>
      </c>
      <c r="Q68" s="235">
        <v>186037.6</v>
      </c>
      <c r="R68" s="235">
        <v>173056.8</v>
      </c>
      <c r="S68" s="235">
        <v>161610.4</v>
      </c>
      <c r="T68" s="235">
        <v>0</v>
      </c>
      <c r="U68" s="235">
        <v>0</v>
      </c>
      <c r="V68" s="235">
        <v>0</v>
      </c>
    </row>
    <row r="69" spans="1:26" x14ac:dyDescent="0.2">
      <c r="A69" s="1" t="s">
        <v>427</v>
      </c>
      <c r="B69" s="235">
        <v>22952.51</v>
      </c>
      <c r="C69" s="235">
        <v>21268.6</v>
      </c>
      <c r="D69" s="235">
        <v>21225</v>
      </c>
      <c r="E69" s="235">
        <v>21225</v>
      </c>
      <c r="F69" s="235">
        <v>21225</v>
      </c>
      <c r="G69" s="235">
        <v>21225</v>
      </c>
      <c r="H69" s="235">
        <v>21225</v>
      </c>
      <c r="I69" s="235">
        <v>21225</v>
      </c>
      <c r="J69" s="235">
        <v>21424.68</v>
      </c>
      <c r="K69" s="235">
        <v>22040.13</v>
      </c>
      <c r="L69" s="235">
        <v>22161</v>
      </c>
      <c r="M69" s="235">
        <v>23465.16</v>
      </c>
      <c r="N69" s="235">
        <v>25764.35</v>
      </c>
      <c r="O69" s="235">
        <v>24298.68</v>
      </c>
      <c r="P69" s="235">
        <v>24033</v>
      </c>
      <c r="Q69" s="235">
        <v>24220.2</v>
      </c>
      <c r="R69" s="235">
        <v>24650.7</v>
      </c>
      <c r="S69" s="235">
        <v>24904.799999999999</v>
      </c>
      <c r="T69" s="235">
        <v>25230</v>
      </c>
      <c r="U69" s="235">
        <v>25343.4</v>
      </c>
      <c r="V69" s="235">
        <v>25343.4</v>
      </c>
    </row>
    <row r="70" spans="1:26" x14ac:dyDescent="0.2">
      <c r="A70" s="1" t="s">
        <v>428</v>
      </c>
      <c r="B70" s="235">
        <v>58658.810000000005</v>
      </c>
      <c r="C70" s="235">
        <v>48913.05</v>
      </c>
      <c r="D70" s="235">
        <v>48620.97</v>
      </c>
      <c r="E70" s="235">
        <v>41472.509999999995</v>
      </c>
      <c r="F70" s="235">
        <v>37760.93</v>
      </c>
      <c r="G70" s="235">
        <v>34016.22</v>
      </c>
      <c r="H70" s="235">
        <v>36527.25</v>
      </c>
      <c r="I70" s="235">
        <v>41025.020000000004</v>
      </c>
      <c r="J70" s="235">
        <v>45260.630000000005</v>
      </c>
      <c r="K70" s="235">
        <v>52749.52</v>
      </c>
      <c r="L70" s="235">
        <v>56166.42</v>
      </c>
      <c r="M70" s="235">
        <v>60729.52</v>
      </c>
      <c r="N70" s="235">
        <v>59201.16</v>
      </c>
      <c r="O70" s="235">
        <v>49365.36</v>
      </c>
      <c r="P70" s="235">
        <v>49070.590000000004</v>
      </c>
      <c r="Q70" s="235">
        <v>41472.509999999995</v>
      </c>
      <c r="R70" s="235">
        <v>37760.93</v>
      </c>
      <c r="S70" s="235">
        <v>34016.22</v>
      </c>
      <c r="T70" s="235">
        <v>36527.25</v>
      </c>
      <c r="U70" s="235">
        <v>41025.020000000004</v>
      </c>
      <c r="V70" s="235">
        <v>45260.630000000005</v>
      </c>
    </row>
    <row r="72" spans="1:26" x14ac:dyDescent="0.2">
      <c r="A72" s="33" t="s">
        <v>230</v>
      </c>
    </row>
    <row r="73" spans="1:26" x14ac:dyDescent="0.2">
      <c r="A73" s="1" t="s">
        <v>5</v>
      </c>
      <c r="B73" s="235">
        <f>+B57-B65</f>
        <v>-15721.600000000559</v>
      </c>
      <c r="C73" s="235">
        <f t="shared" ref="C73:V78" si="17">+C57-C65</f>
        <v>-12346.820000000298</v>
      </c>
      <c r="D73" s="235">
        <f t="shared" si="17"/>
        <v>-5986.1100000003353</v>
      </c>
      <c r="E73" s="235">
        <f t="shared" si="17"/>
        <v>-2608.75</v>
      </c>
      <c r="F73" s="235">
        <f t="shared" si="17"/>
        <v>-24.25</v>
      </c>
      <c r="G73" s="235">
        <f t="shared" si="17"/>
        <v>22730.979999999516</v>
      </c>
      <c r="H73" s="235">
        <f t="shared" si="17"/>
        <v>23143.200000000186</v>
      </c>
      <c r="I73" s="235">
        <f t="shared" si="17"/>
        <v>28681.599999997765</v>
      </c>
      <c r="J73" s="235">
        <f t="shared" si="17"/>
        <v>19228.600000000559</v>
      </c>
      <c r="K73" s="235">
        <f t="shared" si="17"/>
        <v>15300</v>
      </c>
      <c r="L73" s="235">
        <f t="shared" si="17"/>
        <v>15968.530000000261</v>
      </c>
      <c r="M73" s="235">
        <f t="shared" si="17"/>
        <v>18818</v>
      </c>
      <c r="N73" s="235">
        <f t="shared" si="17"/>
        <v>0</v>
      </c>
      <c r="O73" s="235">
        <f t="shared" si="17"/>
        <v>0</v>
      </c>
      <c r="P73" s="235">
        <f t="shared" si="17"/>
        <v>0</v>
      </c>
      <c r="Q73" s="235">
        <f t="shared" si="17"/>
        <v>0</v>
      </c>
      <c r="R73" s="235">
        <f t="shared" si="17"/>
        <v>1306.9500000001863</v>
      </c>
      <c r="S73" s="235">
        <f t="shared" si="17"/>
        <v>1910.1100000003353</v>
      </c>
      <c r="T73" s="235">
        <f t="shared" si="17"/>
        <v>2389.5399999991059</v>
      </c>
      <c r="U73" s="235">
        <f t="shared" si="17"/>
        <v>2238.7800000011921</v>
      </c>
      <c r="V73" s="235">
        <f t="shared" si="17"/>
        <v>1451.1699999999255</v>
      </c>
    </row>
    <row r="74" spans="1:26" x14ac:dyDescent="0.2">
      <c r="A74" s="1" t="s">
        <v>172</v>
      </c>
      <c r="B74" s="235">
        <f t="shared" ref="B74:Q78" si="18">+B58-B66</f>
        <v>18390.899999999907</v>
      </c>
      <c r="C74" s="235">
        <f t="shared" si="18"/>
        <v>18340.649999999907</v>
      </c>
      <c r="D74" s="235">
        <f t="shared" si="18"/>
        <v>14959.490000000224</v>
      </c>
      <c r="E74" s="235">
        <f t="shared" si="18"/>
        <v>8888.9799999999814</v>
      </c>
      <c r="F74" s="235">
        <f t="shared" si="18"/>
        <v>547.02000000048429</v>
      </c>
      <c r="G74" s="235">
        <f t="shared" si="18"/>
        <v>-19564.55999999959</v>
      </c>
      <c r="H74" s="235">
        <f t="shared" si="18"/>
        <v>-16618.460000000428</v>
      </c>
      <c r="I74" s="235">
        <f t="shared" si="18"/>
        <v>-21374.879999999888</v>
      </c>
      <c r="J74" s="235">
        <f t="shared" si="18"/>
        <v>-23353.500000000466</v>
      </c>
      <c r="K74" s="235">
        <f t="shared" si="18"/>
        <v>-17921.700000000186</v>
      </c>
      <c r="L74" s="235">
        <f t="shared" si="18"/>
        <v>-27416.409999999683</v>
      </c>
      <c r="M74" s="235">
        <f t="shared" si="18"/>
        <v>-30781.509999999776</v>
      </c>
      <c r="N74" s="235">
        <f t="shared" si="18"/>
        <v>-1143.2000000001863</v>
      </c>
      <c r="O74" s="235">
        <f t="shared" si="18"/>
        <v>-953.70000000018626</v>
      </c>
      <c r="P74" s="235">
        <f t="shared" si="18"/>
        <v>-850</v>
      </c>
      <c r="Q74" s="235">
        <f t="shared" si="18"/>
        <v>-1379.6000000000931</v>
      </c>
      <c r="R74" s="235">
        <f t="shared" si="17"/>
        <v>-2351.1499999999069</v>
      </c>
      <c r="S74" s="235">
        <f t="shared" si="17"/>
        <v>-3123.9099999996834</v>
      </c>
      <c r="T74" s="235">
        <f t="shared" si="17"/>
        <v>-3962.4399999994785</v>
      </c>
      <c r="U74" s="235">
        <f t="shared" si="17"/>
        <v>-4006.480000000447</v>
      </c>
      <c r="V74" s="235">
        <f t="shared" si="17"/>
        <v>-2762.25</v>
      </c>
    </row>
    <row r="75" spans="1:26" x14ac:dyDescent="0.2">
      <c r="A75" s="1" t="s">
        <v>173</v>
      </c>
      <c r="B75" s="235">
        <f t="shared" si="18"/>
        <v>6476.339999999851</v>
      </c>
      <c r="C75" s="235">
        <f t="shared" si="17"/>
        <v>19435.420000000857</v>
      </c>
      <c r="D75" s="235">
        <f t="shared" si="17"/>
        <v>59430.620000000112</v>
      </c>
      <c r="E75" s="235">
        <f t="shared" si="17"/>
        <v>56525.780000001192</v>
      </c>
      <c r="F75" s="235">
        <f t="shared" si="17"/>
        <v>66025.620000000112</v>
      </c>
      <c r="G75" s="235">
        <f t="shared" si="17"/>
        <v>65058.560000000522</v>
      </c>
      <c r="H75" s="235">
        <f t="shared" si="17"/>
        <v>47709.799999999814</v>
      </c>
      <c r="I75" s="235">
        <f t="shared" si="17"/>
        <v>50475.740000000224</v>
      </c>
      <c r="J75" s="235">
        <f t="shared" si="17"/>
        <v>44623.860000000335</v>
      </c>
      <c r="K75" s="235">
        <f t="shared" si="17"/>
        <v>14728.179999999702</v>
      </c>
      <c r="L75" s="235">
        <f t="shared" si="17"/>
        <v>7981.5400000009686</v>
      </c>
      <c r="M75" s="235">
        <f t="shared" si="17"/>
        <v>5242.3600000003353</v>
      </c>
      <c r="N75" s="235">
        <f t="shared" si="17"/>
        <v>4365.4900000002235</v>
      </c>
      <c r="O75" s="235">
        <f t="shared" si="17"/>
        <v>11784.899999999441</v>
      </c>
      <c r="P75" s="235">
        <f t="shared" si="17"/>
        <v>32771.039999999106</v>
      </c>
      <c r="Q75" s="235">
        <f t="shared" si="17"/>
        <v>0</v>
      </c>
      <c r="R75" s="235">
        <f t="shared" si="17"/>
        <v>0</v>
      </c>
      <c r="S75" s="235">
        <f t="shared" si="17"/>
        <v>0</v>
      </c>
      <c r="T75" s="235">
        <f t="shared" si="17"/>
        <v>114811.49999999814</v>
      </c>
      <c r="U75" s="235">
        <f t="shared" si="17"/>
        <v>119010.16000000015</v>
      </c>
      <c r="V75" s="235">
        <f t="shared" si="17"/>
        <v>152121.59999999963</v>
      </c>
    </row>
    <row r="76" spans="1:26" x14ac:dyDescent="0.2">
      <c r="A76" s="1" t="s">
        <v>251</v>
      </c>
      <c r="B76" s="235">
        <f t="shared" si="18"/>
        <v>0</v>
      </c>
      <c r="C76" s="235">
        <f t="shared" si="17"/>
        <v>0</v>
      </c>
      <c r="D76" s="235">
        <f t="shared" si="17"/>
        <v>0</v>
      </c>
      <c r="E76" s="235">
        <f t="shared" si="17"/>
        <v>0</v>
      </c>
      <c r="F76" s="235">
        <f t="shared" si="17"/>
        <v>0</v>
      </c>
      <c r="G76" s="235">
        <f t="shared" si="17"/>
        <v>0</v>
      </c>
      <c r="H76" s="235">
        <f t="shared" si="17"/>
        <v>0</v>
      </c>
      <c r="I76" s="235">
        <f t="shared" si="17"/>
        <v>0</v>
      </c>
      <c r="J76" s="235">
        <f t="shared" si="17"/>
        <v>0</v>
      </c>
      <c r="K76" s="235">
        <f t="shared" si="17"/>
        <v>0</v>
      </c>
      <c r="L76" s="235">
        <f t="shared" si="17"/>
        <v>0</v>
      </c>
      <c r="M76" s="235">
        <f t="shared" si="17"/>
        <v>0</v>
      </c>
      <c r="N76" s="235">
        <f t="shared" si="17"/>
        <v>0</v>
      </c>
      <c r="O76" s="235">
        <f t="shared" si="17"/>
        <v>0</v>
      </c>
      <c r="P76" s="235">
        <f t="shared" si="17"/>
        <v>0</v>
      </c>
      <c r="Q76" s="235">
        <f t="shared" si="17"/>
        <v>0</v>
      </c>
      <c r="R76" s="235">
        <f t="shared" si="17"/>
        <v>0</v>
      </c>
      <c r="S76" s="235">
        <f t="shared" si="17"/>
        <v>0</v>
      </c>
      <c r="T76" s="235">
        <f t="shared" si="17"/>
        <v>0</v>
      </c>
      <c r="U76" s="235">
        <f t="shared" si="17"/>
        <v>0</v>
      </c>
      <c r="V76" s="235">
        <f t="shared" si="17"/>
        <v>0</v>
      </c>
    </row>
    <row r="77" spans="1:26" x14ac:dyDescent="0.2">
      <c r="A77" s="1" t="s">
        <v>427</v>
      </c>
      <c r="B77" s="235">
        <f t="shared" si="18"/>
        <v>0</v>
      </c>
      <c r="C77" s="235">
        <f t="shared" si="17"/>
        <v>0</v>
      </c>
      <c r="D77" s="235">
        <f t="shared" si="17"/>
        <v>0</v>
      </c>
      <c r="E77" s="235">
        <f t="shared" si="17"/>
        <v>0</v>
      </c>
      <c r="F77" s="235">
        <f t="shared" si="17"/>
        <v>0</v>
      </c>
      <c r="G77" s="235">
        <f t="shared" si="17"/>
        <v>0</v>
      </c>
      <c r="H77" s="235">
        <f t="shared" si="17"/>
        <v>0</v>
      </c>
      <c r="I77" s="235">
        <f t="shared" si="17"/>
        <v>0</v>
      </c>
      <c r="J77" s="235">
        <f t="shared" si="17"/>
        <v>0</v>
      </c>
      <c r="K77" s="235">
        <f t="shared" si="17"/>
        <v>0</v>
      </c>
      <c r="L77" s="235">
        <f t="shared" si="17"/>
        <v>347.06000000000131</v>
      </c>
      <c r="M77" s="235">
        <f t="shared" si="17"/>
        <v>1756.0900000000001</v>
      </c>
      <c r="N77" s="235">
        <f t="shared" si="17"/>
        <v>0</v>
      </c>
      <c r="O77" s="235">
        <f t="shared" si="17"/>
        <v>0</v>
      </c>
      <c r="P77" s="235">
        <f t="shared" si="17"/>
        <v>0</v>
      </c>
      <c r="Q77" s="235">
        <f t="shared" si="17"/>
        <v>0</v>
      </c>
      <c r="R77" s="235">
        <f t="shared" si="17"/>
        <v>0</v>
      </c>
      <c r="S77" s="235">
        <f t="shared" si="17"/>
        <v>86.100000000002183</v>
      </c>
      <c r="T77" s="235">
        <f t="shared" si="17"/>
        <v>2124.9000000000015</v>
      </c>
      <c r="U77" s="235">
        <f t="shared" si="17"/>
        <v>2620.7999999999993</v>
      </c>
      <c r="V77" s="235">
        <f t="shared" si="17"/>
        <v>2620.7999999999993</v>
      </c>
    </row>
    <row r="78" spans="1:26" x14ac:dyDescent="0.2">
      <c r="A78" s="1" t="s">
        <v>428</v>
      </c>
      <c r="B78" s="235">
        <f t="shared" si="18"/>
        <v>0</v>
      </c>
      <c r="C78" s="235">
        <f t="shared" si="17"/>
        <v>0</v>
      </c>
      <c r="D78" s="235">
        <f t="shared" si="17"/>
        <v>0</v>
      </c>
      <c r="E78" s="235">
        <f t="shared" si="17"/>
        <v>0</v>
      </c>
      <c r="F78" s="235">
        <f t="shared" si="17"/>
        <v>0</v>
      </c>
      <c r="G78" s="235">
        <f t="shared" si="17"/>
        <v>0</v>
      </c>
      <c r="H78" s="235">
        <f t="shared" si="17"/>
        <v>0</v>
      </c>
      <c r="I78" s="235">
        <f t="shared" si="17"/>
        <v>0</v>
      </c>
      <c r="J78" s="235">
        <f t="shared" si="17"/>
        <v>0</v>
      </c>
      <c r="K78" s="235">
        <f t="shared" si="17"/>
        <v>0</v>
      </c>
      <c r="L78" s="235">
        <f t="shared" si="17"/>
        <v>0</v>
      </c>
      <c r="M78" s="235">
        <f t="shared" si="17"/>
        <v>0</v>
      </c>
      <c r="N78" s="235">
        <f t="shared" si="17"/>
        <v>0</v>
      </c>
      <c r="O78" s="235">
        <f t="shared" si="17"/>
        <v>0</v>
      </c>
      <c r="P78" s="235">
        <f t="shared" si="17"/>
        <v>0</v>
      </c>
      <c r="Q78" s="235">
        <f t="shared" si="17"/>
        <v>0</v>
      </c>
      <c r="R78" s="235">
        <f t="shared" si="17"/>
        <v>0</v>
      </c>
      <c r="S78" s="235">
        <f t="shared" si="17"/>
        <v>0</v>
      </c>
      <c r="T78" s="235">
        <f t="shared" si="17"/>
        <v>0</v>
      </c>
      <c r="U78" s="235">
        <f t="shared" si="17"/>
        <v>0</v>
      </c>
      <c r="V78" s="235">
        <f t="shared" si="17"/>
        <v>0</v>
      </c>
    </row>
    <row r="79" spans="1:26" x14ac:dyDescent="0.2">
      <c r="B79" s="235">
        <f>SUM(B73:B78)</f>
        <v>9145.6399999991991</v>
      </c>
      <c r="C79" s="235">
        <f t="shared" ref="C79:V79" si="19">SUM(C73:C78)</f>
        <v>25429.250000000466</v>
      </c>
      <c r="D79" s="235">
        <f t="shared" si="19"/>
        <v>68404</v>
      </c>
      <c r="E79" s="235">
        <f t="shared" si="19"/>
        <v>62806.010000001173</v>
      </c>
      <c r="F79" s="235">
        <f t="shared" si="19"/>
        <v>66548.390000000596</v>
      </c>
      <c r="G79" s="235">
        <f t="shared" si="19"/>
        <v>68224.980000000447</v>
      </c>
      <c r="H79" s="235">
        <f t="shared" si="19"/>
        <v>54234.539999999572</v>
      </c>
      <c r="I79" s="235">
        <f t="shared" si="19"/>
        <v>57782.4599999981</v>
      </c>
      <c r="J79" s="235">
        <f t="shared" si="19"/>
        <v>40498.960000000428</v>
      </c>
      <c r="K79" s="235">
        <f t="shared" si="19"/>
        <v>12106.479999999516</v>
      </c>
      <c r="L79" s="235">
        <f t="shared" si="19"/>
        <v>-3119.2799999984527</v>
      </c>
      <c r="M79" s="235">
        <f t="shared" si="19"/>
        <v>-4965.0599999994411</v>
      </c>
      <c r="N79" s="235">
        <f t="shared" si="19"/>
        <v>3222.2900000000373</v>
      </c>
      <c r="O79" s="235">
        <f t="shared" si="19"/>
        <v>10831.199999999255</v>
      </c>
      <c r="P79" s="235">
        <f t="shared" si="19"/>
        <v>31921.039999999106</v>
      </c>
      <c r="Q79" s="235">
        <f t="shared" si="19"/>
        <v>-1379.6000000000931</v>
      </c>
      <c r="R79" s="235">
        <f t="shared" si="19"/>
        <v>-1044.1999999997206</v>
      </c>
      <c r="S79" s="235">
        <f t="shared" si="19"/>
        <v>-1127.6999999993459</v>
      </c>
      <c r="T79" s="235">
        <f t="shared" si="19"/>
        <v>115363.49999999776</v>
      </c>
      <c r="U79" s="235">
        <f t="shared" si="19"/>
        <v>119863.2600000009</v>
      </c>
      <c r="V79" s="235">
        <f t="shared" si="19"/>
        <v>153431.31999999954</v>
      </c>
    </row>
    <row r="85" spans="2:13" x14ac:dyDescent="0.2">
      <c r="B85" s="450"/>
      <c r="C85" s="450"/>
      <c r="D85" s="450"/>
      <c r="E85" s="450"/>
      <c r="F85" s="450"/>
      <c r="G85" s="450"/>
      <c r="H85" s="450"/>
      <c r="I85" s="450"/>
      <c r="J85" s="450"/>
      <c r="K85" s="450"/>
      <c r="L85" s="450"/>
      <c r="M85" s="450"/>
    </row>
    <row r="86" spans="2:13" x14ac:dyDescent="0.2">
      <c r="B86" s="450"/>
      <c r="C86" s="450"/>
      <c r="D86" s="450"/>
      <c r="E86" s="450"/>
      <c r="F86" s="450"/>
      <c r="G86" s="450"/>
      <c r="H86" s="450"/>
      <c r="I86" s="450"/>
      <c r="J86" s="450"/>
      <c r="K86" s="450"/>
      <c r="L86" s="450"/>
      <c r="M86" s="450"/>
    </row>
    <row r="87" spans="2:13" x14ac:dyDescent="0.2">
      <c r="B87" s="450"/>
      <c r="C87" s="450"/>
      <c r="D87" s="450"/>
      <c r="E87" s="450"/>
      <c r="F87" s="450"/>
      <c r="G87" s="450"/>
      <c r="H87" s="450"/>
      <c r="I87" s="450"/>
      <c r="J87" s="450"/>
      <c r="K87" s="450"/>
      <c r="L87" s="450"/>
      <c r="M87" s="450"/>
    </row>
  </sheetData>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AF26E-E3A4-42EC-B847-C614879345E8}">
  <sheetPr>
    <tabColor theme="6" tint="0.59999389629810485"/>
  </sheetPr>
  <dimension ref="A2:Z79"/>
  <sheetViews>
    <sheetView workbookViewId="0">
      <selection activeCell="P5" sqref="P5"/>
    </sheetView>
  </sheetViews>
  <sheetFormatPr defaultRowHeight="12.75" x14ac:dyDescent="0.2"/>
  <cols>
    <col min="1" max="1" width="11.83203125" style="1" bestFit="1" customWidth="1"/>
    <col min="2" max="25" width="15.1640625" style="1" bestFit="1" customWidth="1"/>
    <col min="26" max="16384" width="9.33203125" style="1"/>
  </cols>
  <sheetData>
    <row r="2" spans="1:26" x14ac:dyDescent="0.2">
      <c r="A2" s="563">
        <v>44964</v>
      </c>
    </row>
    <row r="4" spans="1:26" x14ac:dyDescent="0.2">
      <c r="A4" s="33" t="s">
        <v>431</v>
      </c>
      <c r="B4" s="561">
        <v>44197</v>
      </c>
      <c r="C4" s="561">
        <v>44228</v>
      </c>
      <c r="D4" s="561">
        <v>44256</v>
      </c>
      <c r="E4" s="561">
        <v>44287</v>
      </c>
      <c r="F4" s="561">
        <v>44317</v>
      </c>
      <c r="G4" s="561">
        <v>44348</v>
      </c>
      <c r="H4" s="561">
        <v>44378</v>
      </c>
      <c r="I4" s="561">
        <v>44409</v>
      </c>
      <c r="J4" s="561">
        <v>44440</v>
      </c>
      <c r="K4" s="561">
        <v>44470</v>
      </c>
      <c r="L4" s="561">
        <v>44501</v>
      </c>
      <c r="M4" s="561">
        <v>44531</v>
      </c>
      <c r="N4" s="561">
        <v>44562</v>
      </c>
      <c r="O4" s="561">
        <v>44593</v>
      </c>
      <c r="P4" s="561">
        <v>44621</v>
      </c>
      <c r="Q4" s="561">
        <v>44652</v>
      </c>
      <c r="R4" s="561">
        <v>44682</v>
      </c>
      <c r="S4" s="561">
        <v>44713</v>
      </c>
      <c r="T4" s="561">
        <v>44743</v>
      </c>
      <c r="U4" s="561">
        <v>44774</v>
      </c>
      <c r="V4" s="561">
        <v>44805</v>
      </c>
      <c r="W4" s="561">
        <v>44835</v>
      </c>
      <c r="X4" s="561">
        <v>44866</v>
      </c>
      <c r="Y4" s="561">
        <v>44896</v>
      </c>
    </row>
    <row r="5" spans="1:26" x14ac:dyDescent="0.2">
      <c r="A5" s="1" t="s">
        <v>415</v>
      </c>
      <c r="B5" s="235">
        <v>484411.9</v>
      </c>
      <c r="C5" s="235">
        <v>451989.09</v>
      </c>
      <c r="D5" s="235">
        <v>448909.94</v>
      </c>
      <c r="E5" s="235">
        <v>412394.85</v>
      </c>
      <c r="F5" s="235">
        <v>447108.44</v>
      </c>
      <c r="G5" s="235">
        <v>595313.43999999994</v>
      </c>
      <c r="H5" s="235">
        <v>636898.21</v>
      </c>
      <c r="I5" s="235">
        <v>773161.35</v>
      </c>
      <c r="J5" s="235">
        <v>490925.09</v>
      </c>
      <c r="K5" s="235">
        <v>456614.87</v>
      </c>
      <c r="L5" s="235">
        <v>478958.49</v>
      </c>
      <c r="M5" s="235">
        <v>548885.43000000005</v>
      </c>
      <c r="N5" s="235">
        <v>590660.21</v>
      </c>
      <c r="O5" s="235">
        <v>509876.63</v>
      </c>
      <c r="P5" s="235">
        <v>514677.75</v>
      </c>
      <c r="Q5" s="235">
        <v>449435.16</v>
      </c>
      <c r="R5" s="235">
        <v>480632.57</v>
      </c>
      <c r="S5" s="235">
        <v>562576.78</v>
      </c>
      <c r="T5" s="235">
        <v>721013.95</v>
      </c>
      <c r="U5" s="235">
        <v>723859.37</v>
      </c>
      <c r="V5" s="235">
        <v>517175.88</v>
      </c>
      <c r="W5" s="235">
        <v>449997.17</v>
      </c>
      <c r="X5" s="235">
        <v>480836.7</v>
      </c>
      <c r="Y5" s="235">
        <v>589538.18999999994</v>
      </c>
      <c r="Z5" s="235"/>
    </row>
    <row r="6" spans="1:26" x14ac:dyDescent="0.2">
      <c r="A6" s="1" t="s">
        <v>416</v>
      </c>
      <c r="B6" s="235">
        <v>6388943.1399999997</v>
      </c>
      <c r="C6" s="235">
        <v>5882287.3499999996</v>
      </c>
      <c r="D6" s="235">
        <v>5511190.79</v>
      </c>
      <c r="E6" s="235">
        <v>4882399.7300000004</v>
      </c>
      <c r="F6" s="235">
        <v>5337924.1900000004</v>
      </c>
      <c r="G6" s="235">
        <v>6828865.4100000001</v>
      </c>
      <c r="H6" s="235">
        <v>7237677.0499999998</v>
      </c>
      <c r="I6" s="235">
        <v>8648190.2699999996</v>
      </c>
      <c r="J6" s="235">
        <v>5678869.0300000003</v>
      </c>
      <c r="K6" s="235">
        <v>5020831.2699999996</v>
      </c>
      <c r="L6" s="235">
        <v>5085201.41</v>
      </c>
      <c r="M6" s="235">
        <v>5917769.9299999997</v>
      </c>
      <c r="N6" s="235">
        <v>6626369.5700000003</v>
      </c>
      <c r="O6" s="235">
        <v>5726851.0300000003</v>
      </c>
      <c r="P6" s="235">
        <v>5660756.3899999997</v>
      </c>
      <c r="Q6" s="235">
        <v>4818593.67</v>
      </c>
      <c r="R6" s="235">
        <v>5240625.3</v>
      </c>
      <c r="S6" s="235">
        <v>6220817.5700000003</v>
      </c>
      <c r="T6" s="235">
        <v>7882831.2400000002</v>
      </c>
      <c r="U6" s="235">
        <v>7841488.8600000003</v>
      </c>
      <c r="V6" s="235">
        <v>5610522.6299999999</v>
      </c>
      <c r="W6" s="235">
        <v>4758171.72</v>
      </c>
      <c r="X6" s="235">
        <v>4978579.68</v>
      </c>
      <c r="Y6" s="235">
        <v>6102377.3799999999</v>
      </c>
      <c r="Z6" s="235"/>
    </row>
    <row r="7" spans="1:26" x14ac:dyDescent="0.2">
      <c r="A7" s="1" t="s">
        <v>417</v>
      </c>
      <c r="B7" s="235">
        <v>22952.51</v>
      </c>
      <c r="C7" s="235">
        <v>21268.6</v>
      </c>
      <c r="D7" s="235">
        <v>21225</v>
      </c>
      <c r="E7" s="235">
        <v>21225</v>
      </c>
      <c r="F7" s="235">
        <v>21225</v>
      </c>
      <c r="G7" s="235">
        <v>21225</v>
      </c>
      <c r="H7" s="235">
        <v>21225</v>
      </c>
      <c r="I7" s="235">
        <v>21225</v>
      </c>
      <c r="J7" s="235">
        <v>21424.68</v>
      </c>
      <c r="K7" s="235">
        <v>22040.13</v>
      </c>
      <c r="L7" s="235">
        <v>22508.06</v>
      </c>
      <c r="M7" s="235">
        <v>25221.25</v>
      </c>
      <c r="N7" s="235">
        <v>25764.35</v>
      </c>
      <c r="O7" s="235">
        <v>24298.68</v>
      </c>
      <c r="P7" s="235">
        <v>24033</v>
      </c>
      <c r="Q7" s="235">
        <v>24220.2</v>
      </c>
      <c r="R7" s="235">
        <v>24650.7</v>
      </c>
      <c r="S7" s="235">
        <v>24990.9</v>
      </c>
      <c r="T7" s="235">
        <v>27354.9</v>
      </c>
      <c r="U7" s="235">
        <v>27964.2</v>
      </c>
      <c r="V7" s="235">
        <v>27964.2</v>
      </c>
      <c r="W7" s="235">
        <v>27964.2</v>
      </c>
      <c r="X7" s="235">
        <v>28019.55</v>
      </c>
      <c r="Y7" s="235">
        <v>28151.4</v>
      </c>
      <c r="Z7" s="235"/>
    </row>
    <row r="8" spans="1:26" x14ac:dyDescent="0.2">
      <c r="A8" s="1" t="s">
        <v>418</v>
      </c>
      <c r="B8" s="235">
        <v>39169.230000000003</v>
      </c>
      <c r="C8" s="235">
        <v>34776.519999999997</v>
      </c>
      <c r="D8" s="235">
        <v>32854.410000000003</v>
      </c>
      <c r="E8" s="235">
        <v>28701.11</v>
      </c>
      <c r="F8" s="235">
        <v>30542.81</v>
      </c>
      <c r="G8" s="235">
        <v>34720.1</v>
      </c>
      <c r="H8" s="235">
        <v>42567.519999999997</v>
      </c>
      <c r="I8" s="235">
        <v>51879.92</v>
      </c>
      <c r="J8" s="235">
        <v>35257.32</v>
      </c>
      <c r="K8" s="235">
        <v>31435.96</v>
      </c>
      <c r="L8" s="235">
        <v>42073.599999999999</v>
      </c>
      <c r="M8" s="235">
        <v>47212.92</v>
      </c>
      <c r="N8" s="235">
        <v>58517.68</v>
      </c>
      <c r="O8" s="235">
        <v>44565.43</v>
      </c>
      <c r="P8" s="235">
        <v>44641.4</v>
      </c>
      <c r="Q8" s="235">
        <v>36255.65</v>
      </c>
      <c r="R8" s="235">
        <v>34296.11</v>
      </c>
      <c r="S8" s="235">
        <v>39922.31</v>
      </c>
      <c r="T8" s="235">
        <v>56550.879999999997</v>
      </c>
      <c r="U8" s="235">
        <v>56375.57</v>
      </c>
      <c r="V8" s="235">
        <v>40720.58</v>
      </c>
      <c r="W8" s="235">
        <v>39505.72</v>
      </c>
      <c r="X8" s="235">
        <v>45320.160000000003</v>
      </c>
      <c r="Y8" s="235">
        <v>50686.71</v>
      </c>
      <c r="Z8" s="235"/>
    </row>
    <row r="9" spans="1:26" x14ac:dyDescent="0.2">
      <c r="A9" s="1" t="s">
        <v>419</v>
      </c>
      <c r="B9" s="235">
        <v>3313823.69</v>
      </c>
      <c r="C9" s="235">
        <v>3204463.35</v>
      </c>
      <c r="D9" s="235">
        <v>3278148.93</v>
      </c>
      <c r="E9" s="235">
        <v>2772416.15</v>
      </c>
      <c r="F9" s="235">
        <v>2816484.62</v>
      </c>
      <c r="G9" s="235">
        <v>3445681.95</v>
      </c>
      <c r="H9" s="235">
        <v>4080284.32</v>
      </c>
      <c r="I9" s="235">
        <v>4778658.09</v>
      </c>
      <c r="J9" s="235">
        <v>3520337.89</v>
      </c>
      <c r="K9" s="235">
        <v>3294928.28</v>
      </c>
      <c r="L9" s="235">
        <v>3268168.06</v>
      </c>
      <c r="M9" s="235">
        <v>3600829</v>
      </c>
      <c r="N9" s="235">
        <v>3927999.8</v>
      </c>
      <c r="O9" s="235">
        <v>3602744.88</v>
      </c>
      <c r="P9" s="235">
        <v>3712999.87</v>
      </c>
      <c r="Q9" s="235">
        <v>3205489.98</v>
      </c>
      <c r="R9" s="235">
        <v>3355145.32</v>
      </c>
      <c r="S9" s="235">
        <v>3669013.94</v>
      </c>
      <c r="T9" s="235">
        <v>4362283.12</v>
      </c>
      <c r="U9" s="235">
        <v>4499961.4800000004</v>
      </c>
      <c r="V9" s="235">
        <v>3462851.93</v>
      </c>
      <c r="W9" s="235">
        <v>3128947.24</v>
      </c>
      <c r="X9" s="235">
        <v>3198949.76</v>
      </c>
      <c r="Y9" s="235">
        <v>3715882.09</v>
      </c>
      <c r="Z9" s="235"/>
    </row>
    <row r="10" spans="1:26" x14ac:dyDescent="0.2">
      <c r="A10" s="1" t="s">
        <v>420</v>
      </c>
      <c r="B10" s="235">
        <v>318743.5</v>
      </c>
      <c r="C10" s="235">
        <v>302951.98</v>
      </c>
      <c r="D10" s="235">
        <v>284393</v>
      </c>
      <c r="E10" s="235">
        <v>241911.6</v>
      </c>
      <c r="F10" s="235">
        <v>236519.86</v>
      </c>
      <c r="G10" s="235">
        <v>264366</v>
      </c>
      <c r="H10" s="235">
        <v>283544.12</v>
      </c>
      <c r="I10" s="235">
        <v>326610.26</v>
      </c>
      <c r="J10" s="235">
        <v>258220.04</v>
      </c>
      <c r="K10" s="235">
        <v>248298.64</v>
      </c>
      <c r="L10" s="235">
        <v>261046.84</v>
      </c>
      <c r="M10" s="235">
        <v>292439.98</v>
      </c>
      <c r="N10" s="235">
        <v>344453.52</v>
      </c>
      <c r="O10" s="235">
        <v>298089.15999999997</v>
      </c>
      <c r="P10" s="235">
        <v>298659.20000000001</v>
      </c>
      <c r="Q10" s="235">
        <v>249484.48</v>
      </c>
      <c r="R10" s="235">
        <v>245998.16</v>
      </c>
      <c r="S10" s="235">
        <v>257946.3</v>
      </c>
      <c r="T10" s="235">
        <v>300921.7</v>
      </c>
      <c r="U10" s="235">
        <v>305377.96000000002</v>
      </c>
      <c r="V10" s="235">
        <v>256200.16</v>
      </c>
      <c r="W10" s="235">
        <v>241668.6</v>
      </c>
      <c r="X10" s="235">
        <v>49861.8</v>
      </c>
      <c r="Y10" s="235">
        <v>42284.34</v>
      </c>
      <c r="Z10" s="235"/>
    </row>
    <row r="11" spans="1:26" x14ac:dyDescent="0.2">
      <c r="A11" s="1" t="s">
        <v>426</v>
      </c>
      <c r="B11" s="235">
        <v>0</v>
      </c>
      <c r="C11" s="235">
        <v>0</v>
      </c>
      <c r="D11" s="235">
        <v>0</v>
      </c>
      <c r="E11" s="235">
        <v>0</v>
      </c>
      <c r="F11" s="235">
        <v>0</v>
      </c>
      <c r="G11" s="235">
        <v>0</v>
      </c>
      <c r="H11" s="235">
        <v>0</v>
      </c>
      <c r="I11" s="235">
        <v>0</v>
      </c>
      <c r="J11" s="235">
        <v>0</v>
      </c>
      <c r="K11" s="235">
        <v>0</v>
      </c>
      <c r="L11" s="235">
        <v>0</v>
      </c>
      <c r="M11" s="235">
        <v>0</v>
      </c>
      <c r="N11" s="235">
        <v>0</v>
      </c>
      <c r="O11" s="235">
        <v>0</v>
      </c>
      <c r="P11" s="235">
        <v>0</v>
      </c>
      <c r="Q11" s="235">
        <v>0</v>
      </c>
      <c r="R11" s="235">
        <v>0</v>
      </c>
      <c r="S11" s="235">
        <v>0</v>
      </c>
      <c r="T11" s="235">
        <v>0</v>
      </c>
      <c r="U11" s="235">
        <v>0</v>
      </c>
      <c r="V11" s="235">
        <v>0</v>
      </c>
      <c r="W11" s="235">
        <v>0</v>
      </c>
      <c r="X11" s="235">
        <v>210501.86</v>
      </c>
      <c r="Y11" s="235">
        <v>258614.1</v>
      </c>
      <c r="Z11" s="235"/>
    </row>
    <row r="12" spans="1:26" x14ac:dyDescent="0.2">
      <c r="A12" s="1" t="s">
        <v>421</v>
      </c>
      <c r="B12" s="235">
        <v>55652.639999999999</v>
      </c>
      <c r="C12" s="235">
        <v>51030</v>
      </c>
      <c r="D12" s="235">
        <v>58492.08</v>
      </c>
      <c r="E12" s="235">
        <v>57424.62</v>
      </c>
      <c r="F12" s="235">
        <v>61167.96</v>
      </c>
      <c r="G12" s="235">
        <v>67962.66</v>
      </c>
      <c r="H12" s="235">
        <v>75241.8</v>
      </c>
      <c r="I12" s="235">
        <v>88070.04</v>
      </c>
      <c r="J12" s="235">
        <v>76853.88</v>
      </c>
      <c r="K12" s="235">
        <v>75363.360000000001</v>
      </c>
      <c r="L12" s="235">
        <v>62963.16</v>
      </c>
      <c r="M12" s="235">
        <v>55661.1</v>
      </c>
      <c r="N12" s="235">
        <v>54280.14</v>
      </c>
      <c r="O12" s="235">
        <v>51748.26</v>
      </c>
      <c r="P12" s="235">
        <v>59731.08</v>
      </c>
      <c r="Q12" s="235">
        <v>62976.84</v>
      </c>
      <c r="R12" s="235">
        <v>77970.66</v>
      </c>
      <c r="S12" s="235">
        <v>81309.42</v>
      </c>
      <c r="T12" s="235">
        <v>85985.46</v>
      </c>
      <c r="U12" s="235">
        <v>84056.94</v>
      </c>
      <c r="V12" s="235">
        <v>78070.14</v>
      </c>
      <c r="W12" s="235">
        <v>69461.759999999995</v>
      </c>
      <c r="X12" s="235">
        <v>57788.04</v>
      </c>
      <c r="Y12" s="235">
        <v>51504.959999999999</v>
      </c>
      <c r="Z12" s="235"/>
    </row>
    <row r="13" spans="1:26" x14ac:dyDescent="0.2">
      <c r="A13" s="1" t="s">
        <v>422</v>
      </c>
      <c r="B13" s="235">
        <v>3529617.45</v>
      </c>
      <c r="C13" s="235">
        <v>3251822.15</v>
      </c>
      <c r="D13" s="235">
        <v>3568217.78</v>
      </c>
      <c r="E13" s="235">
        <v>3100746.36</v>
      </c>
      <c r="F13" s="235">
        <v>3133213.18</v>
      </c>
      <c r="G13" s="235">
        <v>3718288.3</v>
      </c>
      <c r="H13" s="235">
        <v>4131142.13</v>
      </c>
      <c r="I13" s="235">
        <v>4755498.66</v>
      </c>
      <c r="J13" s="235">
        <v>4074330.2</v>
      </c>
      <c r="K13" s="235">
        <v>3959309.47</v>
      </c>
      <c r="L13" s="235">
        <v>3709921.01</v>
      </c>
      <c r="M13" s="235">
        <v>3902814.06</v>
      </c>
      <c r="N13" s="235">
        <v>3970040.57</v>
      </c>
      <c r="O13" s="235">
        <v>3698728.64</v>
      </c>
      <c r="P13" s="235">
        <v>4010777.81</v>
      </c>
      <c r="Q13" s="235">
        <v>3639020.78</v>
      </c>
      <c r="R13" s="235">
        <v>3977362.22</v>
      </c>
      <c r="S13" s="235">
        <v>4138145.15</v>
      </c>
      <c r="T13" s="235">
        <v>4689744.92</v>
      </c>
      <c r="U13" s="235">
        <v>4771689.16</v>
      </c>
      <c r="V13" s="235">
        <v>4220142.1500000004</v>
      </c>
      <c r="W13" s="235">
        <v>3915774.11</v>
      </c>
      <c r="X13" s="235">
        <v>4176945.32</v>
      </c>
      <c r="Y13" s="235">
        <v>4409829.0599999996</v>
      </c>
      <c r="Z13" s="235"/>
    </row>
    <row r="14" spans="1:26" x14ac:dyDescent="0.2">
      <c r="A14" s="1" t="s">
        <v>423</v>
      </c>
      <c r="B14" s="235">
        <v>1821130.91</v>
      </c>
      <c r="C14" s="235">
        <v>1603523.82</v>
      </c>
      <c r="D14" s="235">
        <v>1691493.86</v>
      </c>
      <c r="E14" s="235">
        <v>1441811.32</v>
      </c>
      <c r="F14" s="235">
        <v>1535688.75</v>
      </c>
      <c r="G14" s="235">
        <v>1961179.27</v>
      </c>
      <c r="H14" s="235">
        <v>2057376.76</v>
      </c>
      <c r="I14" s="235">
        <v>2549421.34</v>
      </c>
      <c r="J14" s="235">
        <v>1832139.57</v>
      </c>
      <c r="K14" s="235">
        <v>1730652.19</v>
      </c>
      <c r="L14" s="235">
        <v>1833695.75</v>
      </c>
      <c r="M14" s="235">
        <v>1947385.12</v>
      </c>
      <c r="N14" s="235">
        <v>2072836.71</v>
      </c>
      <c r="O14" s="235">
        <v>1910942.27</v>
      </c>
      <c r="P14" s="235">
        <v>1854538.12</v>
      </c>
      <c r="Q14" s="235">
        <v>1537838.63</v>
      </c>
      <c r="R14" s="235">
        <v>1752084.51</v>
      </c>
      <c r="S14" s="235">
        <v>2110812.81</v>
      </c>
      <c r="T14" s="235">
        <v>2624376.44</v>
      </c>
      <c r="U14" s="235">
        <v>2784184.37</v>
      </c>
      <c r="V14" s="235">
        <v>2122388.62</v>
      </c>
      <c r="W14" s="235">
        <v>1754007.49</v>
      </c>
      <c r="X14" s="235">
        <v>1596684.12</v>
      </c>
      <c r="Y14" s="235">
        <v>1665215.27</v>
      </c>
      <c r="Z14" s="235"/>
    </row>
    <row r="15" spans="1:26" x14ac:dyDescent="0.2">
      <c r="A15" s="1" t="s">
        <v>424</v>
      </c>
      <c r="B15" s="235">
        <v>7452.08</v>
      </c>
      <c r="C15" s="235">
        <v>6214.11</v>
      </c>
      <c r="D15" s="235">
        <v>6176.97</v>
      </c>
      <c r="E15" s="235">
        <v>5220.4799999999996</v>
      </c>
      <c r="F15" s="235">
        <v>4753.33</v>
      </c>
      <c r="G15" s="235">
        <v>4281.78</v>
      </c>
      <c r="H15" s="235">
        <v>4597.99</v>
      </c>
      <c r="I15" s="235">
        <v>5164.2299999999996</v>
      </c>
      <c r="J15" s="235">
        <v>5697.34</v>
      </c>
      <c r="K15" s="235">
        <v>6640.1</v>
      </c>
      <c r="L15" s="235">
        <v>7070.16</v>
      </c>
      <c r="M15" s="235">
        <v>7644.45</v>
      </c>
      <c r="N15" s="235">
        <v>7452.08</v>
      </c>
      <c r="O15" s="235">
        <v>6214.11</v>
      </c>
      <c r="P15" s="235">
        <v>6176.97</v>
      </c>
      <c r="Q15" s="235">
        <v>5220.4799999999996</v>
      </c>
      <c r="R15" s="235">
        <v>4753.33</v>
      </c>
      <c r="S15" s="235">
        <v>4281.78</v>
      </c>
      <c r="T15" s="235">
        <v>4597.99</v>
      </c>
      <c r="U15" s="235">
        <v>5164.2299999999996</v>
      </c>
      <c r="V15" s="235">
        <v>5697.34</v>
      </c>
      <c r="W15" s="235">
        <v>6640.1</v>
      </c>
      <c r="X15" s="235">
        <v>7070.16</v>
      </c>
      <c r="Y15" s="235">
        <v>7644.45</v>
      </c>
      <c r="Z15" s="235"/>
    </row>
    <row r="16" spans="1:26" x14ac:dyDescent="0.2">
      <c r="A16" s="1" t="s">
        <v>425</v>
      </c>
      <c r="B16" s="235">
        <v>51206.73</v>
      </c>
      <c r="C16" s="235">
        <v>42698.94</v>
      </c>
      <c r="D16" s="235">
        <v>42444</v>
      </c>
      <c r="E16" s="235">
        <v>36252.03</v>
      </c>
      <c r="F16" s="235">
        <v>33007.599999999999</v>
      </c>
      <c r="G16" s="235">
        <v>29734.44</v>
      </c>
      <c r="H16" s="235">
        <v>31929.26</v>
      </c>
      <c r="I16" s="235">
        <v>35860.79</v>
      </c>
      <c r="J16" s="235">
        <v>39563.29</v>
      </c>
      <c r="K16" s="235">
        <v>46109.42</v>
      </c>
      <c r="L16" s="235">
        <v>49096.26</v>
      </c>
      <c r="M16" s="235">
        <v>53085.07</v>
      </c>
      <c r="N16" s="235">
        <v>51749.08</v>
      </c>
      <c r="O16" s="235">
        <v>43151.25</v>
      </c>
      <c r="P16" s="235">
        <v>42893.62</v>
      </c>
      <c r="Q16" s="235">
        <v>36252.03</v>
      </c>
      <c r="R16" s="235">
        <v>33007.599999999999</v>
      </c>
      <c r="S16" s="235">
        <v>29734.44</v>
      </c>
      <c r="T16" s="235">
        <v>31929.26</v>
      </c>
      <c r="U16" s="235">
        <v>35860.79</v>
      </c>
      <c r="V16" s="235">
        <v>39563.29</v>
      </c>
      <c r="W16" s="235">
        <v>46109.42</v>
      </c>
      <c r="X16" s="235">
        <v>49096.26</v>
      </c>
      <c r="Y16" s="235">
        <v>53085.07</v>
      </c>
      <c r="Z16" s="235"/>
    </row>
    <row r="17" spans="1:26" x14ac:dyDescent="0.2">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row>
    <row r="18" spans="1:26" x14ac:dyDescent="0.2">
      <c r="A18" s="33" t="s">
        <v>430</v>
      </c>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row>
    <row r="19" spans="1:26" x14ac:dyDescent="0.2">
      <c r="A19" s="1" t="s">
        <v>415</v>
      </c>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row>
    <row r="20" spans="1:26" x14ac:dyDescent="0.2">
      <c r="A20" s="1" t="s">
        <v>416</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row>
    <row r="21" spans="1:26" x14ac:dyDescent="0.2">
      <c r="A21" s="1" t="s">
        <v>417</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row>
    <row r="22" spans="1:26" x14ac:dyDescent="0.2">
      <c r="A22" s="1" t="s">
        <v>418</v>
      </c>
      <c r="B22" s="235"/>
      <c r="C22" s="235"/>
      <c r="D22" s="235"/>
      <c r="E22" s="235"/>
      <c r="F22" s="235"/>
      <c r="G22" s="235">
        <v>127481.2</v>
      </c>
      <c r="H22" s="235"/>
      <c r="I22" s="235"/>
      <c r="J22" s="235"/>
      <c r="K22" s="235"/>
      <c r="L22" s="235"/>
      <c r="M22" s="235"/>
      <c r="N22" s="235"/>
      <c r="O22" s="235"/>
      <c r="P22" s="235"/>
      <c r="Q22" s="235"/>
      <c r="R22" s="235"/>
      <c r="S22" s="235"/>
      <c r="T22" s="235"/>
      <c r="U22" s="235"/>
      <c r="V22" s="235"/>
      <c r="W22" s="235"/>
      <c r="X22" s="235"/>
      <c r="Y22" s="235"/>
      <c r="Z22" s="235"/>
    </row>
    <row r="23" spans="1:26" x14ac:dyDescent="0.2">
      <c r="A23" s="1" t="s">
        <v>419</v>
      </c>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row>
    <row r="24" spans="1:26" x14ac:dyDescent="0.2">
      <c r="A24" s="1" t="s">
        <v>420</v>
      </c>
      <c r="B24" s="235"/>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row>
    <row r="25" spans="1:26" x14ac:dyDescent="0.2">
      <c r="A25" s="1" t="s">
        <v>426</v>
      </c>
      <c r="B25" s="235"/>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row>
    <row r="26" spans="1:26" x14ac:dyDescent="0.2">
      <c r="A26" s="1" t="s">
        <v>421</v>
      </c>
      <c r="B26" s="235"/>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row>
    <row r="27" spans="1:26" x14ac:dyDescent="0.2">
      <c r="A27" s="1" t="s">
        <v>422</v>
      </c>
      <c r="B27" s="235">
        <v>51842.2</v>
      </c>
      <c r="C27" s="235">
        <v>42820.9</v>
      </c>
      <c r="D27" s="235">
        <v>1224.7</v>
      </c>
      <c r="E27" s="235">
        <v>9133.4</v>
      </c>
      <c r="F27" s="235">
        <v>2128.1</v>
      </c>
      <c r="G27" s="235">
        <v>6469.9</v>
      </c>
      <c r="H27" s="235">
        <v>32942.300000000003</v>
      </c>
      <c r="I27" s="235">
        <v>29422.799999999999</v>
      </c>
      <c r="J27" s="235">
        <v>33552.400000000001</v>
      </c>
      <c r="K27" s="235">
        <v>76618.600000000006</v>
      </c>
      <c r="L27" s="235">
        <v>68451.8</v>
      </c>
      <c r="M27" s="235">
        <v>76417</v>
      </c>
      <c r="N27" s="235">
        <v>86166</v>
      </c>
      <c r="O27" s="235">
        <v>67806.179999999993</v>
      </c>
      <c r="P27" s="235">
        <v>32816.160000000003</v>
      </c>
      <c r="Q27" s="235">
        <v>50391.54</v>
      </c>
      <c r="R27" s="235">
        <v>61702.46</v>
      </c>
      <c r="S27" s="235">
        <v>60963.3</v>
      </c>
      <c r="T27" s="235">
        <v>70717.320000000007</v>
      </c>
      <c r="U27" s="235">
        <v>77265.179999999993</v>
      </c>
      <c r="V27" s="235">
        <v>78667.199999999997</v>
      </c>
      <c r="W27" s="235">
        <v>78346.259999999995</v>
      </c>
      <c r="X27" s="235">
        <v>81524.52</v>
      </c>
      <c r="Y27" s="235">
        <v>82039.86</v>
      </c>
      <c r="Z27" s="235"/>
    </row>
    <row r="28" spans="1:26" x14ac:dyDescent="0.2">
      <c r="A28" s="1" t="s">
        <v>423</v>
      </c>
      <c r="B28" s="235">
        <v>15064.1</v>
      </c>
      <c r="C28" s="235">
        <v>8007.1</v>
      </c>
      <c r="D28" s="235">
        <v>621.9</v>
      </c>
      <c r="E28" s="235">
        <v>-1340.8</v>
      </c>
      <c r="F28" s="235">
        <v>-1564.7</v>
      </c>
      <c r="G28" s="235">
        <v>5681.4</v>
      </c>
      <c r="H28" s="235">
        <v>10522.1</v>
      </c>
      <c r="I28" s="235">
        <v>12606.1</v>
      </c>
      <c r="J28" s="235">
        <v>8463.7999999999993</v>
      </c>
      <c r="K28" s="235">
        <v>16884.400000000001</v>
      </c>
      <c r="L28" s="235">
        <v>16264.5</v>
      </c>
      <c r="M28" s="235">
        <v>18938.7</v>
      </c>
      <c r="N28" s="235">
        <v>19266</v>
      </c>
      <c r="O28" s="235">
        <v>15262.38</v>
      </c>
      <c r="P28" s="235">
        <v>9837.1200000000008</v>
      </c>
      <c r="Q28" s="235">
        <v>11628.42</v>
      </c>
      <c r="R28" s="235">
        <v>10820.46</v>
      </c>
      <c r="S28" s="235">
        <v>12131.16</v>
      </c>
      <c r="T28" s="235">
        <v>14514.18</v>
      </c>
      <c r="U28" s="235">
        <v>15228.3</v>
      </c>
      <c r="V28" s="235">
        <v>13058.82</v>
      </c>
      <c r="W28" s="235">
        <v>12124.26</v>
      </c>
      <c r="X28" s="235">
        <v>13498.74</v>
      </c>
      <c r="Y28" s="235">
        <v>16613.46</v>
      </c>
      <c r="Z28" s="235"/>
    </row>
    <row r="29" spans="1:26" x14ac:dyDescent="0.2">
      <c r="A29" s="1" t="s">
        <v>424</v>
      </c>
      <c r="B29" s="235"/>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row>
    <row r="30" spans="1:26" x14ac:dyDescent="0.2">
      <c r="A30" s="1" t="s">
        <v>425</v>
      </c>
      <c r="B30" s="235"/>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row>
    <row r="31" spans="1:26" x14ac:dyDescent="0.2">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row>
    <row r="32" spans="1:26" x14ac:dyDescent="0.2">
      <c r="A32" s="33" t="s">
        <v>433</v>
      </c>
      <c r="B32" s="235"/>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row>
    <row r="33" spans="1:26" x14ac:dyDescent="0.2">
      <c r="A33" s="1" t="s">
        <v>415</v>
      </c>
      <c r="B33" s="235">
        <f>+B5+B19</f>
        <v>484411.9</v>
      </c>
      <c r="C33" s="235">
        <f t="shared" ref="C33:Y44" si="0">+C5+C19</f>
        <v>451989.09</v>
      </c>
      <c r="D33" s="235">
        <f t="shared" si="0"/>
        <v>448909.94</v>
      </c>
      <c r="E33" s="235">
        <f t="shared" si="0"/>
        <v>412394.85</v>
      </c>
      <c r="F33" s="235">
        <f t="shared" si="0"/>
        <v>447108.44</v>
      </c>
      <c r="G33" s="235">
        <f t="shared" si="0"/>
        <v>595313.43999999994</v>
      </c>
      <c r="H33" s="235">
        <f t="shared" si="0"/>
        <v>636898.21</v>
      </c>
      <c r="I33" s="235">
        <f t="shared" si="0"/>
        <v>773161.35</v>
      </c>
      <c r="J33" s="235">
        <f t="shared" si="0"/>
        <v>490925.09</v>
      </c>
      <c r="K33" s="235">
        <f t="shared" si="0"/>
        <v>456614.87</v>
      </c>
      <c r="L33" s="235">
        <f t="shared" si="0"/>
        <v>478958.49</v>
      </c>
      <c r="M33" s="235">
        <f t="shared" si="0"/>
        <v>548885.43000000005</v>
      </c>
      <c r="N33" s="235">
        <f t="shared" si="0"/>
        <v>590660.21</v>
      </c>
      <c r="O33" s="235">
        <f t="shared" si="0"/>
        <v>509876.63</v>
      </c>
      <c r="P33" s="235">
        <f t="shared" si="0"/>
        <v>514677.75</v>
      </c>
      <c r="Q33" s="235">
        <f t="shared" si="0"/>
        <v>449435.16</v>
      </c>
      <c r="R33" s="235">
        <f t="shared" si="0"/>
        <v>480632.57</v>
      </c>
      <c r="S33" s="235">
        <f t="shared" si="0"/>
        <v>562576.78</v>
      </c>
      <c r="T33" s="235">
        <f t="shared" si="0"/>
        <v>721013.95</v>
      </c>
      <c r="U33" s="235">
        <f t="shared" si="0"/>
        <v>723859.37</v>
      </c>
      <c r="V33" s="235">
        <f t="shared" si="0"/>
        <v>517175.88</v>
      </c>
      <c r="W33" s="235">
        <f t="shared" si="0"/>
        <v>449997.17</v>
      </c>
      <c r="X33" s="235">
        <f t="shared" si="0"/>
        <v>480836.7</v>
      </c>
      <c r="Y33" s="235">
        <f t="shared" si="0"/>
        <v>589538.18999999994</v>
      </c>
      <c r="Z33" s="235"/>
    </row>
    <row r="34" spans="1:26" x14ac:dyDescent="0.2">
      <c r="A34" s="1" t="s">
        <v>416</v>
      </c>
      <c r="B34" s="235">
        <f t="shared" ref="B34:Q44" si="1">+B6+B20</f>
        <v>6388943.1399999997</v>
      </c>
      <c r="C34" s="235">
        <f t="shared" si="1"/>
        <v>5882287.3499999996</v>
      </c>
      <c r="D34" s="235">
        <f t="shared" si="1"/>
        <v>5511190.79</v>
      </c>
      <c r="E34" s="235">
        <f t="shared" si="1"/>
        <v>4882399.7300000004</v>
      </c>
      <c r="F34" s="235">
        <f t="shared" si="1"/>
        <v>5337924.1900000004</v>
      </c>
      <c r="G34" s="235">
        <f t="shared" si="1"/>
        <v>6828865.4100000001</v>
      </c>
      <c r="H34" s="235">
        <f t="shared" si="1"/>
        <v>7237677.0499999998</v>
      </c>
      <c r="I34" s="235">
        <f t="shared" si="1"/>
        <v>8648190.2699999996</v>
      </c>
      <c r="J34" s="235">
        <f t="shared" si="1"/>
        <v>5678869.0300000003</v>
      </c>
      <c r="K34" s="235">
        <f t="shared" si="1"/>
        <v>5020831.2699999996</v>
      </c>
      <c r="L34" s="235">
        <f t="shared" si="1"/>
        <v>5085201.41</v>
      </c>
      <c r="M34" s="235">
        <f t="shared" si="1"/>
        <v>5917769.9299999997</v>
      </c>
      <c r="N34" s="235">
        <f t="shared" si="1"/>
        <v>6626369.5700000003</v>
      </c>
      <c r="O34" s="235">
        <f t="shared" si="1"/>
        <v>5726851.0300000003</v>
      </c>
      <c r="P34" s="235">
        <f t="shared" si="1"/>
        <v>5660756.3899999997</v>
      </c>
      <c r="Q34" s="235">
        <f t="shared" si="1"/>
        <v>4818593.67</v>
      </c>
      <c r="R34" s="235">
        <f t="shared" si="0"/>
        <v>5240625.3</v>
      </c>
      <c r="S34" s="235">
        <f t="shared" si="0"/>
        <v>6220817.5700000003</v>
      </c>
      <c r="T34" s="235">
        <f t="shared" si="0"/>
        <v>7882831.2400000002</v>
      </c>
      <c r="U34" s="235">
        <f t="shared" si="0"/>
        <v>7841488.8600000003</v>
      </c>
      <c r="V34" s="235">
        <f t="shared" si="0"/>
        <v>5610522.6299999999</v>
      </c>
      <c r="W34" s="235">
        <f t="shared" si="0"/>
        <v>4758171.72</v>
      </c>
      <c r="X34" s="235">
        <f t="shared" si="0"/>
        <v>4978579.68</v>
      </c>
      <c r="Y34" s="235">
        <f t="shared" si="0"/>
        <v>6102377.3799999999</v>
      </c>
      <c r="Z34" s="235"/>
    </row>
    <row r="35" spans="1:26" x14ac:dyDescent="0.2">
      <c r="A35" s="1" t="s">
        <v>417</v>
      </c>
      <c r="B35" s="235">
        <f t="shared" si="1"/>
        <v>22952.51</v>
      </c>
      <c r="C35" s="235">
        <f t="shared" si="0"/>
        <v>21268.6</v>
      </c>
      <c r="D35" s="235">
        <f t="shared" si="0"/>
        <v>21225</v>
      </c>
      <c r="E35" s="235">
        <f t="shared" si="0"/>
        <v>21225</v>
      </c>
      <c r="F35" s="235">
        <f t="shared" si="0"/>
        <v>21225</v>
      </c>
      <c r="G35" s="235">
        <f t="shared" si="0"/>
        <v>21225</v>
      </c>
      <c r="H35" s="235">
        <f t="shared" si="0"/>
        <v>21225</v>
      </c>
      <c r="I35" s="235">
        <f t="shared" si="0"/>
        <v>21225</v>
      </c>
      <c r="J35" s="235">
        <f t="shared" si="0"/>
        <v>21424.68</v>
      </c>
      <c r="K35" s="235">
        <f t="shared" si="0"/>
        <v>22040.13</v>
      </c>
      <c r="L35" s="235">
        <f t="shared" si="0"/>
        <v>22508.06</v>
      </c>
      <c r="M35" s="235">
        <f t="shared" si="0"/>
        <v>25221.25</v>
      </c>
      <c r="N35" s="235">
        <f t="shared" si="0"/>
        <v>25764.35</v>
      </c>
      <c r="O35" s="235">
        <f t="shared" si="0"/>
        <v>24298.68</v>
      </c>
      <c r="P35" s="235">
        <f t="shared" si="0"/>
        <v>24033</v>
      </c>
      <c r="Q35" s="235">
        <f t="shared" si="0"/>
        <v>24220.2</v>
      </c>
      <c r="R35" s="235">
        <f t="shared" si="0"/>
        <v>24650.7</v>
      </c>
      <c r="S35" s="235">
        <f t="shared" si="0"/>
        <v>24990.9</v>
      </c>
      <c r="T35" s="235">
        <f t="shared" si="0"/>
        <v>27354.9</v>
      </c>
      <c r="U35" s="235">
        <f t="shared" si="0"/>
        <v>27964.2</v>
      </c>
      <c r="V35" s="235">
        <f t="shared" si="0"/>
        <v>27964.2</v>
      </c>
      <c r="W35" s="235">
        <f t="shared" si="0"/>
        <v>27964.2</v>
      </c>
      <c r="X35" s="235">
        <f t="shared" si="0"/>
        <v>28019.55</v>
      </c>
      <c r="Y35" s="235">
        <f t="shared" si="0"/>
        <v>28151.4</v>
      </c>
      <c r="Z35" s="235"/>
    </row>
    <row r="36" spans="1:26" x14ac:dyDescent="0.2">
      <c r="A36" s="1" t="s">
        <v>418</v>
      </c>
      <c r="B36" s="235">
        <f t="shared" si="1"/>
        <v>39169.230000000003</v>
      </c>
      <c r="C36" s="235">
        <f t="shared" si="0"/>
        <v>34776.519999999997</v>
      </c>
      <c r="D36" s="235">
        <f t="shared" si="0"/>
        <v>32854.410000000003</v>
      </c>
      <c r="E36" s="235">
        <f t="shared" si="0"/>
        <v>28701.11</v>
      </c>
      <c r="F36" s="235">
        <f t="shared" si="0"/>
        <v>30542.81</v>
      </c>
      <c r="G36" s="235">
        <f t="shared" si="0"/>
        <v>162201.29999999999</v>
      </c>
      <c r="H36" s="235">
        <f t="shared" si="0"/>
        <v>42567.519999999997</v>
      </c>
      <c r="I36" s="235">
        <f t="shared" si="0"/>
        <v>51879.92</v>
      </c>
      <c r="J36" s="235">
        <f t="shared" si="0"/>
        <v>35257.32</v>
      </c>
      <c r="K36" s="235">
        <f t="shared" si="0"/>
        <v>31435.96</v>
      </c>
      <c r="L36" s="235">
        <f t="shared" si="0"/>
        <v>42073.599999999999</v>
      </c>
      <c r="M36" s="235">
        <f t="shared" si="0"/>
        <v>47212.92</v>
      </c>
      <c r="N36" s="235">
        <f t="shared" si="0"/>
        <v>58517.68</v>
      </c>
      <c r="O36" s="235">
        <f t="shared" si="0"/>
        <v>44565.43</v>
      </c>
      <c r="P36" s="235">
        <f t="shared" si="0"/>
        <v>44641.4</v>
      </c>
      <c r="Q36" s="235">
        <f t="shared" si="0"/>
        <v>36255.65</v>
      </c>
      <c r="R36" s="235">
        <f t="shared" si="0"/>
        <v>34296.11</v>
      </c>
      <c r="S36" s="235">
        <f t="shared" si="0"/>
        <v>39922.31</v>
      </c>
      <c r="T36" s="235">
        <f t="shared" si="0"/>
        <v>56550.879999999997</v>
      </c>
      <c r="U36" s="235">
        <f t="shared" si="0"/>
        <v>56375.57</v>
      </c>
      <c r="V36" s="235">
        <f t="shared" si="0"/>
        <v>40720.58</v>
      </c>
      <c r="W36" s="235">
        <f t="shared" si="0"/>
        <v>39505.72</v>
      </c>
      <c r="X36" s="235">
        <f t="shared" si="0"/>
        <v>45320.160000000003</v>
      </c>
      <c r="Y36" s="235">
        <f t="shared" si="0"/>
        <v>50686.71</v>
      </c>
      <c r="Z36" s="235"/>
    </row>
    <row r="37" spans="1:26" x14ac:dyDescent="0.2">
      <c r="A37" s="1" t="s">
        <v>419</v>
      </c>
      <c r="B37" s="235">
        <f t="shared" si="1"/>
        <v>3313823.69</v>
      </c>
      <c r="C37" s="235">
        <f t="shared" si="0"/>
        <v>3204463.35</v>
      </c>
      <c r="D37" s="235">
        <f t="shared" si="0"/>
        <v>3278148.93</v>
      </c>
      <c r="E37" s="235">
        <f t="shared" si="0"/>
        <v>2772416.15</v>
      </c>
      <c r="F37" s="235">
        <f t="shared" si="0"/>
        <v>2816484.62</v>
      </c>
      <c r="G37" s="235">
        <f t="shared" si="0"/>
        <v>3445681.95</v>
      </c>
      <c r="H37" s="235">
        <f t="shared" si="0"/>
        <v>4080284.32</v>
      </c>
      <c r="I37" s="235">
        <f t="shared" si="0"/>
        <v>4778658.09</v>
      </c>
      <c r="J37" s="235">
        <f t="shared" si="0"/>
        <v>3520337.89</v>
      </c>
      <c r="K37" s="235">
        <f t="shared" si="0"/>
        <v>3294928.28</v>
      </c>
      <c r="L37" s="235">
        <f t="shared" si="0"/>
        <v>3268168.06</v>
      </c>
      <c r="M37" s="235">
        <f t="shared" si="0"/>
        <v>3600829</v>
      </c>
      <c r="N37" s="235">
        <f t="shared" si="0"/>
        <v>3927999.8</v>
      </c>
      <c r="O37" s="235">
        <f t="shared" si="0"/>
        <v>3602744.88</v>
      </c>
      <c r="P37" s="235">
        <f t="shared" si="0"/>
        <v>3712999.87</v>
      </c>
      <c r="Q37" s="235">
        <f t="shared" si="0"/>
        <v>3205489.98</v>
      </c>
      <c r="R37" s="235">
        <f t="shared" si="0"/>
        <v>3355145.32</v>
      </c>
      <c r="S37" s="235">
        <f t="shared" si="0"/>
        <v>3669013.94</v>
      </c>
      <c r="T37" s="235">
        <f t="shared" si="0"/>
        <v>4362283.12</v>
      </c>
      <c r="U37" s="235">
        <f t="shared" si="0"/>
        <v>4499961.4800000004</v>
      </c>
      <c r="V37" s="235">
        <f t="shared" si="0"/>
        <v>3462851.93</v>
      </c>
      <c r="W37" s="235">
        <f t="shared" si="0"/>
        <v>3128947.24</v>
      </c>
      <c r="X37" s="235">
        <f t="shared" si="0"/>
        <v>3198949.76</v>
      </c>
      <c r="Y37" s="235">
        <f t="shared" si="0"/>
        <v>3715882.09</v>
      </c>
      <c r="Z37" s="235"/>
    </row>
    <row r="38" spans="1:26" x14ac:dyDescent="0.2">
      <c r="A38" s="1" t="s">
        <v>420</v>
      </c>
      <c r="B38" s="235">
        <f t="shared" si="1"/>
        <v>318743.5</v>
      </c>
      <c r="C38" s="235">
        <f t="shared" si="0"/>
        <v>302951.98</v>
      </c>
      <c r="D38" s="235">
        <f t="shared" si="0"/>
        <v>284393</v>
      </c>
      <c r="E38" s="235">
        <f t="shared" si="0"/>
        <v>241911.6</v>
      </c>
      <c r="F38" s="235">
        <f t="shared" si="0"/>
        <v>236519.86</v>
      </c>
      <c r="G38" s="235">
        <f t="shared" si="0"/>
        <v>264366</v>
      </c>
      <c r="H38" s="235">
        <f t="shared" si="0"/>
        <v>283544.12</v>
      </c>
      <c r="I38" s="235">
        <f t="shared" si="0"/>
        <v>326610.26</v>
      </c>
      <c r="J38" s="235">
        <f t="shared" si="0"/>
        <v>258220.04</v>
      </c>
      <c r="K38" s="235">
        <f t="shared" si="0"/>
        <v>248298.64</v>
      </c>
      <c r="L38" s="235">
        <f t="shared" si="0"/>
        <v>261046.84</v>
      </c>
      <c r="M38" s="235">
        <f t="shared" si="0"/>
        <v>292439.98</v>
      </c>
      <c r="N38" s="235">
        <f t="shared" si="0"/>
        <v>344453.52</v>
      </c>
      <c r="O38" s="235">
        <f t="shared" si="0"/>
        <v>298089.15999999997</v>
      </c>
      <c r="P38" s="235">
        <f t="shared" si="0"/>
        <v>298659.20000000001</v>
      </c>
      <c r="Q38" s="235">
        <f t="shared" si="0"/>
        <v>249484.48</v>
      </c>
      <c r="R38" s="235">
        <f t="shared" si="0"/>
        <v>245998.16</v>
      </c>
      <c r="S38" s="235">
        <f t="shared" si="0"/>
        <v>257946.3</v>
      </c>
      <c r="T38" s="235">
        <f t="shared" si="0"/>
        <v>300921.7</v>
      </c>
      <c r="U38" s="235">
        <f t="shared" si="0"/>
        <v>305377.96000000002</v>
      </c>
      <c r="V38" s="235">
        <f t="shared" si="0"/>
        <v>256200.16</v>
      </c>
      <c r="W38" s="235">
        <f t="shared" si="0"/>
        <v>241668.6</v>
      </c>
      <c r="X38" s="235">
        <f t="shared" si="0"/>
        <v>49861.8</v>
      </c>
      <c r="Y38" s="235">
        <f t="shared" si="0"/>
        <v>42284.34</v>
      </c>
      <c r="Z38" s="235"/>
    </row>
    <row r="39" spans="1:26" x14ac:dyDescent="0.2">
      <c r="A39" s="1" t="s">
        <v>426</v>
      </c>
      <c r="B39" s="235">
        <f t="shared" si="1"/>
        <v>0</v>
      </c>
      <c r="C39" s="235">
        <f t="shared" si="0"/>
        <v>0</v>
      </c>
      <c r="D39" s="235">
        <f t="shared" si="0"/>
        <v>0</v>
      </c>
      <c r="E39" s="235">
        <f t="shared" si="0"/>
        <v>0</v>
      </c>
      <c r="F39" s="235">
        <f t="shared" si="0"/>
        <v>0</v>
      </c>
      <c r="G39" s="235">
        <f t="shared" si="0"/>
        <v>0</v>
      </c>
      <c r="H39" s="235">
        <f t="shared" si="0"/>
        <v>0</v>
      </c>
      <c r="I39" s="235">
        <f t="shared" si="0"/>
        <v>0</v>
      </c>
      <c r="J39" s="235">
        <f t="shared" si="0"/>
        <v>0</v>
      </c>
      <c r="K39" s="235">
        <f t="shared" si="0"/>
        <v>0</v>
      </c>
      <c r="L39" s="235">
        <f t="shared" si="0"/>
        <v>0</v>
      </c>
      <c r="M39" s="235">
        <f t="shared" si="0"/>
        <v>0</v>
      </c>
      <c r="N39" s="235">
        <f t="shared" si="0"/>
        <v>0</v>
      </c>
      <c r="O39" s="235">
        <f t="shared" si="0"/>
        <v>0</v>
      </c>
      <c r="P39" s="235">
        <f t="shared" si="0"/>
        <v>0</v>
      </c>
      <c r="Q39" s="235">
        <f t="shared" si="0"/>
        <v>0</v>
      </c>
      <c r="R39" s="235">
        <f t="shared" si="0"/>
        <v>0</v>
      </c>
      <c r="S39" s="235">
        <f t="shared" si="0"/>
        <v>0</v>
      </c>
      <c r="T39" s="235">
        <f t="shared" si="0"/>
        <v>0</v>
      </c>
      <c r="U39" s="235">
        <f t="shared" si="0"/>
        <v>0</v>
      </c>
      <c r="V39" s="235">
        <f t="shared" si="0"/>
        <v>0</v>
      </c>
      <c r="W39" s="235">
        <f t="shared" si="0"/>
        <v>0</v>
      </c>
      <c r="X39" s="235">
        <f t="shared" si="0"/>
        <v>210501.86</v>
      </c>
      <c r="Y39" s="235">
        <f t="shared" si="0"/>
        <v>258614.1</v>
      </c>
      <c r="Z39" s="235"/>
    </row>
    <row r="40" spans="1:26" x14ac:dyDescent="0.2">
      <c r="A40" s="1" t="s">
        <v>421</v>
      </c>
      <c r="B40" s="235">
        <f t="shared" si="1"/>
        <v>55652.639999999999</v>
      </c>
      <c r="C40" s="235">
        <f t="shared" si="0"/>
        <v>51030</v>
      </c>
      <c r="D40" s="235">
        <f t="shared" si="0"/>
        <v>58492.08</v>
      </c>
      <c r="E40" s="235">
        <f t="shared" si="0"/>
        <v>57424.62</v>
      </c>
      <c r="F40" s="235">
        <f t="shared" si="0"/>
        <v>61167.96</v>
      </c>
      <c r="G40" s="235">
        <f t="shared" si="0"/>
        <v>67962.66</v>
      </c>
      <c r="H40" s="235">
        <f t="shared" si="0"/>
        <v>75241.8</v>
      </c>
      <c r="I40" s="235">
        <f t="shared" si="0"/>
        <v>88070.04</v>
      </c>
      <c r="J40" s="235">
        <f t="shared" si="0"/>
        <v>76853.88</v>
      </c>
      <c r="K40" s="235">
        <f t="shared" si="0"/>
        <v>75363.360000000001</v>
      </c>
      <c r="L40" s="235">
        <f t="shared" si="0"/>
        <v>62963.16</v>
      </c>
      <c r="M40" s="235">
        <f t="shared" si="0"/>
        <v>55661.1</v>
      </c>
      <c r="N40" s="235">
        <f t="shared" si="0"/>
        <v>54280.14</v>
      </c>
      <c r="O40" s="235">
        <f t="shared" si="0"/>
        <v>51748.26</v>
      </c>
      <c r="P40" s="235">
        <f t="shared" si="0"/>
        <v>59731.08</v>
      </c>
      <c r="Q40" s="235">
        <f t="shared" si="0"/>
        <v>62976.84</v>
      </c>
      <c r="R40" s="235">
        <f t="shared" si="0"/>
        <v>77970.66</v>
      </c>
      <c r="S40" s="235">
        <f t="shared" si="0"/>
        <v>81309.42</v>
      </c>
      <c r="T40" s="235">
        <f t="shared" si="0"/>
        <v>85985.46</v>
      </c>
      <c r="U40" s="235">
        <f t="shared" si="0"/>
        <v>84056.94</v>
      </c>
      <c r="V40" s="235">
        <f t="shared" si="0"/>
        <v>78070.14</v>
      </c>
      <c r="W40" s="235">
        <f t="shared" si="0"/>
        <v>69461.759999999995</v>
      </c>
      <c r="X40" s="235">
        <f t="shared" si="0"/>
        <v>57788.04</v>
      </c>
      <c r="Y40" s="235">
        <f t="shared" si="0"/>
        <v>51504.959999999999</v>
      </c>
      <c r="Z40" s="235"/>
    </row>
    <row r="41" spans="1:26" x14ac:dyDescent="0.2">
      <c r="A41" s="1" t="s">
        <v>422</v>
      </c>
      <c r="B41" s="235">
        <f t="shared" si="1"/>
        <v>3581459.6500000004</v>
      </c>
      <c r="C41" s="235">
        <f t="shared" si="0"/>
        <v>3294643.05</v>
      </c>
      <c r="D41" s="235">
        <f t="shared" si="0"/>
        <v>3569442.48</v>
      </c>
      <c r="E41" s="235">
        <f t="shared" si="0"/>
        <v>3109879.76</v>
      </c>
      <c r="F41" s="235">
        <f t="shared" si="0"/>
        <v>3135341.2800000003</v>
      </c>
      <c r="G41" s="235">
        <f t="shared" si="0"/>
        <v>3724758.1999999997</v>
      </c>
      <c r="H41" s="235">
        <f t="shared" si="0"/>
        <v>4164084.4299999997</v>
      </c>
      <c r="I41" s="235">
        <f t="shared" si="0"/>
        <v>4784921.46</v>
      </c>
      <c r="J41" s="235">
        <f t="shared" si="0"/>
        <v>4107882.6</v>
      </c>
      <c r="K41" s="235">
        <f t="shared" si="0"/>
        <v>4035928.0700000003</v>
      </c>
      <c r="L41" s="235">
        <f t="shared" si="0"/>
        <v>3778372.8099999996</v>
      </c>
      <c r="M41" s="235">
        <f t="shared" si="0"/>
        <v>3979231.06</v>
      </c>
      <c r="N41" s="235">
        <f t="shared" si="0"/>
        <v>4056206.57</v>
      </c>
      <c r="O41" s="235">
        <f t="shared" si="0"/>
        <v>3766534.8200000003</v>
      </c>
      <c r="P41" s="235">
        <f t="shared" si="0"/>
        <v>4043593.97</v>
      </c>
      <c r="Q41" s="235">
        <f t="shared" si="0"/>
        <v>3689412.32</v>
      </c>
      <c r="R41" s="235">
        <f t="shared" si="0"/>
        <v>4039064.68</v>
      </c>
      <c r="S41" s="235">
        <f t="shared" si="0"/>
        <v>4199108.45</v>
      </c>
      <c r="T41" s="235">
        <f t="shared" si="0"/>
        <v>4760462.24</v>
      </c>
      <c r="U41" s="235">
        <f t="shared" si="0"/>
        <v>4848954.34</v>
      </c>
      <c r="V41" s="235">
        <f t="shared" si="0"/>
        <v>4298809.3500000006</v>
      </c>
      <c r="W41" s="235">
        <f t="shared" si="0"/>
        <v>3994120.3699999996</v>
      </c>
      <c r="X41" s="235">
        <f t="shared" si="0"/>
        <v>4258469.84</v>
      </c>
      <c r="Y41" s="235">
        <f t="shared" si="0"/>
        <v>4491868.92</v>
      </c>
      <c r="Z41" s="235"/>
    </row>
    <row r="42" spans="1:26" x14ac:dyDescent="0.2">
      <c r="A42" s="1" t="s">
        <v>423</v>
      </c>
      <c r="B42" s="235">
        <f t="shared" si="1"/>
        <v>1836195.01</v>
      </c>
      <c r="C42" s="235">
        <f t="shared" si="0"/>
        <v>1611530.9200000002</v>
      </c>
      <c r="D42" s="235">
        <f t="shared" si="0"/>
        <v>1692115.76</v>
      </c>
      <c r="E42" s="235">
        <f t="shared" si="0"/>
        <v>1440470.52</v>
      </c>
      <c r="F42" s="235">
        <f t="shared" si="0"/>
        <v>1534124.05</v>
      </c>
      <c r="G42" s="235">
        <f t="shared" si="0"/>
        <v>1966860.67</v>
      </c>
      <c r="H42" s="235">
        <f t="shared" si="0"/>
        <v>2067898.86</v>
      </c>
      <c r="I42" s="235">
        <f t="shared" si="0"/>
        <v>2562027.44</v>
      </c>
      <c r="J42" s="235">
        <f t="shared" si="0"/>
        <v>1840603.37</v>
      </c>
      <c r="K42" s="235">
        <f t="shared" si="0"/>
        <v>1747536.5899999999</v>
      </c>
      <c r="L42" s="235">
        <f t="shared" si="0"/>
        <v>1849960.25</v>
      </c>
      <c r="M42" s="235">
        <f t="shared" si="0"/>
        <v>1966323.82</v>
      </c>
      <c r="N42" s="235">
        <f t="shared" si="0"/>
        <v>2092102.71</v>
      </c>
      <c r="O42" s="235">
        <f t="shared" si="0"/>
        <v>1926204.65</v>
      </c>
      <c r="P42" s="235">
        <f t="shared" si="0"/>
        <v>1864375.2400000002</v>
      </c>
      <c r="Q42" s="235">
        <f t="shared" si="0"/>
        <v>1549467.0499999998</v>
      </c>
      <c r="R42" s="235">
        <f t="shared" si="0"/>
        <v>1762904.97</v>
      </c>
      <c r="S42" s="235">
        <f t="shared" si="0"/>
        <v>2122943.9700000002</v>
      </c>
      <c r="T42" s="235">
        <f t="shared" si="0"/>
        <v>2638890.62</v>
      </c>
      <c r="U42" s="235">
        <f t="shared" si="0"/>
        <v>2799412.67</v>
      </c>
      <c r="V42" s="235">
        <f t="shared" si="0"/>
        <v>2135447.44</v>
      </c>
      <c r="W42" s="235">
        <f t="shared" si="0"/>
        <v>1766131.75</v>
      </c>
      <c r="X42" s="235">
        <f t="shared" si="0"/>
        <v>1610182.86</v>
      </c>
      <c r="Y42" s="235">
        <f t="shared" si="0"/>
        <v>1681828.73</v>
      </c>
      <c r="Z42" s="235"/>
    </row>
    <row r="43" spans="1:26" x14ac:dyDescent="0.2">
      <c r="A43" s="1" t="s">
        <v>424</v>
      </c>
      <c r="B43" s="235">
        <f t="shared" si="1"/>
        <v>7452.08</v>
      </c>
      <c r="C43" s="235">
        <f t="shared" si="0"/>
        <v>6214.11</v>
      </c>
      <c r="D43" s="235">
        <f t="shared" si="0"/>
        <v>6176.97</v>
      </c>
      <c r="E43" s="235">
        <f t="shared" si="0"/>
        <v>5220.4799999999996</v>
      </c>
      <c r="F43" s="235">
        <f t="shared" si="0"/>
        <v>4753.33</v>
      </c>
      <c r="G43" s="235">
        <f t="shared" si="0"/>
        <v>4281.78</v>
      </c>
      <c r="H43" s="235">
        <f t="shared" si="0"/>
        <v>4597.99</v>
      </c>
      <c r="I43" s="235">
        <f t="shared" si="0"/>
        <v>5164.2299999999996</v>
      </c>
      <c r="J43" s="235">
        <f t="shared" si="0"/>
        <v>5697.34</v>
      </c>
      <c r="K43" s="235">
        <f t="shared" si="0"/>
        <v>6640.1</v>
      </c>
      <c r="L43" s="235">
        <f t="shared" si="0"/>
        <v>7070.16</v>
      </c>
      <c r="M43" s="235">
        <f t="shared" si="0"/>
        <v>7644.45</v>
      </c>
      <c r="N43" s="235">
        <f t="shared" si="0"/>
        <v>7452.08</v>
      </c>
      <c r="O43" s="235">
        <f t="shared" si="0"/>
        <v>6214.11</v>
      </c>
      <c r="P43" s="235">
        <f t="shared" si="0"/>
        <v>6176.97</v>
      </c>
      <c r="Q43" s="235">
        <f t="shared" si="0"/>
        <v>5220.4799999999996</v>
      </c>
      <c r="R43" s="235">
        <f t="shared" si="0"/>
        <v>4753.33</v>
      </c>
      <c r="S43" s="235">
        <f t="shared" si="0"/>
        <v>4281.78</v>
      </c>
      <c r="T43" s="235">
        <f t="shared" si="0"/>
        <v>4597.99</v>
      </c>
      <c r="U43" s="235">
        <f t="shared" si="0"/>
        <v>5164.2299999999996</v>
      </c>
      <c r="V43" s="235">
        <f t="shared" si="0"/>
        <v>5697.34</v>
      </c>
      <c r="W43" s="235">
        <f t="shared" si="0"/>
        <v>6640.1</v>
      </c>
      <c r="X43" s="235">
        <f t="shared" si="0"/>
        <v>7070.16</v>
      </c>
      <c r="Y43" s="235">
        <f t="shared" si="0"/>
        <v>7644.45</v>
      </c>
      <c r="Z43" s="235"/>
    </row>
    <row r="44" spans="1:26" x14ac:dyDescent="0.2">
      <c r="A44" s="1" t="s">
        <v>425</v>
      </c>
      <c r="B44" s="235">
        <f t="shared" si="1"/>
        <v>51206.73</v>
      </c>
      <c r="C44" s="235">
        <f t="shared" si="0"/>
        <v>42698.94</v>
      </c>
      <c r="D44" s="235">
        <f t="shared" si="0"/>
        <v>42444</v>
      </c>
      <c r="E44" s="235">
        <f t="shared" si="0"/>
        <v>36252.03</v>
      </c>
      <c r="F44" s="235">
        <f t="shared" si="0"/>
        <v>33007.599999999999</v>
      </c>
      <c r="G44" s="235">
        <f t="shared" si="0"/>
        <v>29734.44</v>
      </c>
      <c r="H44" s="235">
        <f t="shared" si="0"/>
        <v>31929.26</v>
      </c>
      <c r="I44" s="235">
        <f t="shared" si="0"/>
        <v>35860.79</v>
      </c>
      <c r="J44" s="235">
        <f t="shared" si="0"/>
        <v>39563.29</v>
      </c>
      <c r="K44" s="235">
        <f t="shared" si="0"/>
        <v>46109.42</v>
      </c>
      <c r="L44" s="235">
        <f t="shared" si="0"/>
        <v>49096.26</v>
      </c>
      <c r="M44" s="235">
        <f t="shared" si="0"/>
        <v>53085.07</v>
      </c>
      <c r="N44" s="235">
        <f t="shared" si="0"/>
        <v>51749.08</v>
      </c>
      <c r="O44" s="235">
        <f t="shared" si="0"/>
        <v>43151.25</v>
      </c>
      <c r="P44" s="235">
        <f t="shared" si="0"/>
        <v>42893.62</v>
      </c>
      <c r="Q44" s="235">
        <f t="shared" si="0"/>
        <v>36252.03</v>
      </c>
      <c r="R44" s="235">
        <f t="shared" si="0"/>
        <v>33007.599999999999</v>
      </c>
      <c r="S44" s="235">
        <f t="shared" si="0"/>
        <v>29734.44</v>
      </c>
      <c r="T44" s="235">
        <f t="shared" ref="T44:Y44" si="2">+T16+T30</f>
        <v>31929.26</v>
      </c>
      <c r="U44" s="235">
        <f t="shared" si="2"/>
        <v>35860.79</v>
      </c>
      <c r="V44" s="235">
        <f t="shared" si="2"/>
        <v>39563.29</v>
      </c>
      <c r="W44" s="235">
        <f t="shared" si="2"/>
        <v>46109.42</v>
      </c>
      <c r="X44" s="235">
        <f t="shared" si="2"/>
        <v>49096.26</v>
      </c>
      <c r="Y44" s="235">
        <f t="shared" si="2"/>
        <v>53085.07</v>
      </c>
      <c r="Z44" s="235"/>
    </row>
    <row r="45" spans="1:26" x14ac:dyDescent="0.2">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row>
    <row r="46" spans="1:26" x14ac:dyDescent="0.2">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row>
    <row r="47" spans="1:26" x14ac:dyDescent="0.2">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row>
    <row r="48" spans="1:26" x14ac:dyDescent="0.2">
      <c r="A48" s="1" t="s">
        <v>429</v>
      </c>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row>
    <row r="49" spans="1:26" x14ac:dyDescent="0.2">
      <c r="A49" s="24">
        <v>27187</v>
      </c>
      <c r="B49" s="235">
        <v>2278981.6</v>
      </c>
      <c r="C49" s="235">
        <v>2144486.3999999999</v>
      </c>
      <c r="D49" s="235">
        <v>1888992</v>
      </c>
      <c r="E49" s="235">
        <v>1604528.8</v>
      </c>
      <c r="F49" s="235">
        <v>1456873.6</v>
      </c>
      <c r="G49" s="235">
        <v>1443859.2</v>
      </c>
      <c r="H49" s="235">
        <v>1411771.2</v>
      </c>
      <c r="I49" s="235">
        <v>1548148</v>
      </c>
      <c r="J49" s="235">
        <v>1639422.4</v>
      </c>
      <c r="K49" s="235">
        <v>2076334.4</v>
      </c>
      <c r="L49" s="235">
        <v>1253078.3999999999</v>
      </c>
      <c r="M49" s="235">
        <v>389317.6</v>
      </c>
      <c r="N49" s="235">
        <v>343459.2</v>
      </c>
      <c r="O49" s="235">
        <v>191245.6</v>
      </c>
      <c r="P49" s="235">
        <v>195451.2</v>
      </c>
      <c r="Q49" s="235">
        <v>186037.6</v>
      </c>
      <c r="R49" s="235">
        <v>173056.8</v>
      </c>
      <c r="S49" s="235">
        <v>161610.4</v>
      </c>
      <c r="T49" s="562"/>
      <c r="U49" s="562"/>
      <c r="V49" s="562"/>
      <c r="W49" s="562"/>
      <c r="X49" s="562"/>
      <c r="Y49" s="562"/>
      <c r="Z49" s="235"/>
    </row>
    <row r="50" spans="1:26" x14ac:dyDescent="0.2">
      <c r="A50" s="24">
        <v>6517</v>
      </c>
      <c r="B50" s="235">
        <v>275308.79999999999</v>
      </c>
      <c r="C50" s="235">
        <v>249369.9</v>
      </c>
      <c r="D50" s="235">
        <v>300464.40000000002</v>
      </c>
      <c r="E50" s="235">
        <v>282460.2</v>
      </c>
      <c r="F50" s="235">
        <v>296261.40000000002</v>
      </c>
      <c r="G50" s="235">
        <v>316442.09999999998</v>
      </c>
      <c r="H50" s="235">
        <v>315747.3</v>
      </c>
      <c r="I50" s="235">
        <v>347772.3</v>
      </c>
      <c r="J50" s="235">
        <v>314660.7</v>
      </c>
      <c r="K50" s="235">
        <v>267817.8</v>
      </c>
      <c r="L50" s="235">
        <v>264489</v>
      </c>
      <c r="M50" s="235">
        <v>250482.9</v>
      </c>
      <c r="N50" s="235">
        <v>229131</v>
      </c>
      <c r="O50" s="235">
        <v>237195.3</v>
      </c>
      <c r="P50" s="235">
        <v>276898.8</v>
      </c>
      <c r="Q50" s="235">
        <v>262881.90000000002</v>
      </c>
      <c r="R50" s="235">
        <v>301019.7</v>
      </c>
      <c r="S50" s="235">
        <v>321153.3</v>
      </c>
      <c r="T50" s="235">
        <v>320354.40000000002</v>
      </c>
      <c r="U50" s="235">
        <v>344087.4</v>
      </c>
      <c r="V50" s="235">
        <v>301308.3</v>
      </c>
      <c r="W50" s="235">
        <v>279939.3</v>
      </c>
      <c r="X50" s="235">
        <v>265860</v>
      </c>
      <c r="Y50" s="235">
        <v>251700.9</v>
      </c>
      <c r="Z50" s="235"/>
    </row>
    <row r="51" spans="1:26" x14ac:dyDescent="0.2">
      <c r="A51" s="24">
        <v>23441</v>
      </c>
      <c r="B51" s="562"/>
      <c r="C51" s="562"/>
      <c r="D51" s="562"/>
      <c r="E51" s="562"/>
      <c r="F51" s="562"/>
      <c r="G51" s="562"/>
      <c r="H51" s="235">
        <v>298463.28000000003</v>
      </c>
      <c r="I51" s="235">
        <v>307714.32</v>
      </c>
      <c r="J51" s="235">
        <v>273049.68</v>
      </c>
      <c r="K51" s="235">
        <v>215187.84</v>
      </c>
      <c r="L51" s="235">
        <v>173169.36</v>
      </c>
      <c r="M51" s="235">
        <v>235544.4</v>
      </c>
      <c r="N51" s="235">
        <v>252547.68</v>
      </c>
      <c r="O51" s="235">
        <v>236482.32</v>
      </c>
      <c r="P51" s="235">
        <v>278795.03999999998</v>
      </c>
      <c r="Q51" s="235">
        <v>287539.68</v>
      </c>
      <c r="R51" s="235">
        <v>304755.84000000003</v>
      </c>
      <c r="S51" s="235">
        <v>303959.76</v>
      </c>
      <c r="T51" s="235">
        <v>321959.03999999998</v>
      </c>
      <c r="U51" s="235">
        <v>314704.32</v>
      </c>
      <c r="V51" s="235">
        <v>274956.24</v>
      </c>
      <c r="W51" s="235">
        <v>238535.28</v>
      </c>
      <c r="X51" s="235">
        <v>158771.51999999999</v>
      </c>
      <c r="Y51" s="235">
        <v>228994.32</v>
      </c>
      <c r="Z51" s="235"/>
    </row>
    <row r="52" spans="1:26" x14ac:dyDescent="0.2">
      <c r="A52" s="24">
        <v>27719</v>
      </c>
      <c r="B52" s="562"/>
      <c r="C52" s="562"/>
      <c r="D52" s="562"/>
      <c r="E52" s="562"/>
      <c r="F52" s="562"/>
      <c r="G52" s="562"/>
      <c r="H52" s="562"/>
      <c r="I52" s="562"/>
      <c r="J52" s="562"/>
      <c r="K52" s="562"/>
      <c r="L52" s="562"/>
      <c r="M52" s="562"/>
      <c r="N52" s="562"/>
      <c r="O52" s="562"/>
      <c r="P52" s="562"/>
      <c r="Q52" s="562"/>
      <c r="R52" s="562"/>
      <c r="S52" s="562"/>
      <c r="T52" s="235">
        <v>113101.8</v>
      </c>
      <c r="U52" s="235">
        <v>117113.4</v>
      </c>
      <c r="V52" s="235">
        <v>150459.6</v>
      </c>
      <c r="W52" s="235">
        <v>184996.8</v>
      </c>
      <c r="X52" s="235">
        <v>227403.6</v>
      </c>
      <c r="Y52" s="235">
        <v>296918.40000000002</v>
      </c>
      <c r="Z52" s="235"/>
    </row>
    <row r="53" spans="1:26" x14ac:dyDescent="0.2">
      <c r="A53" s="24">
        <v>2266</v>
      </c>
      <c r="B53" s="562"/>
      <c r="C53" s="562"/>
      <c r="D53" s="562"/>
      <c r="E53" s="562"/>
      <c r="F53" s="562"/>
      <c r="G53" s="562"/>
      <c r="H53" s="562"/>
      <c r="I53" s="562"/>
      <c r="J53" s="562"/>
      <c r="K53" s="562"/>
      <c r="L53" s="562"/>
      <c r="M53" s="562"/>
      <c r="N53" s="562"/>
      <c r="O53" s="562"/>
      <c r="P53" s="562"/>
      <c r="Q53" s="562"/>
      <c r="R53" s="562"/>
      <c r="S53" s="562"/>
      <c r="T53" s="235">
        <v>1709.7</v>
      </c>
      <c r="U53" s="235">
        <v>1896.76</v>
      </c>
      <c r="V53" s="235">
        <v>1662</v>
      </c>
      <c r="W53" s="235">
        <v>1760.44</v>
      </c>
      <c r="X53" s="235">
        <v>1882.28</v>
      </c>
      <c r="Y53" s="235">
        <v>2080.8000000000002</v>
      </c>
      <c r="Z53" s="235"/>
    </row>
    <row r="54" spans="1:26" x14ac:dyDescent="0.2">
      <c r="A54" s="24">
        <v>27877</v>
      </c>
      <c r="B54" s="562"/>
      <c r="C54" s="562"/>
      <c r="D54" s="562"/>
      <c r="E54" s="562"/>
      <c r="F54" s="562"/>
      <c r="G54" s="562"/>
      <c r="H54" s="562"/>
      <c r="I54" s="562"/>
      <c r="J54" s="562"/>
      <c r="K54" s="562"/>
      <c r="L54" s="562"/>
      <c r="M54" s="562"/>
      <c r="N54" s="562"/>
      <c r="O54" s="562"/>
      <c r="P54" s="562"/>
      <c r="Q54" s="562"/>
      <c r="R54" s="562"/>
      <c r="S54" s="562"/>
      <c r="T54" s="235">
        <v>0</v>
      </c>
      <c r="U54" s="235">
        <v>0</v>
      </c>
      <c r="V54" s="235">
        <v>0</v>
      </c>
      <c r="W54" s="235">
        <v>0</v>
      </c>
      <c r="X54" s="235">
        <v>0</v>
      </c>
      <c r="Y54" s="235">
        <v>0</v>
      </c>
      <c r="Z54" s="235"/>
    </row>
    <row r="55" spans="1:26" x14ac:dyDescent="0.2">
      <c r="A55" s="24">
        <v>27878</v>
      </c>
      <c r="B55" s="562"/>
      <c r="C55" s="562"/>
      <c r="D55" s="562"/>
      <c r="E55" s="562"/>
      <c r="F55" s="562"/>
      <c r="G55" s="562"/>
      <c r="H55" s="562"/>
      <c r="I55" s="562"/>
      <c r="J55" s="562"/>
      <c r="K55" s="562"/>
      <c r="L55" s="562"/>
      <c r="M55" s="562"/>
      <c r="N55" s="562"/>
      <c r="O55" s="562"/>
      <c r="P55" s="562"/>
      <c r="Q55" s="562"/>
      <c r="R55" s="562"/>
      <c r="S55" s="562"/>
      <c r="T55" s="235">
        <v>0</v>
      </c>
      <c r="U55" s="235">
        <v>0</v>
      </c>
      <c r="V55" s="235">
        <v>0</v>
      </c>
      <c r="W55" s="235">
        <v>0</v>
      </c>
      <c r="X55" s="235">
        <v>0</v>
      </c>
      <c r="Y55" s="235">
        <v>0</v>
      </c>
      <c r="Z55" s="235"/>
    </row>
    <row r="56" spans="1:26" x14ac:dyDescent="0.2">
      <c r="B56" s="235"/>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235"/>
    </row>
    <row r="57" spans="1:26" x14ac:dyDescent="0.2">
      <c r="A57" s="1" t="s">
        <v>5</v>
      </c>
      <c r="B57" s="235">
        <f>+B5+B6+B19+B20</f>
        <v>6873355.04</v>
      </c>
      <c r="C57" s="235">
        <f t="shared" ref="C57:Y57" si="3">+C5+C6+C19+C20</f>
        <v>6334276.4399999995</v>
      </c>
      <c r="D57" s="235">
        <f t="shared" si="3"/>
        <v>5960100.7300000004</v>
      </c>
      <c r="E57" s="235">
        <f t="shared" si="3"/>
        <v>5294794.58</v>
      </c>
      <c r="F57" s="235">
        <f t="shared" si="3"/>
        <v>5785032.6300000008</v>
      </c>
      <c r="G57" s="235">
        <f t="shared" si="3"/>
        <v>7424178.8499999996</v>
      </c>
      <c r="H57" s="235">
        <f t="shared" si="3"/>
        <v>7874575.2599999998</v>
      </c>
      <c r="I57" s="235">
        <f t="shared" si="3"/>
        <v>9421351.6199999992</v>
      </c>
      <c r="J57" s="235">
        <f t="shared" si="3"/>
        <v>6169794.1200000001</v>
      </c>
      <c r="K57" s="235">
        <f t="shared" si="3"/>
        <v>5477446.1399999997</v>
      </c>
      <c r="L57" s="235">
        <f t="shared" si="3"/>
        <v>5564159.9000000004</v>
      </c>
      <c r="M57" s="235">
        <f t="shared" si="3"/>
        <v>6466655.3599999994</v>
      </c>
      <c r="N57" s="235">
        <f t="shared" si="3"/>
        <v>7217029.7800000003</v>
      </c>
      <c r="O57" s="235">
        <f t="shared" si="3"/>
        <v>6236727.6600000001</v>
      </c>
      <c r="P57" s="235">
        <f t="shared" si="3"/>
        <v>6175434.1399999997</v>
      </c>
      <c r="Q57" s="235">
        <f t="shared" si="3"/>
        <v>5268028.83</v>
      </c>
      <c r="R57" s="235">
        <f t="shared" si="3"/>
        <v>5721257.8700000001</v>
      </c>
      <c r="S57" s="235">
        <f t="shared" si="3"/>
        <v>6783394.3500000006</v>
      </c>
      <c r="T57" s="235">
        <f t="shared" si="3"/>
        <v>8603845.1899999995</v>
      </c>
      <c r="U57" s="235">
        <f t="shared" si="3"/>
        <v>8565348.2300000004</v>
      </c>
      <c r="V57" s="235">
        <f t="shared" si="3"/>
        <v>6127698.5099999998</v>
      </c>
      <c r="W57" s="235">
        <f t="shared" si="3"/>
        <v>5208168.8899999997</v>
      </c>
      <c r="X57" s="235">
        <f t="shared" si="3"/>
        <v>5459416.3799999999</v>
      </c>
      <c r="Y57" s="235">
        <f t="shared" si="3"/>
        <v>6691915.5700000003</v>
      </c>
      <c r="Z57" s="235"/>
    </row>
    <row r="58" spans="1:26" x14ac:dyDescent="0.2">
      <c r="A58" s="1" t="s">
        <v>172</v>
      </c>
      <c r="B58" s="235">
        <f>+B8+B9+B22+B23</f>
        <v>3352992.92</v>
      </c>
      <c r="C58" s="235">
        <f t="shared" ref="C58:Y58" si="4">+C8+C9+C22+C23</f>
        <v>3239239.87</v>
      </c>
      <c r="D58" s="235">
        <f t="shared" si="4"/>
        <v>3311003.3400000003</v>
      </c>
      <c r="E58" s="235">
        <f t="shared" si="4"/>
        <v>2801117.26</v>
      </c>
      <c r="F58" s="235">
        <f t="shared" si="4"/>
        <v>2847027.43</v>
      </c>
      <c r="G58" s="235">
        <f t="shared" si="4"/>
        <v>3607883.2500000005</v>
      </c>
      <c r="H58" s="235">
        <f t="shared" si="4"/>
        <v>4122851.84</v>
      </c>
      <c r="I58" s="235">
        <f t="shared" si="4"/>
        <v>4830538.01</v>
      </c>
      <c r="J58" s="235">
        <f t="shared" si="4"/>
        <v>3555595.21</v>
      </c>
      <c r="K58" s="235">
        <f t="shared" si="4"/>
        <v>3326364.2399999998</v>
      </c>
      <c r="L58" s="235">
        <f t="shared" si="4"/>
        <v>3310241.66</v>
      </c>
      <c r="M58" s="235">
        <f t="shared" si="4"/>
        <v>3648041.92</v>
      </c>
      <c r="N58" s="235">
        <f t="shared" si="4"/>
        <v>3986517.48</v>
      </c>
      <c r="O58" s="235">
        <f t="shared" si="4"/>
        <v>3647310.31</v>
      </c>
      <c r="P58" s="235">
        <f t="shared" si="4"/>
        <v>3757641.27</v>
      </c>
      <c r="Q58" s="235">
        <f t="shared" si="4"/>
        <v>3241745.63</v>
      </c>
      <c r="R58" s="235">
        <f t="shared" si="4"/>
        <v>3389441.4299999997</v>
      </c>
      <c r="S58" s="235">
        <f t="shared" si="4"/>
        <v>3708936.25</v>
      </c>
      <c r="T58" s="235">
        <f t="shared" si="4"/>
        <v>4418834</v>
      </c>
      <c r="U58" s="235">
        <f t="shared" si="4"/>
        <v>4556337.0500000007</v>
      </c>
      <c r="V58" s="235">
        <f t="shared" si="4"/>
        <v>3503572.5100000002</v>
      </c>
      <c r="W58" s="235">
        <f t="shared" si="4"/>
        <v>3168452.9600000004</v>
      </c>
      <c r="X58" s="235">
        <f t="shared" si="4"/>
        <v>3244269.92</v>
      </c>
      <c r="Y58" s="235">
        <f t="shared" si="4"/>
        <v>3766568.8</v>
      </c>
      <c r="Z58" s="235"/>
    </row>
    <row r="59" spans="1:26" x14ac:dyDescent="0.2">
      <c r="A59" s="1" t="s">
        <v>173</v>
      </c>
      <c r="B59" s="235">
        <f>+B10+B11+B12+B13+B14+B50+B51+B52+B53+B54+B55+B24+B25+B26+B27+B28</f>
        <v>6067359.5999999996</v>
      </c>
      <c r="C59" s="235">
        <f t="shared" ref="C59:Y59" si="5">+C10+C11+C12+C13+C14+C50+C51+C52+C53+C54+C55+C24+C25+C26+C27+C28</f>
        <v>5509525.8500000006</v>
      </c>
      <c r="D59" s="235">
        <f t="shared" si="5"/>
        <v>5904907.7200000007</v>
      </c>
      <c r="E59" s="235">
        <f t="shared" si="5"/>
        <v>5132146.7000000011</v>
      </c>
      <c r="F59" s="235">
        <f t="shared" si="5"/>
        <v>5263414.55</v>
      </c>
      <c r="G59" s="235">
        <f t="shared" si="5"/>
        <v>6340389.6300000008</v>
      </c>
      <c r="H59" s="235">
        <f t="shared" si="5"/>
        <v>7204979.7899999991</v>
      </c>
      <c r="I59" s="235">
        <f t="shared" si="5"/>
        <v>8417115.8200000003</v>
      </c>
      <c r="J59" s="235">
        <f t="shared" si="5"/>
        <v>6871270.2700000005</v>
      </c>
      <c r="K59" s="235">
        <f t="shared" si="5"/>
        <v>6590132.2999999998</v>
      </c>
      <c r="L59" s="235">
        <f t="shared" si="5"/>
        <v>6390001.4199999999</v>
      </c>
      <c r="M59" s="235">
        <f t="shared" si="5"/>
        <v>6779683.2600000007</v>
      </c>
      <c r="N59" s="235">
        <f t="shared" si="5"/>
        <v>7028721.6199999992</v>
      </c>
      <c r="O59" s="235">
        <f t="shared" si="5"/>
        <v>6516254.5099999998</v>
      </c>
      <c r="P59" s="235">
        <f t="shared" si="5"/>
        <v>6822053.3300000001</v>
      </c>
      <c r="Q59" s="235">
        <f t="shared" si="5"/>
        <v>6101762.2699999996</v>
      </c>
      <c r="R59" s="235">
        <f t="shared" si="5"/>
        <v>6731714.0099999998</v>
      </c>
      <c r="S59" s="235">
        <f t="shared" si="5"/>
        <v>7286421.1999999993</v>
      </c>
      <c r="T59" s="235">
        <f t="shared" si="5"/>
        <v>8543384.959999999</v>
      </c>
      <c r="U59" s="235">
        <f t="shared" si="5"/>
        <v>8815603.790000001</v>
      </c>
      <c r="V59" s="235">
        <f t="shared" si="5"/>
        <v>7496913.2300000004</v>
      </c>
      <c r="W59" s="235">
        <f t="shared" si="5"/>
        <v>6776614.2999999998</v>
      </c>
      <c r="X59" s="235">
        <f t="shared" si="5"/>
        <v>6840721.7999999989</v>
      </c>
      <c r="Y59" s="235">
        <f t="shared" si="5"/>
        <v>7305795.4700000016</v>
      </c>
      <c r="Z59" s="235"/>
    </row>
    <row r="60" spans="1:26" x14ac:dyDescent="0.2">
      <c r="A60" s="1" t="s">
        <v>251</v>
      </c>
      <c r="B60" s="235">
        <f>+B49</f>
        <v>2278981.6</v>
      </c>
      <c r="C60" s="235">
        <f t="shared" ref="C60:Y60" si="6">+C49</f>
        <v>2144486.3999999999</v>
      </c>
      <c r="D60" s="235">
        <f t="shared" si="6"/>
        <v>1888992</v>
      </c>
      <c r="E60" s="235">
        <f t="shared" si="6"/>
        <v>1604528.8</v>
      </c>
      <c r="F60" s="235">
        <f t="shared" si="6"/>
        <v>1456873.6</v>
      </c>
      <c r="G60" s="235">
        <f t="shared" si="6"/>
        <v>1443859.2</v>
      </c>
      <c r="H60" s="235">
        <f t="shared" si="6"/>
        <v>1411771.2</v>
      </c>
      <c r="I60" s="235">
        <f t="shared" si="6"/>
        <v>1548148</v>
      </c>
      <c r="J60" s="235">
        <f t="shared" si="6"/>
        <v>1639422.4</v>
      </c>
      <c r="K60" s="235">
        <f t="shared" si="6"/>
        <v>2076334.4</v>
      </c>
      <c r="L60" s="235">
        <f t="shared" si="6"/>
        <v>1253078.3999999999</v>
      </c>
      <c r="M60" s="235">
        <f t="shared" si="6"/>
        <v>389317.6</v>
      </c>
      <c r="N60" s="235">
        <f t="shared" si="6"/>
        <v>343459.2</v>
      </c>
      <c r="O60" s="235">
        <f t="shared" si="6"/>
        <v>191245.6</v>
      </c>
      <c r="P60" s="235">
        <f t="shared" si="6"/>
        <v>195451.2</v>
      </c>
      <c r="Q60" s="235">
        <f t="shared" si="6"/>
        <v>186037.6</v>
      </c>
      <c r="R60" s="235">
        <f t="shared" si="6"/>
        <v>173056.8</v>
      </c>
      <c r="S60" s="235">
        <f t="shared" si="6"/>
        <v>161610.4</v>
      </c>
      <c r="T60" s="235">
        <f t="shared" si="6"/>
        <v>0</v>
      </c>
      <c r="U60" s="235">
        <f t="shared" si="6"/>
        <v>0</v>
      </c>
      <c r="V60" s="235">
        <f t="shared" si="6"/>
        <v>0</v>
      </c>
      <c r="W60" s="235">
        <f t="shared" si="6"/>
        <v>0</v>
      </c>
      <c r="X60" s="235">
        <f t="shared" si="6"/>
        <v>0</v>
      </c>
      <c r="Y60" s="235">
        <f t="shared" si="6"/>
        <v>0</v>
      </c>
      <c r="Z60" s="235"/>
    </row>
    <row r="61" spans="1:26" x14ac:dyDescent="0.2">
      <c r="A61" s="1" t="s">
        <v>427</v>
      </c>
      <c r="B61" s="235">
        <f>+B7+B21</f>
        <v>22952.51</v>
      </c>
      <c r="C61" s="235">
        <f t="shared" ref="C61:Y61" si="7">+C7+C21</f>
        <v>21268.6</v>
      </c>
      <c r="D61" s="235">
        <f t="shared" si="7"/>
        <v>21225</v>
      </c>
      <c r="E61" s="235">
        <f t="shared" si="7"/>
        <v>21225</v>
      </c>
      <c r="F61" s="235">
        <f t="shared" si="7"/>
        <v>21225</v>
      </c>
      <c r="G61" s="235">
        <f t="shared" si="7"/>
        <v>21225</v>
      </c>
      <c r="H61" s="235">
        <f t="shared" si="7"/>
        <v>21225</v>
      </c>
      <c r="I61" s="235">
        <f t="shared" si="7"/>
        <v>21225</v>
      </c>
      <c r="J61" s="235">
        <f t="shared" si="7"/>
        <v>21424.68</v>
      </c>
      <c r="K61" s="235">
        <f t="shared" si="7"/>
        <v>22040.13</v>
      </c>
      <c r="L61" s="235">
        <f t="shared" si="7"/>
        <v>22508.06</v>
      </c>
      <c r="M61" s="235">
        <f t="shared" si="7"/>
        <v>25221.25</v>
      </c>
      <c r="N61" s="235">
        <f t="shared" si="7"/>
        <v>25764.35</v>
      </c>
      <c r="O61" s="235">
        <f t="shared" si="7"/>
        <v>24298.68</v>
      </c>
      <c r="P61" s="235">
        <f t="shared" si="7"/>
        <v>24033</v>
      </c>
      <c r="Q61" s="235">
        <f t="shared" si="7"/>
        <v>24220.2</v>
      </c>
      <c r="R61" s="235">
        <f t="shared" si="7"/>
        <v>24650.7</v>
      </c>
      <c r="S61" s="235">
        <f t="shared" si="7"/>
        <v>24990.9</v>
      </c>
      <c r="T61" s="235">
        <f t="shared" si="7"/>
        <v>27354.9</v>
      </c>
      <c r="U61" s="235">
        <f t="shared" si="7"/>
        <v>27964.2</v>
      </c>
      <c r="V61" s="235">
        <f t="shared" si="7"/>
        <v>27964.2</v>
      </c>
      <c r="W61" s="235">
        <f t="shared" si="7"/>
        <v>27964.2</v>
      </c>
      <c r="X61" s="235">
        <f t="shared" si="7"/>
        <v>28019.55</v>
      </c>
      <c r="Y61" s="235">
        <f t="shared" si="7"/>
        <v>28151.4</v>
      </c>
      <c r="Z61" s="235"/>
    </row>
    <row r="62" spans="1:26" x14ac:dyDescent="0.2">
      <c r="A62" s="1" t="s">
        <v>428</v>
      </c>
      <c r="B62" s="235">
        <f>+B15+B16+B29+B30</f>
        <v>58658.810000000005</v>
      </c>
      <c r="C62" s="235">
        <f t="shared" ref="C62:Y62" si="8">+C15+C16+C29+C30</f>
        <v>48913.05</v>
      </c>
      <c r="D62" s="235">
        <f t="shared" si="8"/>
        <v>48620.97</v>
      </c>
      <c r="E62" s="235">
        <f t="shared" si="8"/>
        <v>41472.509999999995</v>
      </c>
      <c r="F62" s="235">
        <f t="shared" si="8"/>
        <v>37760.93</v>
      </c>
      <c r="G62" s="235">
        <f t="shared" si="8"/>
        <v>34016.22</v>
      </c>
      <c r="H62" s="235">
        <f t="shared" si="8"/>
        <v>36527.25</v>
      </c>
      <c r="I62" s="235">
        <f t="shared" si="8"/>
        <v>41025.020000000004</v>
      </c>
      <c r="J62" s="235">
        <f t="shared" si="8"/>
        <v>45260.630000000005</v>
      </c>
      <c r="K62" s="235">
        <f t="shared" si="8"/>
        <v>52749.52</v>
      </c>
      <c r="L62" s="235">
        <f t="shared" si="8"/>
        <v>56166.42</v>
      </c>
      <c r="M62" s="235">
        <f t="shared" si="8"/>
        <v>60729.52</v>
      </c>
      <c r="N62" s="235">
        <f t="shared" si="8"/>
        <v>59201.16</v>
      </c>
      <c r="O62" s="235">
        <f t="shared" si="8"/>
        <v>49365.36</v>
      </c>
      <c r="P62" s="235">
        <f t="shared" si="8"/>
        <v>49070.590000000004</v>
      </c>
      <c r="Q62" s="235">
        <f t="shared" si="8"/>
        <v>41472.509999999995</v>
      </c>
      <c r="R62" s="235">
        <f t="shared" si="8"/>
        <v>37760.93</v>
      </c>
      <c r="S62" s="235">
        <f t="shared" si="8"/>
        <v>34016.22</v>
      </c>
      <c r="T62" s="235">
        <f t="shared" si="8"/>
        <v>36527.25</v>
      </c>
      <c r="U62" s="235">
        <f t="shared" si="8"/>
        <v>41025.020000000004</v>
      </c>
      <c r="V62" s="235">
        <f t="shared" si="8"/>
        <v>45260.630000000005</v>
      </c>
      <c r="W62" s="235">
        <f t="shared" si="8"/>
        <v>52749.52</v>
      </c>
      <c r="X62" s="235">
        <f t="shared" si="8"/>
        <v>56166.42</v>
      </c>
      <c r="Y62" s="235">
        <f t="shared" si="8"/>
        <v>60729.52</v>
      </c>
      <c r="Z62" s="235"/>
    </row>
    <row r="63" spans="1:26" x14ac:dyDescent="0.2">
      <c r="B63" s="235"/>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row>
    <row r="64" spans="1:26" ht="15" customHeight="1" x14ac:dyDescent="0.2">
      <c r="A64" s="33" t="s">
        <v>432</v>
      </c>
      <c r="B64" s="235"/>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row>
    <row r="65" spans="1:26" x14ac:dyDescent="0.2">
      <c r="A65" s="1" t="s">
        <v>5</v>
      </c>
      <c r="B65" s="235">
        <v>6889076.6400000006</v>
      </c>
      <c r="C65" s="235">
        <v>6346623.2599999998</v>
      </c>
      <c r="D65" s="235">
        <v>5966086.8400000008</v>
      </c>
      <c r="E65" s="235">
        <v>5297403.33</v>
      </c>
      <c r="F65" s="235">
        <v>5785056.8800000008</v>
      </c>
      <c r="G65" s="235">
        <v>7401447.8700000001</v>
      </c>
      <c r="H65" s="235">
        <v>7851432.0599999996</v>
      </c>
      <c r="I65" s="235">
        <v>9392670.0200000014</v>
      </c>
      <c r="J65" s="235">
        <v>6150565.5199999996</v>
      </c>
      <c r="K65" s="235">
        <v>5462146.1399999997</v>
      </c>
      <c r="L65" s="235">
        <v>5548191.3700000001</v>
      </c>
      <c r="M65" s="235">
        <v>6447837.3599999994</v>
      </c>
      <c r="N65" s="235">
        <v>7217029.7800000003</v>
      </c>
      <c r="O65" s="235">
        <v>6236727.6600000001</v>
      </c>
      <c r="P65" s="235">
        <v>6175434.1399999997</v>
      </c>
      <c r="Q65" s="235">
        <v>5268028.83</v>
      </c>
      <c r="R65" s="235">
        <v>5719950.9199999999</v>
      </c>
      <c r="S65" s="235">
        <v>6781484.2400000002</v>
      </c>
      <c r="T65" s="235">
        <v>8601455.6500000004</v>
      </c>
      <c r="U65" s="235">
        <v>8563172.379999999</v>
      </c>
      <c r="V65" s="235">
        <v>6126247.3399999999</v>
      </c>
      <c r="W65" s="235"/>
      <c r="X65" s="235"/>
      <c r="Y65" s="235"/>
      <c r="Z65" s="235"/>
    </row>
    <row r="66" spans="1:26" x14ac:dyDescent="0.2">
      <c r="A66" s="1" t="s">
        <v>172</v>
      </c>
      <c r="B66" s="235">
        <v>3334602.02</v>
      </c>
      <c r="C66" s="235">
        <v>3220899.22</v>
      </c>
      <c r="D66" s="235">
        <v>3296043.85</v>
      </c>
      <c r="E66" s="235">
        <v>2792228.28</v>
      </c>
      <c r="F66" s="235">
        <v>2846480.4099999997</v>
      </c>
      <c r="G66" s="235">
        <v>3627447.81</v>
      </c>
      <c r="H66" s="235">
        <v>4139470.3000000003</v>
      </c>
      <c r="I66" s="235">
        <v>4851912.8899999997</v>
      </c>
      <c r="J66" s="235">
        <v>3578948.7100000004</v>
      </c>
      <c r="K66" s="235">
        <v>3344285.94</v>
      </c>
      <c r="L66" s="235">
        <v>3337658.07</v>
      </c>
      <c r="M66" s="235">
        <v>3678823.4299999997</v>
      </c>
      <c r="N66" s="235">
        <v>3987660.68</v>
      </c>
      <c r="O66" s="235">
        <v>3648264.0100000002</v>
      </c>
      <c r="P66" s="235">
        <v>3760049.4699999997</v>
      </c>
      <c r="Q66" s="235">
        <v>3246560.83</v>
      </c>
      <c r="R66" s="235">
        <v>3394067.1799999997</v>
      </c>
      <c r="S66" s="235">
        <v>3714077.96</v>
      </c>
      <c r="T66" s="235">
        <v>4425322.1399999997</v>
      </c>
      <c r="U66" s="235">
        <v>4562897.4300000006</v>
      </c>
      <c r="V66" s="235">
        <v>3508114.96</v>
      </c>
      <c r="W66" s="235"/>
      <c r="X66" s="235"/>
      <c r="Y66" s="235"/>
      <c r="Z66" s="235"/>
    </row>
    <row r="67" spans="1:26" x14ac:dyDescent="0.2">
      <c r="A67" s="1" t="s">
        <v>173</v>
      </c>
      <c r="B67" s="235">
        <v>6067359.5999999996</v>
      </c>
      <c r="C67" s="235">
        <v>5509525.8499999996</v>
      </c>
      <c r="D67" s="235">
        <v>5904907.7200000007</v>
      </c>
      <c r="E67" s="235">
        <v>5132146.6999999993</v>
      </c>
      <c r="F67" s="235">
        <v>5263414.5500000007</v>
      </c>
      <c r="G67" s="235">
        <v>6340389.629999999</v>
      </c>
      <c r="H67" s="235">
        <v>7204979.79</v>
      </c>
      <c r="I67" s="235">
        <v>8417115.8200000003</v>
      </c>
      <c r="J67" s="235">
        <v>6871270.2700000005</v>
      </c>
      <c r="K67" s="235">
        <v>6590132.2999999998</v>
      </c>
      <c r="L67" s="235">
        <v>6390001.4199999999</v>
      </c>
      <c r="M67" s="235">
        <v>6779683.2599999998</v>
      </c>
      <c r="N67" s="235">
        <v>7028721.6099999994</v>
      </c>
      <c r="O67" s="235">
        <v>6516254.5100000007</v>
      </c>
      <c r="P67" s="235">
        <v>6822053.330000001</v>
      </c>
      <c r="Q67" s="235">
        <v>6101762.2699999996</v>
      </c>
      <c r="R67" s="235">
        <v>6731714.0100000007</v>
      </c>
      <c r="S67" s="235">
        <v>7286421.1999999993</v>
      </c>
      <c r="T67" s="235">
        <v>8428573.4600000009</v>
      </c>
      <c r="U67" s="235">
        <v>8696593.6300000008</v>
      </c>
      <c r="V67" s="235">
        <v>7344791.6300000008</v>
      </c>
    </row>
    <row r="68" spans="1:26" x14ac:dyDescent="0.2">
      <c r="A68" s="1" t="s">
        <v>251</v>
      </c>
      <c r="B68" s="235">
        <v>2278981.6</v>
      </c>
      <c r="C68" s="235">
        <v>2144486.3999999999</v>
      </c>
      <c r="D68" s="235">
        <v>1888992</v>
      </c>
      <c r="E68" s="235">
        <v>1604528.8</v>
      </c>
      <c r="F68" s="235">
        <v>1456873.6</v>
      </c>
      <c r="G68" s="235">
        <v>1443859.2</v>
      </c>
      <c r="H68" s="235">
        <v>1411771.2</v>
      </c>
      <c r="I68" s="235">
        <v>1548148</v>
      </c>
      <c r="J68" s="235">
        <v>1639422.4</v>
      </c>
      <c r="K68" s="235">
        <v>2076334.4</v>
      </c>
      <c r="L68" s="235">
        <v>1253078.3999999999</v>
      </c>
      <c r="M68" s="235">
        <v>389317.6</v>
      </c>
      <c r="N68" s="235">
        <v>343459.2</v>
      </c>
      <c r="O68" s="235">
        <v>191245.6</v>
      </c>
      <c r="P68" s="235">
        <v>195451.2</v>
      </c>
      <c r="Q68" s="235">
        <v>186037.6</v>
      </c>
      <c r="R68" s="235">
        <v>173056.8</v>
      </c>
      <c r="S68" s="235">
        <v>161610.4</v>
      </c>
      <c r="T68" s="235">
        <v>0</v>
      </c>
      <c r="U68" s="235">
        <v>0</v>
      </c>
      <c r="V68" s="235">
        <v>0</v>
      </c>
    </row>
    <row r="69" spans="1:26" x14ac:dyDescent="0.2">
      <c r="A69" s="1" t="s">
        <v>427</v>
      </c>
      <c r="B69" s="235">
        <v>22952.51</v>
      </c>
      <c r="C69" s="235">
        <v>21268.6</v>
      </c>
      <c r="D69" s="235">
        <v>21225</v>
      </c>
      <c r="E69" s="235">
        <v>21225</v>
      </c>
      <c r="F69" s="235">
        <v>21225</v>
      </c>
      <c r="G69" s="235">
        <v>21225</v>
      </c>
      <c r="H69" s="235">
        <v>21225</v>
      </c>
      <c r="I69" s="235">
        <v>21225</v>
      </c>
      <c r="J69" s="235">
        <v>21424.68</v>
      </c>
      <c r="K69" s="235">
        <v>22040.13</v>
      </c>
      <c r="L69" s="235">
        <v>22161</v>
      </c>
      <c r="M69" s="235">
        <v>23465.16</v>
      </c>
      <c r="N69" s="235">
        <v>25764.35</v>
      </c>
      <c r="O69" s="235">
        <v>24298.68</v>
      </c>
      <c r="P69" s="235">
        <v>24033</v>
      </c>
      <c r="Q69" s="235">
        <v>24220.2</v>
      </c>
      <c r="R69" s="235">
        <v>24650.7</v>
      </c>
      <c r="S69" s="235">
        <v>24904.799999999999</v>
      </c>
      <c r="T69" s="235">
        <v>25230</v>
      </c>
      <c r="U69" s="235">
        <v>25343.4</v>
      </c>
      <c r="V69" s="235">
        <v>25343.4</v>
      </c>
    </row>
    <row r="70" spans="1:26" x14ac:dyDescent="0.2">
      <c r="A70" s="1" t="s">
        <v>428</v>
      </c>
      <c r="B70" s="235">
        <v>58658.810000000005</v>
      </c>
      <c r="C70" s="235">
        <v>48913.05</v>
      </c>
      <c r="D70" s="235">
        <v>48620.97</v>
      </c>
      <c r="E70" s="235">
        <v>41472.509999999995</v>
      </c>
      <c r="F70" s="235">
        <v>37760.93</v>
      </c>
      <c r="G70" s="235">
        <v>34016.22</v>
      </c>
      <c r="H70" s="235">
        <v>36527.25</v>
      </c>
      <c r="I70" s="235">
        <v>41025.020000000004</v>
      </c>
      <c r="J70" s="235">
        <v>45260.630000000005</v>
      </c>
      <c r="K70" s="235">
        <v>52749.52</v>
      </c>
      <c r="L70" s="235">
        <v>56166.42</v>
      </c>
      <c r="M70" s="235">
        <v>60729.52</v>
      </c>
      <c r="N70" s="235">
        <v>59201.16</v>
      </c>
      <c r="O70" s="235">
        <v>49365.36</v>
      </c>
      <c r="P70" s="235">
        <v>49070.590000000004</v>
      </c>
      <c r="Q70" s="235">
        <v>41472.509999999995</v>
      </c>
      <c r="R70" s="235">
        <v>37760.93</v>
      </c>
      <c r="S70" s="235">
        <v>34016.22</v>
      </c>
      <c r="T70" s="235">
        <v>36527.25</v>
      </c>
      <c r="U70" s="235">
        <v>41025.020000000004</v>
      </c>
      <c r="V70" s="235">
        <v>45260.630000000005</v>
      </c>
    </row>
    <row r="72" spans="1:26" x14ac:dyDescent="0.2">
      <c r="A72" s="33" t="s">
        <v>230</v>
      </c>
    </row>
    <row r="73" spans="1:26" x14ac:dyDescent="0.2">
      <c r="A73" s="1" t="s">
        <v>5</v>
      </c>
      <c r="B73" s="235">
        <f>+B57-B65</f>
        <v>-15721.600000000559</v>
      </c>
      <c r="C73" s="235">
        <f t="shared" ref="C73:V78" si="9">+C57-C65</f>
        <v>-12346.820000000298</v>
      </c>
      <c r="D73" s="235">
        <f t="shared" si="9"/>
        <v>-5986.1100000003353</v>
      </c>
      <c r="E73" s="235">
        <f t="shared" si="9"/>
        <v>-2608.75</v>
      </c>
      <c r="F73" s="235">
        <f t="shared" si="9"/>
        <v>-24.25</v>
      </c>
      <c r="G73" s="235">
        <f t="shared" si="9"/>
        <v>22730.979999999516</v>
      </c>
      <c r="H73" s="235">
        <f t="shared" si="9"/>
        <v>23143.200000000186</v>
      </c>
      <c r="I73" s="235">
        <f t="shared" si="9"/>
        <v>28681.599999997765</v>
      </c>
      <c r="J73" s="235">
        <f t="shared" si="9"/>
        <v>19228.600000000559</v>
      </c>
      <c r="K73" s="235">
        <f t="shared" si="9"/>
        <v>15300</v>
      </c>
      <c r="L73" s="235">
        <f t="shared" si="9"/>
        <v>15968.530000000261</v>
      </c>
      <c r="M73" s="235">
        <f t="shared" si="9"/>
        <v>18818</v>
      </c>
      <c r="N73" s="235">
        <f t="shared" si="9"/>
        <v>0</v>
      </c>
      <c r="O73" s="235">
        <f t="shared" si="9"/>
        <v>0</v>
      </c>
      <c r="P73" s="235">
        <f t="shared" si="9"/>
        <v>0</v>
      </c>
      <c r="Q73" s="235">
        <f t="shared" si="9"/>
        <v>0</v>
      </c>
      <c r="R73" s="235">
        <f t="shared" si="9"/>
        <v>1306.9500000001863</v>
      </c>
      <c r="S73" s="235">
        <f t="shared" si="9"/>
        <v>1910.1100000003353</v>
      </c>
      <c r="T73" s="235">
        <f t="shared" si="9"/>
        <v>2389.5399999991059</v>
      </c>
      <c r="U73" s="235">
        <f t="shared" si="9"/>
        <v>2175.8500000014901</v>
      </c>
      <c r="V73" s="235">
        <f t="shared" si="9"/>
        <v>1451.1699999999255</v>
      </c>
    </row>
    <row r="74" spans="1:26" x14ac:dyDescent="0.2">
      <c r="A74" s="1" t="s">
        <v>172</v>
      </c>
      <c r="B74" s="235">
        <f t="shared" ref="B74:Q78" si="10">+B58-B66</f>
        <v>18390.899999999907</v>
      </c>
      <c r="C74" s="235">
        <f t="shared" si="10"/>
        <v>18340.649999999907</v>
      </c>
      <c r="D74" s="235">
        <f t="shared" si="10"/>
        <v>14959.490000000224</v>
      </c>
      <c r="E74" s="235">
        <f t="shared" si="10"/>
        <v>8888.9799999999814</v>
      </c>
      <c r="F74" s="235">
        <f t="shared" si="10"/>
        <v>547.02000000048429</v>
      </c>
      <c r="G74" s="235">
        <f t="shared" si="10"/>
        <v>-19564.55999999959</v>
      </c>
      <c r="H74" s="235">
        <f t="shared" si="10"/>
        <v>-16618.460000000428</v>
      </c>
      <c r="I74" s="235">
        <f t="shared" si="10"/>
        <v>-21374.879999999888</v>
      </c>
      <c r="J74" s="235">
        <f t="shared" si="10"/>
        <v>-23353.500000000466</v>
      </c>
      <c r="K74" s="235">
        <f t="shared" si="10"/>
        <v>-17921.700000000186</v>
      </c>
      <c r="L74" s="235">
        <f t="shared" si="10"/>
        <v>-27416.409999999683</v>
      </c>
      <c r="M74" s="235">
        <f t="shared" si="10"/>
        <v>-30781.509999999776</v>
      </c>
      <c r="N74" s="235">
        <f t="shared" si="10"/>
        <v>-1143.2000000001863</v>
      </c>
      <c r="O74" s="235">
        <f t="shared" si="10"/>
        <v>-953.70000000018626</v>
      </c>
      <c r="P74" s="235">
        <f t="shared" si="10"/>
        <v>-2408.1999999997206</v>
      </c>
      <c r="Q74" s="235">
        <f t="shared" si="10"/>
        <v>-4815.2000000001863</v>
      </c>
      <c r="R74" s="235">
        <f t="shared" si="9"/>
        <v>-4625.75</v>
      </c>
      <c r="S74" s="235">
        <f t="shared" si="9"/>
        <v>-5141.7099999999627</v>
      </c>
      <c r="T74" s="235">
        <f t="shared" si="9"/>
        <v>-6488.1399999996647</v>
      </c>
      <c r="U74" s="235">
        <f t="shared" si="9"/>
        <v>-6560.3799999998882</v>
      </c>
      <c r="V74" s="235">
        <f t="shared" si="9"/>
        <v>-4542.4499999997206</v>
      </c>
    </row>
    <row r="75" spans="1:26" x14ac:dyDescent="0.2">
      <c r="A75" s="1" t="s">
        <v>173</v>
      </c>
      <c r="B75" s="235">
        <f t="shared" si="10"/>
        <v>0</v>
      </c>
      <c r="C75" s="235">
        <f t="shared" si="9"/>
        <v>0</v>
      </c>
      <c r="D75" s="235">
        <f t="shared" si="9"/>
        <v>0</v>
      </c>
      <c r="E75" s="235">
        <f t="shared" si="9"/>
        <v>0</v>
      </c>
      <c r="F75" s="235">
        <f t="shared" si="9"/>
        <v>0</v>
      </c>
      <c r="G75" s="235">
        <f t="shared" si="9"/>
        <v>0</v>
      </c>
      <c r="H75" s="235">
        <f t="shared" si="9"/>
        <v>0</v>
      </c>
      <c r="I75" s="235">
        <f t="shared" si="9"/>
        <v>0</v>
      </c>
      <c r="J75" s="235">
        <f t="shared" si="9"/>
        <v>0</v>
      </c>
      <c r="K75" s="235">
        <f t="shared" si="9"/>
        <v>0</v>
      </c>
      <c r="L75" s="235">
        <f t="shared" si="9"/>
        <v>0</v>
      </c>
      <c r="M75" s="235">
        <f t="shared" si="9"/>
        <v>0</v>
      </c>
      <c r="N75" s="235">
        <f t="shared" si="9"/>
        <v>9.9999997764825821E-3</v>
      </c>
      <c r="O75" s="235">
        <f t="shared" si="9"/>
        <v>0</v>
      </c>
      <c r="P75" s="235">
        <f t="shared" si="9"/>
        <v>0</v>
      </c>
      <c r="Q75" s="235">
        <f t="shared" si="9"/>
        <v>0</v>
      </c>
      <c r="R75" s="235">
        <f t="shared" si="9"/>
        <v>0</v>
      </c>
      <c r="S75" s="235">
        <f t="shared" si="9"/>
        <v>0</v>
      </c>
      <c r="T75" s="235">
        <f t="shared" si="9"/>
        <v>114811.49999999814</v>
      </c>
      <c r="U75" s="235">
        <f t="shared" si="9"/>
        <v>119010.16000000015</v>
      </c>
      <c r="V75" s="235">
        <f t="shared" si="9"/>
        <v>152121.59999999963</v>
      </c>
    </row>
    <row r="76" spans="1:26" x14ac:dyDescent="0.2">
      <c r="A76" s="1" t="s">
        <v>251</v>
      </c>
      <c r="B76" s="235">
        <f t="shared" si="10"/>
        <v>0</v>
      </c>
      <c r="C76" s="235">
        <f t="shared" si="9"/>
        <v>0</v>
      </c>
      <c r="D76" s="235">
        <f t="shared" si="9"/>
        <v>0</v>
      </c>
      <c r="E76" s="235">
        <f t="shared" si="9"/>
        <v>0</v>
      </c>
      <c r="F76" s="235">
        <f t="shared" si="9"/>
        <v>0</v>
      </c>
      <c r="G76" s="235">
        <f t="shared" si="9"/>
        <v>0</v>
      </c>
      <c r="H76" s="235">
        <f t="shared" si="9"/>
        <v>0</v>
      </c>
      <c r="I76" s="235">
        <f t="shared" si="9"/>
        <v>0</v>
      </c>
      <c r="J76" s="235">
        <f t="shared" si="9"/>
        <v>0</v>
      </c>
      <c r="K76" s="235">
        <f t="shared" si="9"/>
        <v>0</v>
      </c>
      <c r="L76" s="235">
        <f t="shared" si="9"/>
        <v>0</v>
      </c>
      <c r="M76" s="235">
        <f t="shared" si="9"/>
        <v>0</v>
      </c>
      <c r="N76" s="235">
        <f t="shared" si="9"/>
        <v>0</v>
      </c>
      <c r="O76" s="235">
        <f t="shared" si="9"/>
        <v>0</v>
      </c>
      <c r="P76" s="235">
        <f t="shared" si="9"/>
        <v>0</v>
      </c>
      <c r="Q76" s="235">
        <f t="shared" si="9"/>
        <v>0</v>
      </c>
      <c r="R76" s="235">
        <f t="shared" si="9"/>
        <v>0</v>
      </c>
      <c r="S76" s="235">
        <f t="shared" si="9"/>
        <v>0</v>
      </c>
      <c r="T76" s="235">
        <f t="shared" si="9"/>
        <v>0</v>
      </c>
      <c r="U76" s="235">
        <f t="shared" si="9"/>
        <v>0</v>
      </c>
      <c r="V76" s="235">
        <f t="shared" si="9"/>
        <v>0</v>
      </c>
    </row>
    <row r="77" spans="1:26" x14ac:dyDescent="0.2">
      <c r="A77" s="1" t="s">
        <v>427</v>
      </c>
      <c r="B77" s="235">
        <f t="shared" si="10"/>
        <v>0</v>
      </c>
      <c r="C77" s="235">
        <f t="shared" si="9"/>
        <v>0</v>
      </c>
      <c r="D77" s="235">
        <f t="shared" si="9"/>
        <v>0</v>
      </c>
      <c r="E77" s="235">
        <f t="shared" si="9"/>
        <v>0</v>
      </c>
      <c r="F77" s="235">
        <f t="shared" si="9"/>
        <v>0</v>
      </c>
      <c r="G77" s="235">
        <f t="shared" si="9"/>
        <v>0</v>
      </c>
      <c r="H77" s="235">
        <f t="shared" si="9"/>
        <v>0</v>
      </c>
      <c r="I77" s="235">
        <f t="shared" si="9"/>
        <v>0</v>
      </c>
      <c r="J77" s="235">
        <f t="shared" si="9"/>
        <v>0</v>
      </c>
      <c r="K77" s="235">
        <f t="shared" si="9"/>
        <v>0</v>
      </c>
      <c r="L77" s="235">
        <f t="shared" si="9"/>
        <v>347.06000000000131</v>
      </c>
      <c r="M77" s="235">
        <f t="shared" si="9"/>
        <v>1756.0900000000001</v>
      </c>
      <c r="N77" s="235">
        <f t="shared" si="9"/>
        <v>0</v>
      </c>
      <c r="O77" s="235">
        <f t="shared" si="9"/>
        <v>0</v>
      </c>
      <c r="P77" s="235">
        <f t="shared" si="9"/>
        <v>0</v>
      </c>
      <c r="Q77" s="235">
        <f t="shared" si="9"/>
        <v>0</v>
      </c>
      <c r="R77" s="235">
        <f t="shared" si="9"/>
        <v>0</v>
      </c>
      <c r="S77" s="235">
        <f t="shared" si="9"/>
        <v>86.100000000002183</v>
      </c>
      <c r="T77" s="235">
        <f t="shared" si="9"/>
        <v>2124.9000000000015</v>
      </c>
      <c r="U77" s="235">
        <f t="shared" si="9"/>
        <v>2620.7999999999993</v>
      </c>
      <c r="V77" s="235">
        <f t="shared" si="9"/>
        <v>2620.7999999999993</v>
      </c>
    </row>
    <row r="78" spans="1:26" x14ac:dyDescent="0.2">
      <c r="A78" s="1" t="s">
        <v>428</v>
      </c>
      <c r="B78" s="235">
        <f t="shared" si="10"/>
        <v>0</v>
      </c>
      <c r="C78" s="235">
        <f t="shared" si="9"/>
        <v>0</v>
      </c>
      <c r="D78" s="235">
        <f t="shared" si="9"/>
        <v>0</v>
      </c>
      <c r="E78" s="235">
        <f t="shared" si="9"/>
        <v>0</v>
      </c>
      <c r="F78" s="235">
        <f t="shared" si="9"/>
        <v>0</v>
      </c>
      <c r="G78" s="235">
        <f t="shared" si="9"/>
        <v>0</v>
      </c>
      <c r="H78" s="235">
        <f t="shared" si="9"/>
        <v>0</v>
      </c>
      <c r="I78" s="235">
        <f t="shared" si="9"/>
        <v>0</v>
      </c>
      <c r="J78" s="235">
        <f t="shared" si="9"/>
        <v>0</v>
      </c>
      <c r="K78" s="235">
        <f t="shared" si="9"/>
        <v>0</v>
      </c>
      <c r="L78" s="235">
        <f t="shared" si="9"/>
        <v>0</v>
      </c>
      <c r="M78" s="235">
        <f t="shared" si="9"/>
        <v>0</v>
      </c>
      <c r="N78" s="235">
        <f t="shared" si="9"/>
        <v>0</v>
      </c>
      <c r="O78" s="235">
        <f t="shared" si="9"/>
        <v>0</v>
      </c>
      <c r="P78" s="235">
        <f t="shared" si="9"/>
        <v>0</v>
      </c>
      <c r="Q78" s="235">
        <f t="shared" si="9"/>
        <v>0</v>
      </c>
      <c r="R78" s="235">
        <f t="shared" si="9"/>
        <v>0</v>
      </c>
      <c r="S78" s="235">
        <f t="shared" si="9"/>
        <v>0</v>
      </c>
      <c r="T78" s="235">
        <f t="shared" si="9"/>
        <v>0</v>
      </c>
      <c r="U78" s="235">
        <f t="shared" si="9"/>
        <v>0</v>
      </c>
      <c r="V78" s="235">
        <f t="shared" si="9"/>
        <v>0</v>
      </c>
    </row>
    <row r="79" spans="1:26" x14ac:dyDescent="0.2">
      <c r="B79" s="235">
        <f>SUM(B73:B78)</f>
        <v>2669.2999999993481</v>
      </c>
      <c r="C79" s="235">
        <f t="shared" ref="C79:V79" si="11">SUM(C73:C78)</f>
        <v>5993.8299999996088</v>
      </c>
      <c r="D79" s="235">
        <f t="shared" si="11"/>
        <v>8973.3799999998882</v>
      </c>
      <c r="E79" s="235">
        <f t="shared" si="11"/>
        <v>6280.2299999999814</v>
      </c>
      <c r="F79" s="235">
        <f t="shared" si="11"/>
        <v>522.77000000048429</v>
      </c>
      <c r="G79" s="235">
        <f t="shared" si="11"/>
        <v>3166.4199999999255</v>
      </c>
      <c r="H79" s="235">
        <f t="shared" si="11"/>
        <v>6524.7399999997579</v>
      </c>
      <c r="I79" s="235">
        <f t="shared" si="11"/>
        <v>7306.7199999978766</v>
      </c>
      <c r="J79" s="235">
        <f t="shared" si="11"/>
        <v>-4124.8999999999069</v>
      </c>
      <c r="K79" s="235">
        <f t="shared" si="11"/>
        <v>-2621.7000000001863</v>
      </c>
      <c r="L79" s="235">
        <f t="shared" si="11"/>
        <v>-11100.819999999421</v>
      </c>
      <c r="M79" s="235">
        <f t="shared" si="11"/>
        <v>-10207.419999999776</v>
      </c>
      <c r="N79" s="235">
        <f t="shared" si="11"/>
        <v>-1143.1900000004098</v>
      </c>
      <c r="O79" s="235">
        <f t="shared" si="11"/>
        <v>-953.70000000018626</v>
      </c>
      <c r="P79" s="235">
        <f t="shared" si="11"/>
        <v>-2408.1999999997206</v>
      </c>
      <c r="Q79" s="235">
        <f t="shared" si="11"/>
        <v>-4815.2000000001863</v>
      </c>
      <c r="R79" s="235">
        <f t="shared" si="11"/>
        <v>-3318.7999999998137</v>
      </c>
      <c r="S79" s="235">
        <f t="shared" si="11"/>
        <v>-3145.4999999996253</v>
      </c>
      <c r="T79" s="235">
        <f t="shared" si="11"/>
        <v>112837.79999999757</v>
      </c>
      <c r="U79" s="235">
        <f t="shared" si="11"/>
        <v>117246.43000000175</v>
      </c>
      <c r="V79" s="235">
        <f t="shared" si="11"/>
        <v>151651.11999999982</v>
      </c>
    </row>
  </sheetData>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C7F72-F43C-4953-B81A-C7B9114F0CBE}">
  <sheetPr>
    <tabColor theme="6" tint="0.79998168889431442"/>
  </sheetPr>
  <dimension ref="A4:Z127"/>
  <sheetViews>
    <sheetView zoomScaleNormal="100" workbookViewId="0">
      <selection activeCell="A5" sqref="A5"/>
    </sheetView>
  </sheetViews>
  <sheetFormatPr defaultRowHeight="12.75" x14ac:dyDescent="0.2"/>
  <cols>
    <col min="1" max="1" width="17.6640625" style="472" bestFit="1" customWidth="1"/>
    <col min="6" max="6" width="20.83203125" customWidth="1"/>
    <col min="8" max="9" width="10.5" bestFit="1" customWidth="1"/>
    <col min="10" max="11" width="0" hidden="1" customWidth="1"/>
    <col min="16" max="16" width="12.1640625" customWidth="1"/>
    <col min="17" max="17" width="13.6640625" customWidth="1"/>
    <col min="18" max="18" width="13.83203125" customWidth="1"/>
    <col min="20" max="20" width="9.83203125" bestFit="1" customWidth="1"/>
    <col min="24" max="25" width="0" hidden="1" customWidth="1"/>
  </cols>
  <sheetData>
    <row r="4" spans="1:26" x14ac:dyDescent="0.2">
      <c r="A4" s="471" t="s">
        <v>485</v>
      </c>
      <c r="I4" s="463" t="s">
        <v>309</v>
      </c>
      <c r="J4" s="463"/>
      <c r="K4" s="463"/>
      <c r="L4" s="463"/>
      <c r="M4" s="463"/>
      <c r="N4" s="463"/>
      <c r="O4" s="463"/>
      <c r="Q4" s="463" t="s">
        <v>224</v>
      </c>
      <c r="R4" s="463" t="s">
        <v>315</v>
      </c>
    </row>
    <row r="5" spans="1:26" x14ac:dyDescent="0.2">
      <c r="A5" s="472" t="s">
        <v>305</v>
      </c>
      <c r="B5" t="s">
        <v>306</v>
      </c>
      <c r="C5" t="s">
        <v>307</v>
      </c>
      <c r="D5" t="s">
        <v>308</v>
      </c>
      <c r="F5" t="s">
        <v>305</v>
      </c>
      <c r="G5" t="s">
        <v>310</v>
      </c>
      <c r="H5" t="s">
        <v>311</v>
      </c>
      <c r="I5" t="s">
        <v>312</v>
      </c>
      <c r="J5" t="s">
        <v>306</v>
      </c>
      <c r="K5" t="s">
        <v>307</v>
      </c>
      <c r="L5" t="s">
        <v>308</v>
      </c>
      <c r="P5" s="463" t="s">
        <v>146</v>
      </c>
      <c r="Q5" s="463" t="s">
        <v>313</v>
      </c>
      <c r="R5" s="463" t="s">
        <v>314</v>
      </c>
      <c r="T5" t="s">
        <v>305</v>
      </c>
      <c r="U5" t="s">
        <v>310</v>
      </c>
      <c r="V5" t="s">
        <v>311</v>
      </c>
      <c r="W5" t="s">
        <v>312</v>
      </c>
      <c r="X5" t="s">
        <v>306</v>
      </c>
      <c r="Y5" t="s">
        <v>307</v>
      </c>
      <c r="Z5" t="s">
        <v>308</v>
      </c>
    </row>
    <row r="6" spans="1:26" x14ac:dyDescent="0.2">
      <c r="A6" s="472">
        <v>40925</v>
      </c>
      <c r="B6" t="s">
        <v>275</v>
      </c>
      <c r="C6">
        <v>2678.92</v>
      </c>
      <c r="D6">
        <v>480.96</v>
      </c>
      <c r="F6" s="477">
        <v>42263</v>
      </c>
      <c r="G6">
        <v>1554722</v>
      </c>
      <c r="H6" s="476">
        <v>42234</v>
      </c>
      <c r="I6" s="476">
        <v>42248</v>
      </c>
      <c r="J6" t="s">
        <v>275</v>
      </c>
      <c r="K6">
        <v>494.96</v>
      </c>
      <c r="L6" s="478">
        <v>418.18</v>
      </c>
      <c r="P6" s="473">
        <v>42217</v>
      </c>
      <c r="Q6" s="478">
        <f>+L6+L7+L8</f>
        <v>209.09</v>
      </c>
      <c r="R6" s="475">
        <f t="shared" ref="R6:R21" si="0">+Z6</f>
        <v>418.18</v>
      </c>
      <c r="T6" s="477">
        <v>42263</v>
      </c>
      <c r="U6">
        <v>1554722</v>
      </c>
      <c r="V6" s="476">
        <v>42234</v>
      </c>
      <c r="W6" s="476">
        <v>42248</v>
      </c>
      <c r="X6" t="s">
        <v>275</v>
      </c>
      <c r="Y6">
        <v>494.96</v>
      </c>
      <c r="Z6" s="474">
        <v>418.18</v>
      </c>
    </row>
    <row r="7" spans="1:26" x14ac:dyDescent="0.2">
      <c r="A7" s="472">
        <v>40960</v>
      </c>
      <c r="B7" t="s">
        <v>275</v>
      </c>
      <c r="C7">
        <v>2859.8</v>
      </c>
      <c r="D7">
        <v>574.08000000000004</v>
      </c>
      <c r="F7" s="477">
        <v>43265</v>
      </c>
      <c r="G7">
        <v>2288008</v>
      </c>
      <c r="H7" s="476">
        <v>42234</v>
      </c>
      <c r="I7" s="476">
        <v>42248</v>
      </c>
      <c r="J7" t="s">
        <v>275</v>
      </c>
      <c r="K7">
        <v>-494.96</v>
      </c>
      <c r="L7" s="478">
        <v>-418.18</v>
      </c>
      <c r="P7" s="473">
        <v>42248</v>
      </c>
      <c r="Q7" s="478">
        <f>+L9+L10+L11</f>
        <v>228.1</v>
      </c>
      <c r="R7" s="475">
        <f t="shared" si="0"/>
        <v>454.46</v>
      </c>
      <c r="T7" s="477">
        <v>42293</v>
      </c>
      <c r="U7">
        <v>1576283</v>
      </c>
      <c r="V7" s="476">
        <v>42248</v>
      </c>
      <c r="W7" s="476">
        <v>42278</v>
      </c>
      <c r="X7" t="s">
        <v>275</v>
      </c>
      <c r="Y7">
        <v>537.9</v>
      </c>
      <c r="Z7" s="474">
        <v>454.46</v>
      </c>
    </row>
    <row r="8" spans="1:26" x14ac:dyDescent="0.2">
      <c r="A8" s="472">
        <v>40989</v>
      </c>
      <c r="B8" t="s">
        <v>275</v>
      </c>
      <c r="C8">
        <v>2440.36</v>
      </c>
      <c r="D8">
        <v>429.12</v>
      </c>
      <c r="F8" s="477">
        <v>43347</v>
      </c>
      <c r="G8">
        <v>2357121</v>
      </c>
      <c r="H8" s="476">
        <v>42234</v>
      </c>
      <c r="I8" s="476">
        <v>42248</v>
      </c>
      <c r="J8" t="s">
        <v>275</v>
      </c>
      <c r="K8">
        <v>247.48</v>
      </c>
      <c r="L8" s="478">
        <v>209.09</v>
      </c>
      <c r="P8" s="473">
        <v>42278</v>
      </c>
      <c r="Q8" s="478">
        <f>+L12+L13+L14</f>
        <v>171.36</v>
      </c>
      <c r="R8" s="475">
        <f t="shared" si="0"/>
        <v>342.72</v>
      </c>
      <c r="T8" s="477">
        <v>42324</v>
      </c>
      <c r="U8">
        <v>1597903</v>
      </c>
      <c r="V8" s="476">
        <v>42278</v>
      </c>
      <c r="W8" s="476">
        <v>42309</v>
      </c>
      <c r="X8" t="s">
        <v>275</v>
      </c>
      <c r="Y8">
        <v>405.64</v>
      </c>
      <c r="Z8" s="474">
        <v>342.72</v>
      </c>
    </row>
    <row r="9" spans="1:26" x14ac:dyDescent="0.2">
      <c r="A9" s="472">
        <v>41019</v>
      </c>
      <c r="B9" t="s">
        <v>275</v>
      </c>
      <c r="C9">
        <v>2228.2199999999998</v>
      </c>
      <c r="D9">
        <v>407.04</v>
      </c>
      <c r="F9" s="477">
        <v>42293</v>
      </c>
      <c r="G9">
        <v>1576283</v>
      </c>
      <c r="H9" s="476">
        <v>42248</v>
      </c>
      <c r="I9" s="476">
        <v>42278</v>
      </c>
      <c r="J9" t="s">
        <v>275</v>
      </c>
      <c r="K9">
        <v>537.9</v>
      </c>
      <c r="L9" s="478">
        <v>454.46</v>
      </c>
      <c r="P9" s="473">
        <v>42309</v>
      </c>
      <c r="Q9" s="478">
        <f>+L15+L16+L17</f>
        <v>181.44</v>
      </c>
      <c r="R9" s="475">
        <f t="shared" si="0"/>
        <v>362.88</v>
      </c>
      <c r="T9" s="477">
        <v>42355</v>
      </c>
      <c r="U9">
        <v>1613798</v>
      </c>
      <c r="V9" s="476">
        <v>42309</v>
      </c>
      <c r="W9" s="476">
        <v>42339</v>
      </c>
      <c r="X9" t="s">
        <v>275</v>
      </c>
      <c r="Y9">
        <v>429.5</v>
      </c>
      <c r="Z9" s="474">
        <v>362.88</v>
      </c>
    </row>
    <row r="10" spans="1:26" x14ac:dyDescent="0.2">
      <c r="A10" s="472">
        <v>41058</v>
      </c>
      <c r="B10" t="s">
        <v>275</v>
      </c>
      <c r="C10">
        <v>2010.06</v>
      </c>
      <c r="D10">
        <v>331.2</v>
      </c>
      <c r="F10" s="477">
        <v>43265</v>
      </c>
      <c r="G10">
        <v>2288007</v>
      </c>
      <c r="H10" s="476">
        <v>42248</v>
      </c>
      <c r="I10" s="476">
        <v>42278</v>
      </c>
      <c r="J10" t="s">
        <v>275</v>
      </c>
      <c r="K10">
        <v>-537.9</v>
      </c>
      <c r="L10" s="478">
        <v>-454.46</v>
      </c>
      <c r="P10" s="473">
        <v>42339</v>
      </c>
      <c r="Q10" s="478">
        <f>+L18+L19+L20</f>
        <v>222.24</v>
      </c>
      <c r="R10" s="475">
        <f t="shared" si="0"/>
        <v>444.48</v>
      </c>
      <c r="T10" s="477">
        <v>42388</v>
      </c>
      <c r="U10">
        <v>1630972</v>
      </c>
      <c r="V10" s="476">
        <v>42339</v>
      </c>
      <c r="W10" s="476">
        <v>42370</v>
      </c>
      <c r="X10" t="s">
        <v>275</v>
      </c>
      <c r="Y10">
        <v>526.09</v>
      </c>
      <c r="Z10" s="474">
        <v>444.48</v>
      </c>
    </row>
    <row r="11" spans="1:26" x14ac:dyDescent="0.2">
      <c r="A11" s="472">
        <v>41081</v>
      </c>
      <c r="B11" t="s">
        <v>275</v>
      </c>
      <c r="C11">
        <v>2189.56</v>
      </c>
      <c r="D11">
        <v>345.6</v>
      </c>
      <c r="F11" s="477">
        <v>43347</v>
      </c>
      <c r="G11">
        <v>2357122</v>
      </c>
      <c r="H11" s="476">
        <v>42248</v>
      </c>
      <c r="I11" s="476">
        <v>42278</v>
      </c>
      <c r="J11" t="s">
        <v>275</v>
      </c>
      <c r="K11">
        <v>269.98</v>
      </c>
      <c r="L11" s="478">
        <v>228.1</v>
      </c>
      <c r="P11" s="473">
        <v>42370</v>
      </c>
      <c r="Q11" s="478">
        <f>+L21+L22+L23</f>
        <v>229.44</v>
      </c>
      <c r="R11" s="475">
        <f t="shared" si="0"/>
        <v>458.88</v>
      </c>
      <c r="T11" s="477">
        <v>42419</v>
      </c>
      <c r="U11">
        <v>1653346</v>
      </c>
      <c r="V11" s="476">
        <v>42370</v>
      </c>
      <c r="W11" s="476">
        <v>42401</v>
      </c>
      <c r="X11" t="s">
        <v>275</v>
      </c>
      <c r="Y11">
        <v>543.13</v>
      </c>
      <c r="Z11" s="474">
        <v>458.88</v>
      </c>
    </row>
    <row r="12" spans="1:26" x14ac:dyDescent="0.2">
      <c r="A12" s="472">
        <v>41107</v>
      </c>
      <c r="B12" t="s">
        <v>275</v>
      </c>
      <c r="C12">
        <v>2478.56</v>
      </c>
      <c r="D12">
        <v>400.32</v>
      </c>
      <c r="F12" s="477">
        <v>42324</v>
      </c>
      <c r="G12">
        <v>1597903</v>
      </c>
      <c r="H12" s="476">
        <v>42278</v>
      </c>
      <c r="I12" s="476">
        <v>42309</v>
      </c>
      <c r="J12" t="s">
        <v>275</v>
      </c>
      <c r="K12">
        <v>405.64</v>
      </c>
      <c r="L12" s="478">
        <v>342.72</v>
      </c>
      <c r="P12" s="473">
        <v>42401</v>
      </c>
      <c r="Q12" s="478">
        <f>+L24+L25+L26</f>
        <v>252</v>
      </c>
      <c r="R12" s="475">
        <f t="shared" si="0"/>
        <v>486.24</v>
      </c>
      <c r="T12" s="477">
        <v>42447</v>
      </c>
      <c r="U12">
        <v>1675284</v>
      </c>
      <c r="V12" s="476">
        <v>42401</v>
      </c>
      <c r="W12" s="476">
        <v>42430</v>
      </c>
      <c r="X12" t="s">
        <v>275</v>
      </c>
      <c r="Y12">
        <v>575.51</v>
      </c>
      <c r="Z12">
        <v>486.24</v>
      </c>
    </row>
    <row r="13" spans="1:26" x14ac:dyDescent="0.2">
      <c r="A13" s="472">
        <v>41137</v>
      </c>
      <c r="B13" t="s">
        <v>275</v>
      </c>
      <c r="C13">
        <v>2839.97</v>
      </c>
      <c r="D13">
        <v>414.72</v>
      </c>
      <c r="F13" s="477">
        <v>43265</v>
      </c>
      <c r="G13">
        <v>2288006</v>
      </c>
      <c r="H13" s="476">
        <v>42278</v>
      </c>
      <c r="I13" s="476">
        <v>42309</v>
      </c>
      <c r="J13" t="s">
        <v>275</v>
      </c>
      <c r="K13">
        <v>-405.64</v>
      </c>
      <c r="L13" s="478">
        <v>-342.72</v>
      </c>
      <c r="P13" s="473">
        <v>42430</v>
      </c>
      <c r="Q13" s="478">
        <f>+L27+L28+L29</f>
        <v>204</v>
      </c>
      <c r="R13" s="475">
        <f t="shared" si="0"/>
        <v>408</v>
      </c>
      <c r="T13" s="477">
        <v>42481</v>
      </c>
      <c r="U13">
        <v>1690522</v>
      </c>
      <c r="V13" s="476">
        <v>42430</v>
      </c>
      <c r="W13" s="476">
        <v>42461</v>
      </c>
      <c r="X13" t="s">
        <v>275</v>
      </c>
      <c r="Y13">
        <v>482.91</v>
      </c>
      <c r="Z13">
        <v>408</v>
      </c>
    </row>
    <row r="14" spans="1:26" x14ac:dyDescent="0.2">
      <c r="A14" s="472">
        <v>41170</v>
      </c>
      <c r="B14" t="s">
        <v>275</v>
      </c>
      <c r="C14">
        <v>2801.73</v>
      </c>
      <c r="D14">
        <v>463.68</v>
      </c>
      <c r="F14" s="477">
        <v>43347</v>
      </c>
      <c r="G14">
        <v>2357123</v>
      </c>
      <c r="H14" s="476">
        <v>42278</v>
      </c>
      <c r="I14" s="476">
        <v>42309</v>
      </c>
      <c r="J14" t="s">
        <v>275</v>
      </c>
      <c r="K14">
        <v>202.82</v>
      </c>
      <c r="L14" s="478">
        <v>171.36</v>
      </c>
      <c r="P14" s="473">
        <v>42461</v>
      </c>
      <c r="Q14" s="478">
        <f>+L30+L31+L32</f>
        <v>207.36</v>
      </c>
      <c r="R14" s="475">
        <f t="shared" si="0"/>
        <v>414.72</v>
      </c>
      <c r="T14" s="477">
        <v>42508</v>
      </c>
      <c r="U14">
        <v>1719162</v>
      </c>
      <c r="V14" s="476">
        <v>42461</v>
      </c>
      <c r="W14" s="476">
        <v>42491</v>
      </c>
      <c r="X14" t="s">
        <v>275</v>
      </c>
      <c r="Y14">
        <v>490.86</v>
      </c>
      <c r="Z14">
        <v>414.72</v>
      </c>
    </row>
    <row r="15" spans="1:26" x14ac:dyDescent="0.2">
      <c r="A15" s="472">
        <v>41199</v>
      </c>
      <c r="B15" t="s">
        <v>275</v>
      </c>
      <c r="C15">
        <v>2283.8200000000002</v>
      </c>
      <c r="D15">
        <v>400.03</v>
      </c>
      <c r="F15" s="477">
        <v>42355</v>
      </c>
      <c r="G15">
        <v>1613798</v>
      </c>
      <c r="H15" s="476">
        <v>42309</v>
      </c>
      <c r="I15" s="476">
        <v>42339</v>
      </c>
      <c r="J15" t="s">
        <v>275</v>
      </c>
      <c r="K15">
        <v>429.5</v>
      </c>
      <c r="L15" s="478">
        <v>362.88</v>
      </c>
      <c r="P15" s="473">
        <v>42491</v>
      </c>
      <c r="Q15" s="478">
        <f>+L33+L34+L35</f>
        <v>204.77</v>
      </c>
      <c r="R15" s="475">
        <f t="shared" si="0"/>
        <v>409.54</v>
      </c>
      <c r="T15" s="477">
        <v>42538</v>
      </c>
      <c r="U15">
        <v>1741056</v>
      </c>
      <c r="V15" s="476">
        <v>42491</v>
      </c>
      <c r="W15" s="476">
        <v>42522</v>
      </c>
      <c r="X15" t="s">
        <v>275</v>
      </c>
      <c r="Y15">
        <v>512.91</v>
      </c>
      <c r="Z15">
        <v>409.54</v>
      </c>
    </row>
    <row r="16" spans="1:26" x14ac:dyDescent="0.2">
      <c r="A16" s="472">
        <v>41233</v>
      </c>
      <c r="B16" t="s">
        <v>275</v>
      </c>
      <c r="C16">
        <v>2236.89</v>
      </c>
      <c r="D16">
        <v>347.52</v>
      </c>
      <c r="F16" s="477">
        <v>43265</v>
      </c>
      <c r="G16">
        <v>2287998</v>
      </c>
      <c r="H16" s="476">
        <v>42309</v>
      </c>
      <c r="I16" s="476">
        <v>42339</v>
      </c>
      <c r="J16" t="s">
        <v>275</v>
      </c>
      <c r="K16">
        <v>-429.5</v>
      </c>
      <c r="L16" s="478">
        <v>-362.88</v>
      </c>
      <c r="P16" s="473">
        <v>42522</v>
      </c>
      <c r="Q16" s="478">
        <f>+L36+L37+L38</f>
        <v>214.27</v>
      </c>
      <c r="R16" s="475">
        <f t="shared" si="0"/>
        <v>424.22</v>
      </c>
      <c r="T16" s="477">
        <v>42570</v>
      </c>
      <c r="U16">
        <v>1769234</v>
      </c>
      <c r="V16" s="476">
        <v>42522</v>
      </c>
      <c r="W16" s="476">
        <v>42552</v>
      </c>
      <c r="X16" t="s">
        <v>275</v>
      </c>
      <c r="Y16">
        <v>531.29</v>
      </c>
      <c r="Z16">
        <v>424.22</v>
      </c>
    </row>
    <row r="17" spans="1:26" x14ac:dyDescent="0.2">
      <c r="A17" s="472">
        <v>41261</v>
      </c>
      <c r="B17" t="s">
        <v>275</v>
      </c>
      <c r="C17">
        <v>2373.2399999999998</v>
      </c>
      <c r="D17">
        <v>429.12</v>
      </c>
      <c r="F17" s="477">
        <v>43349</v>
      </c>
      <c r="G17">
        <v>2357124</v>
      </c>
      <c r="H17" s="476">
        <v>42309</v>
      </c>
      <c r="I17" s="476">
        <v>42339</v>
      </c>
      <c r="J17" t="s">
        <v>275</v>
      </c>
      <c r="K17">
        <v>214.75</v>
      </c>
      <c r="L17" s="478">
        <v>181.44</v>
      </c>
      <c r="P17" s="473">
        <v>42552</v>
      </c>
      <c r="Q17" s="478">
        <f>+L39+L40+L41</f>
        <v>223.78</v>
      </c>
      <c r="R17" s="475">
        <f t="shared" si="0"/>
        <v>447.55</v>
      </c>
      <c r="T17" s="477">
        <v>42599</v>
      </c>
      <c r="U17">
        <v>1785027</v>
      </c>
      <c r="V17" s="476">
        <v>42552</v>
      </c>
      <c r="W17" s="476">
        <v>42583</v>
      </c>
      <c r="X17" t="s">
        <v>275</v>
      </c>
      <c r="Y17">
        <v>560.51</v>
      </c>
      <c r="Z17">
        <v>447.55</v>
      </c>
    </row>
    <row r="18" spans="1:26" x14ac:dyDescent="0.2">
      <c r="A18" s="472">
        <v>41291</v>
      </c>
      <c r="B18" t="s">
        <v>275</v>
      </c>
      <c r="C18">
        <v>2493.6</v>
      </c>
      <c r="D18">
        <v>430.08</v>
      </c>
      <c r="F18" s="477">
        <v>42388</v>
      </c>
      <c r="G18">
        <v>1630972</v>
      </c>
      <c r="H18" s="476">
        <v>42339</v>
      </c>
      <c r="I18" s="476">
        <v>42370</v>
      </c>
      <c r="J18" t="s">
        <v>275</v>
      </c>
      <c r="K18">
        <v>526.09</v>
      </c>
      <c r="L18" s="478">
        <v>444.48</v>
      </c>
      <c r="P18" s="473">
        <v>42583</v>
      </c>
      <c r="Q18" s="478">
        <f>+L42+L43+L44</f>
        <v>222.48</v>
      </c>
      <c r="R18" s="475">
        <f t="shared" si="0"/>
        <v>440.64</v>
      </c>
      <c r="T18" s="477">
        <v>42633</v>
      </c>
      <c r="U18">
        <v>1814171</v>
      </c>
      <c r="V18" s="476">
        <v>42583</v>
      </c>
      <c r="W18" s="476">
        <v>42614</v>
      </c>
      <c r="X18" t="s">
        <v>275</v>
      </c>
      <c r="Y18">
        <v>551.86</v>
      </c>
      <c r="Z18">
        <v>440.64</v>
      </c>
    </row>
    <row r="19" spans="1:26" x14ac:dyDescent="0.2">
      <c r="A19" s="472">
        <v>41320</v>
      </c>
      <c r="B19" t="s">
        <v>275</v>
      </c>
      <c r="C19">
        <v>525.58000000000004</v>
      </c>
      <c r="D19">
        <v>497.28</v>
      </c>
      <c r="F19" s="477">
        <v>43262</v>
      </c>
      <c r="G19">
        <v>2287995</v>
      </c>
      <c r="H19" s="476">
        <v>42339</v>
      </c>
      <c r="I19" s="476">
        <v>42370</v>
      </c>
      <c r="J19" t="s">
        <v>275</v>
      </c>
      <c r="K19">
        <v>-526.09</v>
      </c>
      <c r="L19" s="478">
        <v>-444.48</v>
      </c>
      <c r="P19" s="473">
        <v>42614</v>
      </c>
      <c r="Q19" s="478">
        <f>+L45+L46+L47+L48+L49</f>
        <v>212.98</v>
      </c>
      <c r="R19" s="475">
        <f t="shared" si="0"/>
        <v>473.28</v>
      </c>
      <c r="T19" s="477">
        <v>42662</v>
      </c>
      <c r="U19">
        <v>1830868</v>
      </c>
      <c r="V19" s="476">
        <v>42614</v>
      </c>
      <c r="W19" s="476">
        <v>42644</v>
      </c>
      <c r="X19" t="s">
        <v>275</v>
      </c>
      <c r="Y19">
        <v>592.74</v>
      </c>
      <c r="Z19">
        <v>473.28</v>
      </c>
    </row>
    <row r="20" spans="1:26" x14ac:dyDescent="0.2">
      <c r="A20" s="472">
        <v>41351</v>
      </c>
      <c r="B20" t="s">
        <v>275</v>
      </c>
      <c r="C20">
        <v>470.79</v>
      </c>
      <c r="D20">
        <v>445.44</v>
      </c>
      <c r="F20" s="477">
        <v>43350</v>
      </c>
      <c r="G20">
        <v>2357125</v>
      </c>
      <c r="H20" s="476">
        <v>42339</v>
      </c>
      <c r="I20" s="476">
        <v>42370</v>
      </c>
      <c r="J20" t="s">
        <v>275</v>
      </c>
      <c r="K20">
        <v>263.04000000000002</v>
      </c>
      <c r="L20" s="478">
        <v>222.24</v>
      </c>
      <c r="P20" s="473">
        <v>42644</v>
      </c>
      <c r="Q20" s="478">
        <f>+L50+L51+L52+L53+L54</f>
        <v>168.91</v>
      </c>
      <c r="R20" s="475">
        <f t="shared" si="0"/>
        <v>375.36</v>
      </c>
      <c r="T20" s="477">
        <v>42690</v>
      </c>
      <c r="U20">
        <v>1853684</v>
      </c>
      <c r="V20" s="476">
        <v>42644</v>
      </c>
      <c r="W20" s="476">
        <v>42675</v>
      </c>
      <c r="X20" t="s">
        <v>275</v>
      </c>
      <c r="Y20">
        <v>470.1</v>
      </c>
      <c r="Z20">
        <v>375.36</v>
      </c>
    </row>
    <row r="21" spans="1:26" x14ac:dyDescent="0.2">
      <c r="A21" s="472">
        <v>41380</v>
      </c>
      <c r="B21" t="s">
        <v>275</v>
      </c>
      <c r="C21">
        <v>453.54</v>
      </c>
      <c r="D21">
        <v>429.12</v>
      </c>
      <c r="F21" s="477">
        <v>42419</v>
      </c>
      <c r="G21">
        <v>1653346</v>
      </c>
      <c r="H21" s="476">
        <v>42370</v>
      </c>
      <c r="I21" s="476">
        <v>42401</v>
      </c>
      <c r="J21" t="s">
        <v>275</v>
      </c>
      <c r="K21">
        <v>543.13</v>
      </c>
      <c r="L21" s="478">
        <v>458.88</v>
      </c>
      <c r="P21" s="473">
        <v>42675</v>
      </c>
      <c r="Q21" s="478">
        <f>+L55+L56+L57+L58+L59</f>
        <v>159.36000000000001</v>
      </c>
      <c r="R21" s="475">
        <f t="shared" si="0"/>
        <v>336</v>
      </c>
      <c r="T21" s="477">
        <v>42720</v>
      </c>
      <c r="U21">
        <v>1875957</v>
      </c>
      <c r="V21" s="476">
        <v>42675</v>
      </c>
      <c r="W21" s="476">
        <v>42705</v>
      </c>
      <c r="X21" t="s">
        <v>275</v>
      </c>
      <c r="Y21">
        <v>420.81</v>
      </c>
      <c r="Z21">
        <v>336</v>
      </c>
    </row>
    <row r="22" spans="1:26" x14ac:dyDescent="0.2">
      <c r="A22" s="472">
        <v>41409</v>
      </c>
      <c r="B22" t="s">
        <v>275</v>
      </c>
      <c r="C22">
        <v>374.4</v>
      </c>
      <c r="D22">
        <v>354.24</v>
      </c>
      <c r="F22" s="477">
        <v>43262</v>
      </c>
      <c r="G22">
        <v>2287994</v>
      </c>
      <c r="H22" s="476">
        <v>42370</v>
      </c>
      <c r="I22" s="476">
        <v>42401</v>
      </c>
      <c r="J22" t="s">
        <v>275</v>
      </c>
      <c r="K22">
        <v>-543.13</v>
      </c>
      <c r="L22" s="478">
        <v>-458.88</v>
      </c>
      <c r="P22" s="473">
        <v>42705</v>
      </c>
      <c r="Q22" s="478">
        <f>+L60+L61+L62</f>
        <v>186.72</v>
      </c>
      <c r="R22" s="475">
        <f>+Z22+Z23+Z24+Z25+Z26+Z27+Z28</f>
        <v>271.29000000000019</v>
      </c>
      <c r="T22" s="477">
        <v>42755</v>
      </c>
      <c r="U22">
        <v>1904902</v>
      </c>
      <c r="V22" s="476">
        <v>42675</v>
      </c>
      <c r="W22" s="476">
        <v>42705</v>
      </c>
      <c r="X22" t="s">
        <v>275</v>
      </c>
      <c r="Y22">
        <v>-420.81</v>
      </c>
      <c r="Z22">
        <v>-336</v>
      </c>
    </row>
    <row r="23" spans="1:26" x14ac:dyDescent="0.2">
      <c r="A23" s="472">
        <v>41439</v>
      </c>
      <c r="B23" t="s">
        <v>275</v>
      </c>
      <c r="C23">
        <v>378.43</v>
      </c>
      <c r="D23">
        <v>364.61</v>
      </c>
      <c r="F23" s="477">
        <v>43354</v>
      </c>
      <c r="G23">
        <v>2357127</v>
      </c>
      <c r="H23" s="476">
        <v>42370</v>
      </c>
      <c r="I23" s="476">
        <v>42401</v>
      </c>
      <c r="J23" t="s">
        <v>275</v>
      </c>
      <c r="K23">
        <v>271.57</v>
      </c>
      <c r="L23" s="478">
        <v>229.44</v>
      </c>
      <c r="P23" s="473">
        <v>42736</v>
      </c>
      <c r="Q23" s="478">
        <f>+L63+L64+L65</f>
        <v>212.64</v>
      </c>
      <c r="R23" s="459">
        <f t="shared" ref="R23:R36" si="1">+Z29</f>
        <v>425.28</v>
      </c>
      <c r="T23" s="477">
        <v>42758</v>
      </c>
      <c r="U23">
        <v>1905019</v>
      </c>
      <c r="V23" s="476">
        <v>42644</v>
      </c>
      <c r="W23" s="476">
        <v>42675</v>
      </c>
      <c r="X23" t="s">
        <v>275</v>
      </c>
      <c r="Y23">
        <v>-470.1</v>
      </c>
      <c r="Z23">
        <v>-375.36</v>
      </c>
    </row>
    <row r="24" spans="1:26" x14ac:dyDescent="0.2">
      <c r="A24" s="472">
        <v>41471</v>
      </c>
      <c r="B24" t="s">
        <v>275</v>
      </c>
      <c r="C24">
        <v>405.33</v>
      </c>
      <c r="D24">
        <v>390.53</v>
      </c>
      <c r="F24" s="477">
        <v>42447</v>
      </c>
      <c r="G24">
        <v>1675284</v>
      </c>
      <c r="H24" s="476">
        <v>42401</v>
      </c>
      <c r="I24" s="476">
        <v>42430</v>
      </c>
      <c r="J24" t="s">
        <v>275</v>
      </c>
      <c r="K24">
        <v>575.51</v>
      </c>
      <c r="L24" s="478">
        <v>486.24</v>
      </c>
      <c r="P24" s="473">
        <v>42767</v>
      </c>
      <c r="Q24" s="478">
        <f>+L66+L67+L68</f>
        <v>184.8</v>
      </c>
      <c r="R24" s="459">
        <f t="shared" si="1"/>
        <v>369.6</v>
      </c>
      <c r="T24" s="477">
        <v>42759</v>
      </c>
      <c r="U24">
        <v>1905047</v>
      </c>
      <c r="V24" s="476">
        <v>42614</v>
      </c>
      <c r="W24" s="476">
        <v>42644</v>
      </c>
      <c r="X24" t="s">
        <v>275</v>
      </c>
      <c r="Y24">
        <v>-592.74</v>
      </c>
      <c r="Z24">
        <v>-473.28</v>
      </c>
    </row>
    <row r="25" spans="1:26" x14ac:dyDescent="0.2">
      <c r="A25" s="472">
        <v>41513</v>
      </c>
      <c r="B25" t="s">
        <v>275</v>
      </c>
      <c r="C25">
        <v>436.72</v>
      </c>
      <c r="D25">
        <v>420.77</v>
      </c>
      <c r="F25" s="477">
        <v>43262</v>
      </c>
      <c r="G25">
        <v>2287992</v>
      </c>
      <c r="H25" s="476">
        <v>42401</v>
      </c>
      <c r="I25" s="476">
        <v>42430</v>
      </c>
      <c r="J25" t="s">
        <v>275</v>
      </c>
      <c r="K25">
        <v>-575.51</v>
      </c>
      <c r="L25" s="478">
        <v>-486.24</v>
      </c>
      <c r="P25" s="473">
        <v>42795</v>
      </c>
      <c r="Q25" s="478">
        <f>+L69+L70+L71</f>
        <v>201.6</v>
      </c>
      <c r="R25" s="459">
        <f t="shared" si="1"/>
        <v>403.2</v>
      </c>
      <c r="T25" s="477">
        <v>42760</v>
      </c>
      <c r="U25">
        <v>1910526</v>
      </c>
      <c r="V25" s="476">
        <v>42614</v>
      </c>
      <c r="W25" s="476">
        <v>42644</v>
      </c>
      <c r="X25" t="s">
        <v>275</v>
      </c>
      <c r="Y25">
        <v>533.46</v>
      </c>
      <c r="Z25">
        <v>425.95</v>
      </c>
    </row>
    <row r="26" spans="1:26" x14ac:dyDescent="0.2">
      <c r="A26" s="472">
        <v>41533</v>
      </c>
      <c r="B26" t="s">
        <v>275</v>
      </c>
      <c r="C26">
        <v>434.92</v>
      </c>
      <c r="D26">
        <v>419.04</v>
      </c>
      <c r="F26" s="477">
        <v>43355</v>
      </c>
      <c r="G26">
        <v>2357129</v>
      </c>
      <c r="H26" s="476">
        <v>42401</v>
      </c>
      <c r="I26" s="476">
        <v>42430</v>
      </c>
      <c r="J26" t="s">
        <v>275</v>
      </c>
      <c r="K26">
        <v>298.27</v>
      </c>
      <c r="L26" s="478">
        <v>252</v>
      </c>
      <c r="P26" s="473">
        <v>42826</v>
      </c>
      <c r="Q26" s="478">
        <f>+L72+L73+L74</f>
        <v>153.12</v>
      </c>
      <c r="R26" s="459">
        <f t="shared" si="1"/>
        <v>306.24</v>
      </c>
      <c r="T26" s="477">
        <v>42761</v>
      </c>
      <c r="U26">
        <v>1910533</v>
      </c>
      <c r="V26" s="476">
        <v>42644</v>
      </c>
      <c r="W26" s="476">
        <v>42675</v>
      </c>
      <c r="X26" t="s">
        <v>275</v>
      </c>
      <c r="Y26">
        <v>423.09</v>
      </c>
      <c r="Z26">
        <v>337.82</v>
      </c>
    </row>
    <row r="27" spans="1:26" x14ac:dyDescent="0.2">
      <c r="A27" s="472">
        <v>41563</v>
      </c>
      <c r="B27" t="s">
        <v>275</v>
      </c>
      <c r="C27">
        <v>447.48</v>
      </c>
      <c r="D27">
        <v>431.14</v>
      </c>
      <c r="F27" s="477">
        <v>42481</v>
      </c>
      <c r="G27">
        <v>1690522</v>
      </c>
      <c r="H27" s="476">
        <v>42430</v>
      </c>
      <c r="I27" s="476">
        <v>42461</v>
      </c>
      <c r="J27" t="s">
        <v>275</v>
      </c>
      <c r="K27">
        <v>482.91</v>
      </c>
      <c r="L27" s="478">
        <v>408</v>
      </c>
      <c r="P27" s="473">
        <v>42856</v>
      </c>
      <c r="Q27" s="478">
        <f>+L75+L76+L77</f>
        <v>158.54</v>
      </c>
      <c r="R27" s="459">
        <f t="shared" si="1"/>
        <v>317.08999999999997</v>
      </c>
      <c r="T27" s="477">
        <v>42765</v>
      </c>
      <c r="U27">
        <v>1910544</v>
      </c>
      <c r="V27" s="476">
        <v>42675</v>
      </c>
      <c r="W27" s="476">
        <v>42705</v>
      </c>
      <c r="X27" t="s">
        <v>275</v>
      </c>
      <c r="Y27">
        <v>399.16</v>
      </c>
      <c r="Z27">
        <v>318.72000000000003</v>
      </c>
    </row>
    <row r="28" spans="1:26" x14ac:dyDescent="0.2">
      <c r="A28" s="472">
        <v>41596</v>
      </c>
      <c r="B28" t="s">
        <v>275</v>
      </c>
      <c r="C28">
        <v>357.7</v>
      </c>
      <c r="D28">
        <v>344.64</v>
      </c>
      <c r="F28" s="477">
        <v>43258</v>
      </c>
      <c r="G28">
        <v>2286990</v>
      </c>
      <c r="H28" s="476">
        <v>42430</v>
      </c>
      <c r="I28" s="476">
        <v>42461</v>
      </c>
      <c r="J28" t="s">
        <v>275</v>
      </c>
      <c r="K28">
        <v>-482.91</v>
      </c>
      <c r="L28" s="478">
        <v>-408</v>
      </c>
      <c r="P28" s="473">
        <v>42887</v>
      </c>
      <c r="Q28" s="478">
        <f>+L78+L79+L80</f>
        <v>189.65</v>
      </c>
      <c r="R28" s="459">
        <f t="shared" si="1"/>
        <v>379.3</v>
      </c>
      <c r="T28" s="477">
        <v>42765</v>
      </c>
      <c r="U28">
        <v>1910571</v>
      </c>
      <c r="V28" s="476">
        <v>42705</v>
      </c>
      <c r="W28" s="476">
        <v>42736</v>
      </c>
      <c r="X28" t="s">
        <v>275</v>
      </c>
      <c r="Y28">
        <v>467.7</v>
      </c>
      <c r="Z28">
        <v>373.44</v>
      </c>
    </row>
    <row r="29" spans="1:26" x14ac:dyDescent="0.2">
      <c r="A29" s="472">
        <v>41625</v>
      </c>
      <c r="B29" t="s">
        <v>275</v>
      </c>
      <c r="C29">
        <v>441.4</v>
      </c>
      <c r="D29">
        <v>425.28</v>
      </c>
      <c r="F29" s="477">
        <v>43360</v>
      </c>
      <c r="G29">
        <v>2357297</v>
      </c>
      <c r="H29" s="476">
        <v>42430</v>
      </c>
      <c r="I29" s="476">
        <v>42461</v>
      </c>
      <c r="J29" t="s">
        <v>275</v>
      </c>
      <c r="K29">
        <v>241.45</v>
      </c>
      <c r="L29" s="478">
        <v>204</v>
      </c>
      <c r="P29" s="473">
        <v>42917</v>
      </c>
      <c r="Q29" s="478">
        <f>+L81+L82+L83</f>
        <v>184.46</v>
      </c>
      <c r="R29" s="459">
        <f t="shared" si="1"/>
        <v>368.93</v>
      </c>
      <c r="T29" s="477">
        <v>42783</v>
      </c>
      <c r="U29">
        <v>1927604</v>
      </c>
      <c r="V29" s="476">
        <v>42736</v>
      </c>
      <c r="W29" s="476">
        <v>42767</v>
      </c>
      <c r="X29" t="s">
        <v>275</v>
      </c>
      <c r="Y29">
        <v>532.62</v>
      </c>
      <c r="Z29">
        <v>425.28</v>
      </c>
    </row>
    <row r="30" spans="1:26" x14ac:dyDescent="0.2">
      <c r="A30" s="472">
        <v>41655</v>
      </c>
      <c r="B30" t="s">
        <v>275</v>
      </c>
      <c r="C30">
        <v>507.16</v>
      </c>
      <c r="D30">
        <v>488.64</v>
      </c>
      <c r="F30" s="477">
        <v>42508</v>
      </c>
      <c r="G30">
        <v>1719162</v>
      </c>
      <c r="H30" s="476">
        <v>42461</v>
      </c>
      <c r="I30" s="476">
        <v>42491</v>
      </c>
      <c r="J30" t="s">
        <v>275</v>
      </c>
      <c r="K30">
        <v>490.86</v>
      </c>
      <c r="L30" s="478">
        <v>414.72</v>
      </c>
      <c r="P30" s="473">
        <v>42948</v>
      </c>
      <c r="Q30" s="478">
        <f>+L84+L85+L86</f>
        <v>175.82</v>
      </c>
      <c r="R30" s="459">
        <f t="shared" si="1"/>
        <v>349.06</v>
      </c>
      <c r="T30" s="477">
        <v>42818</v>
      </c>
      <c r="U30">
        <v>1955794</v>
      </c>
      <c r="V30" s="476">
        <v>42767</v>
      </c>
      <c r="W30" s="476">
        <v>42795</v>
      </c>
      <c r="X30" t="s">
        <v>275</v>
      </c>
      <c r="Y30">
        <v>462.89</v>
      </c>
      <c r="Z30">
        <v>369.6</v>
      </c>
    </row>
    <row r="31" spans="1:26" x14ac:dyDescent="0.2">
      <c r="A31" s="472">
        <v>41688</v>
      </c>
      <c r="B31" t="s">
        <v>275</v>
      </c>
      <c r="C31">
        <v>0</v>
      </c>
      <c r="D31">
        <v>0</v>
      </c>
      <c r="F31" s="477">
        <v>43257</v>
      </c>
      <c r="G31">
        <v>2286837</v>
      </c>
      <c r="H31" s="476">
        <v>42461</v>
      </c>
      <c r="I31" s="476">
        <v>42491</v>
      </c>
      <c r="J31" t="s">
        <v>275</v>
      </c>
      <c r="K31">
        <v>-490.86</v>
      </c>
      <c r="L31" s="478">
        <v>-414.72</v>
      </c>
      <c r="P31" s="473">
        <v>42979</v>
      </c>
      <c r="Q31" s="478">
        <f>+L87+L88+L89</f>
        <v>191.38</v>
      </c>
      <c r="R31" s="459">
        <f t="shared" si="1"/>
        <v>382.75</v>
      </c>
      <c r="T31" s="477">
        <v>42845</v>
      </c>
      <c r="U31">
        <v>1966720</v>
      </c>
      <c r="V31" s="476">
        <v>42795</v>
      </c>
      <c r="W31" s="476">
        <v>42826</v>
      </c>
      <c r="X31" t="s">
        <v>275</v>
      </c>
      <c r="Y31">
        <v>504.97</v>
      </c>
      <c r="Z31">
        <v>403.2</v>
      </c>
    </row>
    <row r="32" spans="1:26" x14ac:dyDescent="0.2">
      <c r="A32" s="472">
        <v>41701</v>
      </c>
      <c r="B32" t="s">
        <v>275</v>
      </c>
      <c r="C32">
        <v>547.01</v>
      </c>
      <c r="D32">
        <v>527.04</v>
      </c>
      <c r="F32" s="477">
        <v>43364</v>
      </c>
      <c r="G32">
        <v>2368627</v>
      </c>
      <c r="H32" s="476">
        <v>42461</v>
      </c>
      <c r="I32" s="476">
        <v>42491</v>
      </c>
      <c r="J32" t="s">
        <v>275</v>
      </c>
      <c r="K32">
        <v>245.43</v>
      </c>
      <c r="L32" s="478">
        <v>207.36</v>
      </c>
      <c r="P32" s="473">
        <v>43009</v>
      </c>
      <c r="Q32" s="478">
        <f>+L90+L91+L92</f>
        <v>140.4</v>
      </c>
      <c r="R32" s="459">
        <f t="shared" si="1"/>
        <v>277.56</v>
      </c>
      <c r="T32" s="477">
        <v>42873</v>
      </c>
      <c r="U32">
        <v>1995435</v>
      </c>
      <c r="V32" s="476">
        <v>42826</v>
      </c>
      <c r="W32" s="476">
        <v>42856</v>
      </c>
      <c r="X32" t="s">
        <v>275</v>
      </c>
      <c r="Y32">
        <v>383.53</v>
      </c>
      <c r="Z32">
        <v>306.24</v>
      </c>
    </row>
    <row r="33" spans="1:26" x14ac:dyDescent="0.2">
      <c r="A33" s="472">
        <v>41712</v>
      </c>
      <c r="B33" t="s">
        <v>275</v>
      </c>
      <c r="C33">
        <v>557.98</v>
      </c>
      <c r="D33">
        <v>537.6</v>
      </c>
      <c r="F33" s="477">
        <v>42538</v>
      </c>
      <c r="G33">
        <v>1741056</v>
      </c>
      <c r="H33" s="476">
        <v>42491</v>
      </c>
      <c r="I33" s="476">
        <v>42522</v>
      </c>
      <c r="J33" t="s">
        <v>275</v>
      </c>
      <c r="K33">
        <v>512.91</v>
      </c>
      <c r="L33" s="478">
        <v>409.54</v>
      </c>
      <c r="P33" s="473">
        <v>43040</v>
      </c>
      <c r="Q33" s="478">
        <f>+L93+L94+L95</f>
        <v>173.28</v>
      </c>
      <c r="R33" s="459">
        <f t="shared" si="1"/>
        <v>346.56</v>
      </c>
      <c r="T33" s="477">
        <v>42908</v>
      </c>
      <c r="U33">
        <v>2011403</v>
      </c>
      <c r="V33" s="476">
        <v>42856</v>
      </c>
      <c r="W33" s="476">
        <v>42887</v>
      </c>
      <c r="X33" t="s">
        <v>275</v>
      </c>
      <c r="Y33">
        <v>389.58</v>
      </c>
      <c r="Z33">
        <v>317.08999999999997</v>
      </c>
    </row>
    <row r="34" spans="1:26" x14ac:dyDescent="0.2">
      <c r="A34" s="472">
        <v>41745</v>
      </c>
      <c r="B34" t="s">
        <v>275</v>
      </c>
      <c r="C34">
        <v>492.21</v>
      </c>
      <c r="D34">
        <v>474.24</v>
      </c>
      <c r="F34" s="477">
        <v>43256</v>
      </c>
      <c r="G34">
        <v>2286836</v>
      </c>
      <c r="H34" s="476">
        <v>42491</v>
      </c>
      <c r="I34" s="476">
        <v>42522</v>
      </c>
      <c r="J34" t="s">
        <v>275</v>
      </c>
      <c r="K34">
        <v>-512.91</v>
      </c>
      <c r="L34" s="478">
        <v>-409.54</v>
      </c>
      <c r="P34" s="473">
        <v>43070</v>
      </c>
      <c r="Q34">
        <f>+L97+L96+L98</f>
        <v>237.6</v>
      </c>
      <c r="R34" s="459">
        <f t="shared" si="1"/>
        <v>475.2</v>
      </c>
      <c r="T34" s="477">
        <v>42936</v>
      </c>
      <c r="U34">
        <v>2034598</v>
      </c>
      <c r="V34" s="476">
        <v>42887</v>
      </c>
      <c r="W34" s="476">
        <v>42917</v>
      </c>
      <c r="X34" t="s">
        <v>275</v>
      </c>
      <c r="Y34">
        <v>466.01</v>
      </c>
      <c r="Z34">
        <v>379.3</v>
      </c>
    </row>
    <row r="35" spans="1:26" x14ac:dyDescent="0.2">
      <c r="A35" s="472">
        <v>41775</v>
      </c>
      <c r="B35" t="s">
        <v>275</v>
      </c>
      <c r="C35">
        <v>398.55</v>
      </c>
      <c r="D35">
        <v>384</v>
      </c>
      <c r="F35" s="477">
        <v>43369</v>
      </c>
      <c r="G35">
        <v>2380215</v>
      </c>
      <c r="H35" s="476">
        <v>42491</v>
      </c>
      <c r="I35" s="476">
        <v>42522</v>
      </c>
      <c r="J35" t="s">
        <v>275</v>
      </c>
      <c r="K35">
        <v>256.45</v>
      </c>
      <c r="L35" s="478">
        <v>204.77</v>
      </c>
      <c r="P35" s="473">
        <v>43101</v>
      </c>
      <c r="Q35">
        <f>+L99+L100+L101</f>
        <v>222.24</v>
      </c>
      <c r="R35" s="459">
        <f t="shared" si="1"/>
        <v>444.48</v>
      </c>
      <c r="T35" s="477">
        <v>42965</v>
      </c>
      <c r="U35">
        <v>2064090</v>
      </c>
      <c r="V35" s="476">
        <v>42917</v>
      </c>
      <c r="W35" s="476">
        <v>42948</v>
      </c>
      <c r="X35" t="s">
        <v>275</v>
      </c>
      <c r="Y35">
        <v>453.27</v>
      </c>
      <c r="Z35">
        <v>368.93</v>
      </c>
    </row>
    <row r="36" spans="1:26" x14ac:dyDescent="0.2">
      <c r="A36" s="472">
        <v>41806</v>
      </c>
      <c r="B36" t="s">
        <v>275</v>
      </c>
      <c r="C36">
        <v>381.45</v>
      </c>
      <c r="D36">
        <v>344.64</v>
      </c>
      <c r="F36" s="477">
        <v>42570</v>
      </c>
      <c r="G36">
        <v>1769234</v>
      </c>
      <c r="H36" s="476">
        <v>42522</v>
      </c>
      <c r="I36" s="476">
        <v>42552</v>
      </c>
      <c r="J36" t="s">
        <v>275</v>
      </c>
      <c r="K36">
        <v>531.29</v>
      </c>
      <c r="L36" s="478">
        <v>424.22</v>
      </c>
      <c r="P36" s="473">
        <v>43132</v>
      </c>
      <c r="Q36">
        <f>+L102+L103+L104</f>
        <v>168</v>
      </c>
      <c r="R36" s="459">
        <f t="shared" si="1"/>
        <v>336</v>
      </c>
      <c r="T36" s="477">
        <v>42997</v>
      </c>
      <c r="U36">
        <v>2086914</v>
      </c>
      <c r="V36" s="476">
        <v>42948</v>
      </c>
      <c r="W36" s="476">
        <v>42979</v>
      </c>
      <c r="X36" t="s">
        <v>275</v>
      </c>
      <c r="Y36">
        <v>428.86</v>
      </c>
      <c r="Z36">
        <v>349.06</v>
      </c>
    </row>
    <row r="37" spans="1:26" x14ac:dyDescent="0.2">
      <c r="A37" s="472">
        <v>41836</v>
      </c>
      <c r="B37" t="s">
        <v>275</v>
      </c>
      <c r="C37">
        <v>454.23</v>
      </c>
      <c r="D37">
        <v>410.4</v>
      </c>
      <c r="F37" s="477">
        <v>43255</v>
      </c>
      <c r="G37">
        <v>2286835</v>
      </c>
      <c r="H37" s="476">
        <v>42522</v>
      </c>
      <c r="I37" s="476">
        <v>42552</v>
      </c>
      <c r="J37" t="s">
        <v>275</v>
      </c>
      <c r="K37">
        <v>-531.29</v>
      </c>
      <c r="L37" s="478">
        <v>-424.22</v>
      </c>
      <c r="P37" s="473">
        <v>43160</v>
      </c>
      <c r="Q37">
        <f>+L105</f>
        <v>161.28</v>
      </c>
      <c r="R37" s="459"/>
      <c r="T37" s="477">
        <v>43025</v>
      </c>
      <c r="U37">
        <v>2109859</v>
      </c>
      <c r="V37" s="476">
        <v>42979</v>
      </c>
      <c r="W37" s="476">
        <v>43009</v>
      </c>
      <c r="X37" t="s">
        <v>275</v>
      </c>
      <c r="Y37">
        <v>470.25</v>
      </c>
      <c r="Z37">
        <v>382.75</v>
      </c>
    </row>
    <row r="38" spans="1:26" x14ac:dyDescent="0.2">
      <c r="A38" s="472">
        <v>41871</v>
      </c>
      <c r="B38" t="s">
        <v>275</v>
      </c>
      <c r="C38">
        <v>444.67</v>
      </c>
      <c r="D38">
        <v>401.76</v>
      </c>
      <c r="F38" s="477">
        <v>43370</v>
      </c>
      <c r="G38">
        <v>2380227</v>
      </c>
      <c r="H38" s="476">
        <v>42522</v>
      </c>
      <c r="I38" s="476">
        <v>42552</v>
      </c>
      <c r="J38" t="s">
        <v>275</v>
      </c>
      <c r="K38">
        <v>268.35000000000002</v>
      </c>
      <c r="L38" s="478">
        <v>214.27</v>
      </c>
      <c r="P38" s="473">
        <v>43191</v>
      </c>
      <c r="Q38">
        <f t="shared" ref="Q38:Q50" si="2">+L106</f>
        <v>175.2</v>
      </c>
      <c r="R38" s="459">
        <f>+Z43+Z44+Z45+Z46+Z47+Z48+Z49+Z50+Z51+Z52+Z53+Z54+Z55+Z56+Z57</f>
        <v>-5554.69</v>
      </c>
      <c r="T38" s="477">
        <v>43055</v>
      </c>
      <c r="U38">
        <v>2132824</v>
      </c>
      <c r="V38" s="476">
        <v>43009</v>
      </c>
      <c r="W38" s="476">
        <v>43040</v>
      </c>
      <c r="X38" t="s">
        <v>275</v>
      </c>
      <c r="Y38">
        <v>341.01</v>
      </c>
      <c r="Z38">
        <v>277.56</v>
      </c>
    </row>
    <row r="39" spans="1:26" x14ac:dyDescent="0.2">
      <c r="A39" s="472">
        <v>41900</v>
      </c>
      <c r="B39" t="s">
        <v>275</v>
      </c>
      <c r="C39">
        <v>435.64</v>
      </c>
      <c r="D39">
        <v>393.6</v>
      </c>
      <c r="F39" s="477">
        <v>42599</v>
      </c>
      <c r="G39">
        <v>1785027</v>
      </c>
      <c r="H39" s="476">
        <v>42552</v>
      </c>
      <c r="I39" s="476">
        <v>42583</v>
      </c>
      <c r="J39" t="s">
        <v>275</v>
      </c>
      <c r="K39">
        <v>560.51</v>
      </c>
      <c r="L39" s="478">
        <v>447.55</v>
      </c>
      <c r="P39" s="473">
        <v>43221</v>
      </c>
      <c r="Q39">
        <f t="shared" si="2"/>
        <v>183.17</v>
      </c>
      <c r="R39" s="459">
        <f>+Z58+Z59+Z60+Z61+Z62+Z63+Z64+Z65+Z66+Z67+Z68+Z69+Z70+Z71+Z72+Z73</f>
        <v>-6595</v>
      </c>
      <c r="T39" s="477">
        <v>43087</v>
      </c>
      <c r="U39">
        <v>2162398</v>
      </c>
      <c r="V39" s="476">
        <v>43040</v>
      </c>
      <c r="W39" s="476">
        <v>43070</v>
      </c>
      <c r="X39" t="s">
        <v>275</v>
      </c>
      <c r="Y39">
        <v>425.78</v>
      </c>
      <c r="Z39">
        <v>346.56</v>
      </c>
    </row>
    <row r="40" spans="1:26" x14ac:dyDescent="0.2">
      <c r="A40" s="472">
        <v>41933</v>
      </c>
      <c r="B40" t="s">
        <v>275</v>
      </c>
      <c r="C40">
        <v>437.02</v>
      </c>
      <c r="D40">
        <v>394.85</v>
      </c>
      <c r="F40" s="477">
        <v>43255</v>
      </c>
      <c r="G40">
        <v>2286834</v>
      </c>
      <c r="H40" s="476">
        <v>42552</v>
      </c>
      <c r="I40" s="476">
        <v>42583</v>
      </c>
      <c r="J40" t="s">
        <v>275</v>
      </c>
      <c r="K40">
        <v>-560.51</v>
      </c>
      <c r="L40" s="478">
        <v>-447.55</v>
      </c>
      <c r="P40" s="473">
        <v>43252</v>
      </c>
      <c r="Q40">
        <f t="shared" si="2"/>
        <v>201.31</v>
      </c>
      <c r="T40" s="477">
        <v>43117</v>
      </c>
      <c r="U40">
        <v>2185311</v>
      </c>
      <c r="V40" s="476">
        <v>43070</v>
      </c>
      <c r="W40" s="476">
        <v>43101</v>
      </c>
      <c r="X40" t="s">
        <v>275</v>
      </c>
      <c r="Y40">
        <v>583.83000000000004</v>
      </c>
      <c r="Z40">
        <v>475.2</v>
      </c>
    </row>
    <row r="41" spans="1:26" x14ac:dyDescent="0.2">
      <c r="A41" s="472">
        <v>41962</v>
      </c>
      <c r="B41" t="s">
        <v>275</v>
      </c>
      <c r="C41">
        <v>337.88</v>
      </c>
      <c r="D41">
        <v>305.27999999999997</v>
      </c>
      <c r="F41" s="477">
        <v>43370</v>
      </c>
      <c r="G41">
        <v>2380230</v>
      </c>
      <c r="H41" s="476">
        <v>42552</v>
      </c>
      <c r="I41" s="476">
        <v>42583</v>
      </c>
      <c r="J41" t="s">
        <v>275</v>
      </c>
      <c r="K41">
        <v>280.26</v>
      </c>
      <c r="L41" s="478">
        <v>223.78</v>
      </c>
      <c r="P41" s="473">
        <v>43282</v>
      </c>
      <c r="Q41">
        <f t="shared" si="2"/>
        <v>209.52</v>
      </c>
      <c r="T41" s="477">
        <v>43146</v>
      </c>
      <c r="U41">
        <v>2208259</v>
      </c>
      <c r="V41" s="476">
        <v>43101</v>
      </c>
      <c r="W41" s="476">
        <v>43132</v>
      </c>
      <c r="X41" t="s">
        <v>275</v>
      </c>
      <c r="Y41">
        <v>546.09</v>
      </c>
      <c r="Z41">
        <v>444.48</v>
      </c>
    </row>
    <row r="42" spans="1:26" x14ac:dyDescent="0.2">
      <c r="A42" s="472">
        <v>41990</v>
      </c>
      <c r="B42" t="s">
        <v>275</v>
      </c>
      <c r="C42">
        <v>532.33000000000004</v>
      </c>
      <c r="D42">
        <v>480.96</v>
      </c>
      <c r="F42" s="477">
        <v>42633</v>
      </c>
      <c r="G42">
        <v>1814171</v>
      </c>
      <c r="H42" s="476">
        <v>42583</v>
      </c>
      <c r="I42" s="476">
        <v>42614</v>
      </c>
      <c r="J42" t="s">
        <v>275</v>
      </c>
      <c r="K42">
        <v>551.86</v>
      </c>
      <c r="L42" s="478">
        <v>440.64</v>
      </c>
      <c r="P42" s="473">
        <v>43313</v>
      </c>
      <c r="Q42">
        <f t="shared" si="2"/>
        <v>208.66</v>
      </c>
      <c r="R42" s="459">
        <f>+Z74+Z75+Z76+Z77+Z78+Z79+Z80+Z81+Z82+Z83+Z84+Z85+Z86+Z87+Z88+Z89+Z90</f>
        <v>3498.3</v>
      </c>
      <c r="T42" s="477">
        <v>43178</v>
      </c>
      <c r="U42">
        <v>2231297</v>
      </c>
      <c r="V42" s="476">
        <v>43132</v>
      </c>
      <c r="W42" s="476">
        <v>43160</v>
      </c>
      <c r="X42" t="s">
        <v>275</v>
      </c>
      <c r="Y42">
        <v>412.81</v>
      </c>
      <c r="Z42">
        <v>336</v>
      </c>
    </row>
    <row r="43" spans="1:26" x14ac:dyDescent="0.2">
      <c r="A43" s="472">
        <v>42026</v>
      </c>
      <c r="B43" t="s">
        <v>275</v>
      </c>
      <c r="C43">
        <v>-381.45</v>
      </c>
      <c r="D43">
        <v>-344.64</v>
      </c>
      <c r="F43" s="477">
        <v>43255</v>
      </c>
      <c r="G43">
        <v>2286833</v>
      </c>
      <c r="H43" s="476">
        <v>42583</v>
      </c>
      <c r="I43" s="476">
        <v>42614</v>
      </c>
      <c r="J43" t="s">
        <v>275</v>
      </c>
      <c r="K43">
        <v>-551.86</v>
      </c>
      <c r="L43" s="478">
        <v>-440.64</v>
      </c>
      <c r="P43" s="473">
        <v>43344</v>
      </c>
      <c r="Q43">
        <f t="shared" si="2"/>
        <v>206.93</v>
      </c>
      <c r="R43" s="459">
        <f>+Z91+Z92+Z93+Z94+Z95+Z96+Z97+Z98+Z99+Z100+Z101+Z102+Z103+Z104+Z105+Z106+Z107+Z108+Z109+Z110+Z111</f>
        <v>3939.5999999999995</v>
      </c>
      <c r="T43" s="477">
        <v>43229</v>
      </c>
      <c r="U43">
        <v>2263883</v>
      </c>
      <c r="V43" s="476">
        <v>43132</v>
      </c>
      <c r="W43" s="476">
        <v>43160</v>
      </c>
      <c r="X43" t="s">
        <v>275</v>
      </c>
      <c r="Y43">
        <v>-412.81</v>
      </c>
      <c r="Z43">
        <v>-336</v>
      </c>
    </row>
    <row r="44" spans="1:26" x14ac:dyDescent="0.2">
      <c r="A44" s="472">
        <v>42031</v>
      </c>
      <c r="B44" t="s">
        <v>275</v>
      </c>
      <c r="C44">
        <v>-532.33000000000004</v>
      </c>
      <c r="D44">
        <v>-480.96</v>
      </c>
      <c r="F44" s="477">
        <v>43370</v>
      </c>
      <c r="G44">
        <v>2380231</v>
      </c>
      <c r="H44" s="476">
        <v>42583</v>
      </c>
      <c r="I44" s="476">
        <v>42614</v>
      </c>
      <c r="J44" t="s">
        <v>275</v>
      </c>
      <c r="K44">
        <v>278.63</v>
      </c>
      <c r="L44" s="478">
        <v>222.48</v>
      </c>
      <c r="P44" s="473">
        <v>43374</v>
      </c>
      <c r="Q44">
        <f t="shared" si="2"/>
        <v>176.16</v>
      </c>
      <c r="R44">
        <f>+Z112</f>
        <v>176.16</v>
      </c>
      <c r="T44" s="477">
        <v>43230</v>
      </c>
      <c r="U44">
        <v>2263897</v>
      </c>
      <c r="V44" s="476">
        <v>43101</v>
      </c>
      <c r="W44" s="476">
        <v>43132</v>
      </c>
      <c r="X44" t="s">
        <v>275</v>
      </c>
      <c r="Y44">
        <v>-546.09</v>
      </c>
      <c r="Z44">
        <v>-444.48</v>
      </c>
    </row>
    <row r="45" spans="1:26" x14ac:dyDescent="0.2">
      <c r="A45" s="472">
        <v>42033</v>
      </c>
      <c r="B45" t="s">
        <v>275</v>
      </c>
      <c r="C45">
        <v>-337.88</v>
      </c>
      <c r="D45">
        <v>-305.27999999999997</v>
      </c>
      <c r="F45" s="477">
        <v>42662</v>
      </c>
      <c r="G45">
        <v>1830868</v>
      </c>
      <c r="H45" s="476">
        <v>42614</v>
      </c>
      <c r="I45" s="476">
        <v>42644</v>
      </c>
      <c r="J45" t="s">
        <v>275</v>
      </c>
      <c r="K45">
        <v>592.74</v>
      </c>
      <c r="L45" s="478">
        <v>473.28</v>
      </c>
      <c r="P45" s="473">
        <v>43405</v>
      </c>
      <c r="Q45">
        <f t="shared" si="2"/>
        <v>184.32</v>
      </c>
      <c r="R45" s="459">
        <f>+Z113</f>
        <v>184.32</v>
      </c>
      <c r="T45" s="477">
        <v>43234</v>
      </c>
      <c r="U45">
        <v>2270075</v>
      </c>
      <c r="V45" s="476">
        <v>43070</v>
      </c>
      <c r="W45" s="476">
        <v>43101</v>
      </c>
      <c r="X45" t="s">
        <v>275</v>
      </c>
      <c r="Y45">
        <v>-583.83000000000004</v>
      </c>
      <c r="Z45">
        <v>-475.2</v>
      </c>
    </row>
    <row r="46" spans="1:26" x14ac:dyDescent="0.2">
      <c r="A46" s="472">
        <v>42038</v>
      </c>
      <c r="B46" t="s">
        <v>275</v>
      </c>
      <c r="C46">
        <v>-437.02</v>
      </c>
      <c r="D46">
        <v>-394.85</v>
      </c>
      <c r="F46" s="477">
        <v>42759</v>
      </c>
      <c r="G46">
        <v>1905047</v>
      </c>
      <c r="H46" s="476">
        <v>42614</v>
      </c>
      <c r="I46" s="476">
        <v>42644</v>
      </c>
      <c r="J46" t="s">
        <v>275</v>
      </c>
      <c r="K46">
        <v>-592.74</v>
      </c>
      <c r="L46" s="478">
        <v>-473.28</v>
      </c>
      <c r="P46" s="473">
        <v>43435</v>
      </c>
      <c r="Q46">
        <f t="shared" si="2"/>
        <v>178.08</v>
      </c>
      <c r="R46" s="459">
        <f>+Z114</f>
        <v>178.08</v>
      </c>
      <c r="T46" s="477">
        <v>43235</v>
      </c>
      <c r="U46">
        <v>2270099</v>
      </c>
      <c r="V46" s="476">
        <v>43040</v>
      </c>
      <c r="W46" s="476">
        <v>43070</v>
      </c>
      <c r="X46" t="s">
        <v>275</v>
      </c>
      <c r="Y46">
        <v>-425.78</v>
      </c>
      <c r="Z46">
        <v>-346.56</v>
      </c>
    </row>
    <row r="47" spans="1:26" x14ac:dyDescent="0.2">
      <c r="A47" s="472">
        <v>42039</v>
      </c>
      <c r="B47" t="s">
        <v>275</v>
      </c>
      <c r="C47">
        <v>-435.64</v>
      </c>
      <c r="D47">
        <v>-393.6</v>
      </c>
      <c r="F47" s="477">
        <v>42760</v>
      </c>
      <c r="G47">
        <v>1910526</v>
      </c>
      <c r="H47" s="476">
        <v>42614</v>
      </c>
      <c r="I47" s="476">
        <v>42644</v>
      </c>
      <c r="J47" t="s">
        <v>275</v>
      </c>
      <c r="K47">
        <v>533.46</v>
      </c>
      <c r="L47" s="478">
        <v>425.95</v>
      </c>
      <c r="P47" s="473">
        <v>43466</v>
      </c>
      <c r="Q47">
        <f t="shared" si="2"/>
        <v>217.4</v>
      </c>
      <c r="R47" s="459">
        <f t="shared" ref="R47:R51" si="3">+Z115</f>
        <v>217.4</v>
      </c>
      <c r="T47" s="477">
        <v>43237</v>
      </c>
      <c r="U47">
        <v>2270103</v>
      </c>
      <c r="V47" s="476">
        <v>43009</v>
      </c>
      <c r="W47" s="476">
        <v>43040</v>
      </c>
      <c r="X47" t="s">
        <v>275</v>
      </c>
      <c r="Y47">
        <v>-341.01</v>
      </c>
      <c r="Z47">
        <v>-277.56</v>
      </c>
    </row>
    <row r="48" spans="1:26" x14ac:dyDescent="0.2">
      <c r="A48" s="472">
        <v>42044</v>
      </c>
      <c r="B48" t="s">
        <v>275</v>
      </c>
      <c r="C48">
        <v>-444.67</v>
      </c>
      <c r="D48">
        <v>-401.76</v>
      </c>
      <c r="F48" s="477">
        <v>43252</v>
      </c>
      <c r="G48">
        <v>2286825</v>
      </c>
      <c r="H48" s="476">
        <v>42614</v>
      </c>
      <c r="I48" s="476">
        <v>42644</v>
      </c>
      <c r="J48" t="s">
        <v>275</v>
      </c>
      <c r="K48">
        <v>-533.46</v>
      </c>
      <c r="L48" s="478">
        <v>-425.95</v>
      </c>
      <c r="P48" s="473">
        <v>43497</v>
      </c>
      <c r="Q48">
        <f t="shared" si="2"/>
        <v>207.4</v>
      </c>
      <c r="R48" s="459">
        <f t="shared" si="3"/>
        <v>207.4</v>
      </c>
      <c r="T48" s="477">
        <v>43242</v>
      </c>
      <c r="U48">
        <v>2286662</v>
      </c>
      <c r="V48" s="476">
        <v>42917</v>
      </c>
      <c r="W48" s="476">
        <v>42948</v>
      </c>
      <c r="X48" t="s">
        <v>275</v>
      </c>
      <c r="Y48">
        <v>-453.27</v>
      </c>
      <c r="Z48">
        <v>-368.93</v>
      </c>
    </row>
    <row r="49" spans="1:26" x14ac:dyDescent="0.2">
      <c r="A49" s="472">
        <v>42046</v>
      </c>
      <c r="B49" t="s">
        <v>275</v>
      </c>
      <c r="C49">
        <v>-72.78</v>
      </c>
      <c r="D49">
        <v>-65.760000000000005</v>
      </c>
      <c r="F49" s="477">
        <v>43371</v>
      </c>
      <c r="G49">
        <v>2380232</v>
      </c>
      <c r="H49" s="476">
        <v>42614</v>
      </c>
      <c r="I49" s="476">
        <v>42644</v>
      </c>
      <c r="J49" t="s">
        <v>275</v>
      </c>
      <c r="K49">
        <v>266.74</v>
      </c>
      <c r="L49" s="478">
        <v>212.98</v>
      </c>
      <c r="P49" s="473">
        <v>43525</v>
      </c>
      <c r="Q49">
        <f t="shared" si="2"/>
        <v>187.2</v>
      </c>
      <c r="R49" s="459">
        <f t="shared" si="3"/>
        <v>187.2</v>
      </c>
      <c r="T49" s="477">
        <v>43242</v>
      </c>
      <c r="U49">
        <v>2286660</v>
      </c>
      <c r="V49" s="476">
        <v>42948</v>
      </c>
      <c r="W49" s="476">
        <v>42979</v>
      </c>
      <c r="X49" t="s">
        <v>275</v>
      </c>
      <c r="Y49">
        <v>-428.86</v>
      </c>
      <c r="Z49">
        <v>-349.06</v>
      </c>
    </row>
    <row r="50" spans="1:26" x14ac:dyDescent="0.2">
      <c r="A50" s="472">
        <v>42055</v>
      </c>
      <c r="B50" t="s">
        <v>275</v>
      </c>
      <c r="C50">
        <v>898.9</v>
      </c>
      <c r="D50">
        <v>812.16</v>
      </c>
      <c r="F50" s="477">
        <v>42690</v>
      </c>
      <c r="G50">
        <v>1853684</v>
      </c>
      <c r="H50" s="476">
        <v>42644</v>
      </c>
      <c r="I50" s="476">
        <v>42675</v>
      </c>
      <c r="J50" t="s">
        <v>275</v>
      </c>
      <c r="K50">
        <v>470.1</v>
      </c>
      <c r="L50" s="478">
        <v>375.36</v>
      </c>
      <c r="P50" s="473">
        <v>43556</v>
      </c>
      <c r="Q50">
        <f t="shared" si="2"/>
        <v>151.19999999999999</v>
      </c>
      <c r="R50" s="459">
        <f t="shared" si="3"/>
        <v>151.19999999999999</v>
      </c>
      <c r="T50" s="477">
        <v>43242</v>
      </c>
      <c r="U50">
        <v>2286593</v>
      </c>
      <c r="V50" s="476">
        <v>42979</v>
      </c>
      <c r="W50" s="476">
        <v>43009</v>
      </c>
      <c r="X50" t="s">
        <v>275</v>
      </c>
      <c r="Y50">
        <v>-470.25</v>
      </c>
      <c r="Z50">
        <v>-382.75</v>
      </c>
    </row>
    <row r="51" spans="1:26" x14ac:dyDescent="0.2">
      <c r="A51" s="472">
        <v>42058</v>
      </c>
      <c r="B51" t="s">
        <v>275</v>
      </c>
      <c r="C51">
        <v>435.64</v>
      </c>
      <c r="D51">
        <v>393.6</v>
      </c>
      <c r="F51" s="477">
        <v>42758</v>
      </c>
      <c r="G51">
        <v>1905019</v>
      </c>
      <c r="H51" s="476">
        <v>42644</v>
      </c>
      <c r="I51" s="476">
        <v>42675</v>
      </c>
      <c r="J51" t="s">
        <v>275</v>
      </c>
      <c r="K51">
        <v>-470.1</v>
      </c>
      <c r="L51" s="478">
        <v>-375.36</v>
      </c>
      <c r="P51" s="473">
        <v>43586</v>
      </c>
      <c r="Q51">
        <f>+L119+L120+L121+L122+L123</f>
        <v>180.58</v>
      </c>
      <c r="R51" s="459">
        <f t="shared" si="3"/>
        <v>180.58</v>
      </c>
      <c r="T51" s="477">
        <v>43243</v>
      </c>
      <c r="U51">
        <v>2286666</v>
      </c>
      <c r="V51" s="476">
        <v>42887</v>
      </c>
      <c r="W51" s="476">
        <v>42917</v>
      </c>
      <c r="X51" t="s">
        <v>275</v>
      </c>
      <c r="Y51">
        <v>-466.01</v>
      </c>
      <c r="Z51">
        <v>-379.3</v>
      </c>
    </row>
    <row r="52" spans="1:26" x14ac:dyDescent="0.2">
      <c r="A52" s="472">
        <v>42059</v>
      </c>
      <c r="B52" t="s">
        <v>275</v>
      </c>
      <c r="C52">
        <v>774.9</v>
      </c>
      <c r="D52">
        <v>700.13</v>
      </c>
      <c r="F52" s="477">
        <v>42761</v>
      </c>
      <c r="G52">
        <v>1910533</v>
      </c>
      <c r="H52" s="476">
        <v>42644</v>
      </c>
      <c r="I52" s="476">
        <v>42675</v>
      </c>
      <c r="J52" t="s">
        <v>275</v>
      </c>
      <c r="K52">
        <v>423.09</v>
      </c>
      <c r="L52" s="478">
        <v>337.82</v>
      </c>
      <c r="P52" s="473">
        <v>43617</v>
      </c>
      <c r="Q52">
        <f>+L124</f>
        <v>181.01</v>
      </c>
      <c r="R52" s="459">
        <f>+Z120+Z121+Z122+Z123+Z124</f>
        <v>181.01</v>
      </c>
      <c r="T52" s="477">
        <v>43244</v>
      </c>
      <c r="U52">
        <v>2286670</v>
      </c>
      <c r="V52" s="476">
        <v>42856</v>
      </c>
      <c r="W52" s="476">
        <v>42887</v>
      </c>
      <c r="X52" t="s">
        <v>275</v>
      </c>
      <c r="Y52">
        <v>-389.58</v>
      </c>
      <c r="Z52">
        <v>-317.08999999999997</v>
      </c>
    </row>
    <row r="53" spans="1:26" x14ac:dyDescent="0.2">
      <c r="A53" s="472">
        <v>42062</v>
      </c>
      <c r="B53" t="s">
        <v>275</v>
      </c>
      <c r="C53">
        <v>532.33000000000004</v>
      </c>
      <c r="D53">
        <v>480.96</v>
      </c>
      <c r="F53" s="477">
        <v>43252</v>
      </c>
      <c r="G53">
        <v>2286824</v>
      </c>
      <c r="H53" s="476">
        <v>42644</v>
      </c>
      <c r="I53" s="476">
        <v>42675</v>
      </c>
      <c r="J53" t="s">
        <v>275</v>
      </c>
      <c r="K53">
        <v>-423.09</v>
      </c>
      <c r="L53" s="478">
        <v>-337.82</v>
      </c>
      <c r="P53" s="473">
        <v>43647</v>
      </c>
      <c r="Q53">
        <f>+L125</f>
        <v>214.27</v>
      </c>
      <c r="R53" s="459">
        <f>+Z125</f>
        <v>214.27</v>
      </c>
      <c r="T53" s="477">
        <v>43245</v>
      </c>
      <c r="U53">
        <v>2286808</v>
      </c>
      <c r="V53" s="476">
        <v>42826</v>
      </c>
      <c r="W53" s="476">
        <v>42856</v>
      </c>
      <c r="X53" t="s">
        <v>275</v>
      </c>
      <c r="Y53">
        <v>-383.53</v>
      </c>
      <c r="Z53">
        <v>-306.24</v>
      </c>
    </row>
    <row r="54" spans="1:26" x14ac:dyDescent="0.2">
      <c r="A54" s="472">
        <v>42065</v>
      </c>
      <c r="B54" t="s">
        <v>275</v>
      </c>
      <c r="C54">
        <v>631.14</v>
      </c>
      <c r="D54">
        <v>570.24</v>
      </c>
      <c r="F54" s="477">
        <v>43371</v>
      </c>
      <c r="G54">
        <v>2380233</v>
      </c>
      <c r="H54" s="476">
        <v>42644</v>
      </c>
      <c r="I54" s="476">
        <v>42675</v>
      </c>
      <c r="J54" t="s">
        <v>275</v>
      </c>
      <c r="K54">
        <v>211.54</v>
      </c>
      <c r="L54" s="478">
        <v>168.91</v>
      </c>
      <c r="P54" s="473"/>
      <c r="T54" s="477">
        <v>43249</v>
      </c>
      <c r="U54">
        <v>2286813</v>
      </c>
      <c r="V54" s="476">
        <v>42795</v>
      </c>
      <c r="W54" s="476">
        <v>42826</v>
      </c>
      <c r="X54" t="s">
        <v>275</v>
      </c>
      <c r="Y54">
        <v>-504.97</v>
      </c>
      <c r="Z54">
        <v>-403.2</v>
      </c>
    </row>
    <row r="55" spans="1:26" x14ac:dyDescent="0.2">
      <c r="A55" s="472">
        <v>42066</v>
      </c>
      <c r="B55" t="s">
        <v>275</v>
      </c>
      <c r="C55">
        <v>550.39</v>
      </c>
      <c r="D55">
        <v>497.28</v>
      </c>
      <c r="F55" s="477">
        <v>42720</v>
      </c>
      <c r="G55">
        <v>1875957</v>
      </c>
      <c r="H55" s="476">
        <v>42675</v>
      </c>
      <c r="I55" s="476">
        <v>42705</v>
      </c>
      <c r="J55" t="s">
        <v>275</v>
      </c>
      <c r="K55">
        <v>420.81</v>
      </c>
      <c r="L55" s="478">
        <v>336</v>
      </c>
      <c r="P55" s="473"/>
      <c r="T55" s="477">
        <v>43250</v>
      </c>
      <c r="U55">
        <v>2286818</v>
      </c>
      <c r="V55" s="476">
        <v>42736</v>
      </c>
      <c r="W55" s="476">
        <v>42767</v>
      </c>
      <c r="X55" t="s">
        <v>275</v>
      </c>
      <c r="Y55">
        <v>-532.62</v>
      </c>
      <c r="Z55">
        <v>-425.28</v>
      </c>
    </row>
    <row r="56" spans="1:26" x14ac:dyDescent="0.2">
      <c r="A56" s="472">
        <v>42079</v>
      </c>
      <c r="B56" t="s">
        <v>275</v>
      </c>
      <c r="C56">
        <v>636.45000000000005</v>
      </c>
      <c r="D56">
        <v>575.04</v>
      </c>
      <c r="F56" s="477">
        <v>42755</v>
      </c>
      <c r="G56">
        <v>1904902</v>
      </c>
      <c r="H56" s="476">
        <v>42675</v>
      </c>
      <c r="I56" s="476">
        <v>42705</v>
      </c>
      <c r="J56" t="s">
        <v>275</v>
      </c>
      <c r="K56">
        <v>-420.81</v>
      </c>
      <c r="L56" s="478">
        <v>-336</v>
      </c>
      <c r="P56" s="473"/>
      <c r="T56" s="477">
        <v>43250</v>
      </c>
      <c r="U56">
        <v>2286817</v>
      </c>
      <c r="V56" s="476">
        <v>42767</v>
      </c>
      <c r="W56" s="476">
        <v>42795</v>
      </c>
      <c r="X56" t="s">
        <v>275</v>
      </c>
      <c r="Y56">
        <v>-462.89</v>
      </c>
      <c r="Z56">
        <v>-369.6</v>
      </c>
    </row>
    <row r="57" spans="1:26" x14ac:dyDescent="0.2">
      <c r="A57" s="472">
        <v>42114</v>
      </c>
      <c r="B57" t="s">
        <v>275</v>
      </c>
      <c r="C57">
        <v>484.51</v>
      </c>
      <c r="D57">
        <v>437.76</v>
      </c>
      <c r="F57" s="477">
        <v>42765</v>
      </c>
      <c r="G57">
        <v>1910544</v>
      </c>
      <c r="H57" s="476">
        <v>42675</v>
      </c>
      <c r="I57" s="476">
        <v>42705</v>
      </c>
      <c r="J57" t="s">
        <v>275</v>
      </c>
      <c r="K57">
        <v>399.16</v>
      </c>
      <c r="L57" s="478">
        <v>318.72000000000003</v>
      </c>
      <c r="P57" s="473"/>
      <c r="T57" s="477">
        <v>43251</v>
      </c>
      <c r="U57">
        <v>2286822</v>
      </c>
      <c r="V57" s="476">
        <v>42705</v>
      </c>
      <c r="W57" s="476">
        <v>42736</v>
      </c>
      <c r="X57" t="s">
        <v>275</v>
      </c>
      <c r="Y57">
        <v>-467.7</v>
      </c>
      <c r="Z57">
        <v>-373.44</v>
      </c>
    </row>
    <row r="58" spans="1:26" x14ac:dyDescent="0.2">
      <c r="A58" s="472">
        <v>42143</v>
      </c>
      <c r="B58" t="s">
        <v>275</v>
      </c>
      <c r="C58">
        <v>398.45</v>
      </c>
      <c r="D58">
        <v>360</v>
      </c>
      <c r="F58" s="477">
        <v>43252</v>
      </c>
      <c r="G58">
        <v>2286823</v>
      </c>
      <c r="H58" s="476">
        <v>42675</v>
      </c>
      <c r="I58" s="476">
        <v>42705</v>
      </c>
      <c r="J58" t="s">
        <v>275</v>
      </c>
      <c r="K58">
        <v>-399.16</v>
      </c>
      <c r="L58" s="478">
        <v>-318.72000000000003</v>
      </c>
      <c r="P58" s="473"/>
      <c r="T58" s="477">
        <v>43252</v>
      </c>
      <c r="U58">
        <v>2286825</v>
      </c>
      <c r="V58" s="476">
        <v>42614</v>
      </c>
      <c r="W58" s="476">
        <v>42644</v>
      </c>
      <c r="X58" t="s">
        <v>275</v>
      </c>
      <c r="Y58">
        <v>-533.46</v>
      </c>
      <c r="Z58">
        <v>-425.95</v>
      </c>
    </row>
    <row r="59" spans="1:26" x14ac:dyDescent="0.2">
      <c r="A59" s="472">
        <v>42173</v>
      </c>
      <c r="B59" t="s">
        <v>275</v>
      </c>
      <c r="C59">
        <v>488.81</v>
      </c>
      <c r="D59">
        <v>412.99</v>
      </c>
      <c r="F59" s="477">
        <v>43371</v>
      </c>
      <c r="G59">
        <v>2380234</v>
      </c>
      <c r="H59" s="476">
        <v>42675</v>
      </c>
      <c r="I59" s="476">
        <v>42705</v>
      </c>
      <c r="J59" t="s">
        <v>275</v>
      </c>
      <c r="K59">
        <v>199.58</v>
      </c>
      <c r="L59" s="478">
        <v>159.36000000000001</v>
      </c>
      <c r="P59" s="473"/>
      <c r="T59" s="477">
        <v>43252</v>
      </c>
      <c r="U59">
        <v>2286824</v>
      </c>
      <c r="V59" s="476">
        <v>42644</v>
      </c>
      <c r="W59" s="476">
        <v>42675</v>
      </c>
      <c r="X59" t="s">
        <v>275</v>
      </c>
      <c r="Y59">
        <v>-423.09</v>
      </c>
      <c r="Z59">
        <v>-337.82</v>
      </c>
    </row>
    <row r="60" spans="1:26" x14ac:dyDescent="0.2">
      <c r="A60" s="472">
        <v>42202</v>
      </c>
      <c r="B60" t="s">
        <v>275</v>
      </c>
      <c r="C60">
        <v>449.96</v>
      </c>
      <c r="D60">
        <v>380.16</v>
      </c>
      <c r="F60" s="477">
        <v>42765</v>
      </c>
      <c r="G60">
        <v>1910571</v>
      </c>
      <c r="H60" s="476">
        <v>42705</v>
      </c>
      <c r="I60" s="476">
        <v>42736</v>
      </c>
      <c r="J60" t="s">
        <v>275</v>
      </c>
      <c r="K60">
        <v>467.7</v>
      </c>
      <c r="L60" s="478">
        <v>373.44</v>
      </c>
      <c r="P60" s="473"/>
      <c r="T60" s="477">
        <v>43252</v>
      </c>
      <c r="U60">
        <v>2286823</v>
      </c>
      <c r="V60" s="476">
        <v>42675</v>
      </c>
      <c r="W60" s="476">
        <v>42705</v>
      </c>
      <c r="X60" t="s">
        <v>275</v>
      </c>
      <c r="Y60">
        <v>-399.16</v>
      </c>
      <c r="Z60">
        <v>-318.72000000000003</v>
      </c>
    </row>
    <row r="61" spans="1:26" x14ac:dyDescent="0.2">
      <c r="A61" s="472">
        <v>42234</v>
      </c>
      <c r="B61" t="s">
        <v>275</v>
      </c>
      <c r="C61">
        <v>519.27</v>
      </c>
      <c r="D61">
        <v>438.72</v>
      </c>
      <c r="F61" s="477">
        <v>43251</v>
      </c>
      <c r="G61">
        <v>2286822</v>
      </c>
      <c r="H61" s="476">
        <v>42705</v>
      </c>
      <c r="I61" s="476">
        <v>42736</v>
      </c>
      <c r="J61" t="s">
        <v>275</v>
      </c>
      <c r="K61">
        <v>-467.7</v>
      </c>
      <c r="L61" s="478">
        <v>-373.44</v>
      </c>
      <c r="P61" s="473"/>
      <c r="T61" s="477">
        <v>43255</v>
      </c>
      <c r="U61">
        <v>2286835</v>
      </c>
      <c r="V61" s="476">
        <v>42522</v>
      </c>
      <c r="W61" s="476">
        <v>42552</v>
      </c>
      <c r="X61" t="s">
        <v>275</v>
      </c>
      <c r="Y61">
        <v>-531.29</v>
      </c>
      <c r="Z61">
        <v>-424.22</v>
      </c>
    </row>
    <row r="62" spans="1:26" x14ac:dyDescent="0.2">
      <c r="A62" s="472">
        <v>42262</v>
      </c>
      <c r="B62" t="s">
        <v>275</v>
      </c>
      <c r="C62">
        <v>461.2</v>
      </c>
      <c r="D62">
        <v>389.66</v>
      </c>
      <c r="F62" s="477">
        <v>43371</v>
      </c>
      <c r="G62">
        <v>2380235</v>
      </c>
      <c r="H62" s="476">
        <v>42705</v>
      </c>
      <c r="I62" s="476">
        <v>42736</v>
      </c>
      <c r="J62" t="s">
        <v>275</v>
      </c>
      <c r="K62">
        <v>233.85</v>
      </c>
      <c r="L62" s="478">
        <v>186.72</v>
      </c>
      <c r="P62" s="473"/>
      <c r="T62" s="477">
        <v>43255</v>
      </c>
      <c r="U62">
        <v>2286834</v>
      </c>
      <c r="V62" s="476">
        <v>42552</v>
      </c>
      <c r="W62" s="476">
        <v>42583</v>
      </c>
      <c r="X62" t="s">
        <v>275</v>
      </c>
      <c r="Y62">
        <v>-560.51</v>
      </c>
      <c r="Z62">
        <v>-447.55</v>
      </c>
    </row>
    <row r="63" spans="1:26" x14ac:dyDescent="0.2">
      <c r="F63" s="477">
        <v>42783</v>
      </c>
      <c r="G63">
        <v>1927604</v>
      </c>
      <c r="H63" s="476">
        <v>42736</v>
      </c>
      <c r="I63" s="476">
        <v>42767</v>
      </c>
      <c r="J63" t="s">
        <v>275</v>
      </c>
      <c r="K63">
        <v>532.62</v>
      </c>
      <c r="L63" s="478">
        <v>425.28</v>
      </c>
      <c r="P63" s="473"/>
      <c r="T63" s="477">
        <v>43255</v>
      </c>
      <c r="U63">
        <v>2286833</v>
      </c>
      <c r="V63" s="476">
        <v>42583</v>
      </c>
      <c r="W63" s="476">
        <v>42614</v>
      </c>
      <c r="X63" t="s">
        <v>275</v>
      </c>
      <c r="Y63">
        <v>-551.86</v>
      </c>
      <c r="Z63">
        <v>-440.64</v>
      </c>
    </row>
    <row r="64" spans="1:26" x14ac:dyDescent="0.2">
      <c r="F64" s="477">
        <v>43250</v>
      </c>
      <c r="G64">
        <v>2286818</v>
      </c>
      <c r="H64" s="476">
        <v>42736</v>
      </c>
      <c r="I64" s="476">
        <v>42767</v>
      </c>
      <c r="J64" t="s">
        <v>275</v>
      </c>
      <c r="K64">
        <v>-532.62</v>
      </c>
      <c r="L64" s="478">
        <v>-425.28</v>
      </c>
      <c r="P64" s="473"/>
      <c r="T64" s="477">
        <v>43256</v>
      </c>
      <c r="U64">
        <v>2286836</v>
      </c>
      <c r="V64" s="476">
        <v>42491</v>
      </c>
      <c r="W64" s="476">
        <v>42522</v>
      </c>
      <c r="X64" t="s">
        <v>275</v>
      </c>
      <c r="Y64">
        <v>-512.91</v>
      </c>
      <c r="Z64">
        <v>-409.54</v>
      </c>
    </row>
    <row r="65" spans="6:26" x14ac:dyDescent="0.2">
      <c r="F65" s="477">
        <v>43382</v>
      </c>
      <c r="G65">
        <v>2380236</v>
      </c>
      <c r="H65" s="476">
        <v>42736</v>
      </c>
      <c r="I65" s="476">
        <v>42767</v>
      </c>
      <c r="J65" t="s">
        <v>275</v>
      </c>
      <c r="K65">
        <v>266.31</v>
      </c>
      <c r="L65" s="478">
        <v>212.64</v>
      </c>
      <c r="P65" s="473"/>
      <c r="T65" s="477">
        <v>43257</v>
      </c>
      <c r="U65">
        <v>2286837</v>
      </c>
      <c r="V65" s="476">
        <v>42461</v>
      </c>
      <c r="W65" s="476">
        <v>42491</v>
      </c>
      <c r="X65" t="s">
        <v>275</v>
      </c>
      <c r="Y65">
        <v>-490.86</v>
      </c>
      <c r="Z65">
        <v>-414.72</v>
      </c>
    </row>
    <row r="66" spans="6:26" x14ac:dyDescent="0.2">
      <c r="F66" s="477">
        <v>42818</v>
      </c>
      <c r="G66">
        <v>1955794</v>
      </c>
      <c r="H66" s="476">
        <v>42767</v>
      </c>
      <c r="I66" s="476">
        <v>42795</v>
      </c>
      <c r="J66" t="s">
        <v>275</v>
      </c>
      <c r="K66">
        <v>462.89</v>
      </c>
      <c r="L66" s="478">
        <v>369.6</v>
      </c>
      <c r="P66" s="473"/>
      <c r="T66" s="477">
        <v>43258</v>
      </c>
      <c r="U66">
        <v>2286990</v>
      </c>
      <c r="V66" s="476">
        <v>42430</v>
      </c>
      <c r="W66" s="476">
        <v>42461</v>
      </c>
      <c r="X66" t="s">
        <v>275</v>
      </c>
      <c r="Y66">
        <v>-482.91</v>
      </c>
      <c r="Z66">
        <v>-408</v>
      </c>
    </row>
    <row r="67" spans="6:26" x14ac:dyDescent="0.2">
      <c r="F67" s="477">
        <v>43250</v>
      </c>
      <c r="G67">
        <v>2286817</v>
      </c>
      <c r="H67" s="476">
        <v>42767</v>
      </c>
      <c r="I67" s="476">
        <v>42795</v>
      </c>
      <c r="J67" t="s">
        <v>275</v>
      </c>
      <c r="K67">
        <v>-462.89</v>
      </c>
      <c r="L67" s="478">
        <v>-369.6</v>
      </c>
      <c r="P67" s="473"/>
      <c r="T67" s="477">
        <v>43262</v>
      </c>
      <c r="U67">
        <v>2287995</v>
      </c>
      <c r="V67" s="476">
        <v>42339</v>
      </c>
      <c r="W67" s="476">
        <v>42370</v>
      </c>
      <c r="X67" t="s">
        <v>275</v>
      </c>
      <c r="Y67">
        <v>-526.09</v>
      </c>
      <c r="Z67">
        <v>-444.48</v>
      </c>
    </row>
    <row r="68" spans="6:26" x14ac:dyDescent="0.2">
      <c r="F68" s="477">
        <v>43383</v>
      </c>
      <c r="G68">
        <v>2380293</v>
      </c>
      <c r="H68" s="476">
        <v>42767</v>
      </c>
      <c r="I68" s="476">
        <v>42795</v>
      </c>
      <c r="J68" t="s">
        <v>275</v>
      </c>
      <c r="K68">
        <v>231.44</v>
      </c>
      <c r="L68" s="478">
        <v>184.8</v>
      </c>
      <c r="P68" s="473"/>
      <c r="T68" s="477">
        <v>43262</v>
      </c>
      <c r="U68">
        <v>2287994</v>
      </c>
      <c r="V68" s="476">
        <v>42370</v>
      </c>
      <c r="W68" s="476">
        <v>42401</v>
      </c>
      <c r="X68" t="s">
        <v>275</v>
      </c>
      <c r="Y68">
        <v>-543.13</v>
      </c>
      <c r="Z68">
        <v>-458.88</v>
      </c>
    </row>
    <row r="69" spans="6:26" x14ac:dyDescent="0.2">
      <c r="F69" s="477">
        <v>42845</v>
      </c>
      <c r="G69">
        <v>1966720</v>
      </c>
      <c r="H69" s="476">
        <v>42795</v>
      </c>
      <c r="I69" s="476">
        <v>42826</v>
      </c>
      <c r="J69" t="s">
        <v>275</v>
      </c>
      <c r="K69">
        <v>504.97</v>
      </c>
      <c r="L69" s="478">
        <v>403.2</v>
      </c>
      <c r="P69" s="473"/>
      <c r="T69" s="477">
        <v>43262</v>
      </c>
      <c r="U69">
        <v>2287992</v>
      </c>
      <c r="V69" s="476">
        <v>42401</v>
      </c>
      <c r="W69" s="476">
        <v>42430</v>
      </c>
      <c r="X69" t="s">
        <v>275</v>
      </c>
      <c r="Y69">
        <v>-575.51</v>
      </c>
      <c r="Z69">
        <v>-486.24</v>
      </c>
    </row>
    <row r="70" spans="6:26" x14ac:dyDescent="0.2">
      <c r="F70" s="477">
        <v>43249</v>
      </c>
      <c r="G70">
        <v>2286813</v>
      </c>
      <c r="H70" s="476">
        <v>42795</v>
      </c>
      <c r="I70" s="476">
        <v>42826</v>
      </c>
      <c r="J70" t="s">
        <v>275</v>
      </c>
      <c r="K70">
        <v>-504.97</v>
      </c>
      <c r="L70" s="478">
        <v>-403.2</v>
      </c>
      <c r="P70" s="473"/>
      <c r="T70" s="477">
        <v>43265</v>
      </c>
      <c r="U70">
        <v>2288008</v>
      </c>
      <c r="V70" s="476">
        <v>42234</v>
      </c>
      <c r="W70" s="476">
        <v>42248</v>
      </c>
      <c r="X70" t="s">
        <v>275</v>
      </c>
      <c r="Y70">
        <v>-494.96</v>
      </c>
      <c r="Z70">
        <v>-418.18</v>
      </c>
    </row>
    <row r="71" spans="6:26" x14ac:dyDescent="0.2">
      <c r="F71" s="477">
        <v>43384</v>
      </c>
      <c r="G71">
        <v>2380294</v>
      </c>
      <c r="H71" s="476">
        <v>42795</v>
      </c>
      <c r="I71" s="476">
        <v>42826</v>
      </c>
      <c r="J71" t="s">
        <v>275</v>
      </c>
      <c r="K71">
        <v>252.48</v>
      </c>
      <c r="L71" s="478">
        <v>201.6</v>
      </c>
      <c r="P71" s="473"/>
      <c r="T71" s="477">
        <v>43265</v>
      </c>
      <c r="U71">
        <v>2288007</v>
      </c>
      <c r="V71" s="476">
        <v>42248</v>
      </c>
      <c r="W71" s="476">
        <v>42278</v>
      </c>
      <c r="X71" t="s">
        <v>275</v>
      </c>
      <c r="Y71">
        <v>-537.9</v>
      </c>
      <c r="Z71">
        <v>-454.46</v>
      </c>
    </row>
    <row r="72" spans="6:26" x14ac:dyDescent="0.2">
      <c r="F72" s="477">
        <v>42873</v>
      </c>
      <c r="G72">
        <v>1995435</v>
      </c>
      <c r="H72" s="476">
        <v>42826</v>
      </c>
      <c r="I72" s="476">
        <v>42856</v>
      </c>
      <c r="J72" t="s">
        <v>275</v>
      </c>
      <c r="K72">
        <v>383.53</v>
      </c>
      <c r="L72" s="478">
        <v>306.24</v>
      </c>
      <c r="P72" s="473"/>
      <c r="T72" s="477">
        <v>43265</v>
      </c>
      <c r="U72">
        <v>2288006</v>
      </c>
      <c r="V72" s="476">
        <v>42278</v>
      </c>
      <c r="W72" s="476">
        <v>42309</v>
      </c>
      <c r="X72" t="s">
        <v>275</v>
      </c>
      <c r="Y72">
        <v>-405.64</v>
      </c>
      <c r="Z72">
        <v>-342.72</v>
      </c>
    </row>
    <row r="73" spans="6:26" x14ac:dyDescent="0.2">
      <c r="F73" s="477">
        <v>43245</v>
      </c>
      <c r="G73">
        <v>2286808</v>
      </c>
      <c r="H73" s="476">
        <v>42826</v>
      </c>
      <c r="I73" s="476">
        <v>42856</v>
      </c>
      <c r="J73" t="s">
        <v>275</v>
      </c>
      <c r="K73">
        <v>-383.53</v>
      </c>
      <c r="L73" s="478">
        <v>-306.24</v>
      </c>
      <c r="P73" s="473"/>
      <c r="T73" s="477">
        <v>43265</v>
      </c>
      <c r="U73">
        <v>2287998</v>
      </c>
      <c r="V73" s="476">
        <v>42309</v>
      </c>
      <c r="W73" s="476">
        <v>42339</v>
      </c>
      <c r="X73" t="s">
        <v>275</v>
      </c>
      <c r="Y73">
        <v>-429.5</v>
      </c>
      <c r="Z73">
        <v>-362.88</v>
      </c>
    </row>
    <row r="74" spans="6:26" x14ac:dyDescent="0.2">
      <c r="F74" s="477">
        <v>43384</v>
      </c>
      <c r="G74">
        <v>2380295</v>
      </c>
      <c r="H74" s="476">
        <v>42826</v>
      </c>
      <c r="I74" s="476">
        <v>42856</v>
      </c>
      <c r="J74" t="s">
        <v>275</v>
      </c>
      <c r="K74">
        <v>191.77</v>
      </c>
      <c r="L74" s="478">
        <v>153.12</v>
      </c>
      <c r="P74" s="473"/>
      <c r="T74" s="477">
        <v>43347</v>
      </c>
      <c r="U74">
        <v>2357121</v>
      </c>
      <c r="V74" s="476">
        <v>42234</v>
      </c>
      <c r="W74" s="476">
        <v>42248</v>
      </c>
      <c r="X74" t="s">
        <v>275</v>
      </c>
      <c r="Y74">
        <v>247.48</v>
      </c>
      <c r="Z74">
        <v>209.09</v>
      </c>
    </row>
    <row r="75" spans="6:26" x14ac:dyDescent="0.2">
      <c r="F75" s="477">
        <v>42908</v>
      </c>
      <c r="G75">
        <v>2011403</v>
      </c>
      <c r="H75" s="476">
        <v>42856</v>
      </c>
      <c r="I75" s="476">
        <v>42887</v>
      </c>
      <c r="J75" t="s">
        <v>275</v>
      </c>
      <c r="K75">
        <v>389.58</v>
      </c>
      <c r="L75" s="478">
        <v>317.08999999999997</v>
      </c>
      <c r="P75" s="473"/>
      <c r="T75" s="477">
        <v>43347</v>
      </c>
      <c r="U75">
        <v>2357122</v>
      </c>
      <c r="V75" s="476">
        <v>42248</v>
      </c>
      <c r="W75" s="476">
        <v>42278</v>
      </c>
      <c r="X75" t="s">
        <v>275</v>
      </c>
      <c r="Y75">
        <v>269.98</v>
      </c>
      <c r="Z75">
        <v>228.1</v>
      </c>
    </row>
    <row r="76" spans="6:26" x14ac:dyDescent="0.2">
      <c r="F76" s="477">
        <v>43244</v>
      </c>
      <c r="G76">
        <v>2286670</v>
      </c>
      <c r="H76" s="476">
        <v>42856</v>
      </c>
      <c r="I76" s="476">
        <v>42887</v>
      </c>
      <c r="J76" t="s">
        <v>275</v>
      </c>
      <c r="K76">
        <v>-389.58</v>
      </c>
      <c r="L76" s="478">
        <v>-317.08999999999997</v>
      </c>
      <c r="P76" s="473"/>
      <c r="T76" s="477">
        <v>43347</v>
      </c>
      <c r="U76">
        <v>2357123</v>
      </c>
      <c r="V76" s="476">
        <v>42278</v>
      </c>
      <c r="W76" s="476">
        <v>42309</v>
      </c>
      <c r="X76" t="s">
        <v>275</v>
      </c>
      <c r="Y76">
        <v>202.82</v>
      </c>
      <c r="Z76">
        <v>171.36</v>
      </c>
    </row>
    <row r="77" spans="6:26" x14ac:dyDescent="0.2">
      <c r="F77" s="477">
        <v>43385</v>
      </c>
      <c r="G77">
        <v>2380312</v>
      </c>
      <c r="H77" s="476">
        <v>42856</v>
      </c>
      <c r="I77" s="476">
        <v>42887</v>
      </c>
      <c r="J77" t="s">
        <v>275</v>
      </c>
      <c r="K77">
        <v>194.78</v>
      </c>
      <c r="L77" s="478">
        <v>158.54</v>
      </c>
      <c r="P77" s="473"/>
      <c r="T77" s="477">
        <v>43349</v>
      </c>
      <c r="U77">
        <v>2357124</v>
      </c>
      <c r="V77" s="476">
        <v>42309</v>
      </c>
      <c r="W77" s="476">
        <v>42339</v>
      </c>
      <c r="X77" t="s">
        <v>275</v>
      </c>
      <c r="Y77">
        <v>214.75</v>
      </c>
      <c r="Z77">
        <v>181.44</v>
      </c>
    </row>
    <row r="78" spans="6:26" x14ac:dyDescent="0.2">
      <c r="F78" s="477">
        <v>42936</v>
      </c>
      <c r="G78">
        <v>2034598</v>
      </c>
      <c r="H78" s="476">
        <v>42887</v>
      </c>
      <c r="I78" s="476">
        <v>42917</v>
      </c>
      <c r="J78" t="s">
        <v>275</v>
      </c>
      <c r="K78">
        <v>466.01</v>
      </c>
      <c r="L78" s="478">
        <v>379.3</v>
      </c>
      <c r="P78" s="473"/>
      <c r="T78" s="477">
        <v>43350</v>
      </c>
      <c r="U78">
        <v>2357125</v>
      </c>
      <c r="V78" s="476">
        <v>42339</v>
      </c>
      <c r="W78" s="476">
        <v>42370</v>
      </c>
      <c r="X78" t="s">
        <v>275</v>
      </c>
      <c r="Y78">
        <v>263.04000000000002</v>
      </c>
      <c r="Z78">
        <v>222.24</v>
      </c>
    </row>
    <row r="79" spans="6:26" x14ac:dyDescent="0.2">
      <c r="F79" s="477">
        <v>43243</v>
      </c>
      <c r="G79">
        <v>2286666</v>
      </c>
      <c r="H79" s="476">
        <v>42887</v>
      </c>
      <c r="I79" s="476">
        <v>42917</v>
      </c>
      <c r="J79" t="s">
        <v>275</v>
      </c>
      <c r="K79">
        <v>-466.01</v>
      </c>
      <c r="L79" s="478">
        <v>-379.3</v>
      </c>
      <c r="T79" s="477">
        <v>43354</v>
      </c>
      <c r="U79">
        <v>2357127</v>
      </c>
      <c r="V79" s="476">
        <v>42370</v>
      </c>
      <c r="W79" s="476">
        <v>42401</v>
      </c>
      <c r="X79" t="s">
        <v>275</v>
      </c>
      <c r="Y79">
        <v>271.57</v>
      </c>
      <c r="Z79">
        <v>229.44</v>
      </c>
    </row>
    <row r="80" spans="6:26" x14ac:dyDescent="0.2">
      <c r="F80" s="477">
        <v>43385</v>
      </c>
      <c r="G80">
        <v>2380313</v>
      </c>
      <c r="H80" s="476">
        <v>42887</v>
      </c>
      <c r="I80" s="476">
        <v>42917</v>
      </c>
      <c r="J80" t="s">
        <v>275</v>
      </c>
      <c r="K80">
        <v>233</v>
      </c>
      <c r="L80" s="478">
        <v>189.65</v>
      </c>
      <c r="T80" s="477">
        <v>43355</v>
      </c>
      <c r="U80">
        <v>2357129</v>
      </c>
      <c r="V80" s="476">
        <v>42401</v>
      </c>
      <c r="W80" s="476">
        <v>42430</v>
      </c>
      <c r="X80" t="s">
        <v>275</v>
      </c>
      <c r="Y80">
        <v>298.27</v>
      </c>
      <c r="Z80">
        <v>252</v>
      </c>
    </row>
    <row r="81" spans="6:26" x14ac:dyDescent="0.2">
      <c r="F81" s="477">
        <v>42965</v>
      </c>
      <c r="G81">
        <v>2064090</v>
      </c>
      <c r="H81" s="476">
        <v>42917</v>
      </c>
      <c r="I81" s="476">
        <v>42948</v>
      </c>
      <c r="J81" t="s">
        <v>275</v>
      </c>
      <c r="K81">
        <v>453.27</v>
      </c>
      <c r="L81" s="478">
        <v>368.93</v>
      </c>
      <c r="T81" s="477">
        <v>43360</v>
      </c>
      <c r="U81">
        <v>2357297</v>
      </c>
      <c r="V81" s="476">
        <v>42430</v>
      </c>
      <c r="W81" s="476">
        <v>42461</v>
      </c>
      <c r="X81" t="s">
        <v>275</v>
      </c>
      <c r="Y81">
        <v>241.45</v>
      </c>
      <c r="Z81">
        <v>204</v>
      </c>
    </row>
    <row r="82" spans="6:26" x14ac:dyDescent="0.2">
      <c r="F82" s="477">
        <v>43242</v>
      </c>
      <c r="G82">
        <v>2286662</v>
      </c>
      <c r="H82" s="476">
        <v>42917</v>
      </c>
      <c r="I82" s="476">
        <v>42948</v>
      </c>
      <c r="J82" t="s">
        <v>275</v>
      </c>
      <c r="K82">
        <v>-453.27</v>
      </c>
      <c r="L82" s="478">
        <v>-368.93</v>
      </c>
      <c r="T82" s="477">
        <v>43364</v>
      </c>
      <c r="U82">
        <v>2368627</v>
      </c>
      <c r="V82" s="476">
        <v>42461</v>
      </c>
      <c r="W82" s="476">
        <v>42491</v>
      </c>
      <c r="X82" t="s">
        <v>275</v>
      </c>
      <c r="Y82">
        <v>245.43</v>
      </c>
      <c r="Z82">
        <v>207.36</v>
      </c>
    </row>
    <row r="83" spans="6:26" x14ac:dyDescent="0.2">
      <c r="F83" s="477">
        <v>43385</v>
      </c>
      <c r="G83">
        <v>2380314</v>
      </c>
      <c r="H83" s="476">
        <v>42917</v>
      </c>
      <c r="I83" s="476">
        <v>42948</v>
      </c>
      <c r="J83" t="s">
        <v>275</v>
      </c>
      <c r="K83">
        <v>226.63</v>
      </c>
      <c r="L83" s="478">
        <v>184.46</v>
      </c>
      <c r="T83" s="477">
        <v>43369</v>
      </c>
      <c r="U83">
        <v>2380215</v>
      </c>
      <c r="V83" s="476">
        <v>42491</v>
      </c>
      <c r="W83" s="476">
        <v>42522</v>
      </c>
      <c r="X83" t="s">
        <v>275</v>
      </c>
      <c r="Y83">
        <v>256.45</v>
      </c>
      <c r="Z83">
        <v>204.77</v>
      </c>
    </row>
    <row r="84" spans="6:26" x14ac:dyDescent="0.2">
      <c r="F84" s="477">
        <v>42997</v>
      </c>
      <c r="G84">
        <v>2086914</v>
      </c>
      <c r="H84" s="476">
        <v>42948</v>
      </c>
      <c r="I84" s="476">
        <v>42979</v>
      </c>
      <c r="J84" t="s">
        <v>275</v>
      </c>
      <c r="K84">
        <v>428.86</v>
      </c>
      <c r="L84" s="478">
        <v>349.06</v>
      </c>
      <c r="T84" s="477">
        <v>43370</v>
      </c>
      <c r="U84">
        <v>2380227</v>
      </c>
      <c r="V84" s="476">
        <v>42522</v>
      </c>
      <c r="W84" s="476">
        <v>42552</v>
      </c>
      <c r="X84" t="s">
        <v>275</v>
      </c>
      <c r="Y84">
        <v>268.35000000000002</v>
      </c>
      <c r="Z84">
        <v>214.27</v>
      </c>
    </row>
    <row r="85" spans="6:26" x14ac:dyDescent="0.2">
      <c r="F85" s="477">
        <v>43242</v>
      </c>
      <c r="G85">
        <v>2286660</v>
      </c>
      <c r="H85" s="476">
        <v>42948</v>
      </c>
      <c r="I85" s="476">
        <v>42979</v>
      </c>
      <c r="J85" t="s">
        <v>275</v>
      </c>
      <c r="K85">
        <v>-428.86</v>
      </c>
      <c r="L85" s="478">
        <v>-349.06</v>
      </c>
      <c r="T85" s="477">
        <v>43370</v>
      </c>
      <c r="U85">
        <v>2380230</v>
      </c>
      <c r="V85" s="476">
        <v>42552</v>
      </c>
      <c r="W85" s="476">
        <v>42583</v>
      </c>
      <c r="X85" t="s">
        <v>275</v>
      </c>
      <c r="Y85">
        <v>280.26</v>
      </c>
      <c r="Z85">
        <v>223.78</v>
      </c>
    </row>
    <row r="86" spans="6:26" x14ac:dyDescent="0.2">
      <c r="F86" s="477">
        <v>43385</v>
      </c>
      <c r="G86">
        <v>2380320</v>
      </c>
      <c r="H86" s="476">
        <v>42948</v>
      </c>
      <c r="I86" s="476">
        <v>42979</v>
      </c>
      <c r="J86" t="s">
        <v>275</v>
      </c>
      <c r="K86">
        <v>216.01</v>
      </c>
      <c r="L86" s="478">
        <v>175.82</v>
      </c>
      <c r="T86" s="477">
        <v>43370</v>
      </c>
      <c r="U86">
        <v>2380231</v>
      </c>
      <c r="V86" s="476">
        <v>42583</v>
      </c>
      <c r="W86" s="476">
        <v>42614</v>
      </c>
      <c r="X86" t="s">
        <v>275</v>
      </c>
      <c r="Y86">
        <v>278.63</v>
      </c>
      <c r="Z86">
        <v>222.48</v>
      </c>
    </row>
    <row r="87" spans="6:26" x14ac:dyDescent="0.2">
      <c r="F87" s="477">
        <v>43025</v>
      </c>
      <c r="G87">
        <v>2109859</v>
      </c>
      <c r="H87" s="476">
        <v>42979</v>
      </c>
      <c r="I87" s="476">
        <v>43009</v>
      </c>
      <c r="J87" t="s">
        <v>275</v>
      </c>
      <c r="K87">
        <v>470.25</v>
      </c>
      <c r="L87" s="478">
        <v>382.75</v>
      </c>
      <c r="T87" s="477">
        <v>43371</v>
      </c>
      <c r="U87">
        <v>2380232</v>
      </c>
      <c r="V87" s="476">
        <v>42614</v>
      </c>
      <c r="W87" s="476">
        <v>42644</v>
      </c>
      <c r="X87" t="s">
        <v>275</v>
      </c>
      <c r="Y87">
        <v>266.74</v>
      </c>
      <c r="Z87">
        <v>212.98</v>
      </c>
    </row>
    <row r="88" spans="6:26" x14ac:dyDescent="0.2">
      <c r="F88" s="477">
        <v>43242</v>
      </c>
      <c r="G88">
        <v>2286593</v>
      </c>
      <c r="H88" s="476">
        <v>42979</v>
      </c>
      <c r="I88" s="476">
        <v>43009</v>
      </c>
      <c r="J88" t="s">
        <v>275</v>
      </c>
      <c r="K88">
        <v>-470.25</v>
      </c>
      <c r="L88" s="478">
        <v>-382.75</v>
      </c>
      <c r="T88" s="477">
        <v>43371</v>
      </c>
      <c r="U88">
        <v>2380233</v>
      </c>
      <c r="V88" s="476">
        <v>42644</v>
      </c>
      <c r="W88" s="476">
        <v>42675</v>
      </c>
      <c r="X88" t="s">
        <v>275</v>
      </c>
      <c r="Y88">
        <v>211.54</v>
      </c>
      <c r="Z88">
        <v>168.91</v>
      </c>
    </row>
    <row r="89" spans="6:26" x14ac:dyDescent="0.2">
      <c r="F89" s="477">
        <v>43388</v>
      </c>
      <c r="G89">
        <v>2380434</v>
      </c>
      <c r="H89" s="476">
        <v>42979</v>
      </c>
      <c r="I89" s="476">
        <v>43009</v>
      </c>
      <c r="J89" t="s">
        <v>275</v>
      </c>
      <c r="K89">
        <v>235.13</v>
      </c>
      <c r="L89" s="478">
        <v>191.38</v>
      </c>
      <c r="T89" s="477">
        <v>43371</v>
      </c>
      <c r="U89">
        <v>2380234</v>
      </c>
      <c r="V89" s="476">
        <v>42675</v>
      </c>
      <c r="W89" s="476">
        <v>42705</v>
      </c>
      <c r="X89" t="s">
        <v>275</v>
      </c>
      <c r="Y89">
        <v>199.58</v>
      </c>
      <c r="Z89">
        <v>159.36000000000001</v>
      </c>
    </row>
    <row r="90" spans="6:26" x14ac:dyDescent="0.2">
      <c r="F90" s="477">
        <v>43055</v>
      </c>
      <c r="G90">
        <v>2132824</v>
      </c>
      <c r="H90" s="476">
        <v>43009</v>
      </c>
      <c r="I90" s="476">
        <v>43040</v>
      </c>
      <c r="J90" t="s">
        <v>275</v>
      </c>
      <c r="K90">
        <v>341.01</v>
      </c>
      <c r="L90" s="478">
        <v>277.56</v>
      </c>
      <c r="T90" s="477">
        <v>43371</v>
      </c>
      <c r="U90">
        <v>2380235</v>
      </c>
      <c r="V90" s="476">
        <v>42705</v>
      </c>
      <c r="W90" s="476">
        <v>42736</v>
      </c>
      <c r="X90" t="s">
        <v>275</v>
      </c>
      <c r="Y90">
        <v>233.85</v>
      </c>
      <c r="Z90">
        <v>186.72</v>
      </c>
    </row>
    <row r="91" spans="6:26" x14ac:dyDescent="0.2">
      <c r="F91" s="477">
        <v>43237</v>
      </c>
      <c r="G91">
        <v>2270103</v>
      </c>
      <c r="H91" s="476">
        <v>43009</v>
      </c>
      <c r="I91" s="476">
        <v>43040</v>
      </c>
      <c r="J91" t="s">
        <v>275</v>
      </c>
      <c r="K91">
        <v>-341.01</v>
      </c>
      <c r="L91" s="478">
        <v>-277.56</v>
      </c>
      <c r="T91" s="477">
        <v>43382</v>
      </c>
      <c r="U91">
        <v>2380236</v>
      </c>
      <c r="V91" s="476">
        <v>42736</v>
      </c>
      <c r="W91" s="476">
        <v>42767</v>
      </c>
      <c r="X91" t="s">
        <v>275</v>
      </c>
      <c r="Y91">
        <v>266.31</v>
      </c>
      <c r="Z91">
        <v>212.64</v>
      </c>
    </row>
    <row r="92" spans="6:26" x14ac:dyDescent="0.2">
      <c r="F92" s="477">
        <v>43388</v>
      </c>
      <c r="G92">
        <v>2380435</v>
      </c>
      <c r="H92" s="476">
        <v>43009</v>
      </c>
      <c r="I92" s="476">
        <v>43040</v>
      </c>
      <c r="J92" t="s">
        <v>275</v>
      </c>
      <c r="K92">
        <v>172.5</v>
      </c>
      <c r="L92" s="478">
        <v>140.4</v>
      </c>
      <c r="T92" s="477">
        <v>43383</v>
      </c>
      <c r="U92">
        <v>2380293</v>
      </c>
      <c r="V92" s="476">
        <v>42767</v>
      </c>
      <c r="W92" s="476">
        <v>42795</v>
      </c>
      <c r="X92" t="s">
        <v>275</v>
      </c>
      <c r="Y92">
        <v>231.44</v>
      </c>
      <c r="Z92">
        <v>184.8</v>
      </c>
    </row>
    <row r="93" spans="6:26" x14ac:dyDescent="0.2">
      <c r="F93" s="477">
        <v>43087</v>
      </c>
      <c r="G93">
        <v>2162398</v>
      </c>
      <c r="H93" s="476">
        <v>43040</v>
      </c>
      <c r="I93" s="476">
        <v>43070</v>
      </c>
      <c r="J93" t="s">
        <v>275</v>
      </c>
      <c r="K93">
        <v>425.78</v>
      </c>
      <c r="L93" s="478">
        <v>346.56</v>
      </c>
      <c r="T93" s="477">
        <v>43384</v>
      </c>
      <c r="U93">
        <v>2380294</v>
      </c>
      <c r="V93" s="476">
        <v>42795</v>
      </c>
      <c r="W93" s="476">
        <v>42826</v>
      </c>
      <c r="X93" t="s">
        <v>275</v>
      </c>
      <c r="Y93">
        <v>252.48</v>
      </c>
      <c r="Z93">
        <v>201.6</v>
      </c>
    </row>
    <row r="94" spans="6:26" x14ac:dyDescent="0.2">
      <c r="F94" s="477">
        <v>43235</v>
      </c>
      <c r="G94">
        <v>2270099</v>
      </c>
      <c r="H94" s="476">
        <v>43040</v>
      </c>
      <c r="I94" s="476">
        <v>43070</v>
      </c>
      <c r="J94" t="s">
        <v>275</v>
      </c>
      <c r="K94">
        <v>-425.78</v>
      </c>
      <c r="L94" s="478">
        <v>-346.56</v>
      </c>
      <c r="T94" s="477">
        <v>43384</v>
      </c>
      <c r="U94">
        <v>2380295</v>
      </c>
      <c r="V94" s="476">
        <v>42826</v>
      </c>
      <c r="W94" s="476">
        <v>42856</v>
      </c>
      <c r="X94" t="s">
        <v>275</v>
      </c>
      <c r="Y94">
        <v>191.77</v>
      </c>
      <c r="Z94">
        <v>153.12</v>
      </c>
    </row>
    <row r="95" spans="6:26" x14ac:dyDescent="0.2">
      <c r="F95" s="477">
        <v>43388</v>
      </c>
      <c r="G95">
        <v>2391495</v>
      </c>
      <c r="H95" s="476">
        <v>43040</v>
      </c>
      <c r="I95" s="476">
        <v>43070</v>
      </c>
      <c r="J95" t="s">
        <v>275</v>
      </c>
      <c r="K95">
        <v>212.89</v>
      </c>
      <c r="L95" s="478">
        <v>173.28</v>
      </c>
      <c r="T95" s="477">
        <v>43385</v>
      </c>
      <c r="U95">
        <v>2380312</v>
      </c>
      <c r="V95" s="476">
        <v>42856</v>
      </c>
      <c r="W95" s="476">
        <v>42887</v>
      </c>
      <c r="X95" t="s">
        <v>275</v>
      </c>
      <c r="Y95">
        <v>194.78</v>
      </c>
      <c r="Z95">
        <v>158.54</v>
      </c>
    </row>
    <row r="96" spans="6:26" x14ac:dyDescent="0.2">
      <c r="F96" s="477">
        <v>43117</v>
      </c>
      <c r="G96">
        <v>2185311</v>
      </c>
      <c r="H96" s="476">
        <v>43070</v>
      </c>
      <c r="I96" s="476">
        <v>43101</v>
      </c>
      <c r="J96" t="s">
        <v>275</v>
      </c>
      <c r="K96">
        <v>583.83000000000004</v>
      </c>
      <c r="L96">
        <v>475.2</v>
      </c>
      <c r="T96" s="477">
        <v>43385</v>
      </c>
      <c r="U96">
        <v>2380313</v>
      </c>
      <c r="V96" s="476">
        <v>42887</v>
      </c>
      <c r="W96" s="476">
        <v>42917</v>
      </c>
      <c r="X96" t="s">
        <v>275</v>
      </c>
      <c r="Y96">
        <v>233</v>
      </c>
      <c r="Z96">
        <v>189.65</v>
      </c>
    </row>
    <row r="97" spans="6:26" x14ac:dyDescent="0.2">
      <c r="F97" s="477">
        <v>43234</v>
      </c>
      <c r="G97">
        <v>2270075</v>
      </c>
      <c r="H97" s="476">
        <v>43070</v>
      </c>
      <c r="I97" s="476">
        <v>43101</v>
      </c>
      <c r="J97" t="s">
        <v>275</v>
      </c>
      <c r="K97">
        <v>-583.83000000000004</v>
      </c>
      <c r="L97">
        <v>-475.2</v>
      </c>
      <c r="T97" s="477">
        <v>43385</v>
      </c>
      <c r="U97">
        <v>2380314</v>
      </c>
      <c r="V97" s="476">
        <v>42917</v>
      </c>
      <c r="W97" s="476">
        <v>42948</v>
      </c>
      <c r="X97" t="s">
        <v>275</v>
      </c>
      <c r="Y97">
        <v>226.63</v>
      </c>
      <c r="Z97">
        <v>184.46</v>
      </c>
    </row>
    <row r="98" spans="6:26" x14ac:dyDescent="0.2">
      <c r="F98" s="477">
        <v>43389</v>
      </c>
      <c r="G98">
        <v>2391510</v>
      </c>
      <c r="H98" s="476">
        <v>43070</v>
      </c>
      <c r="I98" s="476">
        <v>43101</v>
      </c>
      <c r="J98" t="s">
        <v>275</v>
      </c>
      <c r="K98">
        <v>291.92</v>
      </c>
      <c r="L98">
        <v>237.6</v>
      </c>
      <c r="T98" s="477">
        <v>43385</v>
      </c>
      <c r="U98">
        <v>2380320</v>
      </c>
      <c r="V98" s="476">
        <v>42948</v>
      </c>
      <c r="W98" s="476">
        <v>42979</v>
      </c>
      <c r="X98" t="s">
        <v>275</v>
      </c>
      <c r="Y98">
        <v>216.01</v>
      </c>
      <c r="Z98">
        <v>175.82</v>
      </c>
    </row>
    <row r="99" spans="6:26" x14ac:dyDescent="0.2">
      <c r="F99" s="477">
        <v>43146</v>
      </c>
      <c r="G99">
        <v>2208259</v>
      </c>
      <c r="H99" s="476">
        <v>43101</v>
      </c>
      <c r="I99" s="476">
        <v>43132</v>
      </c>
      <c r="J99" t="s">
        <v>275</v>
      </c>
      <c r="K99">
        <v>546.09</v>
      </c>
      <c r="L99">
        <v>444.48</v>
      </c>
      <c r="T99" s="477">
        <v>43388</v>
      </c>
      <c r="U99">
        <v>2380434</v>
      </c>
      <c r="V99" s="476">
        <v>42979</v>
      </c>
      <c r="W99" s="476">
        <v>43009</v>
      </c>
      <c r="X99" t="s">
        <v>275</v>
      </c>
      <c r="Y99">
        <v>235.13</v>
      </c>
      <c r="Z99">
        <v>191.38</v>
      </c>
    </row>
    <row r="100" spans="6:26" x14ac:dyDescent="0.2">
      <c r="F100" s="477">
        <v>43230</v>
      </c>
      <c r="G100">
        <v>2263897</v>
      </c>
      <c r="H100" s="476">
        <v>43101</v>
      </c>
      <c r="I100" s="476">
        <v>43132</v>
      </c>
      <c r="J100" t="s">
        <v>275</v>
      </c>
      <c r="K100">
        <v>-546.09</v>
      </c>
      <c r="L100">
        <v>-444.48</v>
      </c>
      <c r="T100" s="477">
        <v>43388</v>
      </c>
      <c r="U100">
        <v>2380435</v>
      </c>
      <c r="V100" s="476">
        <v>43009</v>
      </c>
      <c r="W100" s="476">
        <v>43040</v>
      </c>
      <c r="X100" t="s">
        <v>275</v>
      </c>
      <c r="Y100">
        <v>172.5</v>
      </c>
      <c r="Z100">
        <v>140.4</v>
      </c>
    </row>
    <row r="101" spans="6:26" x14ac:dyDescent="0.2">
      <c r="F101" s="477">
        <v>43389</v>
      </c>
      <c r="G101">
        <v>2391519</v>
      </c>
      <c r="H101" s="476">
        <v>43101</v>
      </c>
      <c r="I101" s="476">
        <v>43132</v>
      </c>
      <c r="J101" t="s">
        <v>275</v>
      </c>
      <c r="K101">
        <v>273.04000000000002</v>
      </c>
      <c r="L101">
        <v>222.24</v>
      </c>
      <c r="T101" s="477">
        <v>43388</v>
      </c>
      <c r="U101">
        <v>2391495</v>
      </c>
      <c r="V101" s="476">
        <v>43040</v>
      </c>
      <c r="W101" s="476">
        <v>43070</v>
      </c>
      <c r="X101" t="s">
        <v>275</v>
      </c>
      <c r="Y101">
        <v>212.89</v>
      </c>
      <c r="Z101">
        <v>173.28</v>
      </c>
    </row>
    <row r="102" spans="6:26" x14ac:dyDescent="0.2">
      <c r="F102" s="477">
        <v>43178</v>
      </c>
      <c r="G102">
        <v>2231297</v>
      </c>
      <c r="H102" s="476">
        <v>43132</v>
      </c>
      <c r="I102" s="476">
        <v>43160</v>
      </c>
      <c r="J102" t="s">
        <v>275</v>
      </c>
      <c r="K102">
        <v>412.81</v>
      </c>
      <c r="L102">
        <v>336</v>
      </c>
      <c r="T102" s="477">
        <v>43389</v>
      </c>
      <c r="U102">
        <v>2391510</v>
      </c>
      <c r="V102" s="476">
        <v>43070</v>
      </c>
      <c r="W102" s="476">
        <v>43101</v>
      </c>
      <c r="X102" t="s">
        <v>275</v>
      </c>
      <c r="Y102">
        <v>291.92</v>
      </c>
      <c r="Z102">
        <v>237.6</v>
      </c>
    </row>
    <row r="103" spans="6:26" x14ac:dyDescent="0.2">
      <c r="F103" s="477">
        <v>43229</v>
      </c>
      <c r="G103">
        <v>2263883</v>
      </c>
      <c r="H103" s="476">
        <v>43132</v>
      </c>
      <c r="I103" s="476">
        <v>43160</v>
      </c>
      <c r="J103" t="s">
        <v>275</v>
      </c>
      <c r="K103">
        <v>-412.81</v>
      </c>
      <c r="L103">
        <v>-336</v>
      </c>
      <c r="T103" s="477">
        <v>43389</v>
      </c>
      <c r="U103">
        <v>2391519</v>
      </c>
      <c r="V103" s="476">
        <v>43101</v>
      </c>
      <c r="W103" s="476">
        <v>43132</v>
      </c>
      <c r="X103" t="s">
        <v>275</v>
      </c>
      <c r="Y103">
        <v>273.04000000000002</v>
      </c>
      <c r="Z103">
        <v>222.24</v>
      </c>
    </row>
    <row r="104" spans="6:26" x14ac:dyDescent="0.2">
      <c r="F104" s="477">
        <v>43389</v>
      </c>
      <c r="G104">
        <v>2391854</v>
      </c>
      <c r="H104" s="476">
        <v>43132</v>
      </c>
      <c r="I104" s="476">
        <v>43160</v>
      </c>
      <c r="J104" t="s">
        <v>275</v>
      </c>
      <c r="K104">
        <v>206.4</v>
      </c>
      <c r="L104">
        <v>168</v>
      </c>
      <c r="T104" s="477">
        <v>43389</v>
      </c>
      <c r="U104">
        <v>2391854</v>
      </c>
      <c r="V104" s="476">
        <v>43132</v>
      </c>
      <c r="W104" s="476">
        <v>43160</v>
      </c>
      <c r="X104" t="s">
        <v>275</v>
      </c>
      <c r="Y104">
        <v>206.4</v>
      </c>
      <c r="Z104">
        <v>168</v>
      </c>
    </row>
    <row r="105" spans="6:26" x14ac:dyDescent="0.2">
      <c r="F105" s="477">
        <v>43391</v>
      </c>
      <c r="G105">
        <v>2403317</v>
      </c>
      <c r="H105" s="476">
        <v>43160</v>
      </c>
      <c r="I105" s="476">
        <v>43191</v>
      </c>
      <c r="J105" t="s">
        <v>275</v>
      </c>
      <c r="K105">
        <v>198.15</v>
      </c>
      <c r="L105">
        <v>161.28</v>
      </c>
      <c r="T105" s="477">
        <v>43391</v>
      </c>
      <c r="U105">
        <v>2403317</v>
      </c>
      <c r="V105" s="476">
        <v>43160</v>
      </c>
      <c r="W105" s="476">
        <v>43191</v>
      </c>
      <c r="X105" t="s">
        <v>275</v>
      </c>
      <c r="Y105">
        <v>198.15</v>
      </c>
      <c r="Z105">
        <v>161.28</v>
      </c>
    </row>
    <row r="106" spans="6:26" x14ac:dyDescent="0.2">
      <c r="F106" s="477">
        <v>43402</v>
      </c>
      <c r="G106">
        <v>2403320</v>
      </c>
      <c r="H106" s="476">
        <v>43191</v>
      </c>
      <c r="I106" s="476">
        <v>43221</v>
      </c>
      <c r="J106" t="s">
        <v>275</v>
      </c>
      <c r="K106">
        <v>215.25</v>
      </c>
      <c r="L106">
        <v>175.2</v>
      </c>
      <c r="T106" s="477">
        <v>43402</v>
      </c>
      <c r="U106">
        <v>2403320</v>
      </c>
      <c r="V106" s="476">
        <v>43191</v>
      </c>
      <c r="W106" s="476">
        <v>43221</v>
      </c>
      <c r="X106" t="s">
        <v>275</v>
      </c>
      <c r="Y106">
        <v>215.25</v>
      </c>
      <c r="Z106">
        <v>175.2</v>
      </c>
    </row>
    <row r="107" spans="6:26" x14ac:dyDescent="0.2">
      <c r="F107" s="477">
        <v>43402</v>
      </c>
      <c r="G107">
        <v>2403458</v>
      </c>
      <c r="H107" s="476">
        <v>43221</v>
      </c>
      <c r="I107" s="476">
        <v>43252</v>
      </c>
      <c r="J107" t="s">
        <v>275</v>
      </c>
      <c r="K107">
        <v>248.51</v>
      </c>
      <c r="L107">
        <v>183.17</v>
      </c>
      <c r="T107" s="477">
        <v>43402</v>
      </c>
      <c r="U107">
        <v>2403458</v>
      </c>
      <c r="V107" s="476">
        <v>43221</v>
      </c>
      <c r="W107" s="476">
        <v>43252</v>
      </c>
      <c r="X107" t="s">
        <v>275</v>
      </c>
      <c r="Y107">
        <v>248.51</v>
      </c>
      <c r="Z107">
        <v>183.17</v>
      </c>
    </row>
    <row r="108" spans="6:26" x14ac:dyDescent="0.2">
      <c r="F108" s="477">
        <v>43402</v>
      </c>
      <c r="G108">
        <v>2403459</v>
      </c>
      <c r="H108" s="476">
        <v>43252</v>
      </c>
      <c r="I108" s="476">
        <v>43282</v>
      </c>
      <c r="J108" t="s">
        <v>275</v>
      </c>
      <c r="K108">
        <v>273.12</v>
      </c>
      <c r="L108">
        <v>201.31</v>
      </c>
      <c r="T108" s="477">
        <v>43402</v>
      </c>
      <c r="U108">
        <v>2403459</v>
      </c>
      <c r="V108" s="476">
        <v>43252</v>
      </c>
      <c r="W108" s="476">
        <v>43282</v>
      </c>
      <c r="X108" t="s">
        <v>275</v>
      </c>
      <c r="Y108">
        <v>273.12</v>
      </c>
      <c r="Z108">
        <v>201.31</v>
      </c>
    </row>
    <row r="109" spans="6:26" x14ac:dyDescent="0.2">
      <c r="F109" s="477">
        <v>43403</v>
      </c>
      <c r="G109">
        <v>2403464</v>
      </c>
      <c r="H109" s="476">
        <v>43282</v>
      </c>
      <c r="I109" s="476">
        <v>43313</v>
      </c>
      <c r="J109" t="s">
        <v>275</v>
      </c>
      <c r="K109">
        <v>284.26</v>
      </c>
      <c r="L109">
        <v>209.52</v>
      </c>
      <c r="T109" s="477">
        <v>43403</v>
      </c>
      <c r="U109">
        <v>2403464</v>
      </c>
      <c r="V109" s="476">
        <v>43282</v>
      </c>
      <c r="W109" s="476">
        <v>43313</v>
      </c>
      <c r="X109" t="s">
        <v>275</v>
      </c>
      <c r="Y109">
        <v>284.26</v>
      </c>
      <c r="Z109">
        <v>209.52</v>
      </c>
    </row>
    <row r="110" spans="6:26" x14ac:dyDescent="0.2">
      <c r="F110" s="477">
        <v>43403</v>
      </c>
      <c r="G110">
        <v>2403468</v>
      </c>
      <c r="H110" s="476">
        <v>43313</v>
      </c>
      <c r="I110" s="476">
        <v>43344</v>
      </c>
      <c r="J110" t="s">
        <v>275</v>
      </c>
      <c r="K110">
        <v>283.08999999999997</v>
      </c>
      <c r="L110">
        <v>208.66</v>
      </c>
      <c r="T110" s="477">
        <v>43403</v>
      </c>
      <c r="U110">
        <v>2403468</v>
      </c>
      <c r="V110" s="476">
        <v>43313</v>
      </c>
      <c r="W110" s="476">
        <v>43344</v>
      </c>
      <c r="X110" t="s">
        <v>275</v>
      </c>
      <c r="Y110">
        <v>283.08999999999997</v>
      </c>
      <c r="Z110">
        <v>208.66</v>
      </c>
    </row>
    <row r="111" spans="6:26" x14ac:dyDescent="0.2">
      <c r="F111" s="477">
        <v>43403</v>
      </c>
      <c r="G111">
        <v>2403469</v>
      </c>
      <c r="H111" s="476">
        <v>43344</v>
      </c>
      <c r="I111" s="476">
        <v>43374</v>
      </c>
      <c r="J111" t="s">
        <v>275</v>
      </c>
      <c r="K111">
        <v>280.74</v>
      </c>
      <c r="L111">
        <v>206.93</v>
      </c>
      <c r="T111" s="477">
        <v>43403</v>
      </c>
      <c r="U111">
        <v>2403469</v>
      </c>
      <c r="V111" s="476">
        <v>43344</v>
      </c>
      <c r="W111" s="476">
        <v>43374</v>
      </c>
      <c r="X111" t="s">
        <v>275</v>
      </c>
      <c r="Y111">
        <v>280.74</v>
      </c>
      <c r="Z111">
        <v>206.93</v>
      </c>
    </row>
    <row r="112" spans="6:26" x14ac:dyDescent="0.2">
      <c r="F112" s="477">
        <v>43423</v>
      </c>
      <c r="G112">
        <v>2414730</v>
      </c>
      <c r="H112" s="476">
        <v>43374</v>
      </c>
      <c r="I112" s="476">
        <v>43405</v>
      </c>
      <c r="J112" t="s">
        <v>275</v>
      </c>
      <c r="K112">
        <v>239</v>
      </c>
      <c r="L112">
        <v>176.16</v>
      </c>
      <c r="T112" s="477">
        <v>43423</v>
      </c>
      <c r="U112">
        <v>2414730</v>
      </c>
      <c r="V112" s="476">
        <v>43374</v>
      </c>
      <c r="W112" s="476">
        <v>43405</v>
      </c>
      <c r="X112" t="s">
        <v>275</v>
      </c>
      <c r="Y112">
        <v>239</v>
      </c>
      <c r="Z112">
        <v>176.16</v>
      </c>
    </row>
    <row r="113" spans="6:26" x14ac:dyDescent="0.2">
      <c r="F113" s="477">
        <v>43451</v>
      </c>
      <c r="G113">
        <v>2449873</v>
      </c>
      <c r="H113" s="476">
        <v>43405</v>
      </c>
      <c r="I113" s="476">
        <v>43435</v>
      </c>
      <c r="J113" t="s">
        <v>275</v>
      </c>
      <c r="K113">
        <v>250.07</v>
      </c>
      <c r="L113">
        <v>184.32</v>
      </c>
      <c r="T113" s="477">
        <v>43451</v>
      </c>
      <c r="U113">
        <v>2449873</v>
      </c>
      <c r="V113" s="476">
        <v>43405</v>
      </c>
      <c r="W113" s="476">
        <v>43435</v>
      </c>
      <c r="X113" t="s">
        <v>275</v>
      </c>
      <c r="Y113">
        <v>250.07</v>
      </c>
      <c r="Z113">
        <v>184.32</v>
      </c>
    </row>
    <row r="114" spans="6:26" x14ac:dyDescent="0.2">
      <c r="F114" s="477">
        <v>43487</v>
      </c>
      <c r="G114">
        <v>2461660</v>
      </c>
      <c r="H114" s="476">
        <v>43435</v>
      </c>
      <c r="I114" s="476">
        <v>43466</v>
      </c>
      <c r="J114" t="s">
        <v>275</v>
      </c>
      <c r="K114">
        <v>241.6</v>
      </c>
      <c r="L114">
        <v>178.08</v>
      </c>
      <c r="T114" s="477">
        <v>43487</v>
      </c>
      <c r="U114">
        <v>2461660</v>
      </c>
      <c r="V114" s="476">
        <v>43435</v>
      </c>
      <c r="W114" s="476">
        <v>43466</v>
      </c>
      <c r="X114" t="s">
        <v>275</v>
      </c>
      <c r="Y114">
        <v>241.6</v>
      </c>
      <c r="Z114">
        <v>178.08</v>
      </c>
    </row>
    <row r="115" spans="6:26" x14ac:dyDescent="0.2">
      <c r="F115" s="477">
        <v>43515</v>
      </c>
      <c r="G115">
        <v>2484979</v>
      </c>
      <c r="H115" s="476">
        <v>43466</v>
      </c>
      <c r="I115" s="476">
        <v>43497</v>
      </c>
      <c r="J115" t="s">
        <v>275</v>
      </c>
      <c r="K115">
        <v>294.95</v>
      </c>
      <c r="L115">
        <v>217.4</v>
      </c>
      <c r="T115" s="477">
        <v>43515</v>
      </c>
      <c r="U115">
        <v>2484979</v>
      </c>
      <c r="V115" s="476">
        <v>43466</v>
      </c>
      <c r="W115" s="476">
        <v>43497</v>
      </c>
      <c r="X115" t="s">
        <v>275</v>
      </c>
      <c r="Y115">
        <v>294.95</v>
      </c>
      <c r="Z115">
        <v>217.4</v>
      </c>
    </row>
    <row r="116" spans="6:26" x14ac:dyDescent="0.2">
      <c r="F116" s="477">
        <v>43543</v>
      </c>
      <c r="G116">
        <v>2519980</v>
      </c>
      <c r="H116" s="476">
        <v>43497</v>
      </c>
      <c r="I116" s="476">
        <v>43525</v>
      </c>
      <c r="J116" t="s">
        <v>275</v>
      </c>
      <c r="K116">
        <v>281.38</v>
      </c>
      <c r="L116">
        <v>207.4</v>
      </c>
      <c r="T116" s="477">
        <v>43543</v>
      </c>
      <c r="U116">
        <v>2519980</v>
      </c>
      <c r="V116" s="476">
        <v>43497</v>
      </c>
      <c r="W116" s="476">
        <v>43525</v>
      </c>
      <c r="X116" t="s">
        <v>275</v>
      </c>
      <c r="Y116">
        <v>281.38</v>
      </c>
      <c r="Z116">
        <v>207.4</v>
      </c>
    </row>
    <row r="117" spans="6:26" x14ac:dyDescent="0.2">
      <c r="F117" s="477">
        <v>43577</v>
      </c>
      <c r="G117">
        <v>2543386</v>
      </c>
      <c r="H117" s="476">
        <v>43525</v>
      </c>
      <c r="I117" s="476">
        <v>43556</v>
      </c>
      <c r="J117" t="s">
        <v>275</v>
      </c>
      <c r="K117">
        <v>253.97</v>
      </c>
      <c r="L117">
        <v>187.2</v>
      </c>
      <c r="T117" s="477">
        <v>43577</v>
      </c>
      <c r="U117">
        <v>2543386</v>
      </c>
      <c r="V117" s="476">
        <v>43525</v>
      </c>
      <c r="W117" s="476">
        <v>43556</v>
      </c>
      <c r="X117" t="s">
        <v>275</v>
      </c>
      <c r="Y117">
        <v>253.97</v>
      </c>
      <c r="Z117">
        <v>187.2</v>
      </c>
    </row>
    <row r="118" spans="6:26" x14ac:dyDescent="0.2">
      <c r="F118" s="477">
        <v>43606</v>
      </c>
      <c r="G118">
        <v>2566768</v>
      </c>
      <c r="H118" s="476">
        <v>43556</v>
      </c>
      <c r="I118" s="476">
        <v>43586</v>
      </c>
      <c r="J118" t="s">
        <v>275</v>
      </c>
      <c r="K118">
        <v>205.13</v>
      </c>
      <c r="L118">
        <v>151.19999999999999</v>
      </c>
      <c r="T118" s="477">
        <v>43606</v>
      </c>
      <c r="U118">
        <v>2566768</v>
      </c>
      <c r="V118" s="476">
        <v>43556</v>
      </c>
      <c r="W118" s="476">
        <v>43586</v>
      </c>
      <c r="X118" t="s">
        <v>275</v>
      </c>
      <c r="Y118">
        <v>205.13</v>
      </c>
      <c r="Z118">
        <v>151.19999999999999</v>
      </c>
    </row>
    <row r="119" spans="6:26" x14ac:dyDescent="0.2">
      <c r="F119" s="477">
        <v>43644</v>
      </c>
      <c r="G119">
        <v>2567434</v>
      </c>
      <c r="H119" s="476">
        <v>43586</v>
      </c>
      <c r="I119" s="476">
        <v>43617</v>
      </c>
      <c r="J119" t="s">
        <v>275</v>
      </c>
      <c r="K119">
        <v>231.36</v>
      </c>
      <c r="L119">
        <v>180.58</v>
      </c>
      <c r="T119" s="477">
        <v>43644</v>
      </c>
      <c r="U119">
        <v>2567434</v>
      </c>
      <c r="V119" s="476">
        <v>43586</v>
      </c>
      <c r="W119" s="476">
        <v>43617</v>
      </c>
      <c r="X119" t="s">
        <v>275</v>
      </c>
      <c r="Y119">
        <v>231.36</v>
      </c>
      <c r="Z119">
        <v>180.58</v>
      </c>
    </row>
    <row r="120" spans="6:26" x14ac:dyDescent="0.2">
      <c r="F120" s="477">
        <v>43651</v>
      </c>
      <c r="G120">
        <v>2590342</v>
      </c>
      <c r="H120" s="476">
        <v>43586</v>
      </c>
      <c r="I120" s="476">
        <v>43617</v>
      </c>
      <c r="J120" t="s">
        <v>275</v>
      </c>
      <c r="K120">
        <v>-231.36</v>
      </c>
      <c r="L120">
        <v>-180.58</v>
      </c>
      <c r="T120" s="477">
        <v>43651</v>
      </c>
      <c r="U120">
        <v>2590342</v>
      </c>
      <c r="V120" s="476">
        <v>43586</v>
      </c>
      <c r="W120" s="476">
        <v>43617</v>
      </c>
      <c r="X120" t="s">
        <v>275</v>
      </c>
      <c r="Y120">
        <v>-231.36</v>
      </c>
      <c r="Z120">
        <v>-180.58</v>
      </c>
    </row>
    <row r="121" spans="6:26" x14ac:dyDescent="0.2">
      <c r="F121" s="477">
        <v>43663</v>
      </c>
      <c r="G121">
        <v>2590422</v>
      </c>
      <c r="H121" s="476">
        <v>43586</v>
      </c>
      <c r="I121" s="476">
        <v>43617</v>
      </c>
      <c r="J121" t="s">
        <v>275</v>
      </c>
      <c r="K121">
        <v>173.24</v>
      </c>
      <c r="L121">
        <v>135.22</v>
      </c>
      <c r="T121" s="477">
        <v>43663</v>
      </c>
      <c r="U121">
        <v>2590422</v>
      </c>
      <c r="V121" s="476">
        <v>43586</v>
      </c>
      <c r="W121" s="476">
        <v>43617</v>
      </c>
      <c r="X121" t="s">
        <v>275</v>
      </c>
      <c r="Y121">
        <v>173.24</v>
      </c>
      <c r="Z121">
        <v>135.22</v>
      </c>
    </row>
    <row r="122" spans="6:26" x14ac:dyDescent="0.2">
      <c r="F122" s="477">
        <v>43664</v>
      </c>
      <c r="G122">
        <v>2590472</v>
      </c>
      <c r="H122" s="476">
        <v>43586</v>
      </c>
      <c r="I122" s="476">
        <v>43617</v>
      </c>
      <c r="J122" t="s">
        <v>275</v>
      </c>
      <c r="K122">
        <v>-173.24</v>
      </c>
      <c r="L122">
        <v>-135.22</v>
      </c>
      <c r="T122" s="477">
        <v>43664</v>
      </c>
      <c r="U122">
        <v>2590472</v>
      </c>
      <c r="V122" s="476">
        <v>43586</v>
      </c>
      <c r="W122" s="476">
        <v>43617</v>
      </c>
      <c r="X122" t="s">
        <v>275</v>
      </c>
      <c r="Y122">
        <v>-173.24</v>
      </c>
      <c r="Z122">
        <v>-135.22</v>
      </c>
    </row>
    <row r="123" spans="6:26" x14ac:dyDescent="0.2">
      <c r="F123" s="477">
        <v>43664</v>
      </c>
      <c r="G123">
        <v>2590689</v>
      </c>
      <c r="H123" s="476">
        <v>43586</v>
      </c>
      <c r="I123" s="476">
        <v>43617</v>
      </c>
      <c r="J123" t="s">
        <v>275</v>
      </c>
      <c r="K123">
        <v>231.36</v>
      </c>
      <c r="L123">
        <v>180.58</v>
      </c>
      <c r="T123" s="477">
        <v>43664</v>
      </c>
      <c r="U123">
        <v>2590689</v>
      </c>
      <c r="V123" s="476">
        <v>43586</v>
      </c>
      <c r="W123" s="476">
        <v>43617</v>
      </c>
      <c r="X123" t="s">
        <v>275</v>
      </c>
      <c r="Y123">
        <v>231.36</v>
      </c>
      <c r="Z123">
        <v>180.58</v>
      </c>
    </row>
    <row r="124" spans="6:26" x14ac:dyDescent="0.2">
      <c r="F124" s="477">
        <v>43670</v>
      </c>
      <c r="G124">
        <v>2590761</v>
      </c>
      <c r="H124" s="476">
        <v>43617</v>
      </c>
      <c r="I124" s="476">
        <v>43647</v>
      </c>
      <c r="J124" t="s">
        <v>275</v>
      </c>
      <c r="K124">
        <v>231.91</v>
      </c>
      <c r="L124">
        <v>181.01</v>
      </c>
      <c r="T124" s="477">
        <v>43670</v>
      </c>
      <c r="U124">
        <v>2590761</v>
      </c>
      <c r="V124" s="476">
        <v>43617</v>
      </c>
      <c r="W124" s="476">
        <v>43647</v>
      </c>
      <c r="X124" t="s">
        <v>275</v>
      </c>
      <c r="Y124">
        <v>231.91</v>
      </c>
      <c r="Z124">
        <v>181.01</v>
      </c>
    </row>
    <row r="125" spans="6:26" x14ac:dyDescent="0.2">
      <c r="F125" s="477">
        <v>43697</v>
      </c>
      <c r="G125">
        <v>2637360</v>
      </c>
      <c r="H125" s="476">
        <v>43647</v>
      </c>
      <c r="I125" s="476">
        <v>43678</v>
      </c>
      <c r="J125" t="s">
        <v>275</v>
      </c>
      <c r="K125">
        <v>274.52</v>
      </c>
      <c r="L125">
        <v>214.27</v>
      </c>
      <c r="T125" s="477">
        <v>43697</v>
      </c>
      <c r="U125">
        <v>2637360</v>
      </c>
      <c r="V125" s="476">
        <v>43647</v>
      </c>
      <c r="W125" s="476">
        <v>43678</v>
      </c>
      <c r="X125" t="s">
        <v>275</v>
      </c>
      <c r="Y125">
        <v>274.52</v>
      </c>
      <c r="Z125">
        <v>214.27</v>
      </c>
    </row>
    <row r="126" spans="6:26" x14ac:dyDescent="0.2">
      <c r="L126">
        <f>SUM(L6:L125)</f>
        <v>9315.5200000000023</v>
      </c>
      <c r="Q126">
        <f>SUM(Q6:Q125)</f>
        <v>9315.52</v>
      </c>
      <c r="R126">
        <f>SUM(R6:R125)</f>
        <v>9315.52</v>
      </c>
      <c r="Z126">
        <f>SUM(Z6:Z125)</f>
        <v>9315.52</v>
      </c>
    </row>
    <row r="127" spans="6:26" x14ac:dyDescent="0.2">
      <c r="Q127">
        <f>+L126-Q126</f>
        <v>0</v>
      </c>
      <c r="R127">
        <f>+Z126-R126</f>
        <v>0</v>
      </c>
    </row>
  </sheetData>
  <sortState xmlns:xlrd2="http://schemas.microsoft.com/office/spreadsheetml/2017/richdata2" ref="T6:Z125">
    <sortCondition ref="T6:T125"/>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13DC5-957F-4756-8E6D-54EB4B8C88E2}">
  <sheetPr>
    <tabColor theme="6" tint="0.79998168889431442"/>
  </sheetPr>
  <dimension ref="A1:W171"/>
  <sheetViews>
    <sheetView zoomScaleNormal="100" workbookViewId="0">
      <pane xSplit="1" ySplit="3" topLeftCell="D4" activePane="bottomRight" state="frozen"/>
      <selection activeCell="K97" sqref="K97"/>
      <selection pane="topRight" activeCell="K97" sqref="K97"/>
      <selection pane="bottomLeft" activeCell="K97" sqref="K97"/>
      <selection pane="bottomRight" sqref="A1:XFD1048576"/>
    </sheetView>
  </sheetViews>
  <sheetFormatPr defaultRowHeight="12.75" x14ac:dyDescent="0.2"/>
  <cols>
    <col min="1" max="1" width="29.33203125" style="1" bestFit="1" customWidth="1"/>
    <col min="2" max="3" width="12.33203125" style="1" hidden="1" customWidth="1"/>
    <col min="4" max="9" width="12.33203125" style="1" customWidth="1"/>
    <col min="10" max="10" width="12.33203125" style="1" hidden="1" customWidth="1"/>
    <col min="11" max="16" width="12.33203125" style="1" customWidth="1"/>
    <col min="17" max="21" width="16.1640625" style="1" customWidth="1"/>
    <col min="22" max="22" width="19.5" style="1" bestFit="1" customWidth="1"/>
    <col min="23" max="23" width="29.6640625" style="1" bestFit="1" customWidth="1"/>
    <col min="24" max="16384" width="9.33203125" style="1"/>
  </cols>
  <sheetData>
    <row r="1" spans="1:23" x14ac:dyDescent="0.2">
      <c r="A1" s="1" t="s">
        <v>334</v>
      </c>
      <c r="L1" s="579"/>
      <c r="V1" s="22"/>
    </row>
    <row r="2" spans="1:23" ht="38.25" x14ac:dyDescent="0.2">
      <c r="L2" s="22" t="s">
        <v>316</v>
      </c>
      <c r="O2" s="270" t="s">
        <v>486</v>
      </c>
      <c r="P2" s="270" t="s">
        <v>487</v>
      </c>
      <c r="Q2" s="270" t="s">
        <v>489</v>
      </c>
      <c r="R2" s="270" t="s">
        <v>490</v>
      </c>
      <c r="S2" s="270" t="s">
        <v>491</v>
      </c>
      <c r="T2" s="270" t="s">
        <v>492</v>
      </c>
      <c r="U2" s="270" t="s">
        <v>488</v>
      </c>
      <c r="V2" s="274" t="s">
        <v>283</v>
      </c>
      <c r="W2" s="448" t="s">
        <v>290</v>
      </c>
    </row>
    <row r="3" spans="1:23" x14ac:dyDescent="0.2">
      <c r="B3" s="448" t="s">
        <v>268</v>
      </c>
      <c r="C3" s="448" t="s">
        <v>269</v>
      </c>
      <c r="D3" s="448" t="s">
        <v>270</v>
      </c>
      <c r="E3" s="448" t="s">
        <v>271</v>
      </c>
      <c r="F3" s="448" t="s">
        <v>282</v>
      </c>
      <c r="G3" s="448" t="s">
        <v>275</v>
      </c>
      <c r="H3" s="448" t="s">
        <v>281</v>
      </c>
      <c r="I3" s="448" t="s">
        <v>279</v>
      </c>
      <c r="J3" s="448" t="s">
        <v>272</v>
      </c>
      <c r="K3" s="448" t="s">
        <v>280</v>
      </c>
      <c r="L3" s="272" t="s">
        <v>173</v>
      </c>
      <c r="M3" s="272" t="s">
        <v>266</v>
      </c>
      <c r="N3" s="272" t="s">
        <v>15</v>
      </c>
      <c r="O3" s="272" t="s">
        <v>304</v>
      </c>
      <c r="P3" s="272"/>
      <c r="Q3" s="448">
        <v>27187</v>
      </c>
      <c r="R3" s="448" t="s">
        <v>291</v>
      </c>
      <c r="S3" s="448"/>
      <c r="T3" s="272"/>
      <c r="U3" s="272"/>
      <c r="V3" s="454" t="s">
        <v>268</v>
      </c>
      <c r="W3" s="1" t="s">
        <v>5</v>
      </c>
    </row>
    <row r="4" spans="1:23" x14ac:dyDescent="0.2">
      <c r="A4" s="449">
        <v>40909</v>
      </c>
      <c r="B4" s="37"/>
      <c r="C4" s="37"/>
      <c r="D4" s="441"/>
      <c r="E4" s="441"/>
      <c r="F4" s="441"/>
      <c r="G4" s="441"/>
      <c r="H4" s="457"/>
      <c r="I4" s="457"/>
      <c r="J4" s="441"/>
      <c r="K4" s="441"/>
      <c r="L4" s="464">
        <v>15180.73</v>
      </c>
      <c r="M4" s="441">
        <f>+D4+E4+F4+G4+H4+L4</f>
        <v>15180.73</v>
      </c>
      <c r="N4" s="457"/>
      <c r="O4" s="457"/>
      <c r="P4" s="457"/>
      <c r="Q4" s="457"/>
      <c r="R4" s="457"/>
      <c r="S4" s="457"/>
      <c r="T4" s="458">
        <f>+M4-O4+P4-S4</f>
        <v>15180.73</v>
      </c>
      <c r="U4" s="498">
        <f>+M4-O4+P4</f>
        <v>15180.73</v>
      </c>
      <c r="V4" s="455" t="s">
        <v>272</v>
      </c>
      <c r="W4" s="1" t="s">
        <v>174</v>
      </c>
    </row>
    <row r="5" spans="1:23" x14ac:dyDescent="0.2">
      <c r="A5" s="449">
        <v>40940</v>
      </c>
      <c r="B5" s="37"/>
      <c r="C5" s="37"/>
      <c r="D5" s="441"/>
      <c r="E5" s="441"/>
      <c r="F5" s="441"/>
      <c r="G5" s="441"/>
      <c r="H5" s="457"/>
      <c r="I5" s="457"/>
      <c r="J5" s="441"/>
      <c r="K5" s="441"/>
      <c r="L5" s="464">
        <v>17758.75</v>
      </c>
      <c r="M5" s="441">
        <f t="shared" ref="M5:M68" si="0">+D5+E5+F5+G5+H5+L5</f>
        <v>17758.75</v>
      </c>
      <c r="N5" s="457"/>
      <c r="O5" s="457"/>
      <c r="P5" s="457"/>
      <c r="Q5" s="457"/>
      <c r="R5" s="457"/>
      <c r="S5" s="457"/>
      <c r="T5" s="458">
        <f t="shared" ref="T5:T68" si="1">+M5-O5+P5-S5</f>
        <v>17758.75</v>
      </c>
      <c r="U5" s="498">
        <f t="shared" ref="U5:U68" si="2">+M5-O5+P5</f>
        <v>17758.75</v>
      </c>
      <c r="V5" s="455" t="s">
        <v>269</v>
      </c>
      <c r="W5" s="1" t="s">
        <v>172</v>
      </c>
    </row>
    <row r="6" spans="1:23" x14ac:dyDescent="0.2">
      <c r="A6" s="449">
        <v>40969</v>
      </c>
      <c r="B6" s="37"/>
      <c r="C6" s="37"/>
      <c r="D6" s="441"/>
      <c r="E6" s="441"/>
      <c r="F6" s="441"/>
      <c r="G6" s="441"/>
      <c r="H6" s="457"/>
      <c r="I6" s="457"/>
      <c r="J6" s="441"/>
      <c r="K6" s="441"/>
      <c r="L6" s="464">
        <v>14378.610000000002</v>
      </c>
      <c r="M6" s="441">
        <f t="shared" si="0"/>
        <v>14378.610000000002</v>
      </c>
      <c r="N6" s="457"/>
      <c r="O6" s="457"/>
      <c r="P6" s="457"/>
      <c r="Q6" s="457"/>
      <c r="R6" s="457"/>
      <c r="S6" s="457"/>
      <c r="T6" s="458">
        <f t="shared" si="1"/>
        <v>14378.610000000002</v>
      </c>
      <c r="U6" s="498">
        <f t="shared" si="2"/>
        <v>14378.610000000002</v>
      </c>
      <c r="V6" s="455" t="s">
        <v>275</v>
      </c>
      <c r="W6" s="1" t="s">
        <v>286</v>
      </c>
    </row>
    <row r="7" spans="1:23" x14ac:dyDescent="0.2">
      <c r="A7" s="449">
        <v>41000</v>
      </c>
      <c r="B7" s="37"/>
      <c r="C7" s="37"/>
      <c r="D7" s="441"/>
      <c r="E7" s="441"/>
      <c r="F7" s="441"/>
      <c r="G7" s="441"/>
      <c r="H7" s="457"/>
      <c r="I7" s="457"/>
      <c r="J7" s="441"/>
      <c r="K7" s="441"/>
      <c r="L7" s="464">
        <v>15084.28</v>
      </c>
      <c r="M7" s="441">
        <f t="shared" si="0"/>
        <v>15084.28</v>
      </c>
      <c r="N7" s="457"/>
      <c r="O7" s="457"/>
      <c r="P7" s="457"/>
      <c r="Q7" s="457"/>
      <c r="R7" s="457"/>
      <c r="S7" s="457"/>
      <c r="T7" s="458">
        <f t="shared" si="1"/>
        <v>15084.28</v>
      </c>
      <c r="U7" s="498">
        <f t="shared" si="2"/>
        <v>15084.28</v>
      </c>
      <c r="V7" s="455" t="s">
        <v>270</v>
      </c>
      <c r="W7" s="1" t="s">
        <v>288</v>
      </c>
    </row>
    <row r="8" spans="1:23" x14ac:dyDescent="0.2">
      <c r="A8" s="449">
        <v>41030</v>
      </c>
      <c r="B8" s="37"/>
      <c r="C8" s="37"/>
      <c r="D8" s="441"/>
      <c r="E8" s="441"/>
      <c r="F8" s="441"/>
      <c r="G8" s="441"/>
      <c r="H8" s="457"/>
      <c r="I8" s="457"/>
      <c r="J8" s="441"/>
      <c r="K8" s="441"/>
      <c r="L8" s="464">
        <v>18279.060000000001</v>
      </c>
      <c r="M8" s="441">
        <f t="shared" si="0"/>
        <v>18279.060000000001</v>
      </c>
      <c r="N8" s="457"/>
      <c r="O8" s="457"/>
      <c r="P8" s="457"/>
      <c r="Q8" s="457"/>
      <c r="R8" s="457"/>
      <c r="S8" s="457"/>
      <c r="T8" s="458">
        <f t="shared" si="1"/>
        <v>18279.060000000001</v>
      </c>
      <c r="U8" s="498">
        <f t="shared" si="2"/>
        <v>18279.060000000001</v>
      </c>
      <c r="V8" s="455" t="s">
        <v>271</v>
      </c>
      <c r="W8" s="1" t="s">
        <v>289</v>
      </c>
    </row>
    <row r="9" spans="1:23" x14ac:dyDescent="0.2">
      <c r="A9" s="449">
        <v>41061</v>
      </c>
      <c r="B9" s="37"/>
      <c r="C9" s="37"/>
      <c r="D9" s="441"/>
      <c r="E9" s="441"/>
      <c r="F9" s="441"/>
      <c r="G9" s="441"/>
      <c r="H9" s="457"/>
      <c r="I9" s="457"/>
      <c r="J9" s="441"/>
      <c r="K9" s="441"/>
      <c r="L9" s="464">
        <v>17787.2</v>
      </c>
      <c r="M9" s="441">
        <f t="shared" si="0"/>
        <v>17787.2</v>
      </c>
      <c r="N9" s="457"/>
      <c r="O9" s="457"/>
      <c r="P9" s="457"/>
      <c r="Q9" s="457"/>
      <c r="R9" s="457"/>
      <c r="S9" s="457"/>
      <c r="T9" s="458">
        <f t="shared" si="1"/>
        <v>17787.2</v>
      </c>
      <c r="U9" s="498">
        <f t="shared" si="2"/>
        <v>17787.2</v>
      </c>
      <c r="V9" s="22" t="s">
        <v>279</v>
      </c>
      <c r="W9" s="1" t="s">
        <v>251</v>
      </c>
    </row>
    <row r="10" spans="1:23" x14ac:dyDescent="0.2">
      <c r="A10" s="449">
        <v>41091</v>
      </c>
      <c r="B10" s="37"/>
      <c r="C10" s="37"/>
      <c r="D10" s="441"/>
      <c r="E10" s="441"/>
      <c r="F10" s="441"/>
      <c r="G10" s="441"/>
      <c r="H10" s="457"/>
      <c r="I10" s="457"/>
      <c r="J10" s="441"/>
      <c r="K10" s="441"/>
      <c r="L10" s="464">
        <v>20563.059999999998</v>
      </c>
      <c r="M10" s="441">
        <f t="shared" si="0"/>
        <v>20563.059999999998</v>
      </c>
      <c r="N10" s="457"/>
      <c r="O10" s="457"/>
      <c r="P10" s="457"/>
      <c r="Q10" s="457"/>
      <c r="R10" s="457"/>
      <c r="S10" s="457"/>
      <c r="T10" s="458">
        <f t="shared" si="1"/>
        <v>20563.059999999998</v>
      </c>
      <c r="U10" s="498">
        <f t="shared" si="2"/>
        <v>20563.059999999998</v>
      </c>
      <c r="V10" s="455" t="s">
        <v>280</v>
      </c>
      <c r="W10" s="1" t="s">
        <v>285</v>
      </c>
    </row>
    <row r="11" spans="1:23" x14ac:dyDescent="0.2">
      <c r="A11" s="449">
        <v>41122</v>
      </c>
      <c r="B11" s="37"/>
      <c r="C11" s="37"/>
      <c r="D11" s="441"/>
      <c r="E11" s="441"/>
      <c r="F11" s="441"/>
      <c r="G11" s="441"/>
      <c r="H11" s="457"/>
      <c r="I11" s="457"/>
      <c r="J11" s="441"/>
      <c r="K11" s="441"/>
      <c r="L11" s="464">
        <v>19610.009999999998</v>
      </c>
      <c r="M11" s="441">
        <f t="shared" si="0"/>
        <v>19610.009999999998</v>
      </c>
      <c r="N11" s="457"/>
      <c r="O11" s="457"/>
      <c r="P11" s="457"/>
      <c r="Q11" s="457"/>
      <c r="R11" s="457"/>
      <c r="S11" s="457"/>
      <c r="T11" s="458">
        <f t="shared" si="1"/>
        <v>19610.009999999998</v>
      </c>
      <c r="U11" s="498">
        <f t="shared" si="2"/>
        <v>19610.009999999998</v>
      </c>
      <c r="V11" s="22" t="s">
        <v>281</v>
      </c>
      <c r="W11" s="1" t="s">
        <v>287</v>
      </c>
    </row>
    <row r="12" spans="1:23" x14ac:dyDescent="0.2">
      <c r="A12" s="449">
        <v>41153</v>
      </c>
      <c r="B12" s="37"/>
      <c r="C12" s="37"/>
      <c r="D12" s="441"/>
      <c r="E12" s="441"/>
      <c r="F12" s="441"/>
      <c r="G12" s="441"/>
      <c r="H12" s="457"/>
      <c r="I12" s="457"/>
      <c r="J12" s="441"/>
      <c r="K12" s="441"/>
      <c r="L12" s="464">
        <v>18759.97</v>
      </c>
      <c r="M12" s="441">
        <f t="shared" si="0"/>
        <v>18759.97</v>
      </c>
      <c r="N12" s="457"/>
      <c r="O12" s="457"/>
      <c r="P12" s="457"/>
      <c r="Q12" s="457"/>
      <c r="R12" s="457"/>
      <c r="S12" s="457"/>
      <c r="T12" s="458">
        <f t="shared" si="1"/>
        <v>18759.97</v>
      </c>
      <c r="U12" s="498">
        <f t="shared" si="2"/>
        <v>18759.97</v>
      </c>
      <c r="V12" s="455" t="s">
        <v>282</v>
      </c>
      <c r="W12" s="1" t="s">
        <v>173</v>
      </c>
    </row>
    <row r="13" spans="1:23" x14ac:dyDescent="0.2">
      <c r="A13" s="449">
        <v>41183</v>
      </c>
      <c r="B13" s="37"/>
      <c r="C13" s="37"/>
      <c r="D13" s="441"/>
      <c r="E13" s="441"/>
      <c r="F13" s="441"/>
      <c r="G13" s="441"/>
      <c r="H13" s="457"/>
      <c r="I13" s="457"/>
      <c r="J13" s="441"/>
      <c r="K13" s="441"/>
      <c r="L13" s="464">
        <v>17912.849999999999</v>
      </c>
      <c r="M13" s="441">
        <f t="shared" si="0"/>
        <v>17912.849999999999</v>
      </c>
      <c r="N13" s="457"/>
      <c r="O13" s="457"/>
      <c r="P13" s="457"/>
      <c r="Q13" s="457"/>
      <c r="R13" s="457"/>
      <c r="S13" s="457"/>
      <c r="T13" s="458">
        <f t="shared" si="1"/>
        <v>17912.849999999999</v>
      </c>
      <c r="U13" s="498">
        <f t="shared" si="2"/>
        <v>17912.849999999999</v>
      </c>
      <c r="V13" s="22"/>
    </row>
    <row r="14" spans="1:23" x14ac:dyDescent="0.2">
      <c r="A14" s="449">
        <v>41214</v>
      </c>
      <c r="B14" s="37"/>
      <c r="C14" s="37"/>
      <c r="D14" s="441"/>
      <c r="E14" s="441"/>
      <c r="F14" s="441"/>
      <c r="G14" s="441"/>
      <c r="H14" s="457"/>
      <c r="I14" s="457"/>
      <c r="J14" s="441"/>
      <c r="K14" s="441"/>
      <c r="L14" s="464">
        <v>14242.69</v>
      </c>
      <c r="M14" s="441">
        <f t="shared" si="0"/>
        <v>14242.69</v>
      </c>
      <c r="N14" s="457"/>
      <c r="O14" s="457"/>
      <c r="P14" s="457"/>
      <c r="Q14" s="457"/>
      <c r="R14" s="457"/>
      <c r="S14" s="457"/>
      <c r="T14" s="458">
        <f t="shared" si="1"/>
        <v>14242.69</v>
      </c>
      <c r="U14" s="498">
        <f t="shared" si="2"/>
        <v>14242.69</v>
      </c>
      <c r="V14" s="456" t="s">
        <v>273</v>
      </c>
      <c r="W14" s="1" t="s">
        <v>284</v>
      </c>
    </row>
    <row r="15" spans="1:23" x14ac:dyDescent="0.2">
      <c r="A15" s="449">
        <v>41244</v>
      </c>
      <c r="B15" s="37"/>
      <c r="C15" s="37"/>
      <c r="D15" s="441"/>
      <c r="E15" s="441"/>
      <c r="F15" s="441"/>
      <c r="G15" s="441"/>
      <c r="H15" s="457"/>
      <c r="I15" s="457"/>
      <c r="J15" s="441"/>
      <c r="K15" s="441"/>
      <c r="L15" s="464">
        <v>13180.599999999997</v>
      </c>
      <c r="M15" s="441">
        <f t="shared" si="0"/>
        <v>13180.599999999997</v>
      </c>
      <c r="N15" s="457"/>
      <c r="O15" s="457"/>
      <c r="P15" s="457"/>
      <c r="Q15" s="457"/>
      <c r="R15" s="457"/>
      <c r="S15" s="457"/>
      <c r="T15" s="458">
        <f t="shared" si="1"/>
        <v>13180.599999999997</v>
      </c>
      <c r="U15" s="498">
        <f t="shared" si="2"/>
        <v>13180.599999999997</v>
      </c>
      <c r="V15" s="456" t="s">
        <v>274</v>
      </c>
      <c r="W15" s="1" t="s">
        <v>284</v>
      </c>
    </row>
    <row r="16" spans="1:23" x14ac:dyDescent="0.2">
      <c r="A16" s="449">
        <v>41275</v>
      </c>
      <c r="B16" s="37"/>
      <c r="C16" s="37"/>
      <c r="D16" s="441"/>
      <c r="E16" s="441"/>
      <c r="F16" s="441"/>
      <c r="G16" s="441"/>
      <c r="H16" s="457"/>
      <c r="I16" s="457"/>
      <c r="J16" s="441"/>
      <c r="K16" s="441"/>
      <c r="L16" s="464">
        <v>15679.79</v>
      </c>
      <c r="M16" s="441">
        <f t="shared" si="0"/>
        <v>15679.79</v>
      </c>
      <c r="N16" s="457"/>
      <c r="O16" s="457"/>
      <c r="P16" s="457"/>
      <c r="Q16" s="457"/>
      <c r="R16" s="457"/>
      <c r="S16" s="457"/>
      <c r="T16" s="458">
        <f t="shared" si="1"/>
        <v>15679.79</v>
      </c>
      <c r="U16" s="498">
        <f t="shared" si="2"/>
        <v>15679.79</v>
      </c>
      <c r="V16" s="456">
        <v>3</v>
      </c>
      <c r="W16" s="1" t="s">
        <v>284</v>
      </c>
    </row>
    <row r="17" spans="1:23" x14ac:dyDescent="0.2">
      <c r="A17" s="449">
        <v>41306</v>
      </c>
      <c r="B17" s="37"/>
      <c r="C17" s="37"/>
      <c r="D17" s="441"/>
      <c r="E17" s="441"/>
      <c r="F17" s="441"/>
      <c r="G17" s="441"/>
      <c r="H17" s="457"/>
      <c r="I17" s="457"/>
      <c r="J17" s="441"/>
      <c r="K17" s="441"/>
      <c r="L17" s="464">
        <v>15130.829999999998</v>
      </c>
      <c r="M17" s="441">
        <f t="shared" si="0"/>
        <v>15130.829999999998</v>
      </c>
      <c r="N17" s="457"/>
      <c r="O17" s="457"/>
      <c r="P17" s="457"/>
      <c r="Q17" s="457"/>
      <c r="R17" s="457"/>
      <c r="S17" s="457"/>
      <c r="T17" s="458">
        <f t="shared" si="1"/>
        <v>15130.829999999998</v>
      </c>
      <c r="U17" s="498">
        <f t="shared" si="2"/>
        <v>15130.829999999998</v>
      </c>
      <c r="V17" s="456">
        <v>1</v>
      </c>
      <c r="W17" s="1" t="s">
        <v>284</v>
      </c>
    </row>
    <row r="18" spans="1:23" x14ac:dyDescent="0.2">
      <c r="A18" s="449">
        <v>41334</v>
      </c>
      <c r="B18" s="37"/>
      <c r="C18" s="37"/>
      <c r="D18" s="441"/>
      <c r="E18" s="441"/>
      <c r="F18" s="441"/>
      <c r="G18" s="441"/>
      <c r="H18" s="457"/>
      <c r="I18" s="457"/>
      <c r="J18" s="441"/>
      <c r="K18" s="441"/>
      <c r="L18" s="464">
        <v>17119.010000000002</v>
      </c>
      <c r="M18" s="441">
        <f t="shared" si="0"/>
        <v>17119.010000000002</v>
      </c>
      <c r="N18" s="457"/>
      <c r="O18" s="457"/>
      <c r="P18" s="457"/>
      <c r="Q18" s="457"/>
      <c r="R18" s="457"/>
      <c r="S18" s="457"/>
      <c r="T18" s="458">
        <f t="shared" si="1"/>
        <v>17119.010000000002</v>
      </c>
      <c r="U18" s="498">
        <f t="shared" si="2"/>
        <v>17119.010000000002</v>
      </c>
      <c r="V18" s="456">
        <v>4</v>
      </c>
      <c r="W18" s="1" t="s">
        <v>284</v>
      </c>
    </row>
    <row r="19" spans="1:23" x14ac:dyDescent="0.2">
      <c r="A19" s="449">
        <v>41365</v>
      </c>
      <c r="B19" s="37"/>
      <c r="C19" s="37"/>
      <c r="D19" s="441"/>
      <c r="E19" s="441"/>
      <c r="F19" s="441"/>
      <c r="G19" s="441"/>
      <c r="H19" s="457"/>
      <c r="I19" s="457"/>
      <c r="J19" s="441"/>
      <c r="K19" s="441"/>
      <c r="L19" s="464">
        <v>12204.099999999999</v>
      </c>
      <c r="M19" s="441">
        <f t="shared" si="0"/>
        <v>12204.099999999999</v>
      </c>
      <c r="N19" s="457"/>
      <c r="O19" s="457"/>
      <c r="P19" s="457"/>
      <c r="Q19" s="457"/>
      <c r="R19" s="457"/>
      <c r="S19" s="457"/>
      <c r="T19" s="458">
        <f t="shared" si="1"/>
        <v>12204.099999999999</v>
      </c>
      <c r="U19" s="498">
        <f t="shared" si="2"/>
        <v>12204.099999999999</v>
      </c>
      <c r="V19" s="456">
        <v>2</v>
      </c>
      <c r="W19" s="1" t="s">
        <v>284</v>
      </c>
    </row>
    <row r="20" spans="1:23" x14ac:dyDescent="0.2">
      <c r="A20" s="449">
        <v>41395</v>
      </c>
      <c r="B20" s="37"/>
      <c r="C20" s="37"/>
      <c r="D20" s="441"/>
      <c r="E20" s="441"/>
      <c r="F20" s="441"/>
      <c r="G20" s="441"/>
      <c r="H20" s="457"/>
      <c r="I20" s="457"/>
      <c r="J20" s="441"/>
      <c r="K20" s="441"/>
      <c r="L20" s="464">
        <v>18681.499999999996</v>
      </c>
      <c r="M20" s="441">
        <f t="shared" si="0"/>
        <v>18681.499999999996</v>
      </c>
      <c r="N20" s="457"/>
      <c r="O20" s="457"/>
      <c r="P20" s="457"/>
      <c r="Q20" s="457"/>
      <c r="R20" s="457"/>
      <c r="S20" s="457"/>
      <c r="T20" s="458">
        <f t="shared" si="1"/>
        <v>18681.499999999996</v>
      </c>
      <c r="U20" s="498">
        <f t="shared" si="2"/>
        <v>18681.499999999996</v>
      </c>
      <c r="V20" s="456" t="s">
        <v>277</v>
      </c>
      <c r="W20" s="1" t="s">
        <v>284</v>
      </c>
    </row>
    <row r="21" spans="1:23" x14ac:dyDescent="0.2">
      <c r="A21" s="449">
        <v>41426</v>
      </c>
      <c r="B21" s="37"/>
      <c r="C21" s="37"/>
      <c r="D21" s="441"/>
      <c r="E21" s="441"/>
      <c r="F21" s="441"/>
      <c r="G21" s="441"/>
      <c r="H21" s="457"/>
      <c r="I21" s="457"/>
      <c r="J21" s="441"/>
      <c r="K21" s="441"/>
      <c r="L21" s="464">
        <v>16808.740000000005</v>
      </c>
      <c r="M21" s="441">
        <f t="shared" si="0"/>
        <v>16808.740000000005</v>
      </c>
      <c r="N21" s="457"/>
      <c r="O21" s="457"/>
      <c r="P21" s="457"/>
      <c r="Q21" s="457"/>
      <c r="R21" s="457"/>
      <c r="S21" s="457"/>
      <c r="T21" s="458">
        <f t="shared" si="1"/>
        <v>16808.740000000005</v>
      </c>
      <c r="U21" s="498">
        <f t="shared" si="2"/>
        <v>16808.740000000005</v>
      </c>
      <c r="V21" s="456" t="s">
        <v>276</v>
      </c>
      <c r="W21" s="1" t="s">
        <v>284</v>
      </c>
    </row>
    <row r="22" spans="1:23" x14ac:dyDescent="0.2">
      <c r="A22" s="449">
        <v>41456</v>
      </c>
      <c r="B22" s="37"/>
      <c r="C22" s="37"/>
      <c r="D22" s="441"/>
      <c r="E22" s="441"/>
      <c r="F22" s="441"/>
      <c r="G22" s="441"/>
      <c r="H22" s="457"/>
      <c r="I22" s="457"/>
      <c r="J22" s="441"/>
      <c r="K22" s="441"/>
      <c r="L22" s="464">
        <v>21104.940000000002</v>
      </c>
      <c r="M22" s="441">
        <f t="shared" si="0"/>
        <v>21104.940000000002</v>
      </c>
      <c r="N22" s="457"/>
      <c r="O22" s="457"/>
      <c r="P22" s="457"/>
      <c r="Q22" s="457"/>
      <c r="R22" s="457"/>
      <c r="S22" s="457"/>
      <c r="T22" s="458">
        <f t="shared" si="1"/>
        <v>21104.940000000002</v>
      </c>
      <c r="U22" s="498">
        <f t="shared" si="2"/>
        <v>21104.940000000002</v>
      </c>
      <c r="V22" s="456" t="s">
        <v>278</v>
      </c>
      <c r="W22" s="1" t="s">
        <v>284</v>
      </c>
    </row>
    <row r="23" spans="1:23" x14ac:dyDescent="0.2">
      <c r="A23" s="449">
        <v>41487</v>
      </c>
      <c r="B23" s="37"/>
      <c r="C23" s="37"/>
      <c r="D23" s="441"/>
      <c r="E23" s="441"/>
      <c r="F23" s="441"/>
      <c r="G23" s="441"/>
      <c r="H23" s="457"/>
      <c r="I23" s="457"/>
      <c r="J23" s="441"/>
      <c r="K23" s="441"/>
      <c r="L23" s="464">
        <v>20859.770000000004</v>
      </c>
      <c r="M23" s="441">
        <f t="shared" si="0"/>
        <v>20859.770000000004</v>
      </c>
      <c r="N23" s="457"/>
      <c r="O23" s="457"/>
      <c r="P23" s="457"/>
      <c r="Q23" s="457"/>
      <c r="R23" s="457"/>
      <c r="S23" s="457"/>
      <c r="T23" s="458">
        <f t="shared" si="1"/>
        <v>20859.770000000004</v>
      </c>
      <c r="U23" s="498">
        <f t="shared" si="2"/>
        <v>20859.770000000004</v>
      </c>
    </row>
    <row r="24" spans="1:23" x14ac:dyDescent="0.2">
      <c r="A24" s="449">
        <v>41518</v>
      </c>
      <c r="B24" s="37"/>
      <c r="C24" s="37"/>
      <c r="D24" s="441"/>
      <c r="E24" s="441"/>
      <c r="F24" s="441"/>
      <c r="G24" s="441"/>
      <c r="H24" s="457"/>
      <c r="I24" s="457"/>
      <c r="J24" s="441"/>
      <c r="K24" s="441"/>
      <c r="L24" s="464">
        <v>16243.869999999999</v>
      </c>
      <c r="M24" s="441">
        <f t="shared" si="0"/>
        <v>16243.869999999999</v>
      </c>
      <c r="N24" s="457"/>
      <c r="O24" s="457"/>
      <c r="P24" s="457"/>
      <c r="Q24" s="457"/>
      <c r="R24" s="457"/>
      <c r="S24" s="457"/>
      <c r="T24" s="458">
        <f t="shared" si="1"/>
        <v>16243.869999999999</v>
      </c>
      <c r="U24" s="498">
        <f t="shared" si="2"/>
        <v>16243.869999999999</v>
      </c>
    </row>
    <row r="25" spans="1:23" x14ac:dyDescent="0.2">
      <c r="A25" s="449">
        <v>41548</v>
      </c>
      <c r="B25" s="37"/>
      <c r="C25" s="37"/>
      <c r="D25" s="441"/>
      <c r="E25" s="441"/>
      <c r="F25" s="441"/>
      <c r="G25" s="441"/>
      <c r="H25" s="457"/>
      <c r="I25" s="457"/>
      <c r="J25" s="441"/>
      <c r="K25" s="441"/>
      <c r="L25" s="464">
        <v>21228.75</v>
      </c>
      <c r="M25" s="441">
        <f t="shared" si="0"/>
        <v>21228.75</v>
      </c>
      <c r="N25" s="457"/>
      <c r="O25" s="457"/>
      <c r="P25" s="457"/>
      <c r="Q25" s="457"/>
      <c r="R25" s="457"/>
      <c r="S25" s="457"/>
      <c r="T25" s="458">
        <f t="shared" si="1"/>
        <v>21228.75</v>
      </c>
      <c r="U25" s="498">
        <f t="shared" si="2"/>
        <v>21228.75</v>
      </c>
    </row>
    <row r="26" spans="1:23" x14ac:dyDescent="0.2">
      <c r="A26" s="449">
        <v>41579</v>
      </c>
      <c r="B26" s="37"/>
      <c r="C26" s="37"/>
      <c r="D26" s="441"/>
      <c r="E26" s="441"/>
      <c r="F26" s="441"/>
      <c r="G26" s="441"/>
      <c r="H26" s="457"/>
      <c r="I26" s="457"/>
      <c r="J26" s="441"/>
      <c r="K26" s="441"/>
      <c r="L26" s="464">
        <v>15295.029999999999</v>
      </c>
      <c r="M26" s="441">
        <f t="shared" si="0"/>
        <v>15295.029999999999</v>
      </c>
      <c r="N26" s="457"/>
      <c r="O26" s="457"/>
      <c r="P26" s="457"/>
      <c r="Q26" s="457"/>
      <c r="R26" s="457"/>
      <c r="S26" s="457"/>
      <c r="T26" s="458">
        <f t="shared" si="1"/>
        <v>15295.029999999999</v>
      </c>
      <c r="U26" s="498">
        <f t="shared" si="2"/>
        <v>15295.029999999999</v>
      </c>
    </row>
    <row r="27" spans="1:23" x14ac:dyDescent="0.2">
      <c r="A27" s="449">
        <v>41609</v>
      </c>
      <c r="B27" s="37"/>
      <c r="C27" s="37"/>
      <c r="D27" s="441"/>
      <c r="E27" s="441"/>
      <c r="F27" s="441"/>
      <c r="G27" s="441"/>
      <c r="H27" s="457"/>
      <c r="I27" s="457"/>
      <c r="J27" s="441"/>
      <c r="K27" s="441"/>
      <c r="L27" s="464">
        <v>14236.49</v>
      </c>
      <c r="M27" s="441">
        <f t="shared" si="0"/>
        <v>14236.49</v>
      </c>
      <c r="N27" s="457"/>
      <c r="O27" s="457"/>
      <c r="P27" s="457"/>
      <c r="Q27" s="457"/>
      <c r="R27" s="457"/>
      <c r="S27" s="457"/>
      <c r="T27" s="458">
        <f t="shared" si="1"/>
        <v>14236.49</v>
      </c>
      <c r="U27" s="498">
        <f t="shared" si="2"/>
        <v>14236.49</v>
      </c>
    </row>
    <row r="28" spans="1:23" x14ac:dyDescent="0.2">
      <c r="A28" s="449">
        <v>41640</v>
      </c>
      <c r="B28" s="37"/>
      <c r="C28" s="37"/>
      <c r="D28" s="441"/>
      <c r="E28" s="441"/>
      <c r="F28" s="441"/>
      <c r="G28" s="441"/>
      <c r="H28" s="457"/>
      <c r="I28" s="457"/>
      <c r="J28" s="441"/>
      <c r="K28" s="441"/>
      <c r="L28" s="464">
        <v>14687.93</v>
      </c>
      <c r="M28" s="441">
        <f t="shared" si="0"/>
        <v>14687.93</v>
      </c>
      <c r="N28" s="457"/>
      <c r="O28" s="457"/>
      <c r="P28" s="457"/>
      <c r="Q28" s="457"/>
      <c r="R28" s="457"/>
      <c r="S28" s="457"/>
      <c r="T28" s="458">
        <f t="shared" si="1"/>
        <v>14687.93</v>
      </c>
      <c r="U28" s="498">
        <f t="shared" si="2"/>
        <v>14687.93</v>
      </c>
    </row>
    <row r="29" spans="1:23" x14ac:dyDescent="0.2">
      <c r="A29" s="449">
        <v>41671</v>
      </c>
      <c r="B29" s="37"/>
      <c r="C29" s="37"/>
      <c r="D29" s="441"/>
      <c r="E29" s="441"/>
      <c r="F29" s="441"/>
      <c r="G29" s="441"/>
      <c r="H29" s="457"/>
      <c r="I29" s="457"/>
      <c r="J29" s="441"/>
      <c r="K29" s="441"/>
      <c r="L29" s="464">
        <v>14137.810000000001</v>
      </c>
      <c r="M29" s="441">
        <f t="shared" si="0"/>
        <v>14137.810000000001</v>
      </c>
      <c r="N29" s="457"/>
      <c r="O29" s="457"/>
      <c r="P29" s="457"/>
      <c r="Q29" s="457"/>
      <c r="R29" s="457"/>
      <c r="S29" s="457"/>
      <c r="T29" s="458">
        <f t="shared" si="1"/>
        <v>14137.810000000001</v>
      </c>
      <c r="U29" s="498">
        <f t="shared" si="2"/>
        <v>14137.810000000001</v>
      </c>
    </row>
    <row r="30" spans="1:23" x14ac:dyDescent="0.2">
      <c r="A30" s="449">
        <v>41699</v>
      </c>
      <c r="B30" s="37"/>
      <c r="C30" s="37"/>
      <c r="D30" s="441"/>
      <c r="E30" s="441"/>
      <c r="F30" s="441"/>
      <c r="G30" s="441"/>
      <c r="H30" s="457"/>
      <c r="I30" s="457"/>
      <c r="J30" s="441"/>
      <c r="K30" s="441"/>
      <c r="L30" s="464">
        <v>19629.05</v>
      </c>
      <c r="M30" s="441">
        <f t="shared" si="0"/>
        <v>19629.05</v>
      </c>
      <c r="N30" s="457"/>
      <c r="O30" s="457"/>
      <c r="P30" s="457"/>
      <c r="Q30" s="457"/>
      <c r="R30" s="457"/>
      <c r="S30" s="457"/>
      <c r="T30" s="458">
        <f t="shared" si="1"/>
        <v>19629.05</v>
      </c>
      <c r="U30" s="498">
        <f t="shared" si="2"/>
        <v>19629.05</v>
      </c>
    </row>
    <row r="31" spans="1:23" x14ac:dyDescent="0.2">
      <c r="A31" s="449">
        <v>41730</v>
      </c>
      <c r="B31" s="37"/>
      <c r="C31" s="37"/>
      <c r="D31" s="441"/>
      <c r="E31" s="441"/>
      <c r="F31" s="441"/>
      <c r="G31" s="441"/>
      <c r="H31" s="457"/>
      <c r="I31" s="457"/>
      <c r="J31" s="441"/>
      <c r="K31" s="441"/>
      <c r="L31" s="464">
        <v>14327.149999999998</v>
      </c>
      <c r="M31" s="441">
        <f t="shared" si="0"/>
        <v>14327.149999999998</v>
      </c>
      <c r="N31" s="457"/>
      <c r="O31" s="457"/>
      <c r="P31" s="457"/>
      <c r="Q31" s="457"/>
      <c r="R31" s="457"/>
      <c r="S31" s="457"/>
      <c r="T31" s="458">
        <f t="shared" si="1"/>
        <v>14327.149999999998</v>
      </c>
      <c r="U31" s="498">
        <f t="shared" si="2"/>
        <v>14327.149999999998</v>
      </c>
    </row>
    <row r="32" spans="1:23" x14ac:dyDescent="0.2">
      <c r="A32" s="449">
        <v>41760</v>
      </c>
      <c r="B32" s="37"/>
      <c r="C32" s="37"/>
      <c r="D32" s="441"/>
      <c r="E32" s="441"/>
      <c r="F32" s="441"/>
      <c r="G32" s="441"/>
      <c r="H32" s="457"/>
      <c r="I32" s="457"/>
      <c r="J32" s="441"/>
      <c r="K32" s="441"/>
      <c r="L32" s="464">
        <v>15460.570000000003</v>
      </c>
      <c r="M32" s="441">
        <f t="shared" si="0"/>
        <v>15460.570000000003</v>
      </c>
      <c r="N32" s="457"/>
      <c r="O32" s="457"/>
      <c r="P32" s="457"/>
      <c r="Q32" s="457"/>
      <c r="R32" s="457"/>
      <c r="S32" s="457"/>
      <c r="T32" s="458">
        <f t="shared" si="1"/>
        <v>15460.570000000003</v>
      </c>
      <c r="U32" s="498">
        <f t="shared" si="2"/>
        <v>15460.570000000003</v>
      </c>
    </row>
    <row r="33" spans="1:21" x14ac:dyDescent="0.2">
      <c r="A33" s="449">
        <v>41791</v>
      </c>
      <c r="B33" s="37"/>
      <c r="C33" s="37"/>
      <c r="D33" s="441"/>
      <c r="E33" s="441"/>
      <c r="F33" s="441"/>
      <c r="G33" s="441"/>
      <c r="H33" s="457"/>
      <c r="I33" s="457"/>
      <c r="J33" s="441"/>
      <c r="K33" s="441"/>
      <c r="L33" s="464">
        <v>18947.189999999999</v>
      </c>
      <c r="M33" s="441">
        <f t="shared" si="0"/>
        <v>18947.189999999999</v>
      </c>
      <c r="N33" s="457"/>
      <c r="O33" s="457"/>
      <c r="P33" s="457"/>
      <c r="Q33" s="457"/>
      <c r="R33" s="461">
        <v>43.8</v>
      </c>
      <c r="S33" s="461">
        <f>+Q33+R33</f>
        <v>43.8</v>
      </c>
      <c r="T33" s="458">
        <f t="shared" si="1"/>
        <v>18903.39</v>
      </c>
      <c r="U33" s="498">
        <f t="shared" si="2"/>
        <v>18947.189999999999</v>
      </c>
    </row>
    <row r="34" spans="1:21" x14ac:dyDescent="0.2">
      <c r="A34" s="449">
        <v>41821</v>
      </c>
      <c r="B34" s="37"/>
      <c r="C34" s="37"/>
      <c r="D34" s="441"/>
      <c r="E34" s="441"/>
      <c r="F34" s="441"/>
      <c r="G34" s="441"/>
      <c r="H34" s="457"/>
      <c r="I34" s="457"/>
      <c r="J34" s="441"/>
      <c r="K34" s="441"/>
      <c r="L34" s="464">
        <v>19759.82</v>
      </c>
      <c r="M34" s="441">
        <f t="shared" si="0"/>
        <v>19759.82</v>
      </c>
      <c r="N34" s="457"/>
      <c r="O34" s="457"/>
      <c r="P34" s="457"/>
      <c r="Q34" s="457"/>
      <c r="R34" s="461">
        <v>45.84</v>
      </c>
      <c r="S34" s="461">
        <f t="shared" ref="S34:S97" si="3">+Q34+R34</f>
        <v>45.84</v>
      </c>
      <c r="T34" s="458">
        <f t="shared" si="1"/>
        <v>19713.98</v>
      </c>
      <c r="U34" s="498">
        <f t="shared" si="2"/>
        <v>19759.82</v>
      </c>
    </row>
    <row r="35" spans="1:21" x14ac:dyDescent="0.2">
      <c r="A35" s="449">
        <v>41852</v>
      </c>
      <c r="B35" s="37"/>
      <c r="C35" s="37"/>
      <c r="D35" s="441"/>
      <c r="E35" s="441"/>
      <c r="F35" s="441"/>
      <c r="G35" s="441"/>
      <c r="H35" s="457"/>
      <c r="I35" s="457"/>
      <c r="J35" s="441"/>
      <c r="K35" s="441"/>
      <c r="L35" s="464">
        <v>17492.130000000005</v>
      </c>
      <c r="M35" s="441">
        <f t="shared" si="0"/>
        <v>17492.130000000005</v>
      </c>
      <c r="N35" s="457"/>
      <c r="O35" s="457"/>
      <c r="P35" s="457"/>
      <c r="Q35" s="457"/>
      <c r="R35" s="461">
        <v>42.51</v>
      </c>
      <c r="S35" s="461">
        <f t="shared" si="3"/>
        <v>42.51</v>
      </c>
      <c r="T35" s="458">
        <f t="shared" si="1"/>
        <v>17449.620000000006</v>
      </c>
      <c r="U35" s="498">
        <f t="shared" si="2"/>
        <v>17492.130000000005</v>
      </c>
    </row>
    <row r="36" spans="1:21" x14ac:dyDescent="0.2">
      <c r="A36" s="449">
        <v>41883</v>
      </c>
      <c r="B36" s="37"/>
      <c r="C36" s="37"/>
      <c r="D36" s="441"/>
      <c r="E36" s="441"/>
      <c r="F36" s="441"/>
      <c r="G36" s="441"/>
      <c r="H36" s="457"/>
      <c r="I36" s="457"/>
      <c r="J36" s="441"/>
      <c r="K36" s="441"/>
      <c r="L36" s="464">
        <v>22729.459999999995</v>
      </c>
      <c r="M36" s="441">
        <f t="shared" si="0"/>
        <v>22729.459999999995</v>
      </c>
      <c r="N36" s="457"/>
      <c r="O36" s="457"/>
      <c r="P36" s="457"/>
      <c r="Q36" s="457"/>
      <c r="R36" s="461">
        <v>46.95</v>
      </c>
      <c r="S36" s="461">
        <f t="shared" si="3"/>
        <v>46.95</v>
      </c>
      <c r="T36" s="458">
        <f t="shared" si="1"/>
        <v>22682.509999999995</v>
      </c>
      <c r="U36" s="498">
        <f t="shared" si="2"/>
        <v>22729.459999999995</v>
      </c>
    </row>
    <row r="37" spans="1:21" x14ac:dyDescent="0.2">
      <c r="A37" s="449">
        <v>41913</v>
      </c>
      <c r="B37" s="37"/>
      <c r="C37" s="37"/>
      <c r="D37" s="441"/>
      <c r="E37" s="441"/>
      <c r="F37" s="441"/>
      <c r="G37" s="441"/>
      <c r="H37" s="457"/>
      <c r="I37" s="457"/>
      <c r="J37" s="441"/>
      <c r="K37" s="441"/>
      <c r="L37" s="464">
        <v>19270.780000000002</v>
      </c>
      <c r="M37" s="441">
        <f t="shared" si="0"/>
        <v>19270.780000000002</v>
      </c>
      <c r="N37" s="457"/>
      <c r="O37" s="457"/>
      <c r="P37" s="457"/>
      <c r="Q37" s="457"/>
      <c r="R37" s="461">
        <v>43.08</v>
      </c>
      <c r="S37" s="461">
        <f t="shared" si="3"/>
        <v>43.08</v>
      </c>
      <c r="T37" s="458">
        <f t="shared" si="1"/>
        <v>19227.7</v>
      </c>
      <c r="U37" s="498">
        <f t="shared" si="2"/>
        <v>19270.780000000002</v>
      </c>
    </row>
    <row r="38" spans="1:21" x14ac:dyDescent="0.2">
      <c r="A38" s="449">
        <v>41944</v>
      </c>
      <c r="B38" s="37"/>
      <c r="C38" s="37"/>
      <c r="D38" s="441"/>
      <c r="E38" s="441"/>
      <c r="F38" s="441"/>
      <c r="G38" s="441"/>
      <c r="H38" s="457"/>
      <c r="I38" s="457"/>
      <c r="J38" s="441"/>
      <c r="K38" s="441"/>
      <c r="L38" s="464">
        <v>11688.480000000003</v>
      </c>
      <c r="M38" s="441">
        <f t="shared" si="0"/>
        <v>11688.480000000003</v>
      </c>
      <c r="N38" s="457"/>
      <c r="O38" s="457"/>
      <c r="P38" s="457"/>
      <c r="Q38" s="457"/>
      <c r="R38" s="461">
        <v>47.1</v>
      </c>
      <c r="S38" s="461">
        <f t="shared" si="3"/>
        <v>47.1</v>
      </c>
      <c r="T38" s="458">
        <f t="shared" si="1"/>
        <v>11641.380000000003</v>
      </c>
      <c r="U38" s="498">
        <f t="shared" si="2"/>
        <v>11688.480000000003</v>
      </c>
    </row>
    <row r="39" spans="1:21" x14ac:dyDescent="0.2">
      <c r="A39" s="449">
        <v>41974</v>
      </c>
      <c r="B39" s="37"/>
      <c r="C39" s="37"/>
      <c r="D39" s="441"/>
      <c r="E39" s="441"/>
      <c r="F39" s="441"/>
      <c r="G39" s="441"/>
      <c r="H39" s="457"/>
      <c r="I39" s="457"/>
      <c r="J39" s="441"/>
      <c r="K39" s="441"/>
      <c r="L39" s="464">
        <v>19912.150000000001</v>
      </c>
      <c r="M39" s="441">
        <f t="shared" si="0"/>
        <v>19912.150000000001</v>
      </c>
      <c r="N39" s="457"/>
      <c r="O39" s="457"/>
      <c r="P39" s="457"/>
      <c r="Q39" s="457"/>
      <c r="R39" s="461">
        <v>48.03</v>
      </c>
      <c r="S39" s="461">
        <f t="shared" si="3"/>
        <v>48.03</v>
      </c>
      <c r="T39" s="458">
        <f t="shared" si="1"/>
        <v>19864.120000000003</v>
      </c>
      <c r="U39" s="498">
        <f t="shared" si="2"/>
        <v>19912.150000000001</v>
      </c>
    </row>
    <row r="40" spans="1:21" x14ac:dyDescent="0.2">
      <c r="A40" s="449">
        <v>42005</v>
      </c>
      <c r="B40" s="37"/>
      <c r="C40" s="37"/>
      <c r="D40" s="441"/>
      <c r="E40" s="441"/>
      <c r="F40" s="441"/>
      <c r="G40" s="441"/>
      <c r="H40" s="457"/>
      <c r="I40" s="457"/>
      <c r="J40" s="441"/>
      <c r="K40" s="441"/>
      <c r="L40" s="464">
        <v>-4595.6100000000042</v>
      </c>
      <c r="M40" s="441">
        <f t="shared" si="0"/>
        <v>-4595.6100000000042</v>
      </c>
      <c r="N40" s="457"/>
      <c r="O40" s="457"/>
      <c r="P40" s="457"/>
      <c r="Q40" s="457"/>
      <c r="R40" s="461">
        <v>78.8</v>
      </c>
      <c r="S40" s="461">
        <f t="shared" si="3"/>
        <v>78.8</v>
      </c>
      <c r="T40" s="458">
        <f t="shared" si="1"/>
        <v>-4674.4100000000044</v>
      </c>
      <c r="U40" s="498">
        <f t="shared" si="2"/>
        <v>-4595.6100000000042</v>
      </c>
    </row>
    <row r="41" spans="1:21" x14ac:dyDescent="0.2">
      <c r="A41" s="449">
        <v>42036</v>
      </c>
      <c r="B41" s="37"/>
      <c r="C41" s="37"/>
      <c r="D41" s="441"/>
      <c r="E41" s="441"/>
      <c r="F41" s="441"/>
      <c r="G41" s="441"/>
      <c r="H41" s="457"/>
      <c r="I41" s="457"/>
      <c r="J41" s="441"/>
      <c r="K41" s="441"/>
      <c r="L41" s="464">
        <v>33513.870000000003</v>
      </c>
      <c r="M41" s="441">
        <f t="shared" si="0"/>
        <v>33513.870000000003</v>
      </c>
      <c r="N41" s="457"/>
      <c r="O41" s="457"/>
      <c r="P41" s="457"/>
      <c r="Q41" s="457"/>
      <c r="R41" s="461">
        <v>66.23</v>
      </c>
      <c r="S41" s="461">
        <f t="shared" si="3"/>
        <v>66.23</v>
      </c>
      <c r="T41" s="458">
        <f t="shared" si="1"/>
        <v>33447.64</v>
      </c>
      <c r="U41" s="498">
        <f t="shared" si="2"/>
        <v>33513.870000000003</v>
      </c>
    </row>
    <row r="42" spans="1:21" x14ac:dyDescent="0.2">
      <c r="A42" s="449">
        <v>42064</v>
      </c>
      <c r="B42" s="37"/>
      <c r="C42" s="37"/>
      <c r="D42" s="441"/>
      <c r="E42" s="441"/>
      <c r="F42" s="441"/>
      <c r="G42" s="441"/>
      <c r="H42" s="457"/>
      <c r="I42" s="457"/>
      <c r="J42" s="441"/>
      <c r="K42" s="441"/>
      <c r="L42" s="464">
        <v>19957.999999999996</v>
      </c>
      <c r="M42" s="441">
        <f t="shared" si="0"/>
        <v>19957.999999999996</v>
      </c>
      <c r="N42" s="457"/>
      <c r="O42" s="457"/>
      <c r="P42" s="457"/>
      <c r="Q42" s="457"/>
      <c r="R42" s="461">
        <v>50.63</v>
      </c>
      <c r="S42" s="461">
        <f t="shared" si="3"/>
        <v>50.63</v>
      </c>
      <c r="T42" s="458">
        <f t="shared" si="1"/>
        <v>19907.369999999995</v>
      </c>
      <c r="U42" s="498">
        <f t="shared" si="2"/>
        <v>19957.999999999996</v>
      </c>
    </row>
    <row r="43" spans="1:21" x14ac:dyDescent="0.2">
      <c r="A43" s="449">
        <v>42095</v>
      </c>
      <c r="B43" s="37"/>
      <c r="C43" s="37"/>
      <c r="D43" s="441"/>
      <c r="E43" s="441"/>
      <c r="F43" s="441"/>
      <c r="G43" s="441"/>
      <c r="H43" s="457"/>
      <c r="I43" s="457"/>
      <c r="J43" s="441"/>
      <c r="K43" s="441"/>
      <c r="L43" s="464">
        <v>13772.66</v>
      </c>
      <c r="M43" s="441">
        <f t="shared" si="0"/>
        <v>13772.66</v>
      </c>
      <c r="N43" s="457"/>
      <c r="O43" s="457"/>
      <c r="P43" s="457"/>
      <c r="Q43" s="457"/>
      <c r="R43" s="461">
        <v>69.709999999999994</v>
      </c>
      <c r="S43" s="461">
        <f t="shared" si="3"/>
        <v>69.709999999999994</v>
      </c>
      <c r="T43" s="458">
        <f t="shared" si="1"/>
        <v>13702.95</v>
      </c>
      <c r="U43" s="498">
        <f t="shared" si="2"/>
        <v>13772.66</v>
      </c>
    </row>
    <row r="44" spans="1:21" x14ac:dyDescent="0.2">
      <c r="A44" s="449">
        <v>42125</v>
      </c>
      <c r="B44" s="37"/>
      <c r="C44" s="37"/>
      <c r="D44" s="441"/>
      <c r="E44" s="441"/>
      <c r="F44" s="441"/>
      <c r="G44" s="441"/>
      <c r="H44" s="457"/>
      <c r="I44" s="457"/>
      <c r="J44" s="441"/>
      <c r="K44" s="441"/>
      <c r="L44" s="464">
        <v>17863.199999999997</v>
      </c>
      <c r="M44" s="441">
        <f t="shared" si="0"/>
        <v>17863.199999999997</v>
      </c>
      <c r="N44" s="457"/>
      <c r="O44" s="457"/>
      <c r="P44" s="457"/>
      <c r="Q44" s="457"/>
      <c r="R44" s="461">
        <v>53.34</v>
      </c>
      <c r="S44" s="461">
        <f t="shared" si="3"/>
        <v>53.34</v>
      </c>
      <c r="T44" s="458">
        <f t="shared" si="1"/>
        <v>17809.859999999997</v>
      </c>
      <c r="U44" s="498">
        <f t="shared" si="2"/>
        <v>17863.199999999997</v>
      </c>
    </row>
    <row r="45" spans="1:21" x14ac:dyDescent="0.2">
      <c r="A45" s="449">
        <v>42156</v>
      </c>
      <c r="B45" s="37"/>
      <c r="C45" s="37"/>
      <c r="D45" s="441"/>
      <c r="E45" s="441"/>
      <c r="F45" s="441"/>
      <c r="G45" s="441"/>
      <c r="H45" s="457"/>
      <c r="I45" s="457"/>
      <c r="J45" s="441"/>
      <c r="K45" s="441"/>
      <c r="L45" s="464">
        <v>20078.599999999999</v>
      </c>
      <c r="M45" s="441">
        <f t="shared" si="0"/>
        <v>20078.599999999999</v>
      </c>
      <c r="N45" s="457"/>
      <c r="O45" s="457"/>
      <c r="P45" s="457"/>
      <c r="Q45" s="457"/>
      <c r="R45" s="461">
        <v>61.25</v>
      </c>
      <c r="S45" s="461">
        <f t="shared" si="3"/>
        <v>61.25</v>
      </c>
      <c r="T45" s="458">
        <f t="shared" si="1"/>
        <v>20017.349999999999</v>
      </c>
      <c r="U45" s="498">
        <f t="shared" si="2"/>
        <v>20078.599999999999</v>
      </c>
    </row>
    <row r="46" spans="1:21" x14ac:dyDescent="0.2">
      <c r="A46" s="449">
        <v>42186</v>
      </c>
      <c r="B46" s="37"/>
      <c r="C46" s="37"/>
      <c r="D46" s="441"/>
      <c r="E46" s="441"/>
      <c r="F46" s="441"/>
      <c r="G46" s="441"/>
      <c r="H46" s="457"/>
      <c r="I46" s="457"/>
      <c r="J46" s="441"/>
      <c r="K46" s="441"/>
      <c r="L46" s="464">
        <v>16698.850000000002</v>
      </c>
      <c r="M46" s="441">
        <f t="shared" si="0"/>
        <v>16698.850000000002</v>
      </c>
      <c r="N46" s="457"/>
      <c r="O46" s="457"/>
      <c r="P46" s="457"/>
      <c r="Q46" s="457"/>
      <c r="R46" s="461">
        <v>76.260000000000005</v>
      </c>
      <c r="S46" s="461">
        <f t="shared" si="3"/>
        <v>76.260000000000005</v>
      </c>
      <c r="T46" s="458">
        <f t="shared" si="1"/>
        <v>16622.590000000004</v>
      </c>
      <c r="U46" s="498">
        <f t="shared" si="2"/>
        <v>16698.850000000002</v>
      </c>
    </row>
    <row r="47" spans="1:21" x14ac:dyDescent="0.2">
      <c r="A47" s="449">
        <v>42217</v>
      </c>
      <c r="B47" s="37"/>
      <c r="C47" s="37"/>
      <c r="D47" s="441"/>
      <c r="E47" s="441"/>
      <c r="F47" s="441"/>
      <c r="G47" s="441"/>
      <c r="H47" s="457"/>
      <c r="I47" s="457"/>
      <c r="J47" s="441"/>
      <c r="K47" s="441"/>
      <c r="L47" s="464">
        <v>21375.730000000003</v>
      </c>
      <c r="M47" s="441">
        <f t="shared" si="0"/>
        <v>21375.730000000003</v>
      </c>
      <c r="N47" s="457"/>
      <c r="O47" s="458">
        <f>+'Hotel kW'!R6</f>
        <v>418.18</v>
      </c>
      <c r="P47" s="458">
        <f>+'Hotel kW'!Q6</f>
        <v>209.09</v>
      </c>
      <c r="Q47" s="457"/>
      <c r="R47" s="461">
        <v>62.1</v>
      </c>
      <c r="S47" s="461">
        <f t="shared" si="3"/>
        <v>62.1</v>
      </c>
      <c r="T47" s="458">
        <f t="shared" si="1"/>
        <v>21104.540000000005</v>
      </c>
      <c r="U47" s="498">
        <f t="shared" si="2"/>
        <v>21166.640000000003</v>
      </c>
    </row>
    <row r="48" spans="1:21" x14ac:dyDescent="0.2">
      <c r="A48" s="449">
        <v>42248</v>
      </c>
      <c r="B48" s="37"/>
      <c r="C48" s="37"/>
      <c r="D48" s="441"/>
      <c r="E48" s="441"/>
      <c r="F48" s="441"/>
      <c r="G48" s="441"/>
      <c r="H48" s="457"/>
      <c r="I48" s="457"/>
      <c r="J48" s="441"/>
      <c r="K48" s="441"/>
      <c r="L48" s="464">
        <v>20033.049999999992</v>
      </c>
      <c r="M48" s="441">
        <f t="shared" si="0"/>
        <v>20033.049999999992</v>
      </c>
      <c r="N48" s="457"/>
      <c r="O48" s="458">
        <f>+'Hotel kW'!R7</f>
        <v>454.46</v>
      </c>
      <c r="P48" s="458">
        <f>+'Hotel kW'!Q7</f>
        <v>228.1</v>
      </c>
      <c r="Q48" s="457"/>
      <c r="R48" s="461">
        <v>63.45</v>
      </c>
      <c r="S48" s="461">
        <f t="shared" si="3"/>
        <v>63.45</v>
      </c>
      <c r="T48" s="458">
        <f t="shared" si="1"/>
        <v>19743.239999999991</v>
      </c>
      <c r="U48" s="498">
        <f t="shared" si="2"/>
        <v>19806.689999999991</v>
      </c>
    </row>
    <row r="49" spans="1:21" x14ac:dyDescent="0.2">
      <c r="A49" s="449">
        <v>42278</v>
      </c>
      <c r="B49" s="37"/>
      <c r="C49" s="37"/>
      <c r="D49" s="441"/>
      <c r="E49" s="441"/>
      <c r="F49" s="441"/>
      <c r="G49" s="441"/>
      <c r="H49" s="457"/>
      <c r="I49" s="457"/>
      <c r="J49" s="441"/>
      <c r="K49" s="441"/>
      <c r="L49" s="464">
        <v>22740.719999999998</v>
      </c>
      <c r="M49" s="441">
        <f t="shared" si="0"/>
        <v>22740.719999999998</v>
      </c>
      <c r="N49" s="457"/>
      <c r="O49" s="458">
        <f>+'Hotel kW'!R8</f>
        <v>342.72</v>
      </c>
      <c r="P49" s="458">
        <f>+'Hotel kW'!Q8</f>
        <v>171.36</v>
      </c>
      <c r="Q49" s="457"/>
      <c r="R49" s="461">
        <v>108.65</v>
      </c>
      <c r="S49" s="461">
        <f t="shared" si="3"/>
        <v>108.65</v>
      </c>
      <c r="T49" s="458">
        <f t="shared" si="1"/>
        <v>22460.709999999995</v>
      </c>
      <c r="U49" s="498">
        <f t="shared" si="2"/>
        <v>22569.359999999997</v>
      </c>
    </row>
    <row r="50" spans="1:21" x14ac:dyDescent="0.2">
      <c r="A50" s="449">
        <v>42309</v>
      </c>
      <c r="B50" s="37"/>
      <c r="C50" s="37"/>
      <c r="D50" s="441"/>
      <c r="E50" s="441"/>
      <c r="F50" s="441"/>
      <c r="G50" s="441"/>
      <c r="H50" s="457"/>
      <c r="I50" s="457"/>
      <c r="J50" s="441"/>
      <c r="K50" s="441"/>
      <c r="L50" s="464">
        <v>12316.579999999998</v>
      </c>
      <c r="M50" s="441">
        <f t="shared" si="0"/>
        <v>12316.579999999998</v>
      </c>
      <c r="N50" s="457"/>
      <c r="O50" s="458">
        <f>+'Hotel kW'!R9</f>
        <v>362.88</v>
      </c>
      <c r="P50" s="458">
        <f>+'Hotel kW'!Q9</f>
        <v>181.44</v>
      </c>
      <c r="Q50" s="457"/>
      <c r="R50" s="461">
        <v>116.21</v>
      </c>
      <c r="S50" s="461">
        <f t="shared" si="3"/>
        <v>116.21</v>
      </c>
      <c r="T50" s="458">
        <f t="shared" si="1"/>
        <v>12018.93</v>
      </c>
      <c r="U50" s="498">
        <f t="shared" si="2"/>
        <v>12135.14</v>
      </c>
    </row>
    <row r="51" spans="1:21" x14ac:dyDescent="0.2">
      <c r="A51" s="449">
        <v>42339</v>
      </c>
      <c r="B51" s="37"/>
      <c r="C51" s="37"/>
      <c r="D51" s="441"/>
      <c r="E51" s="441"/>
      <c r="F51" s="441"/>
      <c r="G51" s="441"/>
      <c r="H51" s="457"/>
      <c r="I51" s="457"/>
      <c r="J51" s="441"/>
      <c r="K51" s="441"/>
      <c r="L51" s="464">
        <v>20192.89</v>
      </c>
      <c r="M51" s="441">
        <f t="shared" si="0"/>
        <v>20192.89</v>
      </c>
      <c r="N51" s="457"/>
      <c r="O51" s="458">
        <f>+'Hotel kW'!R10</f>
        <v>444.48</v>
      </c>
      <c r="P51" s="458">
        <f>+'Hotel kW'!Q10</f>
        <v>222.24</v>
      </c>
      <c r="Q51" s="457"/>
      <c r="R51" s="461">
        <v>159.6</v>
      </c>
      <c r="S51" s="461">
        <f t="shared" si="3"/>
        <v>159.6</v>
      </c>
      <c r="T51" s="458">
        <f t="shared" si="1"/>
        <v>19811.050000000003</v>
      </c>
      <c r="U51" s="498">
        <f t="shared" si="2"/>
        <v>19970.650000000001</v>
      </c>
    </row>
    <row r="52" spans="1:21" x14ac:dyDescent="0.2">
      <c r="A52" s="449">
        <v>42370</v>
      </c>
      <c r="B52" s="37"/>
      <c r="C52" s="37"/>
      <c r="D52" s="441"/>
      <c r="E52" s="441"/>
      <c r="F52" s="441"/>
      <c r="G52" s="441"/>
      <c r="H52" s="457"/>
      <c r="I52" s="457"/>
      <c r="J52" s="441"/>
      <c r="K52" s="441"/>
      <c r="L52" s="464">
        <v>10876.529999999999</v>
      </c>
      <c r="M52" s="441">
        <f t="shared" si="0"/>
        <v>10876.529999999999</v>
      </c>
      <c r="N52" s="457"/>
      <c r="O52" s="458">
        <f>+'Hotel kW'!R11</f>
        <v>458.88</v>
      </c>
      <c r="P52" s="458">
        <f>+'Hotel kW'!Q11</f>
        <v>229.44</v>
      </c>
      <c r="Q52" s="457"/>
      <c r="R52" s="461">
        <v>281.76</v>
      </c>
      <c r="S52" s="461">
        <f t="shared" si="3"/>
        <v>281.76</v>
      </c>
      <c r="T52" s="458">
        <f t="shared" si="1"/>
        <v>10365.33</v>
      </c>
      <c r="U52" s="498">
        <f t="shared" si="2"/>
        <v>10647.09</v>
      </c>
    </row>
    <row r="53" spans="1:21" x14ac:dyDescent="0.2">
      <c r="A53" s="449">
        <v>42401</v>
      </c>
      <c r="B53" s="37"/>
      <c r="C53" s="37"/>
      <c r="D53" s="441"/>
      <c r="E53" s="441"/>
      <c r="F53" s="441"/>
      <c r="G53" s="441"/>
      <c r="H53" s="457"/>
      <c r="I53" s="457"/>
      <c r="J53" s="441"/>
      <c r="K53" s="441"/>
      <c r="L53" s="464">
        <v>18126.339999999997</v>
      </c>
      <c r="M53" s="441">
        <f t="shared" si="0"/>
        <v>18126.339999999997</v>
      </c>
      <c r="N53" s="457"/>
      <c r="O53" s="458">
        <f>+'Hotel kW'!R12</f>
        <v>486.24</v>
      </c>
      <c r="P53" s="458">
        <f>+'Hotel kW'!Q12</f>
        <v>252</v>
      </c>
      <c r="Q53" s="457"/>
      <c r="R53" s="461">
        <v>320.16000000000003</v>
      </c>
      <c r="S53" s="461">
        <f t="shared" si="3"/>
        <v>320.16000000000003</v>
      </c>
      <c r="T53" s="458">
        <f t="shared" si="1"/>
        <v>17571.939999999995</v>
      </c>
      <c r="U53" s="498">
        <f t="shared" si="2"/>
        <v>17892.099999999995</v>
      </c>
    </row>
    <row r="54" spans="1:21" x14ac:dyDescent="0.2">
      <c r="A54" s="449">
        <v>42430</v>
      </c>
      <c r="B54" s="37"/>
      <c r="C54" s="37"/>
      <c r="D54" s="441"/>
      <c r="E54" s="441"/>
      <c r="F54" s="441"/>
      <c r="G54" s="441"/>
      <c r="H54" s="457"/>
      <c r="I54" s="457"/>
      <c r="J54" s="441"/>
      <c r="K54" s="441"/>
      <c r="L54" s="464">
        <v>18239.159999999996</v>
      </c>
      <c r="M54" s="441">
        <f t="shared" si="0"/>
        <v>18239.159999999996</v>
      </c>
      <c r="N54" s="457"/>
      <c r="O54" s="458">
        <f>+'Hotel kW'!R13</f>
        <v>408</v>
      </c>
      <c r="P54" s="458">
        <f>+'Hotel kW'!Q13</f>
        <v>204</v>
      </c>
      <c r="Q54" s="457"/>
      <c r="R54" s="461">
        <v>320.88</v>
      </c>
      <c r="S54" s="461">
        <f t="shared" si="3"/>
        <v>320.88</v>
      </c>
      <c r="T54" s="458">
        <f t="shared" si="1"/>
        <v>17714.279999999995</v>
      </c>
      <c r="U54" s="498">
        <f t="shared" si="2"/>
        <v>18035.159999999996</v>
      </c>
    </row>
    <row r="55" spans="1:21" x14ac:dyDescent="0.2">
      <c r="A55" s="449">
        <v>42461</v>
      </c>
      <c r="B55" s="37"/>
      <c r="C55" s="37"/>
      <c r="D55" s="441"/>
      <c r="E55" s="441"/>
      <c r="F55" s="441"/>
      <c r="G55" s="441"/>
      <c r="H55" s="457"/>
      <c r="I55" s="457"/>
      <c r="J55" s="441"/>
      <c r="K55" s="441"/>
      <c r="L55" s="464">
        <v>14370.189999999999</v>
      </c>
      <c r="M55" s="441">
        <f t="shared" si="0"/>
        <v>14370.189999999999</v>
      </c>
      <c r="N55" s="457"/>
      <c r="O55" s="458">
        <f>+'Hotel kW'!R14</f>
        <v>414.72</v>
      </c>
      <c r="P55" s="458">
        <f>+'Hotel kW'!Q14</f>
        <v>207.36</v>
      </c>
      <c r="Q55" s="457"/>
      <c r="R55" s="461">
        <v>319.44</v>
      </c>
      <c r="S55" s="461">
        <f t="shared" si="3"/>
        <v>319.44</v>
      </c>
      <c r="T55" s="458">
        <f t="shared" si="1"/>
        <v>13843.39</v>
      </c>
      <c r="U55" s="498">
        <f t="shared" si="2"/>
        <v>14162.83</v>
      </c>
    </row>
    <row r="56" spans="1:21" x14ac:dyDescent="0.2">
      <c r="A56" s="449">
        <v>42491</v>
      </c>
      <c r="B56" s="37"/>
      <c r="C56" s="37"/>
      <c r="D56" s="441"/>
      <c r="E56" s="441"/>
      <c r="F56" s="441"/>
      <c r="G56" s="441"/>
      <c r="H56" s="457"/>
      <c r="I56" s="457"/>
      <c r="J56" s="441"/>
      <c r="K56" s="441"/>
      <c r="L56" s="464">
        <v>15138.01</v>
      </c>
      <c r="M56" s="441">
        <f t="shared" si="0"/>
        <v>15138.01</v>
      </c>
      <c r="N56" s="457"/>
      <c r="O56" s="458">
        <f>+'Hotel kW'!R15</f>
        <v>409.54</v>
      </c>
      <c r="P56" s="458">
        <f>+'Hotel kW'!Q15</f>
        <v>204.77</v>
      </c>
      <c r="Q56" s="457"/>
      <c r="R56" s="461">
        <v>202.08</v>
      </c>
      <c r="S56" s="461">
        <f t="shared" si="3"/>
        <v>202.08</v>
      </c>
      <c r="T56" s="458">
        <f t="shared" si="1"/>
        <v>14731.16</v>
      </c>
      <c r="U56" s="498">
        <f t="shared" si="2"/>
        <v>14933.24</v>
      </c>
    </row>
    <row r="57" spans="1:21" x14ac:dyDescent="0.2">
      <c r="A57" s="452">
        <v>42522</v>
      </c>
      <c r="B57" s="453"/>
      <c r="C57" s="453"/>
      <c r="D57" s="441"/>
      <c r="E57" s="441"/>
      <c r="F57" s="441"/>
      <c r="G57" s="441"/>
      <c r="H57" s="457"/>
      <c r="I57" s="457"/>
      <c r="J57" s="441"/>
      <c r="K57" s="441"/>
      <c r="L57" s="464">
        <v>18506.060000000001</v>
      </c>
      <c r="M57" s="441">
        <f t="shared" si="0"/>
        <v>18506.060000000001</v>
      </c>
      <c r="N57" s="457"/>
      <c r="O57" s="458">
        <f>+'Hotel kW'!R16</f>
        <v>424.22</v>
      </c>
      <c r="P57" s="458">
        <f>+'Hotel kW'!Q16</f>
        <v>214.27</v>
      </c>
      <c r="Q57" s="457"/>
      <c r="R57" s="461">
        <v>210</v>
      </c>
      <c r="S57" s="461">
        <f t="shared" si="3"/>
        <v>210</v>
      </c>
      <c r="T57" s="458">
        <f t="shared" si="1"/>
        <v>18086.11</v>
      </c>
      <c r="U57" s="498">
        <f t="shared" si="2"/>
        <v>18296.11</v>
      </c>
    </row>
    <row r="58" spans="1:21" x14ac:dyDescent="0.2">
      <c r="A58" s="452">
        <v>42552</v>
      </c>
      <c r="B58" s="453"/>
      <c r="C58" s="453"/>
      <c r="D58" s="441"/>
      <c r="E58" s="441"/>
      <c r="F58" s="441"/>
      <c r="G58" s="441"/>
      <c r="H58" s="457"/>
      <c r="I58" s="457"/>
      <c r="J58" s="441"/>
      <c r="K58" s="441"/>
      <c r="L58" s="464">
        <v>19975.889999999996</v>
      </c>
      <c r="M58" s="441">
        <f t="shared" si="0"/>
        <v>19975.889999999996</v>
      </c>
      <c r="N58" s="457"/>
      <c r="O58" s="458">
        <f>+'Hotel kW'!R17</f>
        <v>447.55</v>
      </c>
      <c r="P58" s="458">
        <f>+'Hotel kW'!Q17</f>
        <v>223.78</v>
      </c>
      <c r="Q58" s="457"/>
      <c r="R58" s="461">
        <v>252.72</v>
      </c>
      <c r="S58" s="461">
        <f t="shared" si="3"/>
        <v>252.72</v>
      </c>
      <c r="T58" s="458">
        <f t="shared" si="1"/>
        <v>19499.399999999994</v>
      </c>
      <c r="U58" s="498">
        <f t="shared" si="2"/>
        <v>19752.119999999995</v>
      </c>
    </row>
    <row r="59" spans="1:21" x14ac:dyDescent="0.2">
      <c r="A59" s="449">
        <v>42583</v>
      </c>
      <c r="B59" s="37"/>
      <c r="C59" s="37"/>
      <c r="D59" s="441"/>
      <c r="E59" s="441"/>
      <c r="F59" s="441"/>
      <c r="G59" s="441"/>
      <c r="H59" s="457"/>
      <c r="I59" s="457"/>
      <c r="J59" s="441"/>
      <c r="K59" s="441"/>
      <c r="L59" s="464">
        <v>21844.55000000001</v>
      </c>
      <c r="M59" s="441">
        <f t="shared" si="0"/>
        <v>21844.55000000001</v>
      </c>
      <c r="N59" s="457"/>
      <c r="O59" s="458">
        <f>+'Hotel kW'!R18</f>
        <v>440.64</v>
      </c>
      <c r="P59" s="458">
        <f>+'Hotel kW'!Q18</f>
        <v>222.48</v>
      </c>
      <c r="Q59" s="457"/>
      <c r="R59" s="461">
        <v>297.22000000000003</v>
      </c>
      <c r="S59" s="461">
        <f t="shared" si="3"/>
        <v>297.22000000000003</v>
      </c>
      <c r="T59" s="458">
        <f t="shared" si="1"/>
        <v>21329.170000000009</v>
      </c>
      <c r="U59" s="498">
        <f t="shared" si="2"/>
        <v>21626.39000000001</v>
      </c>
    </row>
    <row r="60" spans="1:21" x14ac:dyDescent="0.2">
      <c r="A60" s="449">
        <v>42614</v>
      </c>
      <c r="B60" s="37"/>
      <c r="C60" s="37"/>
      <c r="D60" s="441"/>
      <c r="E60" s="441"/>
      <c r="F60" s="441"/>
      <c r="G60" s="441"/>
      <c r="H60" s="457"/>
      <c r="I60" s="457"/>
      <c r="J60" s="441"/>
      <c r="K60" s="441"/>
      <c r="L60" s="464">
        <v>20437.060000000005</v>
      </c>
      <c r="M60" s="441">
        <f t="shared" si="0"/>
        <v>20437.060000000005</v>
      </c>
      <c r="N60" s="457"/>
      <c r="O60" s="458">
        <f>+'Hotel kW'!R19</f>
        <v>473.28</v>
      </c>
      <c r="P60" s="458">
        <f>+'Hotel kW'!Q19</f>
        <v>212.98</v>
      </c>
      <c r="Q60" s="457"/>
      <c r="R60" s="461">
        <v>288.14</v>
      </c>
      <c r="S60" s="461">
        <f t="shared" si="3"/>
        <v>288.14</v>
      </c>
      <c r="T60" s="458">
        <f t="shared" si="1"/>
        <v>19888.620000000006</v>
      </c>
      <c r="U60" s="498">
        <f t="shared" si="2"/>
        <v>20176.760000000006</v>
      </c>
    </row>
    <row r="61" spans="1:21" x14ac:dyDescent="0.2">
      <c r="A61" s="449">
        <v>42644</v>
      </c>
      <c r="B61" s="37"/>
      <c r="C61" s="37"/>
      <c r="D61" s="441"/>
      <c r="E61" s="441"/>
      <c r="F61" s="441"/>
      <c r="G61" s="441"/>
      <c r="H61" s="457"/>
      <c r="I61" s="457"/>
      <c r="J61" s="441"/>
      <c r="K61" s="441"/>
      <c r="L61" s="464">
        <v>23018.720000000001</v>
      </c>
      <c r="M61" s="441">
        <f t="shared" si="0"/>
        <v>23018.720000000001</v>
      </c>
      <c r="N61" s="457"/>
      <c r="O61" s="458">
        <f>+'Hotel kW'!R20</f>
        <v>375.36</v>
      </c>
      <c r="P61" s="458">
        <f>+'Hotel kW'!Q20</f>
        <v>168.91</v>
      </c>
      <c r="Q61" s="457"/>
      <c r="R61" s="461">
        <v>304.56</v>
      </c>
      <c r="S61" s="461">
        <f t="shared" si="3"/>
        <v>304.56</v>
      </c>
      <c r="T61" s="458">
        <f t="shared" si="1"/>
        <v>22507.71</v>
      </c>
      <c r="U61" s="498">
        <f t="shared" si="2"/>
        <v>22812.27</v>
      </c>
    </row>
    <row r="62" spans="1:21" x14ac:dyDescent="0.2">
      <c r="A62" s="449">
        <v>42675</v>
      </c>
      <c r="B62" s="37"/>
      <c r="C62" s="37"/>
      <c r="D62" s="441"/>
      <c r="E62" s="441"/>
      <c r="F62" s="441"/>
      <c r="G62" s="441"/>
      <c r="H62" s="457"/>
      <c r="I62" s="457"/>
      <c r="J62" s="441"/>
      <c r="K62" s="441"/>
      <c r="L62" s="464">
        <v>14404.260000000002</v>
      </c>
      <c r="M62" s="441">
        <f t="shared" si="0"/>
        <v>14404.260000000002</v>
      </c>
      <c r="N62" s="457"/>
      <c r="O62" s="458">
        <f>+'Hotel kW'!R21</f>
        <v>336</v>
      </c>
      <c r="P62" s="458">
        <f>+'Hotel kW'!Q21</f>
        <v>159.36000000000001</v>
      </c>
      <c r="Q62" s="457"/>
      <c r="R62" s="461">
        <v>274.97000000000003</v>
      </c>
      <c r="S62" s="461">
        <f t="shared" si="3"/>
        <v>274.97000000000003</v>
      </c>
      <c r="T62" s="458">
        <f t="shared" si="1"/>
        <v>13952.650000000003</v>
      </c>
      <c r="U62" s="498">
        <f t="shared" si="2"/>
        <v>14227.620000000003</v>
      </c>
    </row>
    <row r="63" spans="1:21" x14ac:dyDescent="0.2">
      <c r="A63" s="449">
        <v>42705</v>
      </c>
      <c r="B63" s="37"/>
      <c r="C63" s="37"/>
      <c r="D63" s="441"/>
      <c r="E63" s="441"/>
      <c r="F63" s="441"/>
      <c r="G63" s="441"/>
      <c r="H63" s="457"/>
      <c r="I63" s="457"/>
      <c r="J63" s="441"/>
      <c r="K63" s="441"/>
      <c r="L63" s="464">
        <v>16218.590000000004</v>
      </c>
      <c r="M63" s="441">
        <f t="shared" si="0"/>
        <v>16218.590000000004</v>
      </c>
      <c r="N63" s="457"/>
      <c r="O63" s="458">
        <f>+'Hotel kW'!R22</f>
        <v>271.29000000000019</v>
      </c>
      <c r="P63" s="458">
        <f>+'Hotel kW'!Q22</f>
        <v>186.72</v>
      </c>
      <c r="Q63" s="457"/>
      <c r="R63" s="461">
        <v>432.72</v>
      </c>
      <c r="S63" s="461">
        <f t="shared" si="3"/>
        <v>432.72</v>
      </c>
      <c r="T63" s="458">
        <f t="shared" si="1"/>
        <v>15701.300000000003</v>
      </c>
      <c r="U63" s="498">
        <f t="shared" si="2"/>
        <v>16134.020000000002</v>
      </c>
    </row>
    <row r="64" spans="1:21" x14ac:dyDescent="0.2">
      <c r="A64" s="449">
        <v>42736</v>
      </c>
      <c r="B64" s="37"/>
      <c r="C64" s="37"/>
      <c r="D64" s="441"/>
      <c r="E64" s="441"/>
      <c r="F64" s="441"/>
      <c r="G64" s="441"/>
      <c r="H64" s="457"/>
      <c r="I64" s="457"/>
      <c r="J64" s="441"/>
      <c r="K64" s="441"/>
      <c r="L64" s="464">
        <v>12511.61</v>
      </c>
      <c r="M64" s="441">
        <f t="shared" si="0"/>
        <v>12511.61</v>
      </c>
      <c r="N64" s="457"/>
      <c r="O64" s="458">
        <f>+'Hotel kW'!R23</f>
        <v>425.28</v>
      </c>
      <c r="P64" s="458">
        <f>+'Hotel kW'!Q23</f>
        <v>212.64</v>
      </c>
      <c r="Q64" s="457"/>
      <c r="R64" s="461">
        <v>479.52</v>
      </c>
      <c r="S64" s="461">
        <f t="shared" si="3"/>
        <v>479.52</v>
      </c>
      <c r="T64" s="458">
        <f t="shared" si="1"/>
        <v>11819.449999999999</v>
      </c>
      <c r="U64" s="498">
        <f t="shared" si="2"/>
        <v>12298.97</v>
      </c>
    </row>
    <row r="65" spans="1:21" x14ac:dyDescent="0.2">
      <c r="A65" s="449">
        <v>42767</v>
      </c>
      <c r="B65" s="37"/>
      <c r="C65" s="37"/>
      <c r="D65" s="441"/>
      <c r="E65" s="441"/>
      <c r="F65" s="441"/>
      <c r="G65" s="441"/>
      <c r="H65" s="457"/>
      <c r="I65" s="457"/>
      <c r="J65" s="441"/>
      <c r="K65" s="441"/>
      <c r="L65" s="464">
        <v>13499.75</v>
      </c>
      <c r="M65" s="441">
        <f t="shared" si="0"/>
        <v>13499.75</v>
      </c>
      <c r="N65" s="457"/>
      <c r="O65" s="458">
        <f>+'Hotel kW'!R24</f>
        <v>369.6</v>
      </c>
      <c r="P65" s="458">
        <f>+'Hotel kW'!Q24</f>
        <v>184.8</v>
      </c>
      <c r="Q65" s="457"/>
      <c r="R65" s="461">
        <v>506.88</v>
      </c>
      <c r="S65" s="461">
        <f t="shared" si="3"/>
        <v>506.88</v>
      </c>
      <c r="T65" s="458">
        <f t="shared" si="1"/>
        <v>12808.07</v>
      </c>
      <c r="U65" s="498">
        <f t="shared" si="2"/>
        <v>13314.949999999999</v>
      </c>
    </row>
    <row r="66" spans="1:21" x14ac:dyDescent="0.2">
      <c r="A66" s="449">
        <v>42795</v>
      </c>
      <c r="B66" s="37"/>
      <c r="C66" s="37"/>
      <c r="D66" s="441"/>
      <c r="E66" s="441"/>
      <c r="F66" s="441"/>
      <c r="G66" s="441"/>
      <c r="H66" s="457"/>
      <c r="I66" s="457"/>
      <c r="J66" s="441"/>
      <c r="K66" s="441"/>
      <c r="L66" s="464">
        <v>19462.93</v>
      </c>
      <c r="M66" s="441">
        <f t="shared" si="0"/>
        <v>19462.93</v>
      </c>
      <c r="N66" s="457"/>
      <c r="O66" s="458">
        <f>+'Hotel kW'!R25</f>
        <v>403.2</v>
      </c>
      <c r="P66" s="458">
        <f>+'Hotel kW'!Q25</f>
        <v>201.6</v>
      </c>
      <c r="Q66" s="457"/>
      <c r="R66" s="461">
        <v>503.76</v>
      </c>
      <c r="S66" s="461">
        <f t="shared" si="3"/>
        <v>503.76</v>
      </c>
      <c r="T66" s="458">
        <f t="shared" si="1"/>
        <v>18757.57</v>
      </c>
      <c r="U66" s="498">
        <f t="shared" si="2"/>
        <v>19261.329999999998</v>
      </c>
    </row>
    <row r="67" spans="1:21" x14ac:dyDescent="0.2">
      <c r="A67" s="449">
        <v>42826</v>
      </c>
      <c r="B67" s="37"/>
      <c r="C67" s="37"/>
      <c r="D67" s="441"/>
      <c r="E67" s="441"/>
      <c r="F67" s="441"/>
      <c r="G67" s="441"/>
      <c r="H67" s="457"/>
      <c r="I67" s="457"/>
      <c r="J67" s="441"/>
      <c r="K67" s="441"/>
      <c r="L67" s="464">
        <v>14779.2</v>
      </c>
      <c r="M67" s="441">
        <f t="shared" si="0"/>
        <v>14779.2</v>
      </c>
      <c r="N67" s="457"/>
      <c r="O67" s="458">
        <f>+'Hotel kW'!R26</f>
        <v>306.24</v>
      </c>
      <c r="P67" s="458">
        <f>+'Hotel kW'!Q26</f>
        <v>153.12</v>
      </c>
      <c r="Q67" s="457"/>
      <c r="R67" s="461">
        <v>561.36</v>
      </c>
      <c r="S67" s="461">
        <f t="shared" si="3"/>
        <v>561.36</v>
      </c>
      <c r="T67" s="458">
        <f t="shared" si="1"/>
        <v>14064.720000000001</v>
      </c>
      <c r="U67" s="498">
        <f t="shared" si="2"/>
        <v>14626.080000000002</v>
      </c>
    </row>
    <row r="68" spans="1:21" x14ac:dyDescent="0.2">
      <c r="A68" s="449">
        <v>42856</v>
      </c>
      <c r="B68" s="37"/>
      <c r="C68" s="37"/>
      <c r="D68" s="441"/>
      <c r="E68" s="441"/>
      <c r="F68" s="441"/>
      <c r="G68" s="441"/>
      <c r="H68" s="457"/>
      <c r="I68" s="457"/>
      <c r="J68" s="441"/>
      <c r="K68" s="441"/>
      <c r="L68" s="464">
        <v>19005.009999999995</v>
      </c>
      <c r="M68" s="441">
        <f t="shared" si="0"/>
        <v>19005.009999999995</v>
      </c>
      <c r="N68" s="457"/>
      <c r="O68" s="458">
        <f>+'Hotel kW'!R27</f>
        <v>317.08999999999997</v>
      </c>
      <c r="P68" s="458">
        <f>+'Hotel kW'!Q27</f>
        <v>158.54</v>
      </c>
      <c r="Q68" s="457"/>
      <c r="R68" s="461">
        <v>520.79999999999995</v>
      </c>
      <c r="S68" s="461">
        <f t="shared" si="3"/>
        <v>520.79999999999995</v>
      </c>
      <c r="T68" s="458">
        <f t="shared" si="1"/>
        <v>18325.659999999996</v>
      </c>
      <c r="U68" s="498">
        <f t="shared" si="2"/>
        <v>18846.459999999995</v>
      </c>
    </row>
    <row r="69" spans="1:21" x14ac:dyDescent="0.2">
      <c r="A69" s="449">
        <v>42887</v>
      </c>
      <c r="B69" s="37"/>
      <c r="C69" s="37"/>
      <c r="D69" s="441"/>
      <c r="E69" s="441"/>
      <c r="F69" s="441"/>
      <c r="G69" s="441"/>
      <c r="H69" s="457"/>
      <c r="I69" s="457"/>
      <c r="J69" s="441"/>
      <c r="K69" s="441"/>
      <c r="L69" s="464">
        <v>17170.050000000003</v>
      </c>
      <c r="M69" s="441">
        <f t="shared" ref="M69:M95" si="4">+D69+E69+F69+G69+H69+L69</f>
        <v>17170.050000000003</v>
      </c>
      <c r="N69" s="457"/>
      <c r="O69" s="458">
        <f>+'Hotel kW'!R28</f>
        <v>379.3</v>
      </c>
      <c r="P69" s="458">
        <f>+'Hotel kW'!Q28</f>
        <v>189.65</v>
      </c>
      <c r="Q69" s="457"/>
      <c r="R69" s="461">
        <v>510.24</v>
      </c>
      <c r="S69" s="461">
        <f t="shared" si="3"/>
        <v>510.24</v>
      </c>
      <c r="T69" s="458">
        <f t="shared" ref="T69:T91" si="5">+M69-O69+P69-S69</f>
        <v>16470.160000000003</v>
      </c>
      <c r="U69" s="498">
        <f t="shared" ref="U69:U107" si="6">+M69-O69+P69</f>
        <v>16980.400000000005</v>
      </c>
    </row>
    <row r="70" spans="1:21" x14ac:dyDescent="0.2">
      <c r="A70" s="449">
        <v>42917</v>
      </c>
      <c r="B70" s="37"/>
      <c r="C70" s="37"/>
      <c r="D70" s="441"/>
      <c r="E70" s="441"/>
      <c r="F70" s="441"/>
      <c r="G70" s="441"/>
      <c r="H70" s="457"/>
      <c r="I70" s="457"/>
      <c r="J70" s="441"/>
      <c r="K70" s="441"/>
      <c r="L70" s="464">
        <v>20267.259999999998</v>
      </c>
      <c r="M70" s="441">
        <f t="shared" si="4"/>
        <v>20267.259999999998</v>
      </c>
      <c r="N70" s="457"/>
      <c r="O70" s="458">
        <f>+'Hotel kW'!R29</f>
        <v>368.93</v>
      </c>
      <c r="P70" s="458">
        <f>+'Hotel kW'!Q29</f>
        <v>184.46</v>
      </c>
      <c r="Q70" s="441"/>
      <c r="R70" s="461">
        <v>504.48</v>
      </c>
      <c r="S70" s="461">
        <f t="shared" si="3"/>
        <v>504.48</v>
      </c>
      <c r="T70" s="458">
        <f t="shared" si="5"/>
        <v>19578.309999999998</v>
      </c>
      <c r="U70" s="498">
        <f t="shared" si="6"/>
        <v>20082.789999999997</v>
      </c>
    </row>
    <row r="71" spans="1:21" x14ac:dyDescent="0.2">
      <c r="A71" s="449">
        <v>42948</v>
      </c>
      <c r="B71" s="37"/>
      <c r="C71" s="37"/>
      <c r="D71" s="441"/>
      <c r="E71" s="441"/>
      <c r="F71" s="441"/>
      <c r="G71" s="441"/>
      <c r="H71" s="457"/>
      <c r="I71" s="457"/>
      <c r="J71" s="441"/>
      <c r="K71" s="441"/>
      <c r="L71" s="464">
        <v>20371.68</v>
      </c>
      <c r="M71" s="441">
        <f t="shared" si="4"/>
        <v>20371.68</v>
      </c>
      <c r="N71" s="457"/>
      <c r="O71" s="458">
        <f>+'Hotel kW'!R30</f>
        <v>349.06</v>
      </c>
      <c r="P71" s="458">
        <f>+'Hotel kW'!Q30</f>
        <v>175.82</v>
      </c>
      <c r="Q71" s="441"/>
      <c r="R71" s="461">
        <v>530.4</v>
      </c>
      <c r="S71" s="461">
        <f t="shared" si="3"/>
        <v>530.4</v>
      </c>
      <c r="T71" s="458">
        <f t="shared" si="5"/>
        <v>19668.039999999997</v>
      </c>
      <c r="U71" s="498">
        <f t="shared" si="6"/>
        <v>20198.439999999999</v>
      </c>
    </row>
    <row r="72" spans="1:21" x14ac:dyDescent="0.2">
      <c r="A72" s="449">
        <v>42979</v>
      </c>
      <c r="B72" s="37"/>
      <c r="C72" s="37"/>
      <c r="D72" s="441"/>
      <c r="E72" s="441"/>
      <c r="F72" s="441"/>
      <c r="G72" s="441"/>
      <c r="H72" s="457"/>
      <c r="I72" s="457"/>
      <c r="J72" s="441"/>
      <c r="K72" s="441"/>
      <c r="L72" s="464">
        <v>19498.139999999996</v>
      </c>
      <c r="M72" s="441">
        <f t="shared" si="4"/>
        <v>19498.139999999996</v>
      </c>
      <c r="N72" s="457"/>
      <c r="O72" s="458">
        <f>+'Hotel kW'!R31</f>
        <v>382.75</v>
      </c>
      <c r="P72" s="458">
        <f>+'Hotel kW'!Q31</f>
        <v>191.38</v>
      </c>
      <c r="Q72" s="441"/>
      <c r="R72" s="461">
        <v>542.16</v>
      </c>
      <c r="S72" s="461">
        <f t="shared" si="3"/>
        <v>542.16</v>
      </c>
      <c r="T72" s="458">
        <f t="shared" si="5"/>
        <v>18764.609999999997</v>
      </c>
      <c r="U72" s="498">
        <f t="shared" si="6"/>
        <v>19306.769999999997</v>
      </c>
    </row>
    <row r="73" spans="1:21" x14ac:dyDescent="0.2">
      <c r="A73" s="449">
        <v>43009</v>
      </c>
      <c r="B73" s="37"/>
      <c r="C73" s="37"/>
      <c r="D73" s="441"/>
      <c r="E73" s="441"/>
      <c r="F73" s="441"/>
      <c r="G73" s="441"/>
      <c r="H73" s="457"/>
      <c r="I73" s="457"/>
      <c r="J73" s="441"/>
      <c r="K73" s="441"/>
      <c r="L73" s="464">
        <v>23346.499999999996</v>
      </c>
      <c r="M73" s="457">
        <f t="shared" si="4"/>
        <v>23346.499999999996</v>
      </c>
      <c r="N73" s="457"/>
      <c r="O73" s="458">
        <f>+'Hotel kW'!R32</f>
        <v>277.56</v>
      </c>
      <c r="P73" s="458">
        <f>+'Hotel kW'!Q32</f>
        <v>140.4</v>
      </c>
      <c r="Q73" s="441"/>
      <c r="R73" s="461">
        <v>489.36</v>
      </c>
      <c r="S73" s="461">
        <f t="shared" si="3"/>
        <v>489.36</v>
      </c>
      <c r="T73" s="458">
        <f t="shared" si="5"/>
        <v>22719.979999999996</v>
      </c>
      <c r="U73" s="498">
        <f t="shared" si="6"/>
        <v>23209.339999999997</v>
      </c>
    </row>
    <row r="74" spans="1:21" x14ac:dyDescent="0.2">
      <c r="A74" s="449">
        <v>43040</v>
      </c>
      <c r="B74" s="37"/>
      <c r="C74" s="37"/>
      <c r="D74" s="441"/>
      <c r="E74" s="441"/>
      <c r="F74" s="441"/>
      <c r="G74" s="441"/>
      <c r="H74" s="457"/>
      <c r="I74" s="457"/>
      <c r="J74" s="441"/>
      <c r="K74" s="441"/>
      <c r="L74" s="464">
        <v>15166.850000000002</v>
      </c>
      <c r="M74" s="457">
        <f t="shared" si="4"/>
        <v>15166.850000000002</v>
      </c>
      <c r="N74" s="457"/>
      <c r="O74" s="458">
        <f>+'Hotel kW'!R33</f>
        <v>346.56</v>
      </c>
      <c r="P74" s="458">
        <f>+'Hotel kW'!Q33</f>
        <v>173.28</v>
      </c>
      <c r="Q74" s="441"/>
      <c r="R74" s="461">
        <v>479.76</v>
      </c>
      <c r="S74" s="461">
        <f t="shared" si="3"/>
        <v>479.76</v>
      </c>
      <c r="T74" s="461">
        <f t="shared" si="5"/>
        <v>14513.810000000003</v>
      </c>
      <c r="U74" s="498">
        <f t="shared" si="6"/>
        <v>14993.570000000003</v>
      </c>
    </row>
    <row r="75" spans="1:21" s="467" customFormat="1" ht="13.5" thickBot="1" x14ac:dyDescent="0.25">
      <c r="A75" s="465">
        <v>43070</v>
      </c>
      <c r="B75" s="466"/>
      <c r="C75" s="466"/>
      <c r="D75" s="469"/>
      <c r="E75" s="469"/>
      <c r="F75" s="469"/>
      <c r="G75" s="469"/>
      <c r="H75" s="468"/>
      <c r="I75" s="468"/>
      <c r="J75" s="469"/>
      <c r="K75" s="469"/>
      <c r="L75" s="464">
        <v>16454.989999999998</v>
      </c>
      <c r="M75" s="468">
        <f t="shared" si="4"/>
        <v>16454.989999999998</v>
      </c>
      <c r="N75" s="468"/>
      <c r="O75" s="470">
        <f>+'Hotel kW'!R34</f>
        <v>475.2</v>
      </c>
      <c r="P75" s="470">
        <f>+'Hotel kW'!Q34</f>
        <v>237.6</v>
      </c>
      <c r="Q75" s="469"/>
      <c r="R75" s="479">
        <v>487.92</v>
      </c>
      <c r="S75" s="479">
        <f t="shared" si="3"/>
        <v>487.92</v>
      </c>
      <c r="T75" s="479">
        <f t="shared" si="5"/>
        <v>15729.469999999998</v>
      </c>
      <c r="U75" s="498">
        <f t="shared" si="6"/>
        <v>16217.389999999998</v>
      </c>
    </row>
    <row r="76" spans="1:21" ht="13.5" thickTop="1" x14ac:dyDescent="0.2">
      <c r="A76" s="449">
        <v>43101</v>
      </c>
      <c r="B76" s="450"/>
      <c r="C76" s="450"/>
      <c r="D76" s="450">
        <v>736.2</v>
      </c>
      <c r="E76" s="450">
        <v>1081.7</v>
      </c>
      <c r="F76" s="450">
        <v>7265.8</v>
      </c>
      <c r="G76" s="450">
        <v>7517.6</v>
      </c>
      <c r="H76" s="450">
        <v>1008</v>
      </c>
      <c r="I76" s="458"/>
      <c r="J76" s="450"/>
      <c r="K76" s="450">
        <v>198.9</v>
      </c>
      <c r="L76" s="450"/>
      <c r="M76" s="450">
        <f t="shared" si="4"/>
        <v>17609.300000000003</v>
      </c>
      <c r="N76" s="461">
        <f t="shared" ref="N76:N93" si="7">D76+E76+F76+G76+H76+K76+I76</f>
        <v>17808.200000000004</v>
      </c>
      <c r="O76" s="450">
        <f>+'Hotel kW'!R35</f>
        <v>444.48</v>
      </c>
      <c r="P76" s="450">
        <f>+'Hotel kW'!Q35</f>
        <v>222.24</v>
      </c>
      <c r="Q76" s="461"/>
      <c r="R76" s="461">
        <v>491.04</v>
      </c>
      <c r="S76" s="461">
        <f t="shared" si="3"/>
        <v>491.04</v>
      </c>
      <c r="T76" s="461">
        <f t="shared" si="5"/>
        <v>16896.020000000004</v>
      </c>
      <c r="U76" s="498">
        <f t="shared" si="6"/>
        <v>17387.060000000005</v>
      </c>
    </row>
    <row r="77" spans="1:21" x14ac:dyDescent="0.2">
      <c r="A77" s="449">
        <v>43132</v>
      </c>
      <c r="B77" s="450"/>
      <c r="C77" s="450"/>
      <c r="D77" s="450">
        <v>667.2</v>
      </c>
      <c r="E77" s="450">
        <v>1194.5999999999999</v>
      </c>
      <c r="F77" s="450">
        <v>6983.5</v>
      </c>
      <c r="G77" s="450">
        <v>8052.2</v>
      </c>
      <c r="H77" s="450">
        <v>888</v>
      </c>
      <c r="I77" s="458"/>
      <c r="J77" s="450"/>
      <c r="K77" s="450">
        <v>198.9</v>
      </c>
      <c r="L77" s="450"/>
      <c r="M77" s="450">
        <f t="shared" si="4"/>
        <v>17785.5</v>
      </c>
      <c r="N77" s="461">
        <f t="shared" si="7"/>
        <v>17984.400000000001</v>
      </c>
      <c r="O77" s="450">
        <f>+'Hotel kW'!R36</f>
        <v>336</v>
      </c>
      <c r="P77" s="450">
        <f>+'Hotel kW'!Q36</f>
        <v>168</v>
      </c>
      <c r="Q77" s="461"/>
      <c r="R77" s="461">
        <v>599.28</v>
      </c>
      <c r="S77" s="461">
        <f t="shared" si="3"/>
        <v>599.28</v>
      </c>
      <c r="T77" s="461">
        <f t="shared" si="5"/>
        <v>17018.22</v>
      </c>
      <c r="U77" s="498">
        <f t="shared" si="6"/>
        <v>17617.5</v>
      </c>
    </row>
    <row r="78" spans="1:21" x14ac:dyDescent="0.2">
      <c r="A78" s="449">
        <v>43160</v>
      </c>
      <c r="B78" s="450"/>
      <c r="C78" s="450"/>
      <c r="D78" s="450">
        <v>595.20000000000005</v>
      </c>
      <c r="E78" s="450">
        <v>1098.8499999999999</v>
      </c>
      <c r="F78" s="450">
        <v>6693.6</v>
      </c>
      <c r="G78" s="450">
        <v>8082.13</v>
      </c>
      <c r="H78" s="450">
        <v>820.8</v>
      </c>
      <c r="I78" s="458"/>
      <c r="J78" s="450"/>
      <c r="K78" s="450">
        <v>198.89</v>
      </c>
      <c r="L78" s="450"/>
      <c r="M78" s="450">
        <f t="shared" si="4"/>
        <v>17290.579999999998</v>
      </c>
      <c r="N78" s="461">
        <f t="shared" si="7"/>
        <v>17489.469999999998</v>
      </c>
      <c r="O78" s="450">
        <f>+'Hotel kW'!R37</f>
        <v>0</v>
      </c>
      <c r="P78" s="450">
        <f>+'Hotel kW'!Q37</f>
        <v>161.28</v>
      </c>
      <c r="Q78" s="461">
        <v>604.79999999999995</v>
      </c>
      <c r="R78" s="461">
        <v>522.72</v>
      </c>
      <c r="S78" s="461">
        <f t="shared" si="3"/>
        <v>1127.52</v>
      </c>
      <c r="T78" s="461">
        <f t="shared" si="5"/>
        <v>16324.339999999997</v>
      </c>
      <c r="U78" s="498">
        <f t="shared" si="6"/>
        <v>17451.859999999997</v>
      </c>
    </row>
    <row r="79" spans="1:21" x14ac:dyDescent="0.2">
      <c r="A79" s="449">
        <v>43191</v>
      </c>
      <c r="B79" s="450"/>
      <c r="C79" s="450"/>
      <c r="D79" s="450">
        <v>687.38</v>
      </c>
      <c r="E79" s="450">
        <v>1062.04</v>
      </c>
      <c r="F79" s="450">
        <v>7002.71</v>
      </c>
      <c r="G79" s="450">
        <v>3464.09</v>
      </c>
      <c r="H79" s="450">
        <v>820.8</v>
      </c>
      <c r="I79" s="458"/>
      <c r="J79" s="450"/>
      <c r="K79" s="450">
        <v>198.89</v>
      </c>
      <c r="L79" s="450"/>
      <c r="M79" s="450">
        <f t="shared" si="4"/>
        <v>13037.02</v>
      </c>
      <c r="N79" s="461">
        <f t="shared" si="7"/>
        <v>13235.91</v>
      </c>
      <c r="O79" s="450">
        <f>+'Hotel kW'!R38</f>
        <v>-5554.69</v>
      </c>
      <c r="P79" s="450">
        <f>+'Hotel kW'!Q38</f>
        <v>175.2</v>
      </c>
      <c r="Q79" s="461">
        <v>2083.1999999999998</v>
      </c>
      <c r="R79" s="461">
        <v>509.28</v>
      </c>
      <c r="S79" s="461">
        <f t="shared" si="3"/>
        <v>2592.4799999999996</v>
      </c>
      <c r="T79" s="461">
        <f t="shared" si="5"/>
        <v>16174.43</v>
      </c>
      <c r="U79" s="498">
        <f t="shared" si="6"/>
        <v>18766.91</v>
      </c>
    </row>
    <row r="80" spans="1:21" x14ac:dyDescent="0.2">
      <c r="A80" s="449">
        <v>43221</v>
      </c>
      <c r="B80" s="450"/>
      <c r="C80" s="450"/>
      <c r="D80" s="450">
        <v>710.85</v>
      </c>
      <c r="E80" s="450">
        <v>1210.0899999999999</v>
      </c>
      <c r="F80" s="450">
        <v>8277.57</v>
      </c>
      <c r="G80" s="450">
        <v>3193.83</v>
      </c>
      <c r="H80" s="450">
        <v>1142.6400000000001</v>
      </c>
      <c r="I80" s="458"/>
      <c r="J80" s="450"/>
      <c r="K80" s="450">
        <v>198.89</v>
      </c>
      <c r="L80" s="450"/>
      <c r="M80" s="450">
        <f t="shared" si="4"/>
        <v>14534.98</v>
      </c>
      <c r="N80" s="461">
        <f t="shared" si="7"/>
        <v>14733.869999999999</v>
      </c>
      <c r="O80" s="450">
        <f>+'Hotel kW'!R39</f>
        <v>-6595</v>
      </c>
      <c r="P80" s="450">
        <f>+'Hotel kW'!Q39</f>
        <v>183.17</v>
      </c>
      <c r="Q80" s="461">
        <v>2016</v>
      </c>
      <c r="R80" s="461">
        <v>569.28</v>
      </c>
      <c r="S80" s="461">
        <f t="shared" si="3"/>
        <v>2585.2799999999997</v>
      </c>
      <c r="T80" s="461">
        <f t="shared" si="5"/>
        <v>18727.87</v>
      </c>
      <c r="U80" s="498">
        <f t="shared" si="6"/>
        <v>21313.149999999998</v>
      </c>
    </row>
    <row r="81" spans="1:21" x14ac:dyDescent="0.2">
      <c r="A81" s="449">
        <v>43252</v>
      </c>
      <c r="B81" s="450"/>
      <c r="C81" s="450"/>
      <c r="D81" s="450">
        <v>704.72</v>
      </c>
      <c r="E81" s="450">
        <v>1209.3699999999999</v>
      </c>
      <c r="F81" s="450">
        <v>8617.4699999999993</v>
      </c>
      <c r="G81" s="450">
        <v>9573.24</v>
      </c>
      <c r="H81" s="450">
        <v>1166.4000000000001</v>
      </c>
      <c r="I81" s="458"/>
      <c r="J81" s="450"/>
      <c r="K81" s="450">
        <v>198.89</v>
      </c>
      <c r="L81" s="450"/>
      <c r="M81" s="450">
        <f t="shared" si="4"/>
        <v>21271.200000000001</v>
      </c>
      <c r="N81" s="461">
        <f t="shared" si="7"/>
        <v>21470.09</v>
      </c>
      <c r="O81" s="450">
        <f>+'Hotel kW'!R40</f>
        <v>0</v>
      </c>
      <c r="P81" s="450">
        <f>+'Hotel kW'!Q40</f>
        <v>201.31</v>
      </c>
      <c r="Q81" s="461">
        <v>1478.4</v>
      </c>
      <c r="R81" s="461">
        <v>579.12</v>
      </c>
      <c r="S81" s="461">
        <f t="shared" si="3"/>
        <v>2057.52</v>
      </c>
      <c r="T81" s="461">
        <f t="shared" si="5"/>
        <v>19414.990000000002</v>
      </c>
      <c r="U81" s="498">
        <f t="shared" si="6"/>
        <v>21472.510000000002</v>
      </c>
    </row>
    <row r="82" spans="1:21" x14ac:dyDescent="0.2">
      <c r="A82" s="449">
        <v>43282</v>
      </c>
      <c r="B82" s="450"/>
      <c r="C82" s="450"/>
      <c r="D82" s="450">
        <v>775.88</v>
      </c>
      <c r="E82" s="450">
        <v>629.67999999999995</v>
      </c>
      <c r="F82" s="450">
        <v>9543.89</v>
      </c>
      <c r="G82" s="450">
        <v>6859.35</v>
      </c>
      <c r="H82" s="450">
        <v>5422.11</v>
      </c>
      <c r="I82" s="458"/>
      <c r="J82" s="450"/>
      <c r="K82" s="450">
        <v>198.89</v>
      </c>
      <c r="L82" s="450"/>
      <c r="M82" s="450">
        <f t="shared" si="4"/>
        <v>23230.91</v>
      </c>
      <c r="N82" s="461">
        <f t="shared" si="7"/>
        <v>23429.8</v>
      </c>
      <c r="O82" s="450">
        <f>+'Hotel kW'!R41</f>
        <v>0</v>
      </c>
      <c r="P82" s="450">
        <f>+'Hotel kW'!Q41</f>
        <v>209.52</v>
      </c>
      <c r="Q82" s="461">
        <v>2643.2</v>
      </c>
      <c r="R82" s="458"/>
      <c r="S82" s="461">
        <f t="shared" si="3"/>
        <v>2643.2</v>
      </c>
      <c r="T82" s="461">
        <f t="shared" si="5"/>
        <v>20797.23</v>
      </c>
      <c r="U82" s="498">
        <f t="shared" si="6"/>
        <v>23440.43</v>
      </c>
    </row>
    <row r="83" spans="1:21" x14ac:dyDescent="0.2">
      <c r="A83" s="449">
        <v>43313</v>
      </c>
      <c r="B83" s="450"/>
      <c r="C83" s="450"/>
      <c r="D83" s="450">
        <v>765.98</v>
      </c>
      <c r="E83" s="450">
        <v>607.55999999999995</v>
      </c>
      <c r="F83" s="450">
        <v>10024.530000000001</v>
      </c>
      <c r="G83" s="450">
        <v>10496.79</v>
      </c>
      <c r="H83" s="450">
        <v>5835.07</v>
      </c>
      <c r="I83" s="458"/>
      <c r="J83" s="450"/>
      <c r="K83" s="450">
        <v>198.89</v>
      </c>
      <c r="L83" s="450"/>
      <c r="M83" s="450">
        <f t="shared" si="4"/>
        <v>27729.93</v>
      </c>
      <c r="N83" s="461">
        <f t="shared" si="7"/>
        <v>27928.82</v>
      </c>
      <c r="O83" s="450">
        <f>+'Hotel kW'!R42</f>
        <v>3498.3</v>
      </c>
      <c r="P83" s="450">
        <f>+'Hotel kW'!Q42</f>
        <v>208.66</v>
      </c>
      <c r="Q83" s="461">
        <v>3763.2</v>
      </c>
      <c r="R83" s="458"/>
      <c r="S83" s="461">
        <f t="shared" si="3"/>
        <v>3763.2</v>
      </c>
      <c r="T83" s="461">
        <f t="shared" si="5"/>
        <v>20677.09</v>
      </c>
      <c r="U83" s="498">
        <f t="shared" si="6"/>
        <v>24440.29</v>
      </c>
    </row>
    <row r="84" spans="1:21" x14ac:dyDescent="0.2">
      <c r="A84" s="449">
        <v>43344</v>
      </c>
      <c r="B84" s="450"/>
      <c r="C84" s="450"/>
      <c r="D84" s="450">
        <v>746.9</v>
      </c>
      <c r="E84" s="450">
        <v>632.79999999999995</v>
      </c>
      <c r="F84" s="450">
        <v>9542.5499999999993</v>
      </c>
      <c r="G84" s="450">
        <v>10977.05</v>
      </c>
      <c r="H84" s="450">
        <v>7962.13</v>
      </c>
      <c r="I84" s="458"/>
      <c r="J84" s="450"/>
      <c r="K84" s="450">
        <v>198.89</v>
      </c>
      <c r="L84" s="450"/>
      <c r="M84" s="450">
        <f t="shared" si="4"/>
        <v>29861.43</v>
      </c>
      <c r="N84" s="461">
        <f t="shared" si="7"/>
        <v>30060.32</v>
      </c>
      <c r="O84" s="450">
        <f>+'Hotel kW'!R43</f>
        <v>3939.5999999999995</v>
      </c>
      <c r="P84" s="450">
        <f>+'Hotel kW'!Q43</f>
        <v>206.93</v>
      </c>
      <c r="Q84" s="450">
        <v>4121.6000000000004</v>
      </c>
      <c r="R84" s="458"/>
      <c r="S84" s="461">
        <f t="shared" si="3"/>
        <v>4121.6000000000004</v>
      </c>
      <c r="T84" s="461">
        <f t="shared" si="5"/>
        <v>22007.160000000003</v>
      </c>
      <c r="U84" s="498">
        <f t="shared" si="6"/>
        <v>26128.760000000002</v>
      </c>
    </row>
    <row r="85" spans="1:21" x14ac:dyDescent="0.2">
      <c r="A85" s="449">
        <v>43374</v>
      </c>
      <c r="B85" s="450"/>
      <c r="C85" s="450"/>
      <c r="D85" s="450">
        <v>700.58</v>
      </c>
      <c r="E85" s="450">
        <v>574.97</v>
      </c>
      <c r="F85" s="450">
        <v>8101.07</v>
      </c>
      <c r="G85" s="450">
        <v>6409.45</v>
      </c>
      <c r="H85" s="450">
        <v>6816.3</v>
      </c>
      <c r="I85" s="458"/>
      <c r="J85" s="450"/>
      <c r="K85" s="450">
        <v>198.89</v>
      </c>
      <c r="L85" s="450"/>
      <c r="M85" s="450">
        <f t="shared" si="4"/>
        <v>22602.37</v>
      </c>
      <c r="N85" s="461">
        <f t="shared" si="7"/>
        <v>22801.26</v>
      </c>
      <c r="O85" s="450">
        <f>+'Hotel kW'!R44</f>
        <v>176.16</v>
      </c>
      <c r="P85" s="450">
        <f>+'Hotel kW'!Q44</f>
        <v>176.16</v>
      </c>
      <c r="Q85" s="450">
        <v>4076.8</v>
      </c>
      <c r="R85" s="458"/>
      <c r="S85" s="461">
        <f t="shared" si="3"/>
        <v>4076.8</v>
      </c>
      <c r="T85" s="461">
        <f t="shared" si="5"/>
        <v>18525.57</v>
      </c>
      <c r="U85" s="498">
        <f t="shared" si="6"/>
        <v>22602.37</v>
      </c>
    </row>
    <row r="86" spans="1:21" x14ac:dyDescent="0.2">
      <c r="A86" s="449">
        <v>43405</v>
      </c>
      <c r="B86" s="450"/>
      <c r="C86" s="450"/>
      <c r="D86" s="450">
        <v>655.09</v>
      </c>
      <c r="E86" s="450">
        <v>431.88</v>
      </c>
      <c r="F86" s="450">
        <v>7475.75</v>
      </c>
      <c r="G86" s="450">
        <v>5677.83</v>
      </c>
      <c r="H86" s="450">
        <v>7307.12</v>
      </c>
      <c r="I86" s="458"/>
      <c r="J86" s="450"/>
      <c r="K86" s="450">
        <v>201.04</v>
      </c>
      <c r="L86" s="450"/>
      <c r="M86" s="450">
        <f t="shared" si="4"/>
        <v>21547.67</v>
      </c>
      <c r="N86" s="461">
        <f t="shared" si="7"/>
        <v>21748.71</v>
      </c>
      <c r="O86" s="450">
        <f>+'Hotel kW'!R45</f>
        <v>184.32</v>
      </c>
      <c r="P86" s="450">
        <f>+'Hotel kW'!Q45</f>
        <v>184.32</v>
      </c>
      <c r="Q86" s="450">
        <v>5062.3999999999996</v>
      </c>
      <c r="R86" s="458"/>
      <c r="S86" s="461">
        <f t="shared" si="3"/>
        <v>5062.3999999999996</v>
      </c>
      <c r="T86" s="461">
        <f t="shared" si="5"/>
        <v>16485.269999999997</v>
      </c>
      <c r="U86" s="498">
        <f t="shared" si="6"/>
        <v>21547.67</v>
      </c>
    </row>
    <row r="87" spans="1:21" x14ac:dyDescent="0.2">
      <c r="A87" s="449">
        <v>43435</v>
      </c>
      <c r="B87" s="450"/>
      <c r="C87" s="450"/>
      <c r="D87" s="450">
        <v>664.41</v>
      </c>
      <c r="E87" s="450">
        <v>444.55</v>
      </c>
      <c r="F87" s="450">
        <v>6781.92</v>
      </c>
      <c r="G87" s="450">
        <v>5660.21</v>
      </c>
      <c r="H87" s="450">
        <v>8664.74</v>
      </c>
      <c r="I87" s="458"/>
      <c r="J87" s="450"/>
      <c r="K87" s="450">
        <v>201.04</v>
      </c>
      <c r="L87" s="450"/>
      <c r="M87" s="450">
        <f t="shared" si="4"/>
        <v>22215.83</v>
      </c>
      <c r="N87" s="461">
        <f t="shared" si="7"/>
        <v>22416.870000000003</v>
      </c>
      <c r="O87" s="450">
        <f>+'Hotel kW'!R46</f>
        <v>178.08</v>
      </c>
      <c r="P87" s="450">
        <f>+'Hotel kW'!Q46</f>
        <v>178.08</v>
      </c>
      <c r="Q87" s="450">
        <v>6361.6</v>
      </c>
      <c r="R87" s="458"/>
      <c r="S87" s="461">
        <f t="shared" si="3"/>
        <v>6361.6</v>
      </c>
      <c r="T87" s="461">
        <f t="shared" si="5"/>
        <v>15854.230000000001</v>
      </c>
      <c r="U87" s="498">
        <f t="shared" si="6"/>
        <v>22215.83</v>
      </c>
    </row>
    <row r="88" spans="1:21" x14ac:dyDescent="0.2">
      <c r="A88" s="449">
        <v>43466</v>
      </c>
      <c r="B88" s="450"/>
      <c r="C88" s="450"/>
      <c r="D88" s="450">
        <v>784.48</v>
      </c>
      <c r="E88" s="450">
        <v>479.43</v>
      </c>
      <c r="F88" s="450">
        <v>7198.56</v>
      </c>
      <c r="G88" s="450">
        <v>5803.83</v>
      </c>
      <c r="H88" s="450">
        <v>9266.6200000000008</v>
      </c>
      <c r="I88" s="458"/>
      <c r="J88" s="450"/>
      <c r="K88" s="450">
        <v>201.1</v>
      </c>
      <c r="L88" s="450"/>
      <c r="M88" s="450">
        <f t="shared" si="4"/>
        <v>23532.920000000002</v>
      </c>
      <c r="N88" s="461">
        <f t="shared" si="7"/>
        <v>23734.02</v>
      </c>
      <c r="O88" s="450">
        <f>+'Hotel kW'!R47</f>
        <v>217.4</v>
      </c>
      <c r="P88" s="450">
        <f>+'Hotel kW'!Q47</f>
        <v>217.4</v>
      </c>
      <c r="Q88" s="450">
        <v>6899.2</v>
      </c>
      <c r="R88" s="458"/>
      <c r="S88" s="461">
        <f t="shared" si="3"/>
        <v>6899.2</v>
      </c>
      <c r="T88" s="461">
        <f t="shared" si="5"/>
        <v>16633.72</v>
      </c>
      <c r="U88" s="498">
        <f t="shared" si="6"/>
        <v>23532.920000000002</v>
      </c>
    </row>
    <row r="89" spans="1:21" x14ac:dyDescent="0.2">
      <c r="A89" s="449">
        <v>43497</v>
      </c>
      <c r="B89" s="450"/>
      <c r="C89" s="450"/>
      <c r="D89" s="450">
        <v>795.87</v>
      </c>
      <c r="E89" s="450">
        <v>484.87</v>
      </c>
      <c r="F89" s="450">
        <v>6989.95</v>
      </c>
      <c r="G89" s="450">
        <v>5936.43</v>
      </c>
      <c r="H89" s="450">
        <v>8338.1</v>
      </c>
      <c r="I89" s="458"/>
      <c r="J89" s="450"/>
      <c r="K89" s="450">
        <v>201.1</v>
      </c>
      <c r="L89" s="450"/>
      <c r="M89" s="450">
        <f t="shared" si="4"/>
        <v>22545.22</v>
      </c>
      <c r="N89" s="461">
        <f t="shared" si="7"/>
        <v>22746.32</v>
      </c>
      <c r="O89" s="450">
        <f>+'Hotel kW'!R48</f>
        <v>207.4</v>
      </c>
      <c r="P89" s="450">
        <f>+'Hotel kW'!Q48</f>
        <v>207.4</v>
      </c>
      <c r="Q89" s="450">
        <v>5868.8</v>
      </c>
      <c r="R89" s="458"/>
      <c r="S89" s="461">
        <f t="shared" si="3"/>
        <v>5868.8</v>
      </c>
      <c r="T89" s="461">
        <f t="shared" si="5"/>
        <v>16676.420000000002</v>
      </c>
      <c r="U89" s="498">
        <f t="shared" si="6"/>
        <v>22545.22</v>
      </c>
    </row>
    <row r="90" spans="1:21" x14ac:dyDescent="0.2">
      <c r="A90" s="449">
        <v>43525</v>
      </c>
      <c r="B90" s="450"/>
      <c r="C90" s="450"/>
      <c r="D90" s="450">
        <v>737.96</v>
      </c>
      <c r="E90" s="450">
        <v>469.07</v>
      </c>
      <c r="F90" s="450">
        <v>7344.43</v>
      </c>
      <c r="G90" s="450">
        <v>5781.64</v>
      </c>
      <c r="H90" s="450">
        <v>10850.05</v>
      </c>
      <c r="I90" s="458"/>
      <c r="J90" s="450"/>
      <c r="K90" s="450">
        <v>201.1</v>
      </c>
      <c r="L90" s="450"/>
      <c r="M90" s="450">
        <f t="shared" si="4"/>
        <v>25183.15</v>
      </c>
      <c r="N90" s="461">
        <f t="shared" si="7"/>
        <v>25384.25</v>
      </c>
      <c r="O90" s="450">
        <f>+'Hotel kW'!R49</f>
        <v>187.2</v>
      </c>
      <c r="P90" s="450">
        <f>+'Hotel kW'!Q49</f>
        <v>187.2</v>
      </c>
      <c r="Q90" s="450">
        <v>8310.4</v>
      </c>
      <c r="R90" s="458"/>
      <c r="S90" s="461">
        <f t="shared" si="3"/>
        <v>8310.4</v>
      </c>
      <c r="T90" s="461">
        <f t="shared" si="5"/>
        <v>16872.75</v>
      </c>
      <c r="U90" s="498">
        <f t="shared" si="6"/>
        <v>25183.15</v>
      </c>
    </row>
    <row r="91" spans="1:21" x14ac:dyDescent="0.2">
      <c r="A91" s="449">
        <v>43556</v>
      </c>
      <c r="B91" s="450"/>
      <c r="C91" s="450"/>
      <c r="D91" s="450">
        <v>597.26</v>
      </c>
      <c r="E91" s="450">
        <v>501.47</v>
      </c>
      <c r="F91" s="450">
        <v>7321.42</v>
      </c>
      <c r="G91" s="450">
        <v>5316.21</v>
      </c>
      <c r="H91" s="450">
        <v>10357.44</v>
      </c>
      <c r="I91" s="458"/>
      <c r="J91" s="450"/>
      <c r="K91" s="450">
        <v>201.1</v>
      </c>
      <c r="L91" s="450"/>
      <c r="M91" s="450">
        <f t="shared" si="4"/>
        <v>24093.800000000003</v>
      </c>
      <c r="N91" s="461">
        <f t="shared" si="7"/>
        <v>24294.9</v>
      </c>
      <c r="O91" s="450">
        <f>+'Hotel kW'!R50</f>
        <v>151.19999999999999</v>
      </c>
      <c r="P91" s="450">
        <f>+'Hotel kW'!Q50</f>
        <v>151.19999999999999</v>
      </c>
      <c r="Q91" s="450">
        <v>7660.8</v>
      </c>
      <c r="R91" s="458"/>
      <c r="S91" s="461">
        <f t="shared" si="3"/>
        <v>7660.8</v>
      </c>
      <c r="T91" s="461">
        <f t="shared" si="5"/>
        <v>16433.000000000004</v>
      </c>
      <c r="U91" s="498">
        <f t="shared" si="6"/>
        <v>24093.800000000003</v>
      </c>
    </row>
    <row r="92" spans="1:21" x14ac:dyDescent="0.2">
      <c r="A92" s="449">
        <v>43586</v>
      </c>
      <c r="B92" s="450"/>
      <c r="C92" s="450"/>
      <c r="D92" s="450">
        <v>654.22</v>
      </c>
      <c r="E92" s="450">
        <v>516.71</v>
      </c>
      <c r="F92" s="450">
        <v>7812.22</v>
      </c>
      <c r="G92" s="450">
        <v>5835.26</v>
      </c>
      <c r="H92" s="450">
        <v>2529.54</v>
      </c>
      <c r="I92" s="450">
        <v>6249.6</v>
      </c>
      <c r="J92" s="450"/>
      <c r="K92" s="450">
        <v>161.6</v>
      </c>
      <c r="L92" s="450"/>
      <c r="M92" s="450">
        <f t="shared" si="4"/>
        <v>17347.95</v>
      </c>
      <c r="N92" s="461">
        <f t="shared" si="7"/>
        <v>23759.15</v>
      </c>
      <c r="O92" s="450">
        <f>+'Hotel kW'!R51</f>
        <v>180.58</v>
      </c>
      <c r="P92" s="450">
        <f>+'Hotel kW'!Q51</f>
        <v>180.58</v>
      </c>
      <c r="Q92" s="450">
        <v>6249.6</v>
      </c>
      <c r="R92" s="458"/>
      <c r="S92" s="461">
        <f t="shared" si="3"/>
        <v>6249.6</v>
      </c>
      <c r="T92" s="461">
        <f t="shared" ref="T92:T107" si="8">+M92-O92+P92</f>
        <v>17347.95</v>
      </c>
      <c r="U92" s="498">
        <f t="shared" si="6"/>
        <v>17347.95</v>
      </c>
    </row>
    <row r="93" spans="1:21" x14ac:dyDescent="0.2">
      <c r="A93" s="449">
        <v>43617</v>
      </c>
      <c r="B93" s="450"/>
      <c r="C93" s="450"/>
      <c r="D93" s="450">
        <v>647.49</v>
      </c>
      <c r="E93" s="450">
        <v>523.13</v>
      </c>
      <c r="F93" s="450">
        <v>8170.83</v>
      </c>
      <c r="G93" s="450">
        <v>7481.6</v>
      </c>
      <c r="H93" s="450">
        <v>2773.06</v>
      </c>
      <c r="I93" s="450">
        <v>7481.6</v>
      </c>
      <c r="J93" s="450"/>
      <c r="K93" s="450">
        <v>240.46</v>
      </c>
      <c r="L93" s="450"/>
      <c r="M93" s="450">
        <f t="shared" si="4"/>
        <v>19596.110000000004</v>
      </c>
      <c r="N93" s="461">
        <f t="shared" si="7"/>
        <v>27318.170000000006</v>
      </c>
      <c r="O93" s="450">
        <f>+'Hotel kW'!R52</f>
        <v>181.01</v>
      </c>
      <c r="P93" s="450">
        <f>+'Hotel kW'!Q52</f>
        <v>181.01</v>
      </c>
      <c r="Q93" s="450">
        <f>-6249.6+6249.6+7481.6</f>
        <v>7481.6</v>
      </c>
      <c r="R93" s="458"/>
      <c r="S93" s="461">
        <f t="shared" si="3"/>
        <v>7481.6</v>
      </c>
      <c r="T93" s="461">
        <f t="shared" si="8"/>
        <v>19596.110000000004</v>
      </c>
      <c r="U93" s="498">
        <f t="shared" si="6"/>
        <v>19596.110000000004</v>
      </c>
    </row>
    <row r="94" spans="1:21" x14ac:dyDescent="0.2">
      <c r="A94" s="449">
        <v>43647</v>
      </c>
      <c r="B94" s="461"/>
      <c r="C94" s="461"/>
      <c r="D94" s="461">
        <v>773.1</v>
      </c>
      <c r="E94" s="461">
        <v>472.2</v>
      </c>
      <c r="F94" s="461">
        <v>9498.2000000000007</v>
      </c>
      <c r="G94" s="461">
        <v>9106</v>
      </c>
      <c r="H94" s="461">
        <v>1180.8</v>
      </c>
      <c r="I94" s="461">
        <v>7369.6</v>
      </c>
      <c r="J94" s="461"/>
      <c r="K94" s="461">
        <v>201.7</v>
      </c>
      <c r="L94" s="461"/>
      <c r="M94" s="461">
        <f t="shared" si="4"/>
        <v>21030.3</v>
      </c>
      <c r="N94" s="461">
        <f>D94+E94+F94+G94+H94+K94+I94</f>
        <v>28601.599999999999</v>
      </c>
      <c r="O94" s="461"/>
      <c r="P94" s="461"/>
      <c r="Q94" s="450">
        <f>+I94</f>
        <v>7369.6</v>
      </c>
      <c r="R94" s="460"/>
      <c r="S94" s="461">
        <f t="shared" si="3"/>
        <v>7369.6</v>
      </c>
      <c r="T94" s="461">
        <f t="shared" si="8"/>
        <v>21030.3</v>
      </c>
      <c r="U94" s="498">
        <f t="shared" si="6"/>
        <v>21030.3</v>
      </c>
    </row>
    <row r="95" spans="1:21" x14ac:dyDescent="0.2">
      <c r="A95" s="449">
        <v>43678</v>
      </c>
      <c r="D95" s="461">
        <v>709.8</v>
      </c>
      <c r="E95" s="461">
        <v>471</v>
      </c>
      <c r="F95" s="461">
        <v>9390.4</v>
      </c>
      <c r="G95" s="461">
        <v>8681.5</v>
      </c>
      <c r="H95" s="461">
        <v>1026</v>
      </c>
      <c r="I95" s="461">
        <v>6048</v>
      </c>
      <c r="J95" s="461"/>
      <c r="K95" s="461">
        <v>201.7</v>
      </c>
      <c r="L95" s="461"/>
      <c r="M95" s="461">
        <f t="shared" si="4"/>
        <v>20278.699999999997</v>
      </c>
      <c r="N95" s="461">
        <f>D95+E95+F95+G95+H95+K95+I95</f>
        <v>26528.399999999998</v>
      </c>
      <c r="Q95" s="450">
        <f t="shared" ref="Q95:Q135" si="9">+I95</f>
        <v>6048</v>
      </c>
      <c r="S95" s="461">
        <f t="shared" si="3"/>
        <v>6048</v>
      </c>
      <c r="T95" s="461">
        <f t="shared" si="8"/>
        <v>20278.699999999997</v>
      </c>
      <c r="U95" s="498">
        <f t="shared" si="6"/>
        <v>20278.699999999997</v>
      </c>
    </row>
    <row r="96" spans="1:21" x14ac:dyDescent="0.2">
      <c r="A96" s="449">
        <v>43709</v>
      </c>
      <c r="D96" s="461">
        <v>652.20000000000005</v>
      </c>
      <c r="E96" s="461">
        <v>565.9</v>
      </c>
      <c r="F96" s="461">
        <v>9054.1</v>
      </c>
      <c r="G96" s="461">
        <v>8464.7000000000007</v>
      </c>
      <c r="H96" s="461">
        <v>1198.8</v>
      </c>
      <c r="I96" s="461">
        <v>7302.4</v>
      </c>
      <c r="J96" s="461"/>
      <c r="K96" s="461">
        <v>194.9</v>
      </c>
      <c r="L96" s="461"/>
      <c r="M96" s="461">
        <f t="shared" ref="M96:M126" si="10">+D96+E96+F96+G96+H96+L96</f>
        <v>19935.7</v>
      </c>
      <c r="N96" s="461">
        <f t="shared" ref="N96:N126" si="11">D96+E96+F96+G96+H96+K96+I96</f>
        <v>27433</v>
      </c>
      <c r="Q96" s="450">
        <f t="shared" si="9"/>
        <v>7302.4</v>
      </c>
      <c r="S96" s="461">
        <f t="shared" si="3"/>
        <v>7302.4</v>
      </c>
      <c r="T96" s="461">
        <f t="shared" si="8"/>
        <v>19935.7</v>
      </c>
      <c r="U96" s="498">
        <f t="shared" si="6"/>
        <v>19935.7</v>
      </c>
    </row>
    <row r="97" spans="1:21" x14ac:dyDescent="0.2">
      <c r="A97" s="449">
        <v>43739</v>
      </c>
      <c r="D97" s="461">
        <v>632.79999999999995</v>
      </c>
      <c r="E97" s="461">
        <v>617.29999999999995</v>
      </c>
      <c r="F97" s="461">
        <v>8409.6</v>
      </c>
      <c r="G97" s="461">
        <v>8490</v>
      </c>
      <c r="H97" s="461">
        <v>1116</v>
      </c>
      <c r="I97" s="461">
        <v>7436.8</v>
      </c>
      <c r="J97" s="461"/>
      <c r="K97" s="461">
        <v>194.9</v>
      </c>
      <c r="L97" s="461"/>
      <c r="M97" s="461">
        <f t="shared" si="10"/>
        <v>19265.7</v>
      </c>
      <c r="N97" s="461">
        <f t="shared" si="11"/>
        <v>26897.4</v>
      </c>
      <c r="Q97" s="450">
        <f t="shared" si="9"/>
        <v>7436.8</v>
      </c>
      <c r="S97" s="461">
        <f t="shared" si="3"/>
        <v>7436.8</v>
      </c>
      <c r="T97" s="461">
        <f t="shared" si="8"/>
        <v>19265.7</v>
      </c>
      <c r="U97" s="498">
        <f t="shared" si="6"/>
        <v>19265.7</v>
      </c>
    </row>
    <row r="98" spans="1:21" x14ac:dyDescent="0.2">
      <c r="A98" s="449">
        <v>43770</v>
      </c>
      <c r="D98" s="461">
        <v>656.4</v>
      </c>
      <c r="E98" s="461">
        <v>544.79999999999995</v>
      </c>
      <c r="F98" s="461">
        <v>7156.3</v>
      </c>
      <c r="G98" s="461">
        <v>7400.9</v>
      </c>
      <c r="H98" s="461">
        <v>1076.4000000000001</v>
      </c>
      <c r="I98" s="461">
        <v>7033.6</v>
      </c>
      <c r="J98" s="461"/>
      <c r="K98" s="461">
        <v>194.9</v>
      </c>
      <c r="L98" s="461"/>
      <c r="M98" s="461">
        <f t="shared" si="10"/>
        <v>16834.8</v>
      </c>
      <c r="N98" s="461">
        <f t="shared" si="11"/>
        <v>24063.300000000003</v>
      </c>
      <c r="Q98" s="450">
        <f t="shared" si="9"/>
        <v>7033.6</v>
      </c>
      <c r="S98" s="461">
        <f t="shared" ref="S98:S135" si="12">+Q98+R98</f>
        <v>7033.6</v>
      </c>
      <c r="T98" s="461">
        <f t="shared" si="8"/>
        <v>16834.8</v>
      </c>
      <c r="U98" s="498">
        <f t="shared" si="6"/>
        <v>16834.8</v>
      </c>
    </row>
    <row r="99" spans="1:21" x14ac:dyDescent="0.2">
      <c r="A99" s="449">
        <v>43800</v>
      </c>
      <c r="D99" s="461">
        <v>678</v>
      </c>
      <c r="E99" s="461">
        <v>328.6</v>
      </c>
      <c r="F99" s="461">
        <v>3693.4</v>
      </c>
      <c r="G99" s="461">
        <v>10599</v>
      </c>
      <c r="H99" s="461">
        <v>1044</v>
      </c>
      <c r="I99" s="461">
        <v>7548.8</v>
      </c>
      <c r="J99" s="461"/>
      <c r="K99" s="461">
        <v>194.9</v>
      </c>
      <c r="L99" s="461"/>
      <c r="M99" s="461">
        <f t="shared" si="10"/>
        <v>16343</v>
      </c>
      <c r="N99" s="461">
        <f t="shared" si="11"/>
        <v>24086.7</v>
      </c>
      <c r="Q99" s="450">
        <f t="shared" si="9"/>
        <v>7548.8</v>
      </c>
      <c r="S99" s="461">
        <f t="shared" si="12"/>
        <v>7548.8</v>
      </c>
      <c r="T99" s="461">
        <f t="shared" si="8"/>
        <v>16343</v>
      </c>
      <c r="U99" s="498">
        <f t="shared" si="6"/>
        <v>16343</v>
      </c>
    </row>
    <row r="100" spans="1:21" x14ac:dyDescent="0.2">
      <c r="A100" s="449">
        <v>43831</v>
      </c>
      <c r="D100" s="461">
        <v>695.4</v>
      </c>
      <c r="E100" s="461">
        <v>295.3</v>
      </c>
      <c r="F100" s="461">
        <v>3604.6</v>
      </c>
      <c r="G100" s="461">
        <v>10373.6</v>
      </c>
      <c r="H100" s="461">
        <v>1011.6</v>
      </c>
      <c r="I100" s="461">
        <v>7728</v>
      </c>
      <c r="J100" s="461"/>
      <c r="K100" s="461">
        <v>194.9</v>
      </c>
      <c r="L100" s="461"/>
      <c r="M100" s="461">
        <f t="shared" si="10"/>
        <v>15980.500000000002</v>
      </c>
      <c r="N100" s="461">
        <f t="shared" si="11"/>
        <v>23903.4</v>
      </c>
      <c r="Q100" s="450">
        <f t="shared" si="9"/>
        <v>7728</v>
      </c>
      <c r="S100" s="461">
        <f t="shared" si="12"/>
        <v>7728</v>
      </c>
      <c r="T100" s="461">
        <f t="shared" si="8"/>
        <v>15980.500000000002</v>
      </c>
      <c r="U100" s="498">
        <f t="shared" si="6"/>
        <v>15980.500000000002</v>
      </c>
    </row>
    <row r="101" spans="1:21" x14ac:dyDescent="0.2">
      <c r="A101" s="449">
        <v>43862</v>
      </c>
      <c r="D101" s="461">
        <v>688.8</v>
      </c>
      <c r="E101" s="461">
        <v>320.8</v>
      </c>
      <c r="F101" s="461">
        <v>3527.7</v>
      </c>
      <c r="G101" s="461">
        <v>10431.1</v>
      </c>
      <c r="H101" s="461">
        <v>1022.4</v>
      </c>
      <c r="I101" s="461">
        <v>7123.2</v>
      </c>
      <c r="J101" s="461"/>
      <c r="K101" s="461">
        <v>194.9</v>
      </c>
      <c r="L101" s="461"/>
      <c r="M101" s="461">
        <f t="shared" si="10"/>
        <v>15990.8</v>
      </c>
      <c r="N101" s="461">
        <f t="shared" si="11"/>
        <v>23308.899999999998</v>
      </c>
      <c r="Q101" s="450">
        <f t="shared" si="9"/>
        <v>7123.2</v>
      </c>
      <c r="S101" s="461">
        <f t="shared" si="12"/>
        <v>7123.2</v>
      </c>
      <c r="T101" s="461">
        <f t="shared" si="8"/>
        <v>15990.8</v>
      </c>
      <c r="U101" s="498">
        <f t="shared" si="6"/>
        <v>15990.8</v>
      </c>
    </row>
    <row r="102" spans="1:21" x14ac:dyDescent="0.2">
      <c r="A102" s="449">
        <v>43891</v>
      </c>
      <c r="D102" s="461">
        <v>551.4</v>
      </c>
      <c r="E102" s="461">
        <v>348.2</v>
      </c>
      <c r="F102" s="461">
        <v>3499</v>
      </c>
      <c r="G102" s="461">
        <v>10079.200000000001</v>
      </c>
      <c r="H102" s="461">
        <v>1004.4</v>
      </c>
      <c r="I102" s="461">
        <v>7683.2</v>
      </c>
      <c r="J102" s="461"/>
      <c r="K102" s="461">
        <v>194.9</v>
      </c>
      <c r="L102" s="461"/>
      <c r="M102" s="461">
        <f t="shared" si="10"/>
        <v>15482.2</v>
      </c>
      <c r="N102" s="461">
        <f t="shared" si="11"/>
        <v>23360.3</v>
      </c>
      <c r="Q102" s="450">
        <f t="shared" si="9"/>
        <v>7683.2</v>
      </c>
      <c r="S102" s="461">
        <f t="shared" si="12"/>
        <v>7683.2</v>
      </c>
      <c r="T102" s="461">
        <f t="shared" si="8"/>
        <v>15482.2</v>
      </c>
      <c r="U102" s="498">
        <f t="shared" si="6"/>
        <v>15482.2</v>
      </c>
    </row>
    <row r="103" spans="1:21" x14ac:dyDescent="0.2">
      <c r="A103" s="449">
        <v>43922</v>
      </c>
      <c r="D103" s="461">
        <v>539</v>
      </c>
      <c r="E103" s="461">
        <v>238.6</v>
      </c>
      <c r="F103" s="461">
        <v>2775.6</v>
      </c>
      <c r="G103" s="461">
        <v>8404.6</v>
      </c>
      <c r="H103" s="461">
        <v>669.6</v>
      </c>
      <c r="I103" s="461">
        <v>7907.2</v>
      </c>
      <c r="J103" s="461"/>
      <c r="K103" s="461">
        <v>194.9</v>
      </c>
      <c r="L103" s="461"/>
      <c r="M103" s="461">
        <f t="shared" si="10"/>
        <v>12627.4</v>
      </c>
      <c r="N103" s="461">
        <f t="shared" si="11"/>
        <v>20729.5</v>
      </c>
      <c r="Q103" s="450">
        <f t="shared" si="9"/>
        <v>7907.2</v>
      </c>
      <c r="S103" s="461">
        <f t="shared" si="12"/>
        <v>7907.2</v>
      </c>
      <c r="T103" s="461">
        <f t="shared" si="8"/>
        <v>12627.4</v>
      </c>
      <c r="U103" s="498">
        <f t="shared" si="6"/>
        <v>12627.4</v>
      </c>
    </row>
    <row r="104" spans="1:21" x14ac:dyDescent="0.2">
      <c r="A104" s="449">
        <v>43952</v>
      </c>
      <c r="D104" s="461">
        <v>649.79999999999995</v>
      </c>
      <c r="E104" s="461">
        <v>247.3</v>
      </c>
      <c r="F104" s="461">
        <v>3272.9</v>
      </c>
      <c r="G104" s="461">
        <v>9825.33</v>
      </c>
      <c r="H104" s="461">
        <v>770.4</v>
      </c>
      <c r="I104" s="461">
        <v>7078.4</v>
      </c>
      <c r="J104" s="461"/>
      <c r="K104" s="461">
        <v>194.9</v>
      </c>
      <c r="L104" s="461"/>
      <c r="M104" s="461">
        <f t="shared" si="10"/>
        <v>14765.73</v>
      </c>
      <c r="N104" s="461">
        <f t="shared" si="11"/>
        <v>22039.03</v>
      </c>
      <c r="Q104" s="450">
        <f t="shared" si="9"/>
        <v>7078.4</v>
      </c>
      <c r="S104" s="461">
        <f t="shared" si="12"/>
        <v>7078.4</v>
      </c>
      <c r="T104" s="461">
        <f t="shared" si="8"/>
        <v>14765.73</v>
      </c>
      <c r="U104" s="498">
        <f t="shared" si="6"/>
        <v>14765.73</v>
      </c>
    </row>
    <row r="105" spans="1:21" x14ac:dyDescent="0.2">
      <c r="A105" s="449">
        <v>43983</v>
      </c>
      <c r="D105" s="461">
        <v>701.9</v>
      </c>
      <c r="E105" s="461">
        <v>277.2</v>
      </c>
      <c r="F105" s="461">
        <v>3623.3</v>
      </c>
      <c r="G105" s="461">
        <v>11160.4</v>
      </c>
      <c r="H105" s="461">
        <v>741.6</v>
      </c>
      <c r="I105" s="461">
        <v>7593.6</v>
      </c>
      <c r="J105" s="461"/>
      <c r="K105" s="461">
        <v>194.9</v>
      </c>
      <c r="L105" s="461"/>
      <c r="M105" s="461">
        <f t="shared" si="10"/>
        <v>16504.399999999998</v>
      </c>
      <c r="N105" s="461">
        <f t="shared" si="11"/>
        <v>24292.9</v>
      </c>
      <c r="Q105" s="450">
        <f t="shared" si="9"/>
        <v>7593.6</v>
      </c>
      <c r="S105" s="461">
        <f t="shared" si="12"/>
        <v>7593.6</v>
      </c>
      <c r="T105" s="461">
        <f t="shared" si="8"/>
        <v>16504.399999999998</v>
      </c>
      <c r="U105" s="498">
        <f t="shared" si="6"/>
        <v>16504.399999999998</v>
      </c>
    </row>
    <row r="106" spans="1:21" x14ac:dyDescent="0.2">
      <c r="A106" s="449">
        <v>44013</v>
      </c>
      <c r="D106" s="461">
        <v>774.7</v>
      </c>
      <c r="E106" s="461">
        <v>286.60000000000002</v>
      </c>
      <c r="F106" s="461">
        <v>2644.3</v>
      </c>
      <c r="G106" s="461">
        <v>13976.1</v>
      </c>
      <c r="H106" s="461">
        <v>864</v>
      </c>
      <c r="I106" s="461">
        <v>6675.2</v>
      </c>
      <c r="J106" s="461"/>
      <c r="K106" s="461">
        <v>194.9</v>
      </c>
      <c r="L106" s="461"/>
      <c r="M106" s="461">
        <f t="shared" si="10"/>
        <v>18545.7</v>
      </c>
      <c r="N106" s="461">
        <f t="shared" si="11"/>
        <v>25415.800000000003</v>
      </c>
      <c r="Q106" s="450">
        <f t="shared" si="9"/>
        <v>6675.2</v>
      </c>
      <c r="S106" s="461">
        <f t="shared" si="12"/>
        <v>6675.2</v>
      </c>
      <c r="T106" s="461">
        <f t="shared" si="8"/>
        <v>18545.7</v>
      </c>
      <c r="U106" s="498">
        <f t="shared" si="6"/>
        <v>18545.7</v>
      </c>
    </row>
    <row r="107" spans="1:21" x14ac:dyDescent="0.2">
      <c r="A107" s="449">
        <v>44044</v>
      </c>
      <c r="D107" s="461">
        <v>704.5</v>
      </c>
      <c r="E107" s="461">
        <v>295.8</v>
      </c>
      <c r="F107" s="461">
        <v>2315.6</v>
      </c>
      <c r="G107" s="461">
        <v>14807.2</v>
      </c>
      <c r="H107" s="461">
        <v>887.8</v>
      </c>
      <c r="I107" s="461">
        <v>7033.6</v>
      </c>
      <c r="J107" s="461"/>
      <c r="K107" s="461">
        <v>194.9</v>
      </c>
      <c r="L107" s="461"/>
      <c r="M107" s="461">
        <f t="shared" si="10"/>
        <v>19010.899999999998</v>
      </c>
      <c r="N107" s="461">
        <f t="shared" si="11"/>
        <v>26239.4</v>
      </c>
      <c r="Q107" s="450">
        <f t="shared" si="9"/>
        <v>7033.6</v>
      </c>
      <c r="S107" s="461">
        <f t="shared" si="12"/>
        <v>7033.6</v>
      </c>
      <c r="T107" s="461">
        <f t="shared" si="8"/>
        <v>19010.899999999998</v>
      </c>
      <c r="U107" s="498">
        <f t="shared" si="6"/>
        <v>19010.899999999998</v>
      </c>
    </row>
    <row r="108" spans="1:21" x14ac:dyDescent="0.2">
      <c r="A108" s="449">
        <v>44075</v>
      </c>
      <c r="D108" s="461">
        <v>611.1</v>
      </c>
      <c r="E108" s="461">
        <v>292.7</v>
      </c>
      <c r="F108" s="461">
        <v>353</v>
      </c>
      <c r="G108" s="461">
        <v>15847.8</v>
      </c>
      <c r="H108" s="461">
        <v>868.8</v>
      </c>
      <c r="I108" s="461">
        <v>7414.4</v>
      </c>
      <c r="J108" s="461"/>
      <c r="K108" s="461">
        <v>194.9</v>
      </c>
      <c r="L108" s="461"/>
      <c r="M108" s="461">
        <f t="shared" si="10"/>
        <v>17973.399999999998</v>
      </c>
      <c r="N108" s="461">
        <f t="shared" si="11"/>
        <v>25582.699999999997</v>
      </c>
      <c r="Q108" s="450">
        <f t="shared" si="9"/>
        <v>7414.4</v>
      </c>
      <c r="S108" s="461">
        <f t="shared" si="12"/>
        <v>7414.4</v>
      </c>
      <c r="T108" s="461">
        <f t="shared" ref="T108:T135" si="13">+M108-O108+P108</f>
        <v>17973.399999999998</v>
      </c>
      <c r="U108" s="498">
        <f t="shared" ref="U108:U135" si="14">+M108-O108+P108</f>
        <v>17973.399999999998</v>
      </c>
    </row>
    <row r="109" spans="1:21" x14ac:dyDescent="0.2">
      <c r="A109" s="449">
        <v>44105</v>
      </c>
      <c r="D109" s="461">
        <v>541.1</v>
      </c>
      <c r="E109" s="461">
        <v>264.60000000000002</v>
      </c>
      <c r="F109" s="461">
        <v>248.2</v>
      </c>
      <c r="G109" s="461">
        <v>13999.7</v>
      </c>
      <c r="H109" s="461">
        <v>738.7</v>
      </c>
      <c r="I109" s="461">
        <v>7616</v>
      </c>
      <c r="J109" s="461"/>
      <c r="K109" s="461">
        <v>194.9</v>
      </c>
      <c r="L109" s="461"/>
      <c r="M109" s="461">
        <f t="shared" si="10"/>
        <v>15792.300000000001</v>
      </c>
      <c r="N109" s="461">
        <f t="shared" si="11"/>
        <v>23603.200000000001</v>
      </c>
      <c r="Q109" s="450">
        <f t="shared" si="9"/>
        <v>7616</v>
      </c>
      <c r="S109" s="461">
        <f t="shared" si="12"/>
        <v>7616</v>
      </c>
      <c r="T109" s="461">
        <f t="shared" si="13"/>
        <v>15792.300000000001</v>
      </c>
      <c r="U109" s="498">
        <f t="shared" si="14"/>
        <v>15792.300000000001</v>
      </c>
    </row>
    <row r="110" spans="1:21" x14ac:dyDescent="0.2">
      <c r="A110" s="449">
        <v>44136</v>
      </c>
      <c r="D110" s="461">
        <v>586</v>
      </c>
      <c r="E110" s="461">
        <v>247.3</v>
      </c>
      <c r="F110" s="461">
        <v>300.60000000000002</v>
      </c>
      <c r="G110" s="461">
        <v>13815.5</v>
      </c>
      <c r="H110" s="461">
        <v>721.2</v>
      </c>
      <c r="I110" s="461">
        <v>7033.6</v>
      </c>
      <c r="J110" s="461"/>
      <c r="K110" s="461">
        <v>194.9</v>
      </c>
      <c r="L110" s="461"/>
      <c r="M110" s="461">
        <f t="shared" si="10"/>
        <v>15670.6</v>
      </c>
      <c r="N110" s="461">
        <f t="shared" si="11"/>
        <v>22899.1</v>
      </c>
      <c r="Q110" s="450">
        <f t="shared" si="9"/>
        <v>7033.6</v>
      </c>
      <c r="S110" s="461">
        <f t="shared" si="12"/>
        <v>7033.6</v>
      </c>
      <c r="T110" s="461">
        <f t="shared" si="13"/>
        <v>15670.6</v>
      </c>
      <c r="U110" s="498">
        <f t="shared" si="14"/>
        <v>15670.6</v>
      </c>
    </row>
    <row r="111" spans="1:21" x14ac:dyDescent="0.2">
      <c r="A111" s="449">
        <v>44166</v>
      </c>
      <c r="D111" s="461">
        <v>607.5</v>
      </c>
      <c r="E111" s="461">
        <v>150.80000000000001</v>
      </c>
      <c r="F111" s="461">
        <v>0</v>
      </c>
      <c r="G111" s="461">
        <v>12939.6</v>
      </c>
      <c r="H111" s="461">
        <v>709.2</v>
      </c>
      <c r="I111" s="461">
        <v>7056</v>
      </c>
      <c r="J111" s="461"/>
      <c r="K111" s="461">
        <v>194.9</v>
      </c>
      <c r="L111" s="461"/>
      <c r="M111" s="461">
        <f t="shared" si="10"/>
        <v>14407.1</v>
      </c>
      <c r="N111" s="461">
        <f t="shared" si="11"/>
        <v>21658</v>
      </c>
      <c r="Q111" s="450">
        <f t="shared" si="9"/>
        <v>7056</v>
      </c>
      <c r="S111" s="461">
        <f t="shared" si="12"/>
        <v>7056</v>
      </c>
      <c r="T111" s="461">
        <f t="shared" si="13"/>
        <v>14407.1</v>
      </c>
      <c r="U111" s="498">
        <f t="shared" si="14"/>
        <v>14407.1</v>
      </c>
    </row>
    <row r="112" spans="1:21" x14ac:dyDescent="0.2">
      <c r="A112" s="449">
        <v>44197</v>
      </c>
      <c r="D112" s="461">
        <v>650.70000000000005</v>
      </c>
      <c r="E112" s="461">
        <v>185.1</v>
      </c>
      <c r="F112" s="461">
        <v>0</v>
      </c>
      <c r="G112" s="461">
        <v>12201</v>
      </c>
      <c r="H112" s="461">
        <v>688.8</v>
      </c>
      <c r="I112" s="461">
        <v>6070.4</v>
      </c>
      <c r="J112" s="461"/>
      <c r="K112" s="461">
        <v>129.80000000000001</v>
      </c>
      <c r="L112" s="461"/>
      <c r="M112" s="461">
        <f t="shared" si="10"/>
        <v>13725.599999999999</v>
      </c>
      <c r="N112" s="461">
        <f t="shared" si="11"/>
        <v>19925.799999999996</v>
      </c>
      <c r="Q112" s="450">
        <f t="shared" si="9"/>
        <v>6070.4</v>
      </c>
      <c r="S112" s="461">
        <f t="shared" si="12"/>
        <v>6070.4</v>
      </c>
      <c r="T112" s="461">
        <f t="shared" si="13"/>
        <v>13725.599999999999</v>
      </c>
      <c r="U112" s="498">
        <f t="shared" si="14"/>
        <v>13725.599999999999</v>
      </c>
    </row>
    <row r="113" spans="1:21" x14ac:dyDescent="0.2">
      <c r="A113" s="449">
        <v>44228</v>
      </c>
      <c r="D113" s="461">
        <v>645.6</v>
      </c>
      <c r="E113" s="461">
        <v>141.69999999999999</v>
      </c>
      <c r="F113" s="461">
        <v>0</v>
      </c>
      <c r="G113" s="461">
        <v>12293.4</v>
      </c>
      <c r="H113" s="461">
        <v>669.6</v>
      </c>
      <c r="I113" s="461">
        <v>6697.6</v>
      </c>
      <c r="J113" s="461"/>
      <c r="K113" s="461">
        <v>129.80000000000001</v>
      </c>
      <c r="L113" s="461"/>
      <c r="M113" s="461">
        <f t="shared" si="10"/>
        <v>13750.3</v>
      </c>
      <c r="N113" s="461">
        <f t="shared" si="11"/>
        <v>20577.699999999997</v>
      </c>
      <c r="Q113" s="450">
        <f t="shared" si="9"/>
        <v>6697.6</v>
      </c>
      <c r="S113" s="461">
        <f t="shared" si="12"/>
        <v>6697.6</v>
      </c>
      <c r="T113" s="461">
        <f t="shared" si="13"/>
        <v>13750.3</v>
      </c>
      <c r="U113" s="498">
        <f t="shared" si="14"/>
        <v>13750.3</v>
      </c>
    </row>
    <row r="114" spans="1:21" x14ac:dyDescent="0.2">
      <c r="A114" s="449">
        <v>44256</v>
      </c>
      <c r="D114" s="461">
        <v>608</v>
      </c>
      <c r="E114" s="461">
        <v>188.4</v>
      </c>
      <c r="F114" s="461">
        <v>0</v>
      </c>
      <c r="G114" s="461">
        <v>13144.4</v>
      </c>
      <c r="H114" s="461">
        <v>756</v>
      </c>
      <c r="I114" s="461">
        <v>6697.6</v>
      </c>
      <c r="J114" s="461"/>
      <c r="K114" s="461">
        <v>129.80000000000001</v>
      </c>
      <c r="L114" s="461"/>
      <c r="M114" s="461">
        <f t="shared" si="10"/>
        <v>14696.8</v>
      </c>
      <c r="N114" s="461">
        <f t="shared" si="11"/>
        <v>21524.199999999997</v>
      </c>
      <c r="Q114" s="450">
        <f t="shared" si="9"/>
        <v>6697.6</v>
      </c>
      <c r="S114" s="461">
        <f t="shared" si="12"/>
        <v>6697.6</v>
      </c>
      <c r="T114" s="461">
        <f t="shared" si="13"/>
        <v>14696.8</v>
      </c>
      <c r="U114" s="498">
        <f t="shared" si="14"/>
        <v>14696.8</v>
      </c>
    </row>
    <row r="115" spans="1:21" x14ac:dyDescent="0.2">
      <c r="A115" s="449">
        <v>44287</v>
      </c>
      <c r="D115" s="461">
        <v>543.5</v>
      </c>
      <c r="E115" s="461">
        <v>186.2</v>
      </c>
      <c r="F115" s="461">
        <v>0</v>
      </c>
      <c r="G115" s="461">
        <v>12208.7</v>
      </c>
      <c r="H115" s="461">
        <v>757.2</v>
      </c>
      <c r="I115" s="461">
        <v>5398.4</v>
      </c>
      <c r="J115" s="461"/>
      <c r="K115" s="461">
        <v>131</v>
      </c>
      <c r="L115" s="461"/>
      <c r="M115" s="461">
        <f t="shared" si="10"/>
        <v>13695.600000000002</v>
      </c>
      <c r="N115" s="461">
        <f t="shared" si="11"/>
        <v>19225</v>
      </c>
      <c r="Q115" s="450">
        <f t="shared" si="9"/>
        <v>5398.4</v>
      </c>
      <c r="S115" s="461">
        <f t="shared" si="12"/>
        <v>5398.4</v>
      </c>
      <c r="T115" s="461">
        <f t="shared" si="13"/>
        <v>13695.600000000002</v>
      </c>
      <c r="U115" s="498">
        <f t="shared" si="14"/>
        <v>13695.600000000002</v>
      </c>
    </row>
    <row r="116" spans="1:21" x14ac:dyDescent="0.2">
      <c r="A116" s="449">
        <v>44317</v>
      </c>
      <c r="D116" s="461">
        <v>602.9</v>
      </c>
      <c r="E116" s="461">
        <v>193.5</v>
      </c>
      <c r="F116" s="461">
        <v>0</v>
      </c>
      <c r="G116" s="461">
        <v>13306.3</v>
      </c>
      <c r="H116" s="461">
        <v>775.4</v>
      </c>
      <c r="I116" s="461">
        <v>6160</v>
      </c>
      <c r="J116" s="461"/>
      <c r="K116" s="461">
        <v>131</v>
      </c>
      <c r="L116" s="461"/>
      <c r="M116" s="461">
        <f t="shared" si="10"/>
        <v>14878.099999999999</v>
      </c>
      <c r="N116" s="461">
        <f t="shared" si="11"/>
        <v>21169.1</v>
      </c>
      <c r="Q116" s="450">
        <f t="shared" si="9"/>
        <v>6160</v>
      </c>
      <c r="S116" s="461">
        <f t="shared" si="12"/>
        <v>6160</v>
      </c>
      <c r="T116" s="461">
        <f t="shared" si="13"/>
        <v>14878.099999999999</v>
      </c>
      <c r="U116" s="498">
        <f t="shared" si="14"/>
        <v>14878.099999999999</v>
      </c>
    </row>
    <row r="117" spans="1:21" x14ac:dyDescent="0.2">
      <c r="A117" s="449">
        <v>44348</v>
      </c>
      <c r="D117" s="461">
        <v>674.9</v>
      </c>
      <c r="E117" s="461">
        <v>211.9</v>
      </c>
      <c r="F117" s="461">
        <v>0</v>
      </c>
      <c r="G117" s="461">
        <v>15510.6</v>
      </c>
      <c r="H117" s="461">
        <v>908.4</v>
      </c>
      <c r="I117" s="461">
        <v>6204.8</v>
      </c>
      <c r="J117" s="461"/>
      <c r="K117" s="461">
        <v>131</v>
      </c>
      <c r="L117" s="461"/>
      <c r="M117" s="461">
        <f t="shared" si="10"/>
        <v>17305.800000000003</v>
      </c>
      <c r="N117" s="461">
        <f t="shared" si="11"/>
        <v>23641.600000000002</v>
      </c>
      <c r="Q117" s="450">
        <f t="shared" si="9"/>
        <v>6204.8</v>
      </c>
      <c r="S117" s="461">
        <f t="shared" si="12"/>
        <v>6204.8</v>
      </c>
      <c r="T117" s="461">
        <f t="shared" si="13"/>
        <v>17305.800000000003</v>
      </c>
      <c r="U117" s="498">
        <f t="shared" si="14"/>
        <v>17305.800000000003</v>
      </c>
    </row>
    <row r="118" spans="1:21" x14ac:dyDescent="0.2">
      <c r="A118" s="449">
        <v>44378</v>
      </c>
      <c r="D118" s="461">
        <v>658.7</v>
      </c>
      <c r="E118" s="461">
        <v>220.1</v>
      </c>
      <c r="F118" s="461">
        <v>0</v>
      </c>
      <c r="G118" s="461">
        <v>16094.6</v>
      </c>
      <c r="H118" s="461">
        <v>1658</v>
      </c>
      <c r="I118" s="461">
        <v>5286.4</v>
      </c>
      <c r="J118" s="461"/>
      <c r="K118" s="461">
        <v>131</v>
      </c>
      <c r="L118" s="461"/>
      <c r="M118" s="461">
        <f t="shared" si="10"/>
        <v>18631.400000000001</v>
      </c>
      <c r="N118" s="461">
        <f t="shared" si="11"/>
        <v>24048.800000000003</v>
      </c>
      <c r="Q118" s="450">
        <f t="shared" si="9"/>
        <v>5286.4</v>
      </c>
      <c r="S118" s="461">
        <f t="shared" si="12"/>
        <v>5286.4</v>
      </c>
      <c r="T118" s="461">
        <f t="shared" si="13"/>
        <v>18631.400000000001</v>
      </c>
      <c r="U118" s="498">
        <f t="shared" si="14"/>
        <v>18631.400000000001</v>
      </c>
    </row>
    <row r="119" spans="1:21" x14ac:dyDescent="0.2">
      <c r="A119" s="449">
        <v>44409</v>
      </c>
      <c r="D119" s="461">
        <v>713.5</v>
      </c>
      <c r="E119" s="461">
        <v>243.4</v>
      </c>
      <c r="F119" s="461">
        <v>0</v>
      </c>
      <c r="G119" s="461">
        <v>17599.900000000001</v>
      </c>
      <c r="H119" s="461">
        <v>1675.4</v>
      </c>
      <c r="I119" s="461">
        <v>5040</v>
      </c>
      <c r="J119" s="461"/>
      <c r="K119" s="461">
        <v>131</v>
      </c>
      <c r="L119" s="461"/>
      <c r="M119" s="461">
        <f t="shared" si="10"/>
        <v>20232.200000000004</v>
      </c>
      <c r="N119" s="461">
        <f t="shared" si="11"/>
        <v>25403.200000000004</v>
      </c>
      <c r="Q119" s="450">
        <f t="shared" si="9"/>
        <v>5040</v>
      </c>
      <c r="S119" s="461">
        <f t="shared" si="12"/>
        <v>5040</v>
      </c>
      <c r="T119" s="461">
        <f t="shared" si="13"/>
        <v>20232.200000000004</v>
      </c>
      <c r="U119" s="498">
        <f t="shared" si="14"/>
        <v>20232.200000000004</v>
      </c>
    </row>
    <row r="120" spans="1:21" x14ac:dyDescent="0.2">
      <c r="A120" s="449">
        <v>44440</v>
      </c>
      <c r="D120" s="461">
        <v>601.20000000000005</v>
      </c>
      <c r="E120" s="461">
        <v>288.60000000000002</v>
      </c>
      <c r="F120" s="461">
        <v>0</v>
      </c>
      <c r="G120" s="461">
        <v>16304.2</v>
      </c>
      <c r="H120" s="461">
        <v>1575.9</v>
      </c>
      <c r="I120" s="461">
        <v>6003.2</v>
      </c>
      <c r="J120" s="461"/>
      <c r="K120" s="461">
        <v>131</v>
      </c>
      <c r="L120" s="461"/>
      <c r="M120" s="461">
        <f t="shared" si="10"/>
        <v>18769.900000000001</v>
      </c>
      <c r="N120" s="461">
        <f t="shared" si="11"/>
        <v>24904.100000000002</v>
      </c>
      <c r="Q120" s="450">
        <f t="shared" si="9"/>
        <v>6003.2</v>
      </c>
      <c r="S120" s="461">
        <f t="shared" si="12"/>
        <v>6003.2</v>
      </c>
      <c r="T120" s="461">
        <f t="shared" si="13"/>
        <v>18769.900000000001</v>
      </c>
      <c r="U120" s="498">
        <f t="shared" si="14"/>
        <v>18769.900000000001</v>
      </c>
    </row>
    <row r="121" spans="1:21" x14ac:dyDescent="0.2">
      <c r="A121" s="449">
        <v>44470</v>
      </c>
      <c r="D121" s="461">
        <v>575.1</v>
      </c>
      <c r="E121" s="461">
        <v>264</v>
      </c>
      <c r="F121" s="461">
        <v>0</v>
      </c>
      <c r="G121" s="461">
        <v>15146.8</v>
      </c>
      <c r="H121" s="461">
        <v>1480.5</v>
      </c>
      <c r="I121" s="461">
        <v>6809.6</v>
      </c>
      <c r="J121" s="461"/>
      <c r="K121" s="461">
        <v>131</v>
      </c>
      <c r="L121" s="461"/>
      <c r="M121" s="461">
        <f t="shared" si="10"/>
        <v>17466.400000000001</v>
      </c>
      <c r="N121" s="461">
        <f t="shared" si="11"/>
        <v>24407</v>
      </c>
      <c r="Q121" s="450">
        <f t="shared" si="9"/>
        <v>6809.6</v>
      </c>
      <c r="S121" s="461">
        <f t="shared" si="12"/>
        <v>6809.6</v>
      </c>
      <c r="T121" s="461">
        <f t="shared" si="13"/>
        <v>17466.400000000001</v>
      </c>
      <c r="U121" s="498">
        <f t="shared" si="14"/>
        <v>17466.400000000001</v>
      </c>
    </row>
    <row r="122" spans="1:21" x14ac:dyDescent="0.2">
      <c r="A122" s="449">
        <v>44501</v>
      </c>
      <c r="D122" s="461">
        <v>634</v>
      </c>
      <c r="E122" s="461">
        <v>193.1</v>
      </c>
      <c r="F122" s="461">
        <v>0</v>
      </c>
      <c r="G122" s="461">
        <v>14141.9</v>
      </c>
      <c r="H122" s="461">
        <v>1110.7</v>
      </c>
      <c r="I122" s="461">
        <v>4524.8</v>
      </c>
      <c r="J122" s="461"/>
      <c r="K122" s="461">
        <v>131</v>
      </c>
      <c r="L122" s="461"/>
      <c r="M122" s="461">
        <f t="shared" si="10"/>
        <v>16079.7</v>
      </c>
      <c r="N122" s="461">
        <f t="shared" si="11"/>
        <v>20735.5</v>
      </c>
      <c r="Q122" s="450">
        <f t="shared" si="9"/>
        <v>4524.8</v>
      </c>
      <c r="S122" s="461">
        <f t="shared" si="12"/>
        <v>4524.8</v>
      </c>
      <c r="T122" s="461">
        <f t="shared" si="13"/>
        <v>16079.7</v>
      </c>
      <c r="U122" s="498">
        <f t="shared" si="14"/>
        <v>16079.7</v>
      </c>
    </row>
    <row r="123" spans="1:21" x14ac:dyDescent="0.2">
      <c r="A123" s="449">
        <v>44531</v>
      </c>
      <c r="D123" s="461">
        <v>658.6</v>
      </c>
      <c r="E123" s="461">
        <v>138.5</v>
      </c>
      <c r="F123" s="461">
        <v>0</v>
      </c>
      <c r="G123" s="461">
        <v>14131.2</v>
      </c>
      <c r="H123" s="461">
        <v>1188.0999999999999</v>
      </c>
      <c r="I123" s="461">
        <v>2486.4</v>
      </c>
      <c r="J123" s="461"/>
      <c r="K123" s="461">
        <v>131</v>
      </c>
      <c r="L123" s="461"/>
      <c r="M123" s="461">
        <f t="shared" si="10"/>
        <v>16116.400000000001</v>
      </c>
      <c r="N123" s="461">
        <f t="shared" si="11"/>
        <v>18733.800000000003</v>
      </c>
      <c r="Q123" s="450">
        <f t="shared" si="9"/>
        <v>2486.4</v>
      </c>
      <c r="S123" s="461">
        <f t="shared" si="12"/>
        <v>2486.4</v>
      </c>
      <c r="T123" s="461">
        <f t="shared" si="13"/>
        <v>16116.400000000001</v>
      </c>
      <c r="U123" s="498">
        <f t="shared" si="14"/>
        <v>16116.400000000001</v>
      </c>
    </row>
    <row r="124" spans="1:21" x14ac:dyDescent="0.2">
      <c r="A124" s="449">
        <v>44562</v>
      </c>
      <c r="D124" s="461">
        <v>659</v>
      </c>
      <c r="E124" s="461">
        <v>133.5</v>
      </c>
      <c r="F124" s="461">
        <v>0</v>
      </c>
      <c r="G124" s="461">
        <v>13669.2</v>
      </c>
      <c r="H124" s="461">
        <v>1237.3</v>
      </c>
      <c r="I124" s="461">
        <v>6316.8</v>
      </c>
      <c r="J124" s="461"/>
      <c r="K124" s="461">
        <v>131</v>
      </c>
      <c r="L124" s="461"/>
      <c r="M124" s="461">
        <f t="shared" si="10"/>
        <v>15699</v>
      </c>
      <c r="N124" s="461">
        <f t="shared" si="11"/>
        <v>22146.799999999999</v>
      </c>
      <c r="Q124" s="450">
        <f t="shared" si="9"/>
        <v>6316.8</v>
      </c>
      <c r="S124" s="461">
        <f t="shared" si="12"/>
        <v>6316.8</v>
      </c>
      <c r="T124" s="461">
        <f t="shared" si="13"/>
        <v>15699</v>
      </c>
      <c r="U124" s="498">
        <f t="shared" si="14"/>
        <v>15699</v>
      </c>
    </row>
    <row r="125" spans="1:21" x14ac:dyDescent="0.2">
      <c r="A125" s="449">
        <v>44593</v>
      </c>
      <c r="D125" s="461">
        <v>660.6</v>
      </c>
      <c r="E125" s="461">
        <v>173.7</v>
      </c>
      <c r="F125" s="461">
        <v>0</v>
      </c>
      <c r="G125" s="461">
        <v>14136.9</v>
      </c>
      <c r="H125" s="461">
        <v>1296.8</v>
      </c>
      <c r="I125" s="461">
        <v>336</v>
      </c>
      <c r="J125" s="461"/>
      <c r="K125" s="461">
        <v>131</v>
      </c>
      <c r="L125" s="461"/>
      <c r="M125" s="461">
        <f t="shared" si="10"/>
        <v>16267.999999999998</v>
      </c>
      <c r="N125" s="461">
        <f t="shared" si="11"/>
        <v>16735</v>
      </c>
      <c r="Q125" s="450">
        <f t="shared" si="9"/>
        <v>336</v>
      </c>
      <c r="S125" s="461">
        <f t="shared" si="12"/>
        <v>336</v>
      </c>
      <c r="T125" s="461">
        <f t="shared" si="13"/>
        <v>16267.999999999998</v>
      </c>
      <c r="U125" s="498">
        <f t="shared" si="14"/>
        <v>16267.999999999998</v>
      </c>
    </row>
    <row r="126" spans="1:21" x14ac:dyDescent="0.2">
      <c r="A126" s="449">
        <v>44621</v>
      </c>
      <c r="D126" s="461">
        <v>619.4</v>
      </c>
      <c r="E126" s="461">
        <v>190.1</v>
      </c>
      <c r="F126" s="461">
        <v>0</v>
      </c>
      <c r="G126" s="521">
        <v>20950.900000000001</v>
      </c>
      <c r="H126" s="461">
        <v>1372.8</v>
      </c>
      <c r="I126" s="461">
        <v>784</v>
      </c>
      <c r="J126" s="461"/>
      <c r="K126" s="461">
        <v>131</v>
      </c>
      <c r="L126" s="461"/>
      <c r="M126" s="461">
        <f t="shared" si="10"/>
        <v>23133.200000000001</v>
      </c>
      <c r="N126" s="461">
        <f t="shared" si="11"/>
        <v>24048.2</v>
      </c>
      <c r="P126" s="522">
        <f>-2624.4-3736.8</f>
        <v>-6361.2000000000007</v>
      </c>
      <c r="Q126" s="450">
        <f t="shared" si="9"/>
        <v>784</v>
      </c>
      <c r="S126" s="461">
        <f t="shared" si="12"/>
        <v>784</v>
      </c>
      <c r="T126" s="461">
        <f t="shared" si="13"/>
        <v>16772</v>
      </c>
      <c r="U126" s="498">
        <f t="shared" si="14"/>
        <v>16772</v>
      </c>
    </row>
    <row r="127" spans="1:21" x14ac:dyDescent="0.2">
      <c r="A127" s="449">
        <v>44652</v>
      </c>
      <c r="D127" s="461">
        <v>561.1</v>
      </c>
      <c r="E127" s="461">
        <v>190.9</v>
      </c>
      <c r="F127" s="461">
        <v>0</v>
      </c>
      <c r="G127" s="521">
        <v>20213.7</v>
      </c>
      <c r="H127" s="461">
        <v>1426.5</v>
      </c>
      <c r="I127" s="461">
        <v>383</v>
      </c>
      <c r="J127" s="461"/>
      <c r="K127" s="461">
        <v>131</v>
      </c>
      <c r="L127" s="461"/>
      <c r="M127" s="461">
        <f t="shared" ref="M127:M135" si="15">+D127+E127+F127+G127+H127+L127</f>
        <v>22392.2</v>
      </c>
      <c r="N127" s="461">
        <f t="shared" ref="N127:N135" si="16">D127+E127+F127+G127+H127+K127+I127</f>
        <v>22906.2</v>
      </c>
      <c r="P127" s="522">
        <f>-2617.2-3722.4</f>
        <v>-6339.6</v>
      </c>
      <c r="Q127" s="450">
        <f t="shared" si="9"/>
        <v>383</v>
      </c>
      <c r="S127" s="461">
        <f t="shared" si="12"/>
        <v>383</v>
      </c>
      <c r="T127" s="461">
        <f t="shared" si="13"/>
        <v>16052.6</v>
      </c>
      <c r="U127" s="498">
        <f t="shared" si="14"/>
        <v>16052.6</v>
      </c>
    </row>
    <row r="128" spans="1:21" x14ac:dyDescent="0.2">
      <c r="A128" s="449">
        <v>44682</v>
      </c>
      <c r="D128" s="461">
        <v>608.9</v>
      </c>
      <c r="E128" s="461">
        <v>218.8</v>
      </c>
      <c r="F128" s="461">
        <v>0</v>
      </c>
      <c r="G128" s="461">
        <v>17003.5</v>
      </c>
      <c r="H128" s="461">
        <v>1606.9</v>
      </c>
      <c r="I128" s="461">
        <v>322.60000000000002</v>
      </c>
      <c r="J128" s="461"/>
      <c r="K128" s="461">
        <v>131</v>
      </c>
      <c r="L128" s="461"/>
      <c r="M128" s="461">
        <f t="shared" si="15"/>
        <v>19438.100000000002</v>
      </c>
      <c r="N128" s="461">
        <f t="shared" si="16"/>
        <v>19891.7</v>
      </c>
      <c r="Q128" s="450">
        <f t="shared" si="9"/>
        <v>322.60000000000002</v>
      </c>
      <c r="S128" s="461">
        <f t="shared" si="12"/>
        <v>322.60000000000002</v>
      </c>
      <c r="T128" s="461">
        <f t="shared" si="13"/>
        <v>19438.100000000002</v>
      </c>
      <c r="U128" s="498">
        <f t="shared" si="14"/>
        <v>19438.100000000002</v>
      </c>
    </row>
    <row r="129" spans="1:21" x14ac:dyDescent="0.2">
      <c r="A129" s="449">
        <v>44713</v>
      </c>
      <c r="D129" s="461">
        <v>654.1</v>
      </c>
      <c r="E129" s="461">
        <v>229.6</v>
      </c>
      <c r="F129" s="461">
        <v>0</v>
      </c>
      <c r="G129" s="461">
        <v>17789.400000000001</v>
      </c>
      <c r="H129" s="461">
        <v>1614.8</v>
      </c>
      <c r="I129" s="461">
        <v>383</v>
      </c>
      <c r="J129" s="461"/>
      <c r="K129" s="461">
        <v>131</v>
      </c>
      <c r="L129" s="461"/>
      <c r="M129" s="461">
        <f t="shared" si="15"/>
        <v>20287.900000000001</v>
      </c>
      <c r="N129" s="461">
        <f t="shared" si="16"/>
        <v>20801.900000000001</v>
      </c>
      <c r="Q129" s="450">
        <f t="shared" si="9"/>
        <v>383</v>
      </c>
      <c r="S129" s="461">
        <f t="shared" si="12"/>
        <v>383</v>
      </c>
      <c r="T129" s="461">
        <f t="shared" si="13"/>
        <v>20287.900000000001</v>
      </c>
      <c r="U129" s="498">
        <f t="shared" si="14"/>
        <v>20287.900000000001</v>
      </c>
    </row>
    <row r="130" spans="1:21" x14ac:dyDescent="0.2">
      <c r="A130" s="449">
        <v>44743</v>
      </c>
      <c r="D130" s="461">
        <v>683.8</v>
      </c>
      <c r="E130" s="461">
        <v>235.7</v>
      </c>
      <c r="F130" s="461">
        <v>0</v>
      </c>
      <c r="G130" s="461">
        <v>18523.900000000001</v>
      </c>
      <c r="H130" s="461">
        <v>1999.1</v>
      </c>
      <c r="I130" s="461">
        <v>0</v>
      </c>
      <c r="J130" s="461"/>
      <c r="K130" s="461">
        <v>131</v>
      </c>
      <c r="L130" s="461"/>
      <c r="M130" s="461">
        <f t="shared" si="15"/>
        <v>21442.5</v>
      </c>
      <c r="N130" s="461">
        <f t="shared" si="16"/>
        <v>21573.5</v>
      </c>
      <c r="Q130" s="450">
        <f t="shared" si="9"/>
        <v>0</v>
      </c>
      <c r="S130" s="461">
        <f t="shared" si="12"/>
        <v>0</v>
      </c>
      <c r="T130" s="461">
        <f t="shared" si="13"/>
        <v>21442.5</v>
      </c>
      <c r="U130" s="498">
        <f t="shared" si="14"/>
        <v>21442.5</v>
      </c>
    </row>
    <row r="131" spans="1:21" x14ac:dyDescent="0.2">
      <c r="A131" s="449">
        <v>44774</v>
      </c>
      <c r="D131" s="461">
        <v>682.7</v>
      </c>
      <c r="E131" s="461">
        <v>223.8</v>
      </c>
      <c r="F131" s="461">
        <v>0</v>
      </c>
      <c r="G131" s="461">
        <v>18715.5</v>
      </c>
      <c r="H131" s="461">
        <v>2036.3</v>
      </c>
      <c r="I131" s="461">
        <v>0</v>
      </c>
      <c r="J131" s="461"/>
      <c r="K131" s="461">
        <v>131</v>
      </c>
      <c r="L131" s="461"/>
      <c r="M131" s="461">
        <f t="shared" si="15"/>
        <v>21658.3</v>
      </c>
      <c r="N131" s="461">
        <f t="shared" si="16"/>
        <v>21789.3</v>
      </c>
      <c r="Q131" s="450">
        <f t="shared" si="9"/>
        <v>0</v>
      </c>
      <c r="S131" s="461">
        <f t="shared" si="12"/>
        <v>0</v>
      </c>
      <c r="T131" s="461">
        <f t="shared" si="13"/>
        <v>21658.3</v>
      </c>
      <c r="U131" s="1">
        <f t="shared" si="14"/>
        <v>21658.3</v>
      </c>
    </row>
    <row r="132" spans="1:21" x14ac:dyDescent="0.2">
      <c r="A132" s="449">
        <v>44805</v>
      </c>
      <c r="D132" s="461">
        <v>636.29999999999995</v>
      </c>
      <c r="E132" s="461">
        <v>268.5</v>
      </c>
      <c r="F132" s="461">
        <v>0</v>
      </c>
      <c r="G132" s="461">
        <v>17564</v>
      </c>
      <c r="H132" s="461">
        <v>2182.5</v>
      </c>
      <c r="I132" s="461">
        <v>0</v>
      </c>
      <c r="J132" s="461"/>
      <c r="K132" s="461">
        <v>131</v>
      </c>
      <c r="L132" s="461"/>
      <c r="M132" s="461">
        <f t="shared" si="15"/>
        <v>20651.3</v>
      </c>
      <c r="N132" s="461">
        <f t="shared" si="16"/>
        <v>20782.3</v>
      </c>
      <c r="Q132" s="450">
        <f t="shared" si="9"/>
        <v>0</v>
      </c>
      <c r="S132" s="461">
        <f t="shared" si="12"/>
        <v>0</v>
      </c>
      <c r="T132" s="461">
        <f t="shared" si="13"/>
        <v>20651.3</v>
      </c>
      <c r="U132" s="1">
        <f t="shared" si="14"/>
        <v>20651.3</v>
      </c>
    </row>
    <row r="133" spans="1:21" x14ac:dyDescent="0.2">
      <c r="A133" s="449">
        <v>44835</v>
      </c>
      <c r="D133" s="461">
        <v>520.6</v>
      </c>
      <c r="E133" s="461">
        <v>229.2</v>
      </c>
      <c r="F133" s="461">
        <v>0</v>
      </c>
      <c r="G133" s="461">
        <v>15132.7</v>
      </c>
      <c r="H133" s="461">
        <v>2006.1</v>
      </c>
      <c r="I133" s="461">
        <v>0</v>
      </c>
      <c r="J133" s="461"/>
      <c r="K133" s="461">
        <v>131</v>
      </c>
      <c r="L133" s="461"/>
      <c r="M133" s="461">
        <f t="shared" si="15"/>
        <v>17888.599999999999</v>
      </c>
      <c r="N133" s="461">
        <f t="shared" si="16"/>
        <v>18019.599999999999</v>
      </c>
      <c r="Q133" s="450">
        <f t="shared" si="9"/>
        <v>0</v>
      </c>
      <c r="S133" s="461">
        <f t="shared" si="12"/>
        <v>0</v>
      </c>
      <c r="T133" s="461">
        <f t="shared" si="13"/>
        <v>17888.599999999999</v>
      </c>
      <c r="U133" s="1">
        <f t="shared" si="14"/>
        <v>17888.599999999999</v>
      </c>
    </row>
    <row r="134" spans="1:21" x14ac:dyDescent="0.2">
      <c r="A134" s="449">
        <v>44866</v>
      </c>
      <c r="D134" s="461">
        <v>591.6</v>
      </c>
      <c r="E134" s="461">
        <v>190.5</v>
      </c>
      <c r="F134" s="461">
        <v>0</v>
      </c>
      <c r="G134" s="461">
        <v>15310.1</v>
      </c>
      <c r="H134" s="461">
        <v>1719.8</v>
      </c>
      <c r="I134" s="461">
        <v>0</v>
      </c>
      <c r="J134" s="461"/>
      <c r="K134" s="461">
        <v>131</v>
      </c>
      <c r="L134" s="461"/>
      <c r="M134" s="461">
        <f t="shared" si="15"/>
        <v>17812</v>
      </c>
      <c r="N134" s="461">
        <f t="shared" si="16"/>
        <v>17943</v>
      </c>
      <c r="Q134" s="450">
        <f t="shared" si="9"/>
        <v>0</v>
      </c>
      <c r="S134" s="461">
        <f t="shared" si="12"/>
        <v>0</v>
      </c>
      <c r="T134" s="461">
        <f t="shared" si="13"/>
        <v>17812</v>
      </c>
      <c r="U134" s="1">
        <f t="shared" si="14"/>
        <v>17812</v>
      </c>
    </row>
    <row r="135" spans="1:21" x14ac:dyDescent="0.2">
      <c r="A135" s="449">
        <v>44896</v>
      </c>
      <c r="D135" s="461">
        <v>692.8</v>
      </c>
      <c r="E135" s="461">
        <v>132.6</v>
      </c>
      <c r="F135" s="461">
        <v>0</v>
      </c>
      <c r="G135" s="461">
        <v>14600.3</v>
      </c>
      <c r="H135" s="461">
        <v>1962.7</v>
      </c>
      <c r="I135" s="461">
        <v>0</v>
      </c>
      <c r="J135" s="461"/>
      <c r="K135" s="461">
        <v>131</v>
      </c>
      <c r="L135" s="461"/>
      <c r="M135" s="461">
        <f t="shared" si="15"/>
        <v>17388.399999999998</v>
      </c>
      <c r="N135" s="461">
        <f t="shared" si="16"/>
        <v>17519.399999999998</v>
      </c>
      <c r="Q135" s="450">
        <f t="shared" si="9"/>
        <v>0</v>
      </c>
      <c r="S135" s="461">
        <f t="shared" si="12"/>
        <v>0</v>
      </c>
      <c r="T135" s="461">
        <f t="shared" si="13"/>
        <v>17388.399999999998</v>
      </c>
      <c r="U135" s="1">
        <f t="shared" si="14"/>
        <v>17388.399999999998</v>
      </c>
    </row>
    <row r="136" spans="1:21" x14ac:dyDescent="0.2">
      <c r="A136" s="449">
        <v>44927</v>
      </c>
      <c r="D136" s="461"/>
      <c r="E136" s="461"/>
      <c r="F136" s="461"/>
      <c r="G136" s="461"/>
      <c r="H136" s="461"/>
      <c r="I136" s="461"/>
      <c r="J136" s="461"/>
      <c r="K136" s="461"/>
      <c r="L136" s="461"/>
      <c r="M136" s="461"/>
      <c r="N136" s="461"/>
      <c r="Q136" s="450"/>
      <c r="S136" s="461"/>
      <c r="T136" s="461"/>
    </row>
    <row r="137" spans="1:21" x14ac:dyDescent="0.2">
      <c r="A137" s="449">
        <v>44958</v>
      </c>
      <c r="D137" s="461"/>
      <c r="E137" s="461"/>
      <c r="F137" s="461"/>
      <c r="G137" s="461"/>
      <c r="H137" s="461"/>
      <c r="I137" s="461"/>
      <c r="J137" s="461"/>
      <c r="K137" s="461"/>
      <c r="L137" s="461"/>
      <c r="M137" s="461"/>
      <c r="N137" s="461"/>
      <c r="Q137" s="450"/>
      <c r="S137" s="461"/>
      <c r="T137" s="461"/>
    </row>
    <row r="138" spans="1:21" x14ac:dyDescent="0.2">
      <c r="A138" s="449">
        <v>44986</v>
      </c>
      <c r="D138" s="461"/>
      <c r="E138" s="461"/>
      <c r="F138" s="461"/>
      <c r="G138" s="461"/>
      <c r="H138" s="461"/>
      <c r="I138" s="461"/>
      <c r="J138" s="461"/>
      <c r="K138" s="461"/>
      <c r="L138" s="461"/>
      <c r="M138" s="461"/>
      <c r="N138" s="461"/>
      <c r="Q138" s="450"/>
      <c r="S138" s="461"/>
    </row>
    <row r="139" spans="1:21" x14ac:dyDescent="0.2">
      <c r="A139" s="449">
        <v>45017</v>
      </c>
      <c r="D139" s="461"/>
      <c r="E139" s="461"/>
      <c r="F139" s="461"/>
      <c r="G139" s="461"/>
      <c r="H139" s="461"/>
      <c r="I139" s="461"/>
      <c r="J139" s="461"/>
      <c r="K139" s="461"/>
      <c r="L139" s="461"/>
      <c r="M139" s="461"/>
      <c r="N139" s="461"/>
      <c r="Q139" s="450"/>
      <c r="S139" s="461"/>
    </row>
    <row r="140" spans="1:21" x14ac:dyDescent="0.2">
      <c r="A140" s="449">
        <v>45047</v>
      </c>
      <c r="D140" s="461"/>
      <c r="E140" s="461"/>
      <c r="F140" s="461"/>
      <c r="G140" s="461"/>
      <c r="H140" s="461"/>
      <c r="I140" s="461"/>
      <c r="J140" s="461"/>
      <c r="K140" s="461"/>
      <c r="L140" s="461"/>
      <c r="M140" s="461"/>
      <c r="N140" s="461"/>
      <c r="Q140" s="450"/>
      <c r="S140" s="461"/>
    </row>
    <row r="141" spans="1:21" x14ac:dyDescent="0.2">
      <c r="A141" s="449">
        <v>45078</v>
      </c>
      <c r="D141" s="461"/>
      <c r="E141" s="461"/>
      <c r="F141" s="461"/>
      <c r="G141" s="461"/>
      <c r="H141" s="461"/>
      <c r="I141" s="461"/>
      <c r="J141" s="461"/>
      <c r="K141" s="461"/>
      <c r="L141" s="461"/>
      <c r="M141" s="461"/>
      <c r="N141" s="461"/>
      <c r="Q141" s="450"/>
      <c r="S141" s="461"/>
    </row>
    <row r="142" spans="1:21" x14ac:dyDescent="0.2">
      <c r="A142" s="449">
        <v>45108</v>
      </c>
      <c r="D142" s="461"/>
      <c r="E142" s="461"/>
      <c r="F142" s="461"/>
      <c r="G142" s="461"/>
      <c r="H142" s="461"/>
      <c r="I142" s="461"/>
      <c r="J142" s="461"/>
      <c r="K142" s="461"/>
      <c r="L142" s="461"/>
      <c r="M142" s="461"/>
      <c r="N142" s="461"/>
      <c r="Q142" s="450"/>
      <c r="S142" s="461"/>
    </row>
    <row r="143" spans="1:21" x14ac:dyDescent="0.2">
      <c r="A143" s="449">
        <v>45139</v>
      </c>
      <c r="D143" s="461"/>
      <c r="E143" s="461"/>
      <c r="F143" s="461"/>
      <c r="G143" s="461"/>
      <c r="H143" s="461"/>
      <c r="I143" s="461"/>
      <c r="J143" s="461"/>
      <c r="K143" s="461"/>
      <c r="L143" s="461"/>
      <c r="M143" s="461"/>
      <c r="N143" s="461"/>
      <c r="Q143" s="450"/>
      <c r="S143" s="461"/>
    </row>
    <row r="144" spans="1:21" x14ac:dyDescent="0.2">
      <c r="A144" s="449">
        <v>45170</v>
      </c>
      <c r="D144" s="461"/>
      <c r="E144" s="461"/>
      <c r="F144" s="461"/>
      <c r="G144" s="461"/>
      <c r="H144" s="461"/>
      <c r="I144" s="461"/>
      <c r="J144" s="461"/>
      <c r="K144" s="461"/>
      <c r="L144" s="461"/>
      <c r="M144" s="461"/>
      <c r="N144" s="461"/>
      <c r="Q144" s="450"/>
      <c r="S144" s="461"/>
    </row>
    <row r="145" spans="1:19" x14ac:dyDescent="0.2">
      <c r="A145" s="449">
        <v>45200</v>
      </c>
      <c r="D145" s="461"/>
      <c r="E145" s="461"/>
      <c r="F145" s="461"/>
      <c r="G145" s="461"/>
      <c r="H145" s="461"/>
      <c r="I145" s="461"/>
      <c r="J145" s="461"/>
      <c r="K145" s="461"/>
      <c r="L145" s="461"/>
      <c r="M145" s="461"/>
      <c r="N145" s="461"/>
      <c r="Q145" s="450"/>
      <c r="S145" s="461"/>
    </row>
    <row r="146" spans="1:19" x14ac:dyDescent="0.2">
      <c r="A146" s="449">
        <v>45231</v>
      </c>
      <c r="D146" s="461"/>
      <c r="E146" s="461"/>
      <c r="F146" s="461"/>
      <c r="G146" s="461"/>
      <c r="H146" s="461"/>
      <c r="I146" s="461"/>
      <c r="J146" s="461"/>
      <c r="K146" s="461"/>
      <c r="L146" s="461"/>
      <c r="M146" s="461"/>
      <c r="N146" s="461"/>
      <c r="Q146" s="450"/>
      <c r="S146" s="461"/>
    </row>
    <row r="147" spans="1:19" x14ac:dyDescent="0.2">
      <c r="A147" s="449">
        <v>45261</v>
      </c>
      <c r="D147" s="461"/>
      <c r="E147" s="461"/>
      <c r="F147" s="461"/>
      <c r="G147" s="461"/>
      <c r="H147" s="461"/>
      <c r="I147" s="461"/>
      <c r="J147" s="461"/>
      <c r="K147" s="461"/>
      <c r="L147" s="461"/>
      <c r="M147" s="461"/>
      <c r="N147" s="461"/>
      <c r="Q147" s="450"/>
      <c r="S147" s="461"/>
    </row>
    <row r="148" spans="1:19" x14ac:dyDescent="0.2">
      <c r="A148" s="449">
        <v>45292</v>
      </c>
      <c r="D148" s="461"/>
      <c r="E148" s="461"/>
      <c r="F148" s="461"/>
      <c r="G148" s="461"/>
      <c r="H148" s="461"/>
      <c r="I148" s="461"/>
      <c r="J148" s="461"/>
      <c r="K148" s="461"/>
      <c r="L148" s="461"/>
      <c r="M148" s="461"/>
      <c r="N148" s="461"/>
      <c r="Q148" s="450"/>
      <c r="S148" s="461"/>
    </row>
    <row r="149" spans="1:19" x14ac:dyDescent="0.2">
      <c r="A149" s="449">
        <v>45323</v>
      </c>
      <c r="D149" s="461"/>
      <c r="E149" s="461"/>
      <c r="F149" s="461"/>
      <c r="G149" s="461"/>
      <c r="H149" s="461"/>
      <c r="I149" s="461"/>
      <c r="J149" s="461"/>
      <c r="K149" s="461"/>
      <c r="L149" s="461"/>
      <c r="M149" s="461"/>
      <c r="N149" s="461"/>
      <c r="Q149" s="450"/>
      <c r="S149" s="461"/>
    </row>
    <row r="150" spans="1:19" x14ac:dyDescent="0.2">
      <c r="A150" s="449">
        <v>45352</v>
      </c>
      <c r="D150" s="461"/>
      <c r="E150" s="461"/>
      <c r="F150" s="461"/>
      <c r="G150" s="461"/>
      <c r="H150" s="461"/>
      <c r="I150" s="461"/>
      <c r="J150" s="461"/>
      <c r="K150" s="461"/>
      <c r="L150" s="461"/>
      <c r="M150" s="461"/>
      <c r="N150" s="461"/>
      <c r="Q150" s="450"/>
      <c r="S150" s="461"/>
    </row>
    <row r="151" spans="1:19" x14ac:dyDescent="0.2">
      <c r="A151" s="449">
        <v>45383</v>
      </c>
      <c r="D151" s="461"/>
      <c r="E151" s="461"/>
      <c r="F151" s="461"/>
      <c r="G151" s="461"/>
      <c r="H151" s="461"/>
      <c r="I151" s="461"/>
      <c r="J151" s="461"/>
      <c r="K151" s="461"/>
      <c r="L151" s="461"/>
      <c r="M151" s="461"/>
      <c r="N151" s="461"/>
      <c r="Q151" s="450"/>
      <c r="S151" s="461"/>
    </row>
    <row r="152" spans="1:19" x14ac:dyDescent="0.2">
      <c r="A152" s="449">
        <v>45413</v>
      </c>
      <c r="D152" s="461"/>
      <c r="E152" s="461"/>
      <c r="F152" s="461"/>
      <c r="G152" s="461"/>
      <c r="H152" s="461"/>
      <c r="I152" s="461"/>
      <c r="J152" s="461"/>
      <c r="K152" s="461"/>
      <c r="L152" s="461"/>
      <c r="M152" s="461"/>
      <c r="N152" s="461"/>
      <c r="Q152" s="450"/>
      <c r="S152" s="461"/>
    </row>
    <row r="153" spans="1:19" x14ac:dyDescent="0.2">
      <c r="A153" s="449">
        <v>45444</v>
      </c>
      <c r="D153" s="461"/>
      <c r="E153" s="461"/>
      <c r="F153" s="461"/>
      <c r="G153" s="461"/>
      <c r="H153" s="461"/>
      <c r="I153" s="461"/>
      <c r="J153" s="461"/>
      <c r="K153" s="461"/>
      <c r="L153" s="461"/>
      <c r="M153" s="461"/>
      <c r="N153" s="461"/>
      <c r="Q153" s="450"/>
      <c r="S153" s="461"/>
    </row>
    <row r="154" spans="1:19" x14ac:dyDescent="0.2">
      <c r="A154" s="449">
        <v>45474</v>
      </c>
      <c r="D154" s="461"/>
      <c r="E154" s="461"/>
      <c r="F154" s="461"/>
      <c r="G154" s="461"/>
      <c r="H154" s="461"/>
      <c r="I154" s="461"/>
      <c r="J154" s="461"/>
      <c r="K154" s="461"/>
      <c r="L154" s="461"/>
      <c r="M154" s="461"/>
      <c r="N154" s="461"/>
      <c r="Q154" s="450"/>
      <c r="S154" s="461"/>
    </row>
    <row r="155" spans="1:19" x14ac:dyDescent="0.2">
      <c r="A155" s="449">
        <v>45505</v>
      </c>
      <c r="D155" s="461"/>
      <c r="E155" s="461"/>
      <c r="F155" s="461"/>
      <c r="G155" s="461"/>
      <c r="H155" s="461"/>
      <c r="I155" s="461"/>
      <c r="J155" s="461"/>
      <c r="K155" s="461"/>
      <c r="L155" s="461"/>
      <c r="M155" s="461"/>
      <c r="N155" s="461"/>
      <c r="Q155" s="450"/>
      <c r="S155" s="461"/>
    </row>
    <row r="156" spans="1:19" x14ac:dyDescent="0.2">
      <c r="A156" s="449">
        <v>45536</v>
      </c>
      <c r="D156" s="461"/>
      <c r="E156" s="461"/>
      <c r="F156" s="461"/>
      <c r="G156" s="461"/>
      <c r="H156" s="461"/>
      <c r="I156" s="461"/>
      <c r="J156" s="461"/>
      <c r="K156" s="461"/>
      <c r="L156" s="461"/>
      <c r="M156" s="461"/>
      <c r="N156" s="461"/>
      <c r="Q156" s="450"/>
      <c r="S156" s="461"/>
    </row>
    <row r="157" spans="1:19" x14ac:dyDescent="0.2">
      <c r="A157" s="449">
        <v>45566</v>
      </c>
      <c r="D157" s="461"/>
      <c r="E157" s="461"/>
      <c r="F157" s="461"/>
      <c r="G157" s="461"/>
      <c r="H157" s="461"/>
      <c r="I157" s="461"/>
      <c r="J157" s="461"/>
      <c r="K157" s="461"/>
      <c r="L157" s="461"/>
      <c r="M157" s="461"/>
      <c r="N157" s="461"/>
      <c r="Q157" s="450"/>
      <c r="S157" s="461"/>
    </row>
    <row r="158" spans="1:19" x14ac:dyDescent="0.2">
      <c r="A158" s="449">
        <v>45597</v>
      </c>
      <c r="D158" s="461"/>
      <c r="E158" s="461"/>
      <c r="F158" s="461"/>
      <c r="G158" s="461"/>
      <c r="H158" s="461"/>
      <c r="I158" s="461"/>
      <c r="J158" s="461"/>
      <c r="K158" s="461"/>
      <c r="L158" s="461"/>
      <c r="M158" s="461"/>
      <c r="N158" s="461"/>
      <c r="Q158" s="450"/>
      <c r="S158" s="461"/>
    </row>
    <row r="159" spans="1:19" x14ac:dyDescent="0.2">
      <c r="A159" s="449">
        <v>45627</v>
      </c>
      <c r="D159" s="461"/>
      <c r="E159" s="461"/>
      <c r="F159" s="461"/>
      <c r="G159" s="461"/>
      <c r="H159" s="461"/>
      <c r="I159" s="461"/>
      <c r="J159" s="461"/>
      <c r="K159" s="461"/>
      <c r="L159" s="461"/>
      <c r="M159" s="461"/>
      <c r="N159" s="461"/>
      <c r="Q159" s="450"/>
      <c r="S159" s="461"/>
    </row>
    <row r="160" spans="1:19" x14ac:dyDescent="0.2">
      <c r="A160" s="449"/>
      <c r="D160" s="461"/>
      <c r="E160" s="461"/>
      <c r="F160" s="461"/>
      <c r="G160" s="461"/>
      <c r="H160" s="461"/>
      <c r="I160" s="461"/>
      <c r="J160" s="461"/>
      <c r="K160" s="461"/>
      <c r="L160" s="461"/>
      <c r="M160" s="461"/>
      <c r="N160" s="461"/>
      <c r="Q160" s="450"/>
      <c r="S160" s="461"/>
    </row>
    <row r="162" spans="1:20" x14ac:dyDescent="0.2">
      <c r="A162" s="1" t="s">
        <v>320</v>
      </c>
    </row>
    <row r="163" spans="1:20" x14ac:dyDescent="0.2">
      <c r="A163" s="24">
        <v>2012</v>
      </c>
      <c r="S163" s="450">
        <f>SUM(S4:S15)</f>
        <v>0</v>
      </c>
      <c r="T163" s="450"/>
    </row>
    <row r="164" spans="1:20" x14ac:dyDescent="0.2">
      <c r="A164" s="24">
        <v>2013</v>
      </c>
      <c r="S164" s="450">
        <f>SUM(S16:S27)</f>
        <v>0</v>
      </c>
      <c r="T164" s="450"/>
    </row>
    <row r="165" spans="1:20" x14ac:dyDescent="0.2">
      <c r="A165" s="24">
        <v>2014</v>
      </c>
      <c r="S165" s="450">
        <f>SUM(S28:S39)</f>
        <v>317.31000000000006</v>
      </c>
      <c r="T165" s="450"/>
    </row>
    <row r="166" spans="1:20" x14ac:dyDescent="0.2">
      <c r="A166" s="24">
        <v>2015</v>
      </c>
      <c r="S166" s="450">
        <f>SUM(S40:S51)</f>
        <v>966.23000000000013</v>
      </c>
      <c r="T166" s="450"/>
    </row>
    <row r="167" spans="1:20" x14ac:dyDescent="0.2">
      <c r="A167" s="24">
        <v>2016</v>
      </c>
      <c r="S167" s="450">
        <f>SUM(S52:S63)</f>
        <v>3504.6500000000005</v>
      </c>
      <c r="T167" s="450"/>
    </row>
    <row r="168" spans="1:20" x14ac:dyDescent="0.2">
      <c r="A168" s="24">
        <v>2017</v>
      </c>
      <c r="S168" s="450">
        <f>SUM(S64:S75)</f>
        <v>6116.6399999999994</v>
      </c>
      <c r="T168" s="450"/>
    </row>
    <row r="169" spans="1:20" x14ac:dyDescent="0.2">
      <c r="A169" s="24">
        <v>2018</v>
      </c>
      <c r="S169" s="450">
        <f>SUM(S76:S87)</f>
        <v>35481.919999999998</v>
      </c>
      <c r="T169" s="450"/>
    </row>
    <row r="170" spans="1:20" x14ac:dyDescent="0.2">
      <c r="A170" s="24">
        <v>2019</v>
      </c>
      <c r="S170" s="450">
        <f>SUM(S88:S91)</f>
        <v>28739.200000000001</v>
      </c>
      <c r="T170" s="450"/>
    </row>
    <row r="171" spans="1:20" x14ac:dyDescent="0.2">
      <c r="A171" s="24">
        <v>2020</v>
      </c>
      <c r="S171" s="450">
        <f>SUM(S100:S111)</f>
        <v>87942.399999999994</v>
      </c>
    </row>
  </sheetData>
  <pageMargins left="0.7" right="0.7" top="0.75" bottom="0.75" header="0.3" footer="0.3"/>
  <pageSetup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FDB74-CA79-45CB-9902-96FE2FB862DD}">
  <sheetPr>
    <tabColor theme="6" tint="0.79998168889431442"/>
  </sheetPr>
  <dimension ref="A1:AP179"/>
  <sheetViews>
    <sheetView workbookViewId="0">
      <pane xSplit="1" ySplit="3" topLeftCell="B4" activePane="bottomRight" state="frozen"/>
      <selection activeCell="K97" sqref="K97"/>
      <selection pane="topRight" activeCell="K97" sqref="K97"/>
      <selection pane="bottomLeft" activeCell="K97" sqref="K97"/>
      <selection pane="bottomRight" activeCell="B4" sqref="B4"/>
    </sheetView>
  </sheetViews>
  <sheetFormatPr defaultRowHeight="12.75" x14ac:dyDescent="0.2"/>
  <cols>
    <col min="1" max="1" width="29.33203125" style="1" bestFit="1" customWidth="1"/>
    <col min="2" max="12" width="12.33203125" style="1" customWidth="1"/>
    <col min="13" max="24" width="16.1640625" style="1" customWidth="1"/>
    <col min="25" max="25" width="19.5" style="1" bestFit="1" customWidth="1"/>
    <col min="26" max="26" width="29.6640625" style="1" bestFit="1" customWidth="1"/>
    <col min="27" max="27" width="9.33203125" style="1"/>
    <col min="28" max="28" width="29.33203125" style="1" bestFit="1" customWidth="1"/>
    <col min="29" max="29" width="13.6640625" style="1" customWidth="1"/>
    <col min="30" max="38" width="12.33203125" style="1" customWidth="1"/>
    <col min="39" max="39" width="9.33203125" style="1"/>
    <col min="40" max="40" width="17.83203125" style="1" bestFit="1" customWidth="1"/>
    <col min="41" max="41" width="19.83203125" style="1" customWidth="1"/>
    <col min="42" max="42" width="19" style="1" customWidth="1"/>
    <col min="43" max="16384" width="9.33203125" style="1"/>
  </cols>
  <sheetData>
    <row r="1" spans="1:42" x14ac:dyDescent="0.2">
      <c r="A1" s="1" t="s">
        <v>300</v>
      </c>
      <c r="K1" s="451" t="s">
        <v>302</v>
      </c>
      <c r="Y1" s="22"/>
      <c r="AB1" s="1" t="s">
        <v>292</v>
      </c>
      <c r="AO1" s="1" t="s">
        <v>303</v>
      </c>
    </row>
    <row r="2" spans="1:42" ht="38.25" x14ac:dyDescent="0.2">
      <c r="K2" s="451" t="s">
        <v>301</v>
      </c>
      <c r="M2" s="270" t="s">
        <v>473</v>
      </c>
      <c r="N2" s="270" t="s">
        <v>474</v>
      </c>
      <c r="O2" s="270" t="s">
        <v>475</v>
      </c>
      <c r="P2" s="270" t="s">
        <v>476</v>
      </c>
      <c r="Q2" s="270" t="s">
        <v>477</v>
      </c>
      <c r="R2" s="270" t="s">
        <v>478</v>
      </c>
      <c r="S2" s="270" t="s">
        <v>479</v>
      </c>
      <c r="T2" s="270" t="s">
        <v>480</v>
      </c>
      <c r="U2" s="270" t="s">
        <v>481</v>
      </c>
      <c r="V2" s="270" t="s">
        <v>482</v>
      </c>
      <c r="W2" s="270" t="s">
        <v>483</v>
      </c>
      <c r="X2" s="270" t="s">
        <v>484</v>
      </c>
      <c r="Y2" s="274" t="s">
        <v>283</v>
      </c>
      <c r="Z2" s="448" t="s">
        <v>290</v>
      </c>
      <c r="AN2" s="270" t="s">
        <v>413</v>
      </c>
      <c r="AO2" s="270" t="s">
        <v>333</v>
      </c>
      <c r="AP2" s="270"/>
    </row>
    <row r="3" spans="1:42" x14ac:dyDescent="0.2">
      <c r="B3" s="448" t="s">
        <v>268</v>
      </c>
      <c r="C3" s="448" t="s">
        <v>269</v>
      </c>
      <c r="D3" s="448" t="s">
        <v>270</v>
      </c>
      <c r="E3" s="448" t="s">
        <v>271</v>
      </c>
      <c r="F3" s="448" t="s">
        <v>282</v>
      </c>
      <c r="G3" s="448" t="s">
        <v>275</v>
      </c>
      <c r="H3" s="448" t="s">
        <v>281</v>
      </c>
      <c r="I3" s="448" t="s">
        <v>279</v>
      </c>
      <c r="J3" s="448" t="s">
        <v>272</v>
      </c>
      <c r="K3" s="448" t="s">
        <v>280</v>
      </c>
      <c r="M3" s="448"/>
      <c r="N3" s="448"/>
      <c r="O3" s="448"/>
      <c r="P3" s="448"/>
      <c r="Q3" s="448"/>
      <c r="R3" s="448"/>
      <c r="S3" s="448"/>
      <c r="T3" s="448"/>
      <c r="U3" s="448"/>
      <c r="V3" s="448"/>
      <c r="W3" s="448"/>
      <c r="X3" s="448"/>
      <c r="Y3" s="454" t="s">
        <v>268</v>
      </c>
      <c r="Z3" s="1" t="s">
        <v>5</v>
      </c>
      <c r="AC3" s="448" t="s">
        <v>268</v>
      </c>
      <c r="AD3" s="448" t="s">
        <v>269</v>
      </c>
      <c r="AE3" s="448" t="s">
        <v>270</v>
      </c>
      <c r="AF3" s="448" t="s">
        <v>271</v>
      </c>
      <c r="AG3" s="448" t="s">
        <v>282</v>
      </c>
      <c r="AH3" s="448" t="s">
        <v>275</v>
      </c>
      <c r="AI3" s="448" t="s">
        <v>281</v>
      </c>
      <c r="AJ3" s="448" t="s">
        <v>279</v>
      </c>
      <c r="AK3" s="448" t="s">
        <v>272</v>
      </c>
      <c r="AL3" s="448" t="s">
        <v>280</v>
      </c>
      <c r="AN3" s="270" t="s">
        <v>173</v>
      </c>
      <c r="AO3" s="270"/>
    </row>
    <row r="4" spans="1:42" x14ac:dyDescent="0.2">
      <c r="B4" s="272">
        <v>6664</v>
      </c>
      <c r="C4" s="272">
        <v>1251</v>
      </c>
      <c r="D4" s="272">
        <v>5</v>
      </c>
      <c r="E4" s="272">
        <v>9</v>
      </c>
      <c r="F4" s="272">
        <v>74</v>
      </c>
      <c r="G4" s="272">
        <v>30</v>
      </c>
      <c r="H4" s="272"/>
      <c r="I4" s="272"/>
      <c r="J4" s="272">
        <v>24</v>
      </c>
      <c r="K4" s="272">
        <v>1946</v>
      </c>
      <c r="M4" s="272"/>
      <c r="N4" s="272"/>
      <c r="O4" s="272"/>
      <c r="P4" s="272"/>
      <c r="Q4" s="272"/>
      <c r="R4" s="272"/>
      <c r="S4" s="272"/>
      <c r="T4" s="272"/>
      <c r="U4" s="272"/>
      <c r="V4" s="272"/>
      <c r="W4" s="272"/>
      <c r="X4" s="272"/>
      <c r="Y4" s="455" t="s">
        <v>272</v>
      </c>
      <c r="Z4" s="1" t="s">
        <v>174</v>
      </c>
      <c r="AB4" s="449">
        <v>40878</v>
      </c>
      <c r="AC4" s="272"/>
      <c r="AD4" s="272"/>
      <c r="AE4" s="272"/>
      <c r="AF4" s="272"/>
      <c r="AG4" s="272"/>
      <c r="AH4" s="272"/>
      <c r="AI4" s="272"/>
      <c r="AJ4" s="272"/>
      <c r="AK4" s="272"/>
      <c r="AL4" s="272"/>
      <c r="AN4" s="60">
        <f>+AE4+AF4+AG4+AH4+AI4-X3</f>
        <v>0</v>
      </c>
      <c r="AO4" s="60">
        <f>+AC4+AD4+AN4</f>
        <v>0</v>
      </c>
    </row>
    <row r="5" spans="1:42" x14ac:dyDescent="0.2">
      <c r="A5" s="449">
        <v>40909</v>
      </c>
      <c r="B5" s="37">
        <v>6672</v>
      </c>
      <c r="C5" s="37">
        <v>1249</v>
      </c>
      <c r="D5" s="37">
        <v>5</v>
      </c>
      <c r="E5" s="37">
        <v>9</v>
      </c>
      <c r="F5" s="37">
        <v>74</v>
      </c>
      <c r="G5" s="37">
        <v>30</v>
      </c>
      <c r="H5" s="457"/>
      <c r="I5" s="457"/>
      <c r="J5" s="37">
        <v>23</v>
      </c>
      <c r="K5" s="37">
        <v>1946</v>
      </c>
      <c r="M5" s="457"/>
      <c r="N5" s="457"/>
      <c r="O5" s="457"/>
      <c r="P5" s="457"/>
      <c r="Q5" s="457"/>
      <c r="R5" s="457"/>
      <c r="S5" s="457"/>
      <c r="T5" s="457"/>
      <c r="U5" s="457"/>
      <c r="V5" s="457"/>
      <c r="W5" s="457"/>
      <c r="X5" s="457"/>
      <c r="Y5" s="455" t="s">
        <v>269</v>
      </c>
      <c r="Z5" s="1" t="s">
        <v>172</v>
      </c>
      <c r="AB5" s="449">
        <v>40909</v>
      </c>
      <c r="AC5" s="37">
        <f t="shared" ref="AC5:AH5" si="0">(B4+B5)/2</f>
        <v>6668</v>
      </c>
      <c r="AD5" s="37">
        <f t="shared" si="0"/>
        <v>1250</v>
      </c>
      <c r="AE5" s="37">
        <f t="shared" si="0"/>
        <v>5</v>
      </c>
      <c r="AF5" s="37">
        <f t="shared" si="0"/>
        <v>9</v>
      </c>
      <c r="AG5" s="37">
        <f t="shared" si="0"/>
        <v>74</v>
      </c>
      <c r="AH5" s="37">
        <f t="shared" si="0"/>
        <v>30</v>
      </c>
      <c r="AI5" s="457"/>
      <c r="AJ5" s="457"/>
      <c r="AK5" s="37">
        <f>(J4+J5)/2</f>
        <v>23.5</v>
      </c>
      <c r="AL5" s="37">
        <f>(K4+K5)/2</f>
        <v>1946</v>
      </c>
      <c r="AN5" s="60">
        <f t="shared" ref="AN5:AN36" si="1">+AE5+AF5+AG5+AH5+AI5-X5</f>
        <v>118</v>
      </c>
      <c r="AO5" s="60">
        <f>+AC5+AD5+AN5</f>
        <v>8036</v>
      </c>
      <c r="AP5" s="60"/>
    </row>
    <row r="6" spans="1:42" x14ac:dyDescent="0.2">
      <c r="A6" s="449">
        <v>40940</v>
      </c>
      <c r="B6" s="37">
        <v>6682</v>
      </c>
      <c r="C6" s="37">
        <v>1262</v>
      </c>
      <c r="D6" s="37">
        <v>5</v>
      </c>
      <c r="E6" s="37">
        <v>9</v>
      </c>
      <c r="F6" s="37">
        <v>74</v>
      </c>
      <c r="G6" s="37">
        <v>30</v>
      </c>
      <c r="H6" s="457"/>
      <c r="I6" s="457"/>
      <c r="J6" s="37">
        <v>22</v>
      </c>
      <c r="K6" s="37">
        <v>1946</v>
      </c>
      <c r="M6" s="457"/>
      <c r="N6" s="457"/>
      <c r="O6" s="457"/>
      <c r="P6" s="457"/>
      <c r="Q6" s="457"/>
      <c r="R6" s="457"/>
      <c r="S6" s="457"/>
      <c r="T6" s="457"/>
      <c r="U6" s="457"/>
      <c r="V6" s="457"/>
      <c r="W6" s="457"/>
      <c r="X6" s="457"/>
      <c r="Y6" s="455" t="s">
        <v>275</v>
      </c>
      <c r="Z6" s="1" t="s">
        <v>286</v>
      </c>
      <c r="AB6" s="449">
        <v>40940</v>
      </c>
      <c r="AC6" s="37">
        <f t="shared" ref="AC6:AC57" si="2">(B5+B6)/2</f>
        <v>6677</v>
      </c>
      <c r="AD6" s="37">
        <f t="shared" ref="AD6:AD57" si="3">(C5+C6)/2</f>
        <v>1255.5</v>
      </c>
      <c r="AE6" s="37">
        <f t="shared" ref="AE6:AE57" si="4">(D5+D6)/2</f>
        <v>5</v>
      </c>
      <c r="AF6" s="37">
        <f t="shared" ref="AF6:AF57" si="5">(E5+E6)/2</f>
        <v>9</v>
      </c>
      <c r="AG6" s="37">
        <f t="shared" ref="AG6:AG57" si="6">(F5+F6)/2</f>
        <v>74</v>
      </c>
      <c r="AH6" s="37">
        <f t="shared" ref="AH6:AH57" si="7">(G5+G6)/2</f>
        <v>30</v>
      </c>
      <c r="AI6" s="457"/>
      <c r="AJ6" s="457"/>
      <c r="AK6" s="37">
        <f t="shared" ref="AK6:AK57" si="8">(J5+J6)/2</f>
        <v>22.5</v>
      </c>
      <c r="AL6" s="37">
        <f t="shared" ref="AL6:AL57" si="9">(K5+K6)/2</f>
        <v>1946</v>
      </c>
      <c r="AN6" s="60">
        <f t="shared" si="1"/>
        <v>118</v>
      </c>
      <c r="AO6" s="60">
        <f t="shared" ref="AO6:AO69" si="10">+AC6+AD6+AN6</f>
        <v>8050.5</v>
      </c>
      <c r="AP6" s="60"/>
    </row>
    <row r="7" spans="1:42" x14ac:dyDescent="0.2">
      <c r="A7" s="449">
        <v>40969</v>
      </c>
      <c r="B7" s="37">
        <v>6686</v>
      </c>
      <c r="C7" s="37">
        <v>1266</v>
      </c>
      <c r="D7" s="37">
        <v>5</v>
      </c>
      <c r="E7" s="37">
        <v>9</v>
      </c>
      <c r="F7" s="37">
        <v>74</v>
      </c>
      <c r="G7" s="37">
        <v>30</v>
      </c>
      <c r="H7" s="457"/>
      <c r="I7" s="457"/>
      <c r="J7" s="37">
        <v>20</v>
      </c>
      <c r="K7" s="37">
        <v>1946</v>
      </c>
      <c r="M7" s="457"/>
      <c r="N7" s="457"/>
      <c r="O7" s="457"/>
      <c r="P7" s="457"/>
      <c r="Q7" s="457"/>
      <c r="R7" s="457"/>
      <c r="S7" s="457"/>
      <c r="T7" s="457"/>
      <c r="U7" s="457"/>
      <c r="V7" s="457"/>
      <c r="W7" s="457"/>
      <c r="X7" s="457"/>
      <c r="Y7" s="455" t="s">
        <v>270</v>
      </c>
      <c r="Z7" s="1" t="s">
        <v>288</v>
      </c>
      <c r="AB7" s="449">
        <v>40969</v>
      </c>
      <c r="AC7" s="37">
        <f t="shared" si="2"/>
        <v>6684</v>
      </c>
      <c r="AD7" s="37">
        <f t="shared" si="3"/>
        <v>1264</v>
      </c>
      <c r="AE7" s="37">
        <f t="shared" si="4"/>
        <v>5</v>
      </c>
      <c r="AF7" s="37">
        <f t="shared" si="5"/>
        <v>9</v>
      </c>
      <c r="AG7" s="37">
        <f t="shared" si="6"/>
        <v>74</v>
      </c>
      <c r="AH7" s="37">
        <f t="shared" si="7"/>
        <v>30</v>
      </c>
      <c r="AI7" s="457"/>
      <c r="AJ7" s="457"/>
      <c r="AK7" s="37">
        <f t="shared" si="8"/>
        <v>21</v>
      </c>
      <c r="AL7" s="37">
        <f t="shared" si="9"/>
        <v>1946</v>
      </c>
      <c r="AN7" s="60">
        <f t="shared" si="1"/>
        <v>118</v>
      </c>
      <c r="AO7" s="60">
        <f t="shared" si="10"/>
        <v>8066</v>
      </c>
      <c r="AP7" s="60"/>
    </row>
    <row r="8" spans="1:42" x14ac:dyDescent="0.2">
      <c r="A8" s="449">
        <v>41000</v>
      </c>
      <c r="B8" s="37">
        <v>6690</v>
      </c>
      <c r="C8" s="37">
        <v>1277</v>
      </c>
      <c r="D8" s="37">
        <v>5</v>
      </c>
      <c r="E8" s="37">
        <v>9</v>
      </c>
      <c r="F8" s="37">
        <v>74</v>
      </c>
      <c r="G8" s="37">
        <v>30</v>
      </c>
      <c r="H8" s="457"/>
      <c r="I8" s="457"/>
      <c r="J8" s="37">
        <v>20</v>
      </c>
      <c r="K8" s="37">
        <v>1946</v>
      </c>
      <c r="M8" s="457"/>
      <c r="N8" s="457"/>
      <c r="O8" s="457"/>
      <c r="P8" s="457"/>
      <c r="Q8" s="457"/>
      <c r="R8" s="457"/>
      <c r="S8" s="457"/>
      <c r="T8" s="457"/>
      <c r="U8" s="457"/>
      <c r="V8" s="457"/>
      <c r="W8" s="457"/>
      <c r="X8" s="457"/>
      <c r="Y8" s="455" t="s">
        <v>271</v>
      </c>
      <c r="Z8" s="1" t="s">
        <v>289</v>
      </c>
      <c r="AB8" s="449">
        <v>41000</v>
      </c>
      <c r="AC8" s="37">
        <f t="shared" si="2"/>
        <v>6688</v>
      </c>
      <c r="AD8" s="37">
        <f t="shared" si="3"/>
        <v>1271.5</v>
      </c>
      <c r="AE8" s="37">
        <f t="shared" si="4"/>
        <v>5</v>
      </c>
      <c r="AF8" s="37">
        <f t="shared" si="5"/>
        <v>9</v>
      </c>
      <c r="AG8" s="37">
        <f t="shared" si="6"/>
        <v>74</v>
      </c>
      <c r="AH8" s="37">
        <f t="shared" si="7"/>
        <v>30</v>
      </c>
      <c r="AI8" s="457"/>
      <c r="AJ8" s="457"/>
      <c r="AK8" s="37">
        <f t="shared" si="8"/>
        <v>20</v>
      </c>
      <c r="AL8" s="37">
        <f t="shared" si="9"/>
        <v>1946</v>
      </c>
      <c r="AN8" s="60">
        <f t="shared" si="1"/>
        <v>118</v>
      </c>
      <c r="AO8" s="60">
        <f t="shared" si="10"/>
        <v>8077.5</v>
      </c>
      <c r="AP8" s="60"/>
    </row>
    <row r="9" spans="1:42" x14ac:dyDescent="0.2">
      <c r="A9" s="449">
        <v>41030</v>
      </c>
      <c r="B9" s="37">
        <v>6693</v>
      </c>
      <c r="C9" s="37">
        <v>1279</v>
      </c>
      <c r="D9" s="37">
        <v>5</v>
      </c>
      <c r="E9" s="37">
        <v>9</v>
      </c>
      <c r="F9" s="37">
        <v>74</v>
      </c>
      <c r="G9" s="37">
        <v>31</v>
      </c>
      <c r="H9" s="457"/>
      <c r="I9" s="457"/>
      <c r="J9" s="37">
        <v>20</v>
      </c>
      <c r="K9" s="37">
        <v>1946</v>
      </c>
      <c r="M9" s="457"/>
      <c r="N9" s="457"/>
      <c r="O9" s="457"/>
      <c r="P9" s="457"/>
      <c r="Q9" s="457"/>
      <c r="R9" s="457"/>
      <c r="S9" s="457"/>
      <c r="T9" s="457"/>
      <c r="U9" s="457"/>
      <c r="V9" s="457"/>
      <c r="W9" s="457"/>
      <c r="X9" s="457"/>
      <c r="Y9" s="22" t="s">
        <v>279</v>
      </c>
      <c r="Z9" s="1" t="s">
        <v>251</v>
      </c>
      <c r="AB9" s="449">
        <v>41030</v>
      </c>
      <c r="AC9" s="37">
        <f t="shared" si="2"/>
        <v>6691.5</v>
      </c>
      <c r="AD9" s="37">
        <f t="shared" si="3"/>
        <v>1278</v>
      </c>
      <c r="AE9" s="37">
        <f t="shared" si="4"/>
        <v>5</v>
      </c>
      <c r="AF9" s="37">
        <f t="shared" si="5"/>
        <v>9</v>
      </c>
      <c r="AG9" s="37">
        <f t="shared" si="6"/>
        <v>74</v>
      </c>
      <c r="AH9" s="37">
        <f t="shared" si="7"/>
        <v>30.5</v>
      </c>
      <c r="AI9" s="457"/>
      <c r="AJ9" s="457"/>
      <c r="AK9" s="37">
        <f t="shared" si="8"/>
        <v>20</v>
      </c>
      <c r="AL9" s="37">
        <f t="shared" si="9"/>
        <v>1946</v>
      </c>
      <c r="AN9" s="60">
        <f t="shared" si="1"/>
        <v>118.5</v>
      </c>
      <c r="AO9" s="60">
        <f t="shared" si="10"/>
        <v>8088</v>
      </c>
      <c r="AP9" s="60"/>
    </row>
    <row r="10" spans="1:42" x14ac:dyDescent="0.2">
      <c r="A10" s="449">
        <v>41061</v>
      </c>
      <c r="B10" s="37">
        <v>6706</v>
      </c>
      <c r="C10" s="37">
        <v>1277</v>
      </c>
      <c r="D10" s="37">
        <v>5</v>
      </c>
      <c r="E10" s="37">
        <v>8</v>
      </c>
      <c r="F10" s="37">
        <v>74</v>
      </c>
      <c r="G10" s="37">
        <v>31</v>
      </c>
      <c r="H10" s="457"/>
      <c r="I10" s="457"/>
      <c r="J10" s="37">
        <v>20</v>
      </c>
      <c r="K10" s="37">
        <v>1946</v>
      </c>
      <c r="M10" s="457"/>
      <c r="N10" s="457"/>
      <c r="O10" s="457"/>
      <c r="P10" s="457"/>
      <c r="Q10" s="457"/>
      <c r="R10" s="457"/>
      <c r="S10" s="457"/>
      <c r="T10" s="457"/>
      <c r="U10" s="457"/>
      <c r="V10" s="457"/>
      <c r="W10" s="457"/>
      <c r="X10" s="457"/>
      <c r="Y10" s="455" t="s">
        <v>280</v>
      </c>
      <c r="Z10" s="1" t="s">
        <v>285</v>
      </c>
      <c r="AB10" s="449">
        <v>41061</v>
      </c>
      <c r="AC10" s="37">
        <f t="shared" si="2"/>
        <v>6699.5</v>
      </c>
      <c r="AD10" s="37">
        <f t="shared" si="3"/>
        <v>1278</v>
      </c>
      <c r="AE10" s="37">
        <f t="shared" si="4"/>
        <v>5</v>
      </c>
      <c r="AF10" s="37">
        <f t="shared" si="5"/>
        <v>8.5</v>
      </c>
      <c r="AG10" s="37">
        <f t="shared" si="6"/>
        <v>74</v>
      </c>
      <c r="AH10" s="37">
        <f t="shared" si="7"/>
        <v>31</v>
      </c>
      <c r="AI10" s="457"/>
      <c r="AJ10" s="457"/>
      <c r="AK10" s="37">
        <f t="shared" si="8"/>
        <v>20</v>
      </c>
      <c r="AL10" s="37">
        <f t="shared" si="9"/>
        <v>1946</v>
      </c>
      <c r="AN10" s="60">
        <f t="shared" si="1"/>
        <v>118.5</v>
      </c>
      <c r="AO10" s="60">
        <f t="shared" si="10"/>
        <v>8096</v>
      </c>
      <c r="AP10" s="60"/>
    </row>
    <row r="11" spans="1:42" x14ac:dyDescent="0.2">
      <c r="A11" s="449">
        <v>41091</v>
      </c>
      <c r="B11" s="37">
        <v>6711</v>
      </c>
      <c r="C11" s="37">
        <v>1277</v>
      </c>
      <c r="D11" s="37">
        <v>5</v>
      </c>
      <c r="E11" s="37">
        <v>8</v>
      </c>
      <c r="F11" s="37">
        <v>74</v>
      </c>
      <c r="G11" s="37">
        <v>31</v>
      </c>
      <c r="H11" s="457"/>
      <c r="I11" s="457"/>
      <c r="J11" s="37">
        <v>20</v>
      </c>
      <c r="K11" s="37">
        <v>1946</v>
      </c>
      <c r="M11" s="457"/>
      <c r="N11" s="457"/>
      <c r="O11" s="457"/>
      <c r="P11" s="457"/>
      <c r="Q11" s="457"/>
      <c r="R11" s="457"/>
      <c r="S11" s="457"/>
      <c r="T11" s="457"/>
      <c r="U11" s="457"/>
      <c r="V11" s="457"/>
      <c r="W11" s="457"/>
      <c r="X11" s="457"/>
      <c r="Y11" s="22" t="s">
        <v>281</v>
      </c>
      <c r="Z11" s="1" t="s">
        <v>287</v>
      </c>
      <c r="AB11" s="449">
        <v>41091</v>
      </c>
      <c r="AC11" s="37">
        <f t="shared" si="2"/>
        <v>6708.5</v>
      </c>
      <c r="AD11" s="37">
        <f t="shared" si="3"/>
        <v>1277</v>
      </c>
      <c r="AE11" s="37">
        <f t="shared" si="4"/>
        <v>5</v>
      </c>
      <c r="AF11" s="37">
        <f t="shared" si="5"/>
        <v>8</v>
      </c>
      <c r="AG11" s="37">
        <f t="shared" si="6"/>
        <v>74</v>
      </c>
      <c r="AH11" s="37">
        <f t="shared" si="7"/>
        <v>31</v>
      </c>
      <c r="AI11" s="457"/>
      <c r="AJ11" s="457"/>
      <c r="AK11" s="37">
        <f t="shared" si="8"/>
        <v>20</v>
      </c>
      <c r="AL11" s="37">
        <f t="shared" si="9"/>
        <v>1946</v>
      </c>
      <c r="AN11" s="60">
        <f t="shared" si="1"/>
        <v>118</v>
      </c>
      <c r="AO11" s="60">
        <f t="shared" si="10"/>
        <v>8103.5</v>
      </c>
      <c r="AP11" s="60"/>
    </row>
    <row r="12" spans="1:42" x14ac:dyDescent="0.2">
      <c r="A12" s="449">
        <v>41122</v>
      </c>
      <c r="B12" s="37">
        <v>6735</v>
      </c>
      <c r="C12" s="37">
        <v>1279</v>
      </c>
      <c r="D12" s="37">
        <v>5</v>
      </c>
      <c r="E12" s="37">
        <v>8</v>
      </c>
      <c r="F12" s="37">
        <v>74</v>
      </c>
      <c r="G12" s="37">
        <v>31</v>
      </c>
      <c r="H12" s="457"/>
      <c r="I12" s="457"/>
      <c r="J12" s="37">
        <v>20</v>
      </c>
      <c r="K12" s="37">
        <v>1946</v>
      </c>
      <c r="M12" s="457"/>
      <c r="N12" s="457"/>
      <c r="O12" s="457"/>
      <c r="P12" s="457"/>
      <c r="Q12" s="457"/>
      <c r="R12" s="457"/>
      <c r="S12" s="457"/>
      <c r="T12" s="457"/>
      <c r="U12" s="457"/>
      <c r="V12" s="457"/>
      <c r="W12" s="457"/>
      <c r="X12" s="457"/>
      <c r="Y12" s="455" t="s">
        <v>282</v>
      </c>
      <c r="Z12" s="1" t="s">
        <v>173</v>
      </c>
      <c r="AB12" s="449">
        <v>41122</v>
      </c>
      <c r="AC12" s="37">
        <f t="shared" si="2"/>
        <v>6723</v>
      </c>
      <c r="AD12" s="37">
        <f t="shared" si="3"/>
        <v>1278</v>
      </c>
      <c r="AE12" s="37">
        <f t="shared" si="4"/>
        <v>5</v>
      </c>
      <c r="AF12" s="37">
        <f t="shared" si="5"/>
        <v>8</v>
      </c>
      <c r="AG12" s="37">
        <f t="shared" si="6"/>
        <v>74</v>
      </c>
      <c r="AH12" s="37">
        <f t="shared" si="7"/>
        <v>31</v>
      </c>
      <c r="AI12" s="457"/>
      <c r="AJ12" s="457"/>
      <c r="AK12" s="37">
        <f t="shared" si="8"/>
        <v>20</v>
      </c>
      <c r="AL12" s="37">
        <f t="shared" si="9"/>
        <v>1946</v>
      </c>
      <c r="AN12" s="60">
        <f t="shared" si="1"/>
        <v>118</v>
      </c>
      <c r="AO12" s="60">
        <f t="shared" si="10"/>
        <v>8119</v>
      </c>
      <c r="AP12" s="60"/>
    </row>
    <row r="13" spans="1:42" x14ac:dyDescent="0.2">
      <c r="A13" s="449">
        <v>41153</v>
      </c>
      <c r="B13" s="37">
        <v>6734</v>
      </c>
      <c r="C13" s="37">
        <v>1281</v>
      </c>
      <c r="D13" s="37">
        <v>5</v>
      </c>
      <c r="E13" s="37">
        <v>8</v>
      </c>
      <c r="F13" s="37">
        <v>74</v>
      </c>
      <c r="G13" s="37">
        <v>31</v>
      </c>
      <c r="H13" s="457"/>
      <c r="I13" s="457"/>
      <c r="J13" s="37">
        <v>20</v>
      </c>
      <c r="K13" s="37">
        <v>1949</v>
      </c>
      <c r="M13" s="457"/>
      <c r="N13" s="457"/>
      <c r="O13" s="457"/>
      <c r="P13" s="457"/>
      <c r="Q13" s="457"/>
      <c r="R13" s="457"/>
      <c r="S13" s="457"/>
      <c r="T13" s="457"/>
      <c r="U13" s="457"/>
      <c r="V13" s="457"/>
      <c r="W13" s="457"/>
      <c r="X13" s="457"/>
      <c r="Y13" s="22"/>
      <c r="AB13" s="449">
        <v>41153</v>
      </c>
      <c r="AC13" s="37">
        <f t="shared" si="2"/>
        <v>6734.5</v>
      </c>
      <c r="AD13" s="37">
        <f t="shared" si="3"/>
        <v>1280</v>
      </c>
      <c r="AE13" s="37">
        <f t="shared" si="4"/>
        <v>5</v>
      </c>
      <c r="AF13" s="37">
        <f t="shared" si="5"/>
        <v>8</v>
      </c>
      <c r="AG13" s="37">
        <f t="shared" si="6"/>
        <v>74</v>
      </c>
      <c r="AH13" s="37">
        <f t="shared" si="7"/>
        <v>31</v>
      </c>
      <c r="AI13" s="457"/>
      <c r="AJ13" s="457"/>
      <c r="AK13" s="37">
        <f t="shared" si="8"/>
        <v>20</v>
      </c>
      <c r="AL13" s="37">
        <f t="shared" si="9"/>
        <v>1947.5</v>
      </c>
      <c r="AN13" s="60">
        <f t="shared" si="1"/>
        <v>118</v>
      </c>
      <c r="AO13" s="60">
        <f t="shared" si="10"/>
        <v>8132.5</v>
      </c>
      <c r="AP13" s="60"/>
    </row>
    <row r="14" spans="1:42" x14ac:dyDescent="0.2">
      <c r="A14" s="449">
        <v>41183</v>
      </c>
      <c r="B14" s="37">
        <v>6752</v>
      </c>
      <c r="C14" s="37">
        <v>1273</v>
      </c>
      <c r="D14" s="37">
        <v>5</v>
      </c>
      <c r="E14" s="37">
        <v>8</v>
      </c>
      <c r="F14" s="37">
        <v>74</v>
      </c>
      <c r="G14" s="37">
        <v>31</v>
      </c>
      <c r="H14" s="457"/>
      <c r="I14" s="457"/>
      <c r="J14" s="37">
        <v>20</v>
      </c>
      <c r="K14" s="37">
        <v>1949</v>
      </c>
      <c r="M14" s="457"/>
      <c r="N14" s="457"/>
      <c r="O14" s="457"/>
      <c r="P14" s="457"/>
      <c r="Q14" s="457"/>
      <c r="R14" s="457"/>
      <c r="S14" s="457"/>
      <c r="T14" s="457"/>
      <c r="U14" s="457"/>
      <c r="V14" s="457"/>
      <c r="W14" s="457"/>
      <c r="X14" s="457"/>
      <c r="Y14" s="456" t="s">
        <v>273</v>
      </c>
      <c r="Z14" s="1" t="s">
        <v>284</v>
      </c>
      <c r="AB14" s="449">
        <v>41183</v>
      </c>
      <c r="AC14" s="37">
        <f t="shared" si="2"/>
        <v>6743</v>
      </c>
      <c r="AD14" s="37">
        <f t="shared" si="3"/>
        <v>1277</v>
      </c>
      <c r="AE14" s="37">
        <f t="shared" si="4"/>
        <v>5</v>
      </c>
      <c r="AF14" s="37">
        <f t="shared" si="5"/>
        <v>8</v>
      </c>
      <c r="AG14" s="37">
        <f t="shared" si="6"/>
        <v>74</v>
      </c>
      <c r="AH14" s="37">
        <f t="shared" si="7"/>
        <v>31</v>
      </c>
      <c r="AI14" s="457"/>
      <c r="AJ14" s="457"/>
      <c r="AK14" s="37">
        <f t="shared" si="8"/>
        <v>20</v>
      </c>
      <c r="AL14" s="37">
        <f t="shared" si="9"/>
        <v>1949</v>
      </c>
      <c r="AN14" s="60">
        <f t="shared" si="1"/>
        <v>118</v>
      </c>
      <c r="AO14" s="60">
        <f t="shared" si="10"/>
        <v>8138</v>
      </c>
      <c r="AP14" s="60"/>
    </row>
    <row r="15" spans="1:42" x14ac:dyDescent="0.2">
      <c r="A15" s="449">
        <v>41214</v>
      </c>
      <c r="B15" s="37">
        <v>6787</v>
      </c>
      <c r="C15" s="37">
        <v>1275</v>
      </c>
      <c r="D15" s="37">
        <v>5</v>
      </c>
      <c r="E15" s="37">
        <v>8</v>
      </c>
      <c r="F15" s="37">
        <v>74</v>
      </c>
      <c r="G15" s="37">
        <v>31</v>
      </c>
      <c r="H15" s="457"/>
      <c r="I15" s="457"/>
      <c r="J15" s="37">
        <v>21</v>
      </c>
      <c r="K15" s="37">
        <v>1949</v>
      </c>
      <c r="M15" s="457"/>
      <c r="N15" s="457"/>
      <c r="O15" s="457"/>
      <c r="P15" s="457"/>
      <c r="Q15" s="457"/>
      <c r="R15" s="457"/>
      <c r="S15" s="457"/>
      <c r="T15" s="457"/>
      <c r="U15" s="457"/>
      <c r="V15" s="457"/>
      <c r="W15" s="457"/>
      <c r="X15" s="457"/>
      <c r="Y15" s="456" t="s">
        <v>274</v>
      </c>
      <c r="Z15" s="1" t="s">
        <v>284</v>
      </c>
      <c r="AB15" s="449">
        <v>41214</v>
      </c>
      <c r="AC15" s="37">
        <f t="shared" si="2"/>
        <v>6769.5</v>
      </c>
      <c r="AD15" s="37">
        <f t="shared" si="3"/>
        <v>1274</v>
      </c>
      <c r="AE15" s="37">
        <f t="shared" si="4"/>
        <v>5</v>
      </c>
      <c r="AF15" s="37">
        <f t="shared" si="5"/>
        <v>8</v>
      </c>
      <c r="AG15" s="37">
        <f t="shared" si="6"/>
        <v>74</v>
      </c>
      <c r="AH15" s="37">
        <f t="shared" si="7"/>
        <v>31</v>
      </c>
      <c r="AI15" s="457"/>
      <c r="AJ15" s="457"/>
      <c r="AK15" s="37">
        <f t="shared" si="8"/>
        <v>20.5</v>
      </c>
      <c r="AL15" s="37">
        <f t="shared" si="9"/>
        <v>1949</v>
      </c>
      <c r="AN15" s="60">
        <f t="shared" si="1"/>
        <v>118</v>
      </c>
      <c r="AO15" s="60">
        <f t="shared" si="10"/>
        <v>8161.5</v>
      </c>
      <c r="AP15" s="60"/>
    </row>
    <row r="16" spans="1:42" x14ac:dyDescent="0.2">
      <c r="A16" s="449">
        <v>41244</v>
      </c>
      <c r="B16" s="37">
        <v>6820</v>
      </c>
      <c r="C16" s="37">
        <v>1252</v>
      </c>
      <c r="D16" s="37">
        <v>5</v>
      </c>
      <c r="E16" s="37">
        <v>8</v>
      </c>
      <c r="F16" s="37">
        <v>73</v>
      </c>
      <c r="G16" s="37">
        <v>31</v>
      </c>
      <c r="H16" s="457"/>
      <c r="I16" s="457"/>
      <c r="J16" s="37">
        <v>23</v>
      </c>
      <c r="K16" s="37">
        <v>1946</v>
      </c>
      <c r="M16" s="457"/>
      <c r="N16" s="457"/>
      <c r="O16" s="457"/>
      <c r="P16" s="457"/>
      <c r="Q16" s="457"/>
      <c r="R16" s="457"/>
      <c r="S16" s="457"/>
      <c r="T16" s="457"/>
      <c r="U16" s="457"/>
      <c r="V16" s="457"/>
      <c r="W16" s="457"/>
      <c r="X16" s="457"/>
      <c r="Y16" s="456">
        <v>3</v>
      </c>
      <c r="Z16" s="1" t="s">
        <v>284</v>
      </c>
      <c r="AB16" s="449">
        <v>41244</v>
      </c>
      <c r="AC16" s="37">
        <f t="shared" si="2"/>
        <v>6803.5</v>
      </c>
      <c r="AD16" s="37">
        <f t="shared" si="3"/>
        <v>1263.5</v>
      </c>
      <c r="AE16" s="37">
        <f t="shared" si="4"/>
        <v>5</v>
      </c>
      <c r="AF16" s="37">
        <f t="shared" si="5"/>
        <v>8</v>
      </c>
      <c r="AG16" s="37">
        <f t="shared" si="6"/>
        <v>73.5</v>
      </c>
      <c r="AH16" s="37">
        <f t="shared" si="7"/>
        <v>31</v>
      </c>
      <c r="AI16" s="457"/>
      <c r="AJ16" s="457"/>
      <c r="AK16" s="37">
        <f t="shared" si="8"/>
        <v>22</v>
      </c>
      <c r="AL16" s="37">
        <f t="shared" si="9"/>
        <v>1947.5</v>
      </c>
      <c r="AN16" s="60">
        <f t="shared" si="1"/>
        <v>117.5</v>
      </c>
      <c r="AO16" s="60">
        <f t="shared" si="10"/>
        <v>8184.5</v>
      </c>
      <c r="AP16" s="60"/>
    </row>
    <row r="17" spans="1:42" x14ac:dyDescent="0.2">
      <c r="A17" s="449">
        <v>41275</v>
      </c>
      <c r="B17" s="37">
        <v>6854</v>
      </c>
      <c r="C17" s="37">
        <v>1240</v>
      </c>
      <c r="D17" s="37">
        <v>5</v>
      </c>
      <c r="E17" s="37">
        <v>8</v>
      </c>
      <c r="F17" s="37">
        <v>73</v>
      </c>
      <c r="G17" s="37">
        <v>31</v>
      </c>
      <c r="H17" s="457"/>
      <c r="I17" s="457"/>
      <c r="J17" s="37">
        <v>23</v>
      </c>
      <c r="K17" s="37">
        <v>1946</v>
      </c>
      <c r="M17" s="457"/>
      <c r="N17" s="457"/>
      <c r="O17" s="457"/>
      <c r="P17" s="457"/>
      <c r="Q17" s="457"/>
      <c r="R17" s="457"/>
      <c r="S17" s="457"/>
      <c r="T17" s="457"/>
      <c r="U17" s="457"/>
      <c r="V17" s="457"/>
      <c r="W17" s="457"/>
      <c r="X17" s="457"/>
      <c r="Y17" s="456">
        <v>1</v>
      </c>
      <c r="Z17" s="1" t="s">
        <v>284</v>
      </c>
      <c r="AB17" s="449">
        <v>41275</v>
      </c>
      <c r="AC17" s="37">
        <f t="shared" si="2"/>
        <v>6837</v>
      </c>
      <c r="AD17" s="37">
        <f t="shared" si="3"/>
        <v>1246</v>
      </c>
      <c r="AE17" s="37">
        <f t="shared" si="4"/>
        <v>5</v>
      </c>
      <c r="AF17" s="37">
        <f t="shared" si="5"/>
        <v>8</v>
      </c>
      <c r="AG17" s="37">
        <f t="shared" si="6"/>
        <v>73</v>
      </c>
      <c r="AH17" s="37">
        <f t="shared" si="7"/>
        <v>31</v>
      </c>
      <c r="AI17" s="457"/>
      <c r="AJ17" s="457"/>
      <c r="AK17" s="37">
        <f t="shared" si="8"/>
        <v>23</v>
      </c>
      <c r="AL17" s="37">
        <f t="shared" si="9"/>
        <v>1946</v>
      </c>
      <c r="AN17" s="60">
        <f t="shared" si="1"/>
        <v>117</v>
      </c>
      <c r="AO17" s="60">
        <f t="shared" si="10"/>
        <v>8200</v>
      </c>
      <c r="AP17" s="60"/>
    </row>
    <row r="18" spans="1:42" x14ac:dyDescent="0.2">
      <c r="A18" s="449">
        <v>41306</v>
      </c>
      <c r="B18" s="37">
        <v>6864</v>
      </c>
      <c r="C18" s="37">
        <v>1217</v>
      </c>
      <c r="D18" s="37">
        <v>5</v>
      </c>
      <c r="E18" s="37">
        <v>8</v>
      </c>
      <c r="F18" s="37">
        <v>73</v>
      </c>
      <c r="G18" s="37">
        <v>31</v>
      </c>
      <c r="H18" s="457"/>
      <c r="I18" s="457"/>
      <c r="J18" s="37">
        <v>21</v>
      </c>
      <c r="K18" s="37">
        <v>1946</v>
      </c>
      <c r="M18" s="457"/>
      <c r="N18" s="457"/>
      <c r="O18" s="457"/>
      <c r="P18" s="457"/>
      <c r="Q18" s="457"/>
      <c r="R18" s="457"/>
      <c r="S18" s="457"/>
      <c r="T18" s="457"/>
      <c r="U18" s="457"/>
      <c r="V18" s="457"/>
      <c r="W18" s="457"/>
      <c r="X18" s="457"/>
      <c r="Y18" s="456">
        <v>4</v>
      </c>
      <c r="Z18" s="1" t="s">
        <v>284</v>
      </c>
      <c r="AB18" s="449">
        <v>41306</v>
      </c>
      <c r="AC18" s="37">
        <f t="shared" si="2"/>
        <v>6859</v>
      </c>
      <c r="AD18" s="37">
        <f t="shared" si="3"/>
        <v>1228.5</v>
      </c>
      <c r="AE18" s="37">
        <f t="shared" si="4"/>
        <v>5</v>
      </c>
      <c r="AF18" s="37">
        <f t="shared" si="5"/>
        <v>8</v>
      </c>
      <c r="AG18" s="37">
        <f t="shared" si="6"/>
        <v>73</v>
      </c>
      <c r="AH18" s="37">
        <f t="shared" si="7"/>
        <v>31</v>
      </c>
      <c r="AI18" s="457"/>
      <c r="AJ18" s="457"/>
      <c r="AK18" s="37">
        <f t="shared" si="8"/>
        <v>22</v>
      </c>
      <c r="AL18" s="37">
        <f t="shared" si="9"/>
        <v>1946</v>
      </c>
      <c r="AN18" s="60">
        <f t="shared" si="1"/>
        <v>117</v>
      </c>
      <c r="AO18" s="60">
        <f t="shared" si="10"/>
        <v>8204.5</v>
      </c>
      <c r="AP18" s="60"/>
    </row>
    <row r="19" spans="1:42" x14ac:dyDescent="0.2">
      <c r="A19" s="449">
        <v>41334</v>
      </c>
      <c r="B19" s="37">
        <v>6870</v>
      </c>
      <c r="C19" s="37">
        <v>1219</v>
      </c>
      <c r="D19" s="37">
        <v>5</v>
      </c>
      <c r="E19" s="37">
        <v>8</v>
      </c>
      <c r="F19" s="37">
        <v>73</v>
      </c>
      <c r="G19" s="37">
        <v>31</v>
      </c>
      <c r="H19" s="457"/>
      <c r="I19" s="457"/>
      <c r="J19" s="37">
        <v>20</v>
      </c>
      <c r="K19" s="37">
        <v>1946</v>
      </c>
      <c r="M19" s="457"/>
      <c r="N19" s="457"/>
      <c r="O19" s="457"/>
      <c r="P19" s="457"/>
      <c r="Q19" s="457"/>
      <c r="R19" s="457"/>
      <c r="S19" s="457"/>
      <c r="T19" s="457"/>
      <c r="U19" s="457"/>
      <c r="V19" s="457"/>
      <c r="W19" s="457"/>
      <c r="X19" s="457"/>
      <c r="Y19" s="456">
        <v>2</v>
      </c>
      <c r="Z19" s="1" t="s">
        <v>284</v>
      </c>
      <c r="AB19" s="449">
        <v>41334</v>
      </c>
      <c r="AC19" s="37">
        <f t="shared" si="2"/>
        <v>6867</v>
      </c>
      <c r="AD19" s="37">
        <f t="shared" si="3"/>
        <v>1218</v>
      </c>
      <c r="AE19" s="37">
        <f t="shared" si="4"/>
        <v>5</v>
      </c>
      <c r="AF19" s="37">
        <f t="shared" si="5"/>
        <v>8</v>
      </c>
      <c r="AG19" s="37">
        <f t="shared" si="6"/>
        <v>73</v>
      </c>
      <c r="AH19" s="37">
        <f t="shared" si="7"/>
        <v>31</v>
      </c>
      <c r="AI19" s="457"/>
      <c r="AJ19" s="457"/>
      <c r="AK19" s="37">
        <f t="shared" si="8"/>
        <v>20.5</v>
      </c>
      <c r="AL19" s="37">
        <f t="shared" si="9"/>
        <v>1946</v>
      </c>
      <c r="AN19" s="60">
        <f t="shared" si="1"/>
        <v>117</v>
      </c>
      <c r="AO19" s="60">
        <f t="shared" si="10"/>
        <v>8202</v>
      </c>
      <c r="AP19" s="60"/>
    </row>
    <row r="20" spans="1:42" x14ac:dyDescent="0.2">
      <c r="A20" s="449">
        <v>41365</v>
      </c>
      <c r="B20" s="37">
        <v>6878</v>
      </c>
      <c r="C20" s="37">
        <v>1216</v>
      </c>
      <c r="D20" s="37">
        <v>5</v>
      </c>
      <c r="E20" s="37">
        <v>8</v>
      </c>
      <c r="F20" s="37">
        <v>73</v>
      </c>
      <c r="G20" s="37">
        <v>31</v>
      </c>
      <c r="H20" s="457"/>
      <c r="I20" s="457"/>
      <c r="J20" s="37">
        <v>20</v>
      </c>
      <c r="K20" s="37">
        <v>1946</v>
      </c>
      <c r="M20" s="457"/>
      <c r="N20" s="457"/>
      <c r="O20" s="457"/>
      <c r="P20" s="457"/>
      <c r="Q20" s="457"/>
      <c r="R20" s="457"/>
      <c r="S20" s="457"/>
      <c r="T20" s="457"/>
      <c r="U20" s="457"/>
      <c r="V20" s="457"/>
      <c r="W20" s="457"/>
      <c r="X20" s="457"/>
      <c r="Y20" s="456" t="s">
        <v>277</v>
      </c>
      <c r="Z20" s="1" t="s">
        <v>284</v>
      </c>
      <c r="AB20" s="449">
        <v>41365</v>
      </c>
      <c r="AC20" s="37">
        <f t="shared" si="2"/>
        <v>6874</v>
      </c>
      <c r="AD20" s="37">
        <f t="shared" si="3"/>
        <v>1217.5</v>
      </c>
      <c r="AE20" s="37">
        <f t="shared" si="4"/>
        <v>5</v>
      </c>
      <c r="AF20" s="37">
        <f t="shared" si="5"/>
        <v>8</v>
      </c>
      <c r="AG20" s="37">
        <f t="shared" si="6"/>
        <v>73</v>
      </c>
      <c r="AH20" s="37">
        <f t="shared" si="7"/>
        <v>31</v>
      </c>
      <c r="AI20" s="457"/>
      <c r="AJ20" s="457"/>
      <c r="AK20" s="37">
        <f t="shared" si="8"/>
        <v>20</v>
      </c>
      <c r="AL20" s="37">
        <f t="shared" si="9"/>
        <v>1946</v>
      </c>
      <c r="AN20" s="60">
        <f t="shared" si="1"/>
        <v>117</v>
      </c>
      <c r="AO20" s="60">
        <f t="shared" si="10"/>
        <v>8208.5</v>
      </c>
      <c r="AP20" s="60"/>
    </row>
    <row r="21" spans="1:42" x14ac:dyDescent="0.2">
      <c r="A21" s="449">
        <v>41395</v>
      </c>
      <c r="B21" s="37">
        <v>6894</v>
      </c>
      <c r="C21" s="37">
        <v>1216</v>
      </c>
      <c r="D21" s="37">
        <v>5</v>
      </c>
      <c r="E21" s="37">
        <v>8</v>
      </c>
      <c r="F21" s="37">
        <v>73</v>
      </c>
      <c r="G21" s="37">
        <v>31</v>
      </c>
      <c r="H21" s="457"/>
      <c r="I21" s="457"/>
      <c r="J21" s="37">
        <v>20</v>
      </c>
      <c r="K21" s="37">
        <v>1946</v>
      </c>
      <c r="M21" s="457"/>
      <c r="N21" s="457"/>
      <c r="O21" s="457"/>
      <c r="P21" s="457"/>
      <c r="Q21" s="457"/>
      <c r="R21" s="457"/>
      <c r="S21" s="457"/>
      <c r="T21" s="457"/>
      <c r="U21" s="457"/>
      <c r="V21" s="457"/>
      <c r="W21" s="457"/>
      <c r="X21" s="457"/>
      <c r="Y21" s="456" t="s">
        <v>276</v>
      </c>
      <c r="Z21" s="1" t="s">
        <v>284</v>
      </c>
      <c r="AB21" s="449">
        <v>41395</v>
      </c>
      <c r="AC21" s="37">
        <f t="shared" si="2"/>
        <v>6886</v>
      </c>
      <c r="AD21" s="37">
        <f t="shared" si="3"/>
        <v>1216</v>
      </c>
      <c r="AE21" s="37">
        <f t="shared" si="4"/>
        <v>5</v>
      </c>
      <c r="AF21" s="37">
        <f t="shared" si="5"/>
        <v>8</v>
      </c>
      <c r="AG21" s="37">
        <f t="shared" si="6"/>
        <v>73</v>
      </c>
      <c r="AH21" s="37">
        <f t="shared" si="7"/>
        <v>31</v>
      </c>
      <c r="AI21" s="457"/>
      <c r="AJ21" s="457"/>
      <c r="AK21" s="37">
        <f t="shared" si="8"/>
        <v>20</v>
      </c>
      <c r="AL21" s="37">
        <f t="shared" si="9"/>
        <v>1946</v>
      </c>
      <c r="AN21" s="60">
        <f t="shared" si="1"/>
        <v>117</v>
      </c>
      <c r="AO21" s="60">
        <f t="shared" si="10"/>
        <v>8219</v>
      </c>
      <c r="AP21" s="60"/>
    </row>
    <row r="22" spans="1:42" x14ac:dyDescent="0.2">
      <c r="A22" s="449">
        <v>41426</v>
      </c>
      <c r="B22" s="37">
        <v>6909</v>
      </c>
      <c r="C22" s="37">
        <v>1219</v>
      </c>
      <c r="D22" s="37">
        <v>5</v>
      </c>
      <c r="E22" s="37">
        <v>8</v>
      </c>
      <c r="F22" s="37">
        <v>73</v>
      </c>
      <c r="G22" s="37">
        <v>31</v>
      </c>
      <c r="H22" s="457"/>
      <c r="I22" s="457"/>
      <c r="J22" s="37">
        <v>19</v>
      </c>
      <c r="K22" s="37">
        <v>1946</v>
      </c>
      <c r="M22" s="457"/>
      <c r="N22" s="457"/>
      <c r="O22" s="457"/>
      <c r="P22" s="457"/>
      <c r="Q22" s="457"/>
      <c r="R22" s="457"/>
      <c r="S22" s="457"/>
      <c r="T22" s="457"/>
      <c r="U22" s="457"/>
      <c r="V22" s="457"/>
      <c r="W22" s="457"/>
      <c r="X22" s="457"/>
      <c r="Y22" s="456" t="s">
        <v>278</v>
      </c>
      <c r="Z22" s="1" t="s">
        <v>284</v>
      </c>
      <c r="AB22" s="449">
        <v>41426</v>
      </c>
      <c r="AC22" s="37">
        <f t="shared" si="2"/>
        <v>6901.5</v>
      </c>
      <c r="AD22" s="37">
        <f t="shared" si="3"/>
        <v>1217.5</v>
      </c>
      <c r="AE22" s="37">
        <f t="shared" si="4"/>
        <v>5</v>
      </c>
      <c r="AF22" s="37">
        <f t="shared" si="5"/>
        <v>8</v>
      </c>
      <c r="AG22" s="37">
        <f t="shared" si="6"/>
        <v>73</v>
      </c>
      <c r="AH22" s="37">
        <f t="shared" si="7"/>
        <v>31</v>
      </c>
      <c r="AI22" s="457"/>
      <c r="AJ22" s="457"/>
      <c r="AK22" s="37">
        <f t="shared" si="8"/>
        <v>19.5</v>
      </c>
      <c r="AL22" s="37">
        <f t="shared" si="9"/>
        <v>1946</v>
      </c>
      <c r="AN22" s="60">
        <f t="shared" si="1"/>
        <v>117</v>
      </c>
      <c r="AO22" s="60">
        <f t="shared" si="10"/>
        <v>8236</v>
      </c>
      <c r="AP22" s="60"/>
    </row>
    <row r="23" spans="1:42" x14ac:dyDescent="0.2">
      <c r="A23" s="449">
        <v>41456</v>
      </c>
      <c r="B23" s="37">
        <v>6918</v>
      </c>
      <c r="C23" s="37">
        <v>1216</v>
      </c>
      <c r="D23" s="37">
        <v>5</v>
      </c>
      <c r="E23" s="37">
        <v>8</v>
      </c>
      <c r="F23" s="37">
        <v>74</v>
      </c>
      <c r="G23" s="37">
        <v>31</v>
      </c>
      <c r="H23" s="457"/>
      <c r="I23" s="457"/>
      <c r="J23" s="37">
        <v>19</v>
      </c>
      <c r="K23" s="37">
        <v>1946</v>
      </c>
      <c r="M23" s="457"/>
      <c r="N23" s="457"/>
      <c r="O23" s="457"/>
      <c r="P23" s="457"/>
      <c r="Q23" s="457"/>
      <c r="R23" s="457"/>
      <c r="S23" s="457"/>
      <c r="T23" s="457"/>
      <c r="U23" s="457"/>
      <c r="V23" s="457"/>
      <c r="W23" s="457"/>
      <c r="X23" s="457"/>
      <c r="AB23" s="449">
        <v>41456</v>
      </c>
      <c r="AC23" s="37">
        <f t="shared" si="2"/>
        <v>6913.5</v>
      </c>
      <c r="AD23" s="37">
        <f t="shared" si="3"/>
        <v>1217.5</v>
      </c>
      <c r="AE23" s="37">
        <f t="shared" si="4"/>
        <v>5</v>
      </c>
      <c r="AF23" s="37">
        <f t="shared" si="5"/>
        <v>8</v>
      </c>
      <c r="AG23" s="37">
        <f t="shared" si="6"/>
        <v>73.5</v>
      </c>
      <c r="AH23" s="37">
        <f t="shared" si="7"/>
        <v>31</v>
      </c>
      <c r="AI23" s="457"/>
      <c r="AJ23" s="457"/>
      <c r="AK23" s="37">
        <f t="shared" si="8"/>
        <v>19</v>
      </c>
      <c r="AL23" s="37">
        <f t="shared" si="9"/>
        <v>1946</v>
      </c>
      <c r="AN23" s="60">
        <f t="shared" si="1"/>
        <v>117.5</v>
      </c>
      <c r="AO23" s="60">
        <f t="shared" si="10"/>
        <v>8248.5</v>
      </c>
      <c r="AP23" s="60"/>
    </row>
    <row r="24" spans="1:42" x14ac:dyDescent="0.2">
      <c r="A24" s="449">
        <v>41487</v>
      </c>
      <c r="B24" s="37">
        <v>6938</v>
      </c>
      <c r="C24" s="37">
        <v>1216</v>
      </c>
      <c r="D24" s="37">
        <v>5</v>
      </c>
      <c r="E24" s="37">
        <v>8</v>
      </c>
      <c r="F24" s="37">
        <v>74</v>
      </c>
      <c r="G24" s="37">
        <v>30</v>
      </c>
      <c r="H24" s="457"/>
      <c r="I24" s="457"/>
      <c r="J24" s="37">
        <v>19</v>
      </c>
      <c r="K24" s="37">
        <v>1946</v>
      </c>
      <c r="M24" s="457"/>
      <c r="N24" s="457"/>
      <c r="O24" s="457"/>
      <c r="P24" s="457"/>
      <c r="Q24" s="457"/>
      <c r="R24" s="457"/>
      <c r="S24" s="457"/>
      <c r="T24" s="457"/>
      <c r="U24" s="457"/>
      <c r="V24" s="457"/>
      <c r="W24" s="457"/>
      <c r="X24" s="457"/>
      <c r="AB24" s="449">
        <v>41487</v>
      </c>
      <c r="AC24" s="37">
        <f t="shared" si="2"/>
        <v>6928</v>
      </c>
      <c r="AD24" s="37">
        <f t="shared" si="3"/>
        <v>1216</v>
      </c>
      <c r="AE24" s="37">
        <f t="shared" si="4"/>
        <v>5</v>
      </c>
      <c r="AF24" s="37">
        <f t="shared" si="5"/>
        <v>8</v>
      </c>
      <c r="AG24" s="37">
        <f t="shared" si="6"/>
        <v>74</v>
      </c>
      <c r="AH24" s="37">
        <f t="shared" si="7"/>
        <v>30.5</v>
      </c>
      <c r="AI24" s="457"/>
      <c r="AJ24" s="457"/>
      <c r="AK24" s="37">
        <f t="shared" si="8"/>
        <v>19</v>
      </c>
      <c r="AL24" s="37">
        <f t="shared" si="9"/>
        <v>1946</v>
      </c>
      <c r="AN24" s="60">
        <f t="shared" si="1"/>
        <v>117.5</v>
      </c>
      <c r="AO24" s="60">
        <f t="shared" si="10"/>
        <v>8261.5</v>
      </c>
      <c r="AP24" s="60"/>
    </row>
    <row r="25" spans="1:42" x14ac:dyDescent="0.2">
      <c r="A25" s="449">
        <v>41518</v>
      </c>
      <c r="B25" s="37">
        <v>6949</v>
      </c>
      <c r="C25" s="37">
        <v>1208</v>
      </c>
      <c r="D25" s="37">
        <v>5</v>
      </c>
      <c r="E25" s="37">
        <v>8</v>
      </c>
      <c r="F25" s="37">
        <v>74</v>
      </c>
      <c r="G25" s="37">
        <v>30</v>
      </c>
      <c r="H25" s="457"/>
      <c r="I25" s="457"/>
      <c r="J25" s="37">
        <v>19</v>
      </c>
      <c r="K25" s="37">
        <v>1946</v>
      </c>
      <c r="M25" s="457"/>
      <c r="N25" s="457"/>
      <c r="O25" s="457"/>
      <c r="P25" s="457"/>
      <c r="Q25" s="457"/>
      <c r="R25" s="457"/>
      <c r="S25" s="457"/>
      <c r="T25" s="457"/>
      <c r="U25" s="457"/>
      <c r="V25" s="457"/>
      <c r="W25" s="457"/>
      <c r="X25" s="457"/>
      <c r="AB25" s="449">
        <v>41518</v>
      </c>
      <c r="AC25" s="37">
        <f t="shared" si="2"/>
        <v>6943.5</v>
      </c>
      <c r="AD25" s="37">
        <f t="shared" si="3"/>
        <v>1212</v>
      </c>
      <c r="AE25" s="37">
        <f t="shared" si="4"/>
        <v>5</v>
      </c>
      <c r="AF25" s="37">
        <f t="shared" si="5"/>
        <v>8</v>
      </c>
      <c r="AG25" s="37">
        <f t="shared" si="6"/>
        <v>74</v>
      </c>
      <c r="AH25" s="37">
        <f t="shared" si="7"/>
        <v>30</v>
      </c>
      <c r="AI25" s="457"/>
      <c r="AJ25" s="457"/>
      <c r="AK25" s="37">
        <f t="shared" si="8"/>
        <v>19</v>
      </c>
      <c r="AL25" s="37">
        <f t="shared" si="9"/>
        <v>1946</v>
      </c>
      <c r="AN25" s="60">
        <f t="shared" si="1"/>
        <v>117</v>
      </c>
      <c r="AO25" s="60">
        <f t="shared" si="10"/>
        <v>8272.5</v>
      </c>
      <c r="AP25" s="60"/>
    </row>
    <row r="26" spans="1:42" x14ac:dyDescent="0.2">
      <c r="A26" s="449">
        <v>41548</v>
      </c>
      <c r="B26" s="37">
        <v>6976</v>
      </c>
      <c r="C26" s="37">
        <v>1209</v>
      </c>
      <c r="D26" s="37">
        <v>5</v>
      </c>
      <c r="E26" s="37">
        <v>8</v>
      </c>
      <c r="F26" s="37">
        <v>75</v>
      </c>
      <c r="G26" s="37">
        <v>30</v>
      </c>
      <c r="H26" s="457"/>
      <c r="I26" s="457"/>
      <c r="J26" s="37">
        <v>19</v>
      </c>
      <c r="K26" s="37">
        <v>1946</v>
      </c>
      <c r="M26" s="457"/>
      <c r="N26" s="457"/>
      <c r="O26" s="457"/>
      <c r="P26" s="457"/>
      <c r="Q26" s="457"/>
      <c r="R26" s="457"/>
      <c r="S26" s="457"/>
      <c r="T26" s="457"/>
      <c r="U26" s="457"/>
      <c r="V26" s="457"/>
      <c r="W26" s="457"/>
      <c r="X26" s="457"/>
      <c r="AB26" s="449">
        <v>41548</v>
      </c>
      <c r="AC26" s="37">
        <f t="shared" si="2"/>
        <v>6962.5</v>
      </c>
      <c r="AD26" s="37">
        <f t="shared" si="3"/>
        <v>1208.5</v>
      </c>
      <c r="AE26" s="37">
        <f t="shared" si="4"/>
        <v>5</v>
      </c>
      <c r="AF26" s="37">
        <f t="shared" si="5"/>
        <v>8</v>
      </c>
      <c r="AG26" s="37">
        <f t="shared" si="6"/>
        <v>74.5</v>
      </c>
      <c r="AH26" s="37">
        <f t="shared" si="7"/>
        <v>30</v>
      </c>
      <c r="AI26" s="457"/>
      <c r="AJ26" s="457"/>
      <c r="AK26" s="37">
        <f t="shared" si="8"/>
        <v>19</v>
      </c>
      <c r="AL26" s="37">
        <f t="shared" si="9"/>
        <v>1946</v>
      </c>
      <c r="AN26" s="60">
        <f t="shared" si="1"/>
        <v>117.5</v>
      </c>
      <c r="AO26" s="60">
        <f t="shared" si="10"/>
        <v>8288.5</v>
      </c>
      <c r="AP26" s="60"/>
    </row>
    <row r="27" spans="1:42" x14ac:dyDescent="0.2">
      <c r="A27" s="449">
        <v>41579</v>
      </c>
      <c r="B27" s="37">
        <v>6987</v>
      </c>
      <c r="C27" s="37">
        <v>1210</v>
      </c>
      <c r="D27" s="37">
        <v>5</v>
      </c>
      <c r="E27" s="37">
        <v>8</v>
      </c>
      <c r="F27" s="37">
        <v>76</v>
      </c>
      <c r="G27" s="37">
        <v>30</v>
      </c>
      <c r="H27" s="457"/>
      <c r="I27" s="457"/>
      <c r="J27" s="37">
        <v>20</v>
      </c>
      <c r="K27" s="37">
        <v>1946</v>
      </c>
      <c r="M27" s="457"/>
      <c r="N27" s="457"/>
      <c r="O27" s="457"/>
      <c r="P27" s="457"/>
      <c r="Q27" s="457"/>
      <c r="R27" s="457"/>
      <c r="S27" s="457"/>
      <c r="T27" s="457"/>
      <c r="U27" s="457"/>
      <c r="V27" s="457"/>
      <c r="W27" s="457"/>
      <c r="X27" s="457"/>
      <c r="AB27" s="449">
        <v>41579</v>
      </c>
      <c r="AC27" s="37">
        <f t="shared" si="2"/>
        <v>6981.5</v>
      </c>
      <c r="AD27" s="37">
        <f t="shared" si="3"/>
        <v>1209.5</v>
      </c>
      <c r="AE27" s="37">
        <f t="shared" si="4"/>
        <v>5</v>
      </c>
      <c r="AF27" s="37">
        <f t="shared" si="5"/>
        <v>8</v>
      </c>
      <c r="AG27" s="37">
        <f t="shared" si="6"/>
        <v>75.5</v>
      </c>
      <c r="AH27" s="37">
        <f t="shared" si="7"/>
        <v>30</v>
      </c>
      <c r="AI27" s="457"/>
      <c r="AJ27" s="457"/>
      <c r="AK27" s="37">
        <f t="shared" si="8"/>
        <v>19.5</v>
      </c>
      <c r="AL27" s="37">
        <f t="shared" si="9"/>
        <v>1946</v>
      </c>
      <c r="AN27" s="60">
        <f t="shared" si="1"/>
        <v>118.5</v>
      </c>
      <c r="AO27" s="60">
        <f t="shared" si="10"/>
        <v>8309.5</v>
      </c>
      <c r="AP27" s="60"/>
    </row>
    <row r="28" spans="1:42" x14ac:dyDescent="0.2">
      <c r="A28" s="449">
        <v>41609</v>
      </c>
      <c r="B28" s="37">
        <v>6999</v>
      </c>
      <c r="C28" s="37">
        <v>1245</v>
      </c>
      <c r="D28" s="37">
        <v>5</v>
      </c>
      <c r="E28" s="37">
        <v>8</v>
      </c>
      <c r="F28" s="37">
        <v>76</v>
      </c>
      <c r="G28" s="37">
        <v>30</v>
      </c>
      <c r="H28" s="457"/>
      <c r="I28" s="457"/>
      <c r="J28" s="37">
        <v>22</v>
      </c>
      <c r="K28" s="37">
        <v>2012</v>
      </c>
      <c r="M28" s="457"/>
      <c r="N28" s="457"/>
      <c r="O28" s="457"/>
      <c r="P28" s="457"/>
      <c r="Q28" s="457"/>
      <c r="R28" s="457"/>
      <c r="S28" s="457"/>
      <c r="T28" s="457"/>
      <c r="U28" s="457"/>
      <c r="V28" s="457"/>
      <c r="W28" s="457"/>
      <c r="X28" s="457"/>
      <c r="AB28" s="449">
        <v>41609</v>
      </c>
      <c r="AC28" s="37">
        <f t="shared" si="2"/>
        <v>6993</v>
      </c>
      <c r="AD28" s="37">
        <f t="shared" si="3"/>
        <v>1227.5</v>
      </c>
      <c r="AE28" s="37">
        <f t="shared" si="4"/>
        <v>5</v>
      </c>
      <c r="AF28" s="37">
        <f t="shared" si="5"/>
        <v>8</v>
      </c>
      <c r="AG28" s="37">
        <f t="shared" si="6"/>
        <v>76</v>
      </c>
      <c r="AH28" s="37">
        <f t="shared" si="7"/>
        <v>30</v>
      </c>
      <c r="AI28" s="457"/>
      <c r="AJ28" s="457"/>
      <c r="AK28" s="37">
        <f t="shared" si="8"/>
        <v>21</v>
      </c>
      <c r="AL28" s="37">
        <f t="shared" si="9"/>
        <v>1979</v>
      </c>
      <c r="AN28" s="60">
        <f t="shared" si="1"/>
        <v>119</v>
      </c>
      <c r="AO28" s="60">
        <f t="shared" si="10"/>
        <v>8339.5</v>
      </c>
      <c r="AP28" s="60"/>
    </row>
    <row r="29" spans="1:42" x14ac:dyDescent="0.2">
      <c r="A29" s="449">
        <v>41640</v>
      </c>
      <c r="B29" s="37">
        <v>7015</v>
      </c>
      <c r="C29" s="37">
        <v>1254</v>
      </c>
      <c r="D29" s="37">
        <v>5</v>
      </c>
      <c r="E29" s="37">
        <v>8</v>
      </c>
      <c r="F29" s="37">
        <v>81</v>
      </c>
      <c r="G29" s="37">
        <v>30</v>
      </c>
      <c r="H29" s="457"/>
      <c r="I29" s="457"/>
      <c r="J29" s="37">
        <v>22</v>
      </c>
      <c r="K29" s="37">
        <v>2012</v>
      </c>
      <c r="M29" s="457"/>
      <c r="N29" s="457"/>
      <c r="O29" s="457"/>
      <c r="P29" s="457"/>
      <c r="Q29" s="457"/>
      <c r="R29" s="457"/>
      <c r="S29" s="457"/>
      <c r="T29" s="457"/>
      <c r="U29" s="457"/>
      <c r="V29" s="457"/>
      <c r="W29" s="457"/>
      <c r="X29" s="457"/>
      <c r="AB29" s="449">
        <v>41640</v>
      </c>
      <c r="AC29" s="37">
        <f t="shared" si="2"/>
        <v>7007</v>
      </c>
      <c r="AD29" s="37">
        <f t="shared" si="3"/>
        <v>1249.5</v>
      </c>
      <c r="AE29" s="37">
        <f t="shared" si="4"/>
        <v>5</v>
      </c>
      <c r="AF29" s="37">
        <f t="shared" si="5"/>
        <v>8</v>
      </c>
      <c r="AG29" s="37">
        <f t="shared" si="6"/>
        <v>78.5</v>
      </c>
      <c r="AH29" s="37">
        <f t="shared" si="7"/>
        <v>30</v>
      </c>
      <c r="AI29" s="457"/>
      <c r="AJ29" s="457"/>
      <c r="AK29" s="37">
        <f t="shared" si="8"/>
        <v>22</v>
      </c>
      <c r="AL29" s="37">
        <f t="shared" si="9"/>
        <v>2012</v>
      </c>
      <c r="AN29" s="60">
        <f t="shared" si="1"/>
        <v>121.5</v>
      </c>
      <c r="AO29" s="60">
        <f t="shared" si="10"/>
        <v>8378</v>
      </c>
      <c r="AP29" s="60"/>
    </row>
    <row r="30" spans="1:42" x14ac:dyDescent="0.2">
      <c r="A30" s="449">
        <v>41671</v>
      </c>
      <c r="B30" s="37">
        <v>7015</v>
      </c>
      <c r="C30" s="37">
        <v>1303</v>
      </c>
      <c r="D30" s="37">
        <v>5</v>
      </c>
      <c r="E30" s="37">
        <v>8</v>
      </c>
      <c r="F30" s="37">
        <v>83</v>
      </c>
      <c r="G30" s="37">
        <v>30</v>
      </c>
      <c r="H30" s="457"/>
      <c r="I30" s="457"/>
      <c r="J30" s="37">
        <v>20</v>
      </c>
      <c r="K30" s="37">
        <v>2012</v>
      </c>
      <c r="M30" s="457"/>
      <c r="N30" s="457"/>
      <c r="O30" s="457"/>
      <c r="P30" s="457"/>
      <c r="Q30" s="457"/>
      <c r="R30" s="457"/>
      <c r="S30" s="457"/>
      <c r="T30" s="457"/>
      <c r="U30" s="457"/>
      <c r="V30" s="457"/>
      <c r="W30" s="457"/>
      <c r="X30" s="457"/>
      <c r="AB30" s="449">
        <v>41671</v>
      </c>
      <c r="AC30" s="37">
        <f t="shared" si="2"/>
        <v>7015</v>
      </c>
      <c r="AD30" s="37">
        <f t="shared" si="3"/>
        <v>1278.5</v>
      </c>
      <c r="AE30" s="37">
        <f t="shared" si="4"/>
        <v>5</v>
      </c>
      <c r="AF30" s="37">
        <f t="shared" si="5"/>
        <v>8</v>
      </c>
      <c r="AG30" s="37">
        <f t="shared" si="6"/>
        <v>82</v>
      </c>
      <c r="AH30" s="37">
        <f t="shared" si="7"/>
        <v>30</v>
      </c>
      <c r="AI30" s="457"/>
      <c r="AJ30" s="457"/>
      <c r="AK30" s="37">
        <f t="shared" si="8"/>
        <v>21</v>
      </c>
      <c r="AL30" s="37">
        <f t="shared" si="9"/>
        <v>2012</v>
      </c>
      <c r="AN30" s="60">
        <f t="shared" si="1"/>
        <v>125</v>
      </c>
      <c r="AO30" s="60">
        <f t="shared" si="10"/>
        <v>8418.5</v>
      </c>
      <c r="AP30" s="60"/>
    </row>
    <row r="31" spans="1:42" x14ac:dyDescent="0.2">
      <c r="A31" s="449">
        <v>41699</v>
      </c>
      <c r="B31" s="37">
        <v>7033</v>
      </c>
      <c r="C31" s="37">
        <v>1314</v>
      </c>
      <c r="D31" s="37">
        <v>5</v>
      </c>
      <c r="E31" s="37">
        <v>8</v>
      </c>
      <c r="F31" s="37">
        <v>85</v>
      </c>
      <c r="G31" s="37">
        <v>30</v>
      </c>
      <c r="H31" s="457"/>
      <c r="I31" s="457"/>
      <c r="J31" s="37">
        <v>19</v>
      </c>
      <c r="K31" s="37">
        <v>2051</v>
      </c>
      <c r="M31" s="457"/>
      <c r="N31" s="457"/>
      <c r="O31" s="457"/>
      <c r="P31" s="457"/>
      <c r="Q31" s="457"/>
      <c r="R31" s="457"/>
      <c r="S31" s="457"/>
      <c r="T31" s="457"/>
      <c r="U31" s="457"/>
      <c r="V31" s="457"/>
      <c r="W31" s="457"/>
      <c r="X31" s="457"/>
      <c r="AB31" s="449">
        <v>41699</v>
      </c>
      <c r="AC31" s="37">
        <f t="shared" si="2"/>
        <v>7024</v>
      </c>
      <c r="AD31" s="37">
        <f t="shared" si="3"/>
        <v>1308.5</v>
      </c>
      <c r="AE31" s="37">
        <f t="shared" si="4"/>
        <v>5</v>
      </c>
      <c r="AF31" s="37">
        <f t="shared" si="5"/>
        <v>8</v>
      </c>
      <c r="AG31" s="37">
        <f t="shared" si="6"/>
        <v>84</v>
      </c>
      <c r="AH31" s="37">
        <f t="shared" si="7"/>
        <v>30</v>
      </c>
      <c r="AI31" s="457"/>
      <c r="AJ31" s="457"/>
      <c r="AK31" s="37">
        <f t="shared" si="8"/>
        <v>19.5</v>
      </c>
      <c r="AL31" s="37">
        <f t="shared" si="9"/>
        <v>2031.5</v>
      </c>
      <c r="AN31" s="60">
        <f t="shared" si="1"/>
        <v>127</v>
      </c>
      <c r="AO31" s="60">
        <f t="shared" si="10"/>
        <v>8459.5</v>
      </c>
      <c r="AP31" s="60"/>
    </row>
    <row r="32" spans="1:42" x14ac:dyDescent="0.2">
      <c r="A32" s="449">
        <v>41730</v>
      </c>
      <c r="B32" s="37">
        <v>7053</v>
      </c>
      <c r="C32" s="37">
        <v>1315</v>
      </c>
      <c r="D32" s="37">
        <v>5</v>
      </c>
      <c r="E32" s="37">
        <v>8</v>
      </c>
      <c r="F32" s="37">
        <v>86</v>
      </c>
      <c r="G32" s="37">
        <v>30</v>
      </c>
      <c r="H32" s="457"/>
      <c r="I32" s="457"/>
      <c r="J32" s="37">
        <v>19</v>
      </c>
      <c r="K32" s="37">
        <v>2051</v>
      </c>
      <c r="M32" s="457"/>
      <c r="N32" s="457"/>
      <c r="O32" s="457"/>
      <c r="P32" s="457"/>
      <c r="Q32" s="457"/>
      <c r="R32" s="457"/>
      <c r="S32" s="457"/>
      <c r="T32" s="457"/>
      <c r="U32" s="457"/>
      <c r="V32" s="457"/>
      <c r="W32" s="457"/>
      <c r="X32" s="457"/>
      <c r="AB32" s="449">
        <v>41730</v>
      </c>
      <c r="AC32" s="37">
        <f t="shared" si="2"/>
        <v>7043</v>
      </c>
      <c r="AD32" s="37">
        <f t="shared" si="3"/>
        <v>1314.5</v>
      </c>
      <c r="AE32" s="37">
        <f t="shared" si="4"/>
        <v>5</v>
      </c>
      <c r="AF32" s="37">
        <f t="shared" si="5"/>
        <v>8</v>
      </c>
      <c r="AG32" s="37">
        <f t="shared" si="6"/>
        <v>85.5</v>
      </c>
      <c r="AH32" s="37">
        <f t="shared" si="7"/>
        <v>30</v>
      </c>
      <c r="AI32" s="457"/>
      <c r="AJ32" s="457"/>
      <c r="AK32" s="37">
        <f t="shared" si="8"/>
        <v>19</v>
      </c>
      <c r="AL32" s="37">
        <f t="shared" si="9"/>
        <v>2051</v>
      </c>
      <c r="AN32" s="60">
        <f t="shared" si="1"/>
        <v>128.5</v>
      </c>
      <c r="AO32" s="60">
        <f t="shared" si="10"/>
        <v>8486</v>
      </c>
      <c r="AP32" s="60"/>
    </row>
    <row r="33" spans="1:42" x14ac:dyDescent="0.2">
      <c r="A33" s="449">
        <v>41760</v>
      </c>
      <c r="B33" s="37">
        <v>7074</v>
      </c>
      <c r="C33" s="37">
        <v>1313</v>
      </c>
      <c r="D33" s="37">
        <v>5</v>
      </c>
      <c r="E33" s="37">
        <v>8</v>
      </c>
      <c r="F33" s="37">
        <v>86</v>
      </c>
      <c r="G33" s="37">
        <v>30</v>
      </c>
      <c r="H33" s="457"/>
      <c r="I33" s="457"/>
      <c r="J33" s="37">
        <v>19</v>
      </c>
      <c r="K33" s="37">
        <v>2051</v>
      </c>
      <c r="M33" s="457"/>
      <c r="N33" s="457"/>
      <c r="O33" s="457"/>
      <c r="P33" s="457"/>
      <c r="Q33" s="457"/>
      <c r="R33" s="457"/>
      <c r="S33" s="457"/>
      <c r="T33" s="457"/>
      <c r="U33" s="457"/>
      <c r="V33" s="457"/>
      <c r="W33" s="457"/>
      <c r="X33" s="457"/>
      <c r="AB33" s="449">
        <v>41760</v>
      </c>
      <c r="AC33" s="37">
        <f t="shared" si="2"/>
        <v>7063.5</v>
      </c>
      <c r="AD33" s="37">
        <f t="shared" si="3"/>
        <v>1314</v>
      </c>
      <c r="AE33" s="37">
        <f t="shared" si="4"/>
        <v>5</v>
      </c>
      <c r="AF33" s="37">
        <f t="shared" si="5"/>
        <v>8</v>
      </c>
      <c r="AG33" s="37">
        <f t="shared" si="6"/>
        <v>86</v>
      </c>
      <c r="AH33" s="37">
        <f t="shared" si="7"/>
        <v>30</v>
      </c>
      <c r="AI33" s="457"/>
      <c r="AJ33" s="457"/>
      <c r="AK33" s="37">
        <f t="shared" si="8"/>
        <v>19</v>
      </c>
      <c r="AL33" s="37">
        <f t="shared" si="9"/>
        <v>2051</v>
      </c>
      <c r="AN33" s="60">
        <f t="shared" si="1"/>
        <v>129</v>
      </c>
      <c r="AO33" s="60">
        <f t="shared" si="10"/>
        <v>8506.5</v>
      </c>
      <c r="AP33" s="60"/>
    </row>
    <row r="34" spans="1:42" x14ac:dyDescent="0.2">
      <c r="A34" s="449">
        <v>41791</v>
      </c>
      <c r="B34" s="37">
        <v>7117</v>
      </c>
      <c r="C34" s="37">
        <v>1312</v>
      </c>
      <c r="D34" s="37">
        <v>5</v>
      </c>
      <c r="E34" s="37">
        <v>8</v>
      </c>
      <c r="F34" s="37">
        <v>86</v>
      </c>
      <c r="G34" s="37">
        <v>30</v>
      </c>
      <c r="H34" s="457"/>
      <c r="I34" s="457"/>
      <c r="J34" s="37">
        <v>19</v>
      </c>
      <c r="K34" s="37">
        <v>2051</v>
      </c>
      <c r="M34" s="457"/>
      <c r="N34" s="457"/>
      <c r="O34" s="457"/>
      <c r="P34" s="457"/>
      <c r="Q34" s="457"/>
      <c r="R34" s="457"/>
      <c r="S34" s="457"/>
      <c r="T34" s="457"/>
      <c r="U34" s="457"/>
      <c r="V34" s="457"/>
      <c r="W34" s="460">
        <v>1</v>
      </c>
      <c r="X34" s="60">
        <f>+U34+V34+W34</f>
        <v>1</v>
      </c>
      <c r="AB34" s="449">
        <v>41791</v>
      </c>
      <c r="AC34" s="37">
        <f t="shared" si="2"/>
        <v>7095.5</v>
      </c>
      <c r="AD34" s="37">
        <f t="shared" si="3"/>
        <v>1312.5</v>
      </c>
      <c r="AE34" s="37">
        <f t="shared" si="4"/>
        <v>5</v>
      </c>
      <c r="AF34" s="37">
        <f t="shared" si="5"/>
        <v>8</v>
      </c>
      <c r="AG34" s="37">
        <f t="shared" si="6"/>
        <v>86</v>
      </c>
      <c r="AH34" s="37">
        <f t="shared" si="7"/>
        <v>30</v>
      </c>
      <c r="AI34" s="457"/>
      <c r="AJ34" s="457"/>
      <c r="AK34" s="37">
        <f t="shared" si="8"/>
        <v>19</v>
      </c>
      <c r="AL34" s="37">
        <f t="shared" si="9"/>
        <v>2051</v>
      </c>
      <c r="AN34" s="60">
        <f t="shared" si="1"/>
        <v>128</v>
      </c>
      <c r="AO34" s="60">
        <f t="shared" si="10"/>
        <v>8536</v>
      </c>
      <c r="AP34" s="60"/>
    </row>
    <row r="35" spans="1:42" x14ac:dyDescent="0.2">
      <c r="A35" s="449">
        <v>41821</v>
      </c>
      <c r="B35" s="37">
        <v>7131</v>
      </c>
      <c r="C35" s="37">
        <v>1310</v>
      </c>
      <c r="D35" s="37">
        <v>5</v>
      </c>
      <c r="E35" s="37">
        <v>8</v>
      </c>
      <c r="F35" s="37">
        <v>86</v>
      </c>
      <c r="G35" s="37">
        <v>30</v>
      </c>
      <c r="H35" s="457"/>
      <c r="I35" s="457"/>
      <c r="J35" s="37">
        <v>19</v>
      </c>
      <c r="K35" s="37">
        <v>2051</v>
      </c>
      <c r="M35" s="457"/>
      <c r="N35" s="457"/>
      <c r="O35" s="457"/>
      <c r="P35" s="457"/>
      <c r="Q35" s="457"/>
      <c r="R35" s="457"/>
      <c r="S35" s="457"/>
      <c r="T35" s="457"/>
      <c r="U35" s="457"/>
      <c r="V35" s="457"/>
      <c r="W35" s="460">
        <v>1</v>
      </c>
      <c r="X35" s="60">
        <f t="shared" ref="X35:X108" si="11">+U35+V35+W35</f>
        <v>1</v>
      </c>
      <c r="AB35" s="449">
        <v>41821</v>
      </c>
      <c r="AC35" s="37">
        <f t="shared" si="2"/>
        <v>7124</v>
      </c>
      <c r="AD35" s="37">
        <f t="shared" si="3"/>
        <v>1311</v>
      </c>
      <c r="AE35" s="37">
        <f t="shared" si="4"/>
        <v>5</v>
      </c>
      <c r="AF35" s="37">
        <f t="shared" si="5"/>
        <v>8</v>
      </c>
      <c r="AG35" s="37">
        <f t="shared" si="6"/>
        <v>86</v>
      </c>
      <c r="AH35" s="37">
        <f t="shared" si="7"/>
        <v>30</v>
      </c>
      <c r="AI35" s="457"/>
      <c r="AJ35" s="457"/>
      <c r="AK35" s="37">
        <f t="shared" si="8"/>
        <v>19</v>
      </c>
      <c r="AL35" s="37">
        <f t="shared" si="9"/>
        <v>2051</v>
      </c>
      <c r="AN35" s="60">
        <f t="shared" si="1"/>
        <v>128</v>
      </c>
      <c r="AO35" s="60">
        <f t="shared" si="10"/>
        <v>8563</v>
      </c>
      <c r="AP35" s="60"/>
    </row>
    <row r="36" spans="1:42" x14ac:dyDescent="0.2">
      <c r="A36" s="449">
        <v>41852</v>
      </c>
      <c r="B36" s="37">
        <v>7163</v>
      </c>
      <c r="C36" s="37">
        <v>1313</v>
      </c>
      <c r="D36" s="37">
        <v>5</v>
      </c>
      <c r="E36" s="37">
        <v>8</v>
      </c>
      <c r="F36" s="37">
        <v>87</v>
      </c>
      <c r="G36" s="37">
        <v>31</v>
      </c>
      <c r="H36" s="457"/>
      <c r="I36" s="457"/>
      <c r="J36" s="37">
        <v>19</v>
      </c>
      <c r="K36" s="37">
        <v>2051</v>
      </c>
      <c r="M36" s="457"/>
      <c r="N36" s="457"/>
      <c r="O36" s="457"/>
      <c r="P36" s="457"/>
      <c r="Q36" s="457"/>
      <c r="R36" s="457"/>
      <c r="S36" s="457"/>
      <c r="T36" s="457"/>
      <c r="U36" s="457"/>
      <c r="V36" s="457"/>
      <c r="W36" s="460">
        <v>1</v>
      </c>
      <c r="X36" s="60">
        <f t="shared" si="11"/>
        <v>1</v>
      </c>
      <c r="AB36" s="449">
        <v>41852</v>
      </c>
      <c r="AC36" s="37">
        <f t="shared" si="2"/>
        <v>7147</v>
      </c>
      <c r="AD36" s="37">
        <f t="shared" si="3"/>
        <v>1311.5</v>
      </c>
      <c r="AE36" s="37">
        <f t="shared" si="4"/>
        <v>5</v>
      </c>
      <c r="AF36" s="37">
        <f t="shared" si="5"/>
        <v>8</v>
      </c>
      <c r="AG36" s="37">
        <f t="shared" si="6"/>
        <v>86.5</v>
      </c>
      <c r="AH36" s="37">
        <f t="shared" si="7"/>
        <v>30.5</v>
      </c>
      <c r="AI36" s="457"/>
      <c r="AJ36" s="457"/>
      <c r="AK36" s="37">
        <f t="shared" si="8"/>
        <v>19</v>
      </c>
      <c r="AL36" s="37">
        <f t="shared" si="9"/>
        <v>2051</v>
      </c>
      <c r="AN36" s="60">
        <f t="shared" si="1"/>
        <v>129</v>
      </c>
      <c r="AO36" s="60">
        <f t="shared" si="10"/>
        <v>8587.5</v>
      </c>
      <c r="AP36" s="60"/>
    </row>
    <row r="37" spans="1:42" x14ac:dyDescent="0.2">
      <c r="A37" s="449">
        <v>41883</v>
      </c>
      <c r="B37" s="37">
        <v>7169</v>
      </c>
      <c r="C37" s="37">
        <v>1311</v>
      </c>
      <c r="D37" s="37">
        <v>5</v>
      </c>
      <c r="E37" s="37">
        <v>8</v>
      </c>
      <c r="F37" s="37">
        <v>87</v>
      </c>
      <c r="G37" s="37">
        <v>31</v>
      </c>
      <c r="H37" s="457"/>
      <c r="I37" s="457"/>
      <c r="J37" s="37">
        <v>19</v>
      </c>
      <c r="K37" s="37">
        <v>2080</v>
      </c>
      <c r="M37" s="457"/>
      <c r="N37" s="457"/>
      <c r="O37" s="457"/>
      <c r="P37" s="457"/>
      <c r="Q37" s="457"/>
      <c r="R37" s="457"/>
      <c r="S37" s="457"/>
      <c r="T37" s="457"/>
      <c r="U37" s="457"/>
      <c r="V37" s="457"/>
      <c r="W37" s="460">
        <v>1</v>
      </c>
      <c r="X37" s="60">
        <f t="shared" si="11"/>
        <v>1</v>
      </c>
      <c r="AB37" s="449">
        <v>41883</v>
      </c>
      <c r="AC37" s="37">
        <f t="shared" si="2"/>
        <v>7166</v>
      </c>
      <c r="AD37" s="37">
        <f t="shared" si="3"/>
        <v>1312</v>
      </c>
      <c r="AE37" s="37">
        <f t="shared" si="4"/>
        <v>5</v>
      </c>
      <c r="AF37" s="37">
        <f t="shared" si="5"/>
        <v>8</v>
      </c>
      <c r="AG37" s="37">
        <f t="shared" si="6"/>
        <v>87</v>
      </c>
      <c r="AH37" s="37">
        <f t="shared" si="7"/>
        <v>31</v>
      </c>
      <c r="AI37" s="457"/>
      <c r="AJ37" s="457"/>
      <c r="AK37" s="37">
        <f t="shared" si="8"/>
        <v>19</v>
      </c>
      <c r="AL37" s="37">
        <f t="shared" si="9"/>
        <v>2065.5</v>
      </c>
      <c r="AN37" s="60">
        <f t="shared" ref="AN37:AN68" si="12">+AE37+AF37+AG37+AH37+AI37-X37</f>
        <v>130</v>
      </c>
      <c r="AO37" s="60">
        <f t="shared" si="10"/>
        <v>8608</v>
      </c>
      <c r="AP37" s="60"/>
    </row>
    <row r="38" spans="1:42" x14ac:dyDescent="0.2">
      <c r="A38" s="449">
        <v>41913</v>
      </c>
      <c r="B38" s="37">
        <v>7184</v>
      </c>
      <c r="C38" s="37">
        <v>1310</v>
      </c>
      <c r="D38" s="37">
        <v>5</v>
      </c>
      <c r="E38" s="37">
        <v>9</v>
      </c>
      <c r="F38" s="37">
        <v>87</v>
      </c>
      <c r="G38" s="37">
        <v>31</v>
      </c>
      <c r="H38" s="457"/>
      <c r="I38" s="457"/>
      <c r="J38" s="37">
        <v>19</v>
      </c>
      <c r="K38" s="37">
        <v>2080</v>
      </c>
      <c r="M38" s="457"/>
      <c r="N38" s="457"/>
      <c r="O38" s="457"/>
      <c r="P38" s="457"/>
      <c r="Q38" s="457"/>
      <c r="R38" s="457"/>
      <c r="S38" s="457"/>
      <c r="T38" s="457"/>
      <c r="U38" s="457"/>
      <c r="V38" s="457"/>
      <c r="W38" s="460">
        <v>1</v>
      </c>
      <c r="X38" s="60">
        <f t="shared" si="11"/>
        <v>1</v>
      </c>
      <c r="AB38" s="449">
        <v>41913</v>
      </c>
      <c r="AC38" s="37">
        <f t="shared" si="2"/>
        <v>7176.5</v>
      </c>
      <c r="AD38" s="37">
        <f t="shared" si="3"/>
        <v>1310.5</v>
      </c>
      <c r="AE38" s="37">
        <f t="shared" si="4"/>
        <v>5</v>
      </c>
      <c r="AF38" s="37">
        <f t="shared" si="5"/>
        <v>8.5</v>
      </c>
      <c r="AG38" s="37">
        <f t="shared" si="6"/>
        <v>87</v>
      </c>
      <c r="AH38" s="37">
        <f t="shared" si="7"/>
        <v>31</v>
      </c>
      <c r="AI38" s="457"/>
      <c r="AJ38" s="457"/>
      <c r="AK38" s="37">
        <f t="shared" si="8"/>
        <v>19</v>
      </c>
      <c r="AL38" s="37">
        <f t="shared" si="9"/>
        <v>2080</v>
      </c>
      <c r="AN38" s="60">
        <f t="shared" si="12"/>
        <v>130.5</v>
      </c>
      <c r="AO38" s="60">
        <f t="shared" si="10"/>
        <v>8617.5</v>
      </c>
      <c r="AP38" s="60"/>
    </row>
    <row r="39" spans="1:42" x14ac:dyDescent="0.2">
      <c r="A39" s="449">
        <v>41944</v>
      </c>
      <c r="B39" s="37">
        <v>7196</v>
      </c>
      <c r="C39" s="37">
        <v>1310</v>
      </c>
      <c r="D39" s="37">
        <v>5</v>
      </c>
      <c r="E39" s="37">
        <v>9</v>
      </c>
      <c r="F39" s="37">
        <v>89</v>
      </c>
      <c r="G39" s="37">
        <v>31</v>
      </c>
      <c r="H39" s="457"/>
      <c r="I39" s="457"/>
      <c r="J39" s="37">
        <v>19</v>
      </c>
      <c r="K39" s="37">
        <v>2080</v>
      </c>
      <c r="M39" s="457"/>
      <c r="N39" s="457"/>
      <c r="O39" s="457"/>
      <c r="P39" s="457"/>
      <c r="Q39" s="457"/>
      <c r="R39" s="457"/>
      <c r="S39" s="457"/>
      <c r="T39" s="457"/>
      <c r="U39" s="457"/>
      <c r="V39" s="457"/>
      <c r="W39" s="460">
        <v>1</v>
      </c>
      <c r="X39" s="60">
        <f t="shared" si="11"/>
        <v>1</v>
      </c>
      <c r="AB39" s="449">
        <v>41944</v>
      </c>
      <c r="AC39" s="37">
        <f t="shared" si="2"/>
        <v>7190</v>
      </c>
      <c r="AD39" s="37">
        <f t="shared" si="3"/>
        <v>1310</v>
      </c>
      <c r="AE39" s="37">
        <f t="shared" si="4"/>
        <v>5</v>
      </c>
      <c r="AF39" s="37">
        <f t="shared" si="5"/>
        <v>9</v>
      </c>
      <c r="AG39" s="37">
        <f t="shared" si="6"/>
        <v>88</v>
      </c>
      <c r="AH39" s="37">
        <f t="shared" si="7"/>
        <v>31</v>
      </c>
      <c r="AI39" s="457"/>
      <c r="AJ39" s="457"/>
      <c r="AK39" s="37">
        <f t="shared" si="8"/>
        <v>19</v>
      </c>
      <c r="AL39" s="37">
        <f t="shared" si="9"/>
        <v>2080</v>
      </c>
      <c r="AN39" s="60">
        <f t="shared" si="12"/>
        <v>132</v>
      </c>
      <c r="AO39" s="60">
        <f t="shared" si="10"/>
        <v>8632</v>
      </c>
      <c r="AP39" s="60"/>
    </row>
    <row r="40" spans="1:42" x14ac:dyDescent="0.2">
      <c r="A40" s="449">
        <v>41974</v>
      </c>
      <c r="B40" s="37">
        <v>7224</v>
      </c>
      <c r="C40" s="37">
        <v>1307</v>
      </c>
      <c r="D40" s="37">
        <v>5</v>
      </c>
      <c r="E40" s="37">
        <v>8</v>
      </c>
      <c r="F40" s="37">
        <v>89</v>
      </c>
      <c r="G40" s="37">
        <v>31</v>
      </c>
      <c r="H40" s="457"/>
      <c r="I40" s="457"/>
      <c r="J40" s="37">
        <v>21</v>
      </c>
      <c r="K40" s="37">
        <v>2080</v>
      </c>
      <c r="M40" s="457"/>
      <c r="N40" s="457"/>
      <c r="O40" s="457"/>
      <c r="P40" s="457"/>
      <c r="Q40" s="457"/>
      <c r="R40" s="457"/>
      <c r="S40" s="457"/>
      <c r="T40" s="457"/>
      <c r="U40" s="457"/>
      <c r="V40" s="457"/>
      <c r="W40" s="460">
        <v>1</v>
      </c>
      <c r="X40" s="60">
        <f t="shared" si="11"/>
        <v>1</v>
      </c>
      <c r="AB40" s="449">
        <v>41974</v>
      </c>
      <c r="AC40" s="37">
        <f t="shared" si="2"/>
        <v>7210</v>
      </c>
      <c r="AD40" s="37">
        <f t="shared" si="3"/>
        <v>1308.5</v>
      </c>
      <c r="AE40" s="37">
        <f t="shared" si="4"/>
        <v>5</v>
      </c>
      <c r="AF40" s="37">
        <f t="shared" si="5"/>
        <v>8.5</v>
      </c>
      <c r="AG40" s="37">
        <f t="shared" si="6"/>
        <v>89</v>
      </c>
      <c r="AH40" s="37">
        <f t="shared" si="7"/>
        <v>31</v>
      </c>
      <c r="AI40" s="457"/>
      <c r="AJ40" s="457"/>
      <c r="AK40" s="37">
        <f t="shared" si="8"/>
        <v>20</v>
      </c>
      <c r="AL40" s="37">
        <f t="shared" si="9"/>
        <v>2080</v>
      </c>
      <c r="AN40" s="60">
        <f t="shared" si="12"/>
        <v>132.5</v>
      </c>
      <c r="AO40" s="60">
        <f t="shared" si="10"/>
        <v>8651</v>
      </c>
      <c r="AP40" s="60"/>
    </row>
    <row r="41" spans="1:42" x14ac:dyDescent="0.2">
      <c r="A41" s="449">
        <v>42005</v>
      </c>
      <c r="B41" s="37">
        <v>7252</v>
      </c>
      <c r="C41" s="37">
        <v>1310</v>
      </c>
      <c r="D41" s="37">
        <v>5</v>
      </c>
      <c r="E41" s="37">
        <v>8</v>
      </c>
      <c r="F41" s="37">
        <v>89</v>
      </c>
      <c r="G41" s="37">
        <v>31</v>
      </c>
      <c r="H41" s="457"/>
      <c r="I41" s="457"/>
      <c r="J41" s="37">
        <v>21</v>
      </c>
      <c r="K41" s="37">
        <v>2080</v>
      </c>
      <c r="M41" s="457"/>
      <c r="N41" s="457"/>
      <c r="O41" s="457"/>
      <c r="P41" s="457"/>
      <c r="Q41" s="457"/>
      <c r="R41" s="457"/>
      <c r="S41" s="457"/>
      <c r="T41" s="457"/>
      <c r="U41" s="457"/>
      <c r="V41" s="457"/>
      <c r="W41" s="460">
        <v>1</v>
      </c>
      <c r="X41" s="60">
        <f t="shared" si="11"/>
        <v>1</v>
      </c>
      <c r="AB41" s="449">
        <v>42005</v>
      </c>
      <c r="AC41" s="37">
        <f t="shared" si="2"/>
        <v>7238</v>
      </c>
      <c r="AD41" s="37">
        <f t="shared" si="3"/>
        <v>1308.5</v>
      </c>
      <c r="AE41" s="37">
        <f t="shared" si="4"/>
        <v>5</v>
      </c>
      <c r="AF41" s="37">
        <f t="shared" si="5"/>
        <v>8</v>
      </c>
      <c r="AG41" s="37">
        <f t="shared" si="6"/>
        <v>89</v>
      </c>
      <c r="AH41" s="37">
        <f t="shared" si="7"/>
        <v>31</v>
      </c>
      <c r="AI41" s="457"/>
      <c r="AJ41" s="457"/>
      <c r="AK41" s="37">
        <f t="shared" si="8"/>
        <v>21</v>
      </c>
      <c r="AL41" s="37">
        <f t="shared" si="9"/>
        <v>2080</v>
      </c>
      <c r="AN41" s="60">
        <f t="shared" si="12"/>
        <v>132</v>
      </c>
      <c r="AO41" s="60">
        <f t="shared" si="10"/>
        <v>8678.5</v>
      </c>
      <c r="AP41" s="60"/>
    </row>
    <row r="42" spans="1:42" x14ac:dyDescent="0.2">
      <c r="A42" s="449">
        <v>42036</v>
      </c>
      <c r="B42" s="37">
        <v>7269</v>
      </c>
      <c r="C42" s="37">
        <v>1313</v>
      </c>
      <c r="D42" s="37">
        <v>5</v>
      </c>
      <c r="E42" s="37">
        <v>8</v>
      </c>
      <c r="F42" s="37">
        <v>89</v>
      </c>
      <c r="G42" s="37">
        <v>31</v>
      </c>
      <c r="H42" s="457"/>
      <c r="I42" s="457"/>
      <c r="J42" s="37">
        <v>20</v>
      </c>
      <c r="K42" s="37">
        <v>2080</v>
      </c>
      <c r="M42" s="457"/>
      <c r="N42" s="457"/>
      <c r="O42" s="457"/>
      <c r="P42" s="457"/>
      <c r="Q42" s="457"/>
      <c r="R42" s="457"/>
      <c r="S42" s="457"/>
      <c r="T42" s="457"/>
      <c r="U42" s="457"/>
      <c r="V42" s="457"/>
      <c r="W42" s="460">
        <v>1</v>
      </c>
      <c r="X42" s="60">
        <f t="shared" si="11"/>
        <v>1</v>
      </c>
      <c r="AB42" s="449">
        <v>42036</v>
      </c>
      <c r="AC42" s="37">
        <f t="shared" si="2"/>
        <v>7260.5</v>
      </c>
      <c r="AD42" s="37">
        <f t="shared" si="3"/>
        <v>1311.5</v>
      </c>
      <c r="AE42" s="37">
        <f t="shared" si="4"/>
        <v>5</v>
      </c>
      <c r="AF42" s="37">
        <f t="shared" si="5"/>
        <v>8</v>
      </c>
      <c r="AG42" s="37">
        <f t="shared" si="6"/>
        <v>89</v>
      </c>
      <c r="AH42" s="37">
        <f t="shared" si="7"/>
        <v>31</v>
      </c>
      <c r="AI42" s="457"/>
      <c r="AJ42" s="457"/>
      <c r="AK42" s="37">
        <f t="shared" si="8"/>
        <v>20.5</v>
      </c>
      <c r="AL42" s="37">
        <f t="shared" si="9"/>
        <v>2080</v>
      </c>
      <c r="AN42" s="60">
        <f t="shared" si="12"/>
        <v>132</v>
      </c>
      <c r="AO42" s="60">
        <f t="shared" si="10"/>
        <v>8704</v>
      </c>
      <c r="AP42" s="60"/>
    </row>
    <row r="43" spans="1:42" x14ac:dyDescent="0.2">
      <c r="A43" s="449">
        <v>42064</v>
      </c>
      <c r="B43" s="37">
        <v>7304</v>
      </c>
      <c r="C43" s="37">
        <v>1312</v>
      </c>
      <c r="D43" s="37">
        <v>5</v>
      </c>
      <c r="E43" s="37">
        <v>8</v>
      </c>
      <c r="F43" s="37">
        <v>89</v>
      </c>
      <c r="G43" s="37">
        <v>31</v>
      </c>
      <c r="H43" s="457"/>
      <c r="I43" s="457"/>
      <c r="J43" s="37">
        <v>19</v>
      </c>
      <c r="K43" s="37">
        <v>2080</v>
      </c>
      <c r="M43" s="457"/>
      <c r="N43" s="457"/>
      <c r="O43" s="457"/>
      <c r="P43" s="457"/>
      <c r="Q43" s="457"/>
      <c r="R43" s="457"/>
      <c r="S43" s="457"/>
      <c r="T43" s="457"/>
      <c r="U43" s="457"/>
      <c r="V43" s="457"/>
      <c r="W43" s="460">
        <v>1</v>
      </c>
      <c r="X43" s="60">
        <f t="shared" si="11"/>
        <v>1</v>
      </c>
      <c r="AB43" s="449">
        <v>42064</v>
      </c>
      <c r="AC43" s="37">
        <f t="shared" si="2"/>
        <v>7286.5</v>
      </c>
      <c r="AD43" s="37">
        <f t="shared" si="3"/>
        <v>1312.5</v>
      </c>
      <c r="AE43" s="37">
        <f t="shared" si="4"/>
        <v>5</v>
      </c>
      <c r="AF43" s="37">
        <f t="shared" si="5"/>
        <v>8</v>
      </c>
      <c r="AG43" s="37">
        <f t="shared" si="6"/>
        <v>89</v>
      </c>
      <c r="AH43" s="37">
        <f t="shared" si="7"/>
        <v>31</v>
      </c>
      <c r="AI43" s="457"/>
      <c r="AJ43" s="457"/>
      <c r="AK43" s="37">
        <f t="shared" si="8"/>
        <v>19.5</v>
      </c>
      <c r="AL43" s="37">
        <f t="shared" si="9"/>
        <v>2080</v>
      </c>
      <c r="AN43" s="60">
        <f t="shared" si="12"/>
        <v>132</v>
      </c>
      <c r="AO43" s="60">
        <f t="shared" si="10"/>
        <v>8731</v>
      </c>
      <c r="AP43" s="60"/>
    </row>
    <row r="44" spans="1:42" x14ac:dyDescent="0.2">
      <c r="A44" s="449">
        <v>42095</v>
      </c>
      <c r="B44" s="37">
        <v>7314</v>
      </c>
      <c r="C44" s="37">
        <v>1314</v>
      </c>
      <c r="D44" s="37">
        <v>5</v>
      </c>
      <c r="E44" s="37">
        <v>8</v>
      </c>
      <c r="F44" s="37">
        <v>89</v>
      </c>
      <c r="G44" s="37">
        <v>32</v>
      </c>
      <c r="H44" s="457"/>
      <c r="I44" s="457"/>
      <c r="J44" s="37">
        <v>18</v>
      </c>
      <c r="K44" s="37">
        <v>2080</v>
      </c>
      <c r="M44" s="457"/>
      <c r="N44" s="457"/>
      <c r="O44" s="457"/>
      <c r="P44" s="457"/>
      <c r="Q44" s="457"/>
      <c r="R44" s="457"/>
      <c r="S44" s="457"/>
      <c r="T44" s="457"/>
      <c r="U44" s="457"/>
      <c r="V44" s="457"/>
      <c r="W44" s="460">
        <v>1</v>
      </c>
      <c r="X44" s="60">
        <f t="shared" si="11"/>
        <v>1</v>
      </c>
      <c r="AB44" s="449">
        <v>42095</v>
      </c>
      <c r="AC44" s="37">
        <f t="shared" si="2"/>
        <v>7309</v>
      </c>
      <c r="AD44" s="37">
        <f t="shared" si="3"/>
        <v>1313</v>
      </c>
      <c r="AE44" s="37">
        <f t="shared" si="4"/>
        <v>5</v>
      </c>
      <c r="AF44" s="37">
        <f t="shared" si="5"/>
        <v>8</v>
      </c>
      <c r="AG44" s="37">
        <f t="shared" si="6"/>
        <v>89</v>
      </c>
      <c r="AH44" s="37">
        <f t="shared" si="7"/>
        <v>31.5</v>
      </c>
      <c r="AI44" s="457"/>
      <c r="AJ44" s="457"/>
      <c r="AK44" s="37">
        <f t="shared" si="8"/>
        <v>18.5</v>
      </c>
      <c r="AL44" s="37">
        <f t="shared" si="9"/>
        <v>2080</v>
      </c>
      <c r="AN44" s="60">
        <f t="shared" si="12"/>
        <v>132.5</v>
      </c>
      <c r="AO44" s="60">
        <f t="shared" si="10"/>
        <v>8754.5</v>
      </c>
      <c r="AP44" s="60"/>
    </row>
    <row r="45" spans="1:42" x14ac:dyDescent="0.2">
      <c r="A45" s="449">
        <v>42125</v>
      </c>
      <c r="B45" s="37">
        <v>7364</v>
      </c>
      <c r="C45" s="37">
        <v>1316</v>
      </c>
      <c r="D45" s="37">
        <v>5</v>
      </c>
      <c r="E45" s="37">
        <v>8</v>
      </c>
      <c r="F45" s="37">
        <v>89</v>
      </c>
      <c r="G45" s="37">
        <v>32</v>
      </c>
      <c r="H45" s="457"/>
      <c r="I45" s="457"/>
      <c r="J45" s="37">
        <v>18</v>
      </c>
      <c r="K45" s="37">
        <v>2080</v>
      </c>
      <c r="M45" s="457"/>
      <c r="N45" s="457"/>
      <c r="O45" s="457"/>
      <c r="P45" s="457"/>
      <c r="Q45" s="457"/>
      <c r="R45" s="457"/>
      <c r="S45" s="457"/>
      <c r="T45" s="457"/>
      <c r="U45" s="457"/>
      <c r="V45" s="457"/>
      <c r="W45" s="460">
        <v>1</v>
      </c>
      <c r="X45" s="60">
        <f t="shared" si="11"/>
        <v>1</v>
      </c>
      <c r="AB45" s="449">
        <v>42125</v>
      </c>
      <c r="AC45" s="37">
        <f t="shared" si="2"/>
        <v>7339</v>
      </c>
      <c r="AD45" s="37">
        <f t="shared" si="3"/>
        <v>1315</v>
      </c>
      <c r="AE45" s="37">
        <f t="shared" si="4"/>
        <v>5</v>
      </c>
      <c r="AF45" s="37">
        <f t="shared" si="5"/>
        <v>8</v>
      </c>
      <c r="AG45" s="37">
        <f t="shared" si="6"/>
        <v>89</v>
      </c>
      <c r="AH45" s="37">
        <f t="shared" si="7"/>
        <v>32</v>
      </c>
      <c r="AI45" s="457"/>
      <c r="AJ45" s="457"/>
      <c r="AK45" s="37">
        <f t="shared" si="8"/>
        <v>18</v>
      </c>
      <c r="AL45" s="37">
        <f t="shared" si="9"/>
        <v>2080</v>
      </c>
      <c r="AN45" s="60">
        <f t="shared" si="12"/>
        <v>133</v>
      </c>
      <c r="AO45" s="60">
        <f t="shared" si="10"/>
        <v>8787</v>
      </c>
      <c r="AP45" s="60"/>
    </row>
    <row r="46" spans="1:42" x14ac:dyDescent="0.2">
      <c r="A46" s="449">
        <v>42156</v>
      </c>
      <c r="B46" s="37">
        <v>7379</v>
      </c>
      <c r="C46" s="37">
        <v>1325</v>
      </c>
      <c r="D46" s="37">
        <v>5</v>
      </c>
      <c r="E46" s="37">
        <v>8</v>
      </c>
      <c r="F46" s="37">
        <v>89</v>
      </c>
      <c r="G46" s="37">
        <v>32</v>
      </c>
      <c r="H46" s="457"/>
      <c r="I46" s="457"/>
      <c r="J46" s="37">
        <v>17</v>
      </c>
      <c r="K46" s="37">
        <v>2080</v>
      </c>
      <c r="M46" s="457"/>
      <c r="N46" s="457"/>
      <c r="O46" s="457"/>
      <c r="P46" s="457"/>
      <c r="Q46" s="457"/>
      <c r="R46" s="457"/>
      <c r="S46" s="457"/>
      <c r="T46" s="457"/>
      <c r="U46" s="457"/>
      <c r="V46" s="457"/>
      <c r="W46" s="460">
        <v>1</v>
      </c>
      <c r="X46" s="60">
        <f t="shared" si="11"/>
        <v>1</v>
      </c>
      <c r="AB46" s="449">
        <v>42156</v>
      </c>
      <c r="AC46" s="37">
        <f t="shared" si="2"/>
        <v>7371.5</v>
      </c>
      <c r="AD46" s="37">
        <f t="shared" si="3"/>
        <v>1320.5</v>
      </c>
      <c r="AE46" s="37">
        <f t="shared" si="4"/>
        <v>5</v>
      </c>
      <c r="AF46" s="37">
        <f t="shared" si="5"/>
        <v>8</v>
      </c>
      <c r="AG46" s="37">
        <f t="shared" si="6"/>
        <v>89</v>
      </c>
      <c r="AH46" s="37">
        <f t="shared" si="7"/>
        <v>32</v>
      </c>
      <c r="AI46" s="457"/>
      <c r="AJ46" s="457"/>
      <c r="AK46" s="37">
        <f t="shared" si="8"/>
        <v>17.5</v>
      </c>
      <c r="AL46" s="37">
        <f t="shared" si="9"/>
        <v>2080</v>
      </c>
      <c r="AN46" s="60">
        <f t="shared" si="12"/>
        <v>133</v>
      </c>
      <c r="AO46" s="60">
        <f t="shared" si="10"/>
        <v>8825</v>
      </c>
      <c r="AP46" s="60"/>
    </row>
    <row r="47" spans="1:42" x14ac:dyDescent="0.2">
      <c r="A47" s="449">
        <v>42186</v>
      </c>
      <c r="B47" s="37">
        <v>7408</v>
      </c>
      <c r="C47" s="37">
        <v>1331</v>
      </c>
      <c r="D47" s="37">
        <v>5</v>
      </c>
      <c r="E47" s="37">
        <v>8</v>
      </c>
      <c r="F47" s="37">
        <v>79</v>
      </c>
      <c r="G47" s="37">
        <v>31</v>
      </c>
      <c r="H47" s="457"/>
      <c r="I47" s="457"/>
      <c r="J47" s="37">
        <v>17</v>
      </c>
      <c r="K47" s="37">
        <v>2080</v>
      </c>
      <c r="M47" s="457"/>
      <c r="N47" s="457"/>
      <c r="O47" s="457"/>
      <c r="P47" s="457"/>
      <c r="Q47" s="457"/>
      <c r="R47" s="457"/>
      <c r="S47" s="457"/>
      <c r="T47" s="457"/>
      <c r="U47" s="457"/>
      <c r="V47" s="457"/>
      <c r="W47" s="460">
        <v>1</v>
      </c>
      <c r="X47" s="60">
        <f t="shared" si="11"/>
        <v>1</v>
      </c>
      <c r="AB47" s="449">
        <v>42186</v>
      </c>
      <c r="AC47" s="37">
        <f t="shared" si="2"/>
        <v>7393.5</v>
      </c>
      <c r="AD47" s="37">
        <f t="shared" si="3"/>
        <v>1328</v>
      </c>
      <c r="AE47" s="37">
        <f t="shared" si="4"/>
        <v>5</v>
      </c>
      <c r="AF47" s="37">
        <f t="shared" si="5"/>
        <v>8</v>
      </c>
      <c r="AG47" s="37">
        <f t="shared" si="6"/>
        <v>84</v>
      </c>
      <c r="AH47" s="37">
        <f t="shared" si="7"/>
        <v>31.5</v>
      </c>
      <c r="AI47" s="457"/>
      <c r="AJ47" s="457"/>
      <c r="AK47" s="37">
        <f t="shared" si="8"/>
        <v>17</v>
      </c>
      <c r="AL47" s="37">
        <f t="shared" si="9"/>
        <v>2080</v>
      </c>
      <c r="AN47" s="60">
        <f t="shared" si="12"/>
        <v>127.5</v>
      </c>
      <c r="AO47" s="60">
        <f t="shared" si="10"/>
        <v>8849</v>
      </c>
      <c r="AP47" s="60"/>
    </row>
    <row r="48" spans="1:42" x14ac:dyDescent="0.2">
      <c r="A48" s="449">
        <v>42217</v>
      </c>
      <c r="B48" s="37">
        <v>7434</v>
      </c>
      <c r="C48" s="37">
        <v>1330</v>
      </c>
      <c r="D48" s="37">
        <v>5</v>
      </c>
      <c r="E48" s="37">
        <v>8</v>
      </c>
      <c r="F48" s="37">
        <v>75</v>
      </c>
      <c r="G48" s="37">
        <v>31</v>
      </c>
      <c r="H48" s="457"/>
      <c r="I48" s="457"/>
      <c r="J48" s="37">
        <v>17</v>
      </c>
      <c r="K48" s="37">
        <v>2080</v>
      </c>
      <c r="M48" s="457"/>
      <c r="N48" s="457"/>
      <c r="O48" s="457"/>
      <c r="P48" s="457"/>
      <c r="Q48" s="457"/>
      <c r="R48" s="457"/>
      <c r="S48" s="457"/>
      <c r="T48" s="457"/>
      <c r="U48" s="457"/>
      <c r="V48" s="457"/>
      <c r="W48" s="460">
        <v>1</v>
      </c>
      <c r="X48" s="60">
        <f t="shared" si="11"/>
        <v>1</v>
      </c>
      <c r="AB48" s="449">
        <v>42217</v>
      </c>
      <c r="AC48" s="37">
        <f t="shared" si="2"/>
        <v>7421</v>
      </c>
      <c r="AD48" s="37">
        <f t="shared" si="3"/>
        <v>1330.5</v>
      </c>
      <c r="AE48" s="37">
        <f t="shared" si="4"/>
        <v>5</v>
      </c>
      <c r="AF48" s="37">
        <f t="shared" si="5"/>
        <v>8</v>
      </c>
      <c r="AG48" s="37">
        <f t="shared" si="6"/>
        <v>77</v>
      </c>
      <c r="AH48" s="37">
        <f t="shared" si="7"/>
        <v>31</v>
      </c>
      <c r="AI48" s="457"/>
      <c r="AJ48" s="457"/>
      <c r="AK48" s="37">
        <f t="shared" si="8"/>
        <v>17</v>
      </c>
      <c r="AL48" s="37">
        <f t="shared" si="9"/>
        <v>2080</v>
      </c>
      <c r="AN48" s="60">
        <f t="shared" si="12"/>
        <v>120</v>
      </c>
      <c r="AO48" s="60">
        <f t="shared" si="10"/>
        <v>8871.5</v>
      </c>
      <c r="AP48" s="60"/>
    </row>
    <row r="49" spans="1:42" x14ac:dyDescent="0.2">
      <c r="A49" s="449">
        <v>42248</v>
      </c>
      <c r="B49" s="37">
        <v>7466</v>
      </c>
      <c r="C49" s="37">
        <v>1334</v>
      </c>
      <c r="D49" s="37">
        <v>5</v>
      </c>
      <c r="E49" s="37">
        <v>8</v>
      </c>
      <c r="F49" s="37">
        <v>76</v>
      </c>
      <c r="G49" s="37">
        <v>31</v>
      </c>
      <c r="H49" s="457"/>
      <c r="I49" s="457"/>
      <c r="J49" s="37">
        <v>17</v>
      </c>
      <c r="K49" s="37">
        <v>2080</v>
      </c>
      <c r="M49" s="457"/>
      <c r="N49" s="457"/>
      <c r="O49" s="457"/>
      <c r="P49" s="457"/>
      <c r="Q49" s="457"/>
      <c r="R49" s="457"/>
      <c r="S49" s="457"/>
      <c r="T49" s="457"/>
      <c r="U49" s="457"/>
      <c r="V49" s="457"/>
      <c r="W49" s="460">
        <v>1</v>
      </c>
      <c r="X49" s="60">
        <f t="shared" si="11"/>
        <v>1</v>
      </c>
      <c r="AB49" s="449">
        <v>42248</v>
      </c>
      <c r="AC49" s="37">
        <f t="shared" si="2"/>
        <v>7450</v>
      </c>
      <c r="AD49" s="37">
        <f t="shared" si="3"/>
        <v>1332</v>
      </c>
      <c r="AE49" s="37">
        <f t="shared" si="4"/>
        <v>5</v>
      </c>
      <c r="AF49" s="37">
        <f t="shared" si="5"/>
        <v>8</v>
      </c>
      <c r="AG49" s="37">
        <f t="shared" si="6"/>
        <v>75.5</v>
      </c>
      <c r="AH49" s="37">
        <f t="shared" si="7"/>
        <v>31</v>
      </c>
      <c r="AI49" s="457"/>
      <c r="AJ49" s="457"/>
      <c r="AK49" s="37">
        <f t="shared" si="8"/>
        <v>17</v>
      </c>
      <c r="AL49" s="37">
        <f t="shared" si="9"/>
        <v>2080</v>
      </c>
      <c r="AN49" s="60">
        <f t="shared" si="12"/>
        <v>118.5</v>
      </c>
      <c r="AO49" s="60">
        <f t="shared" si="10"/>
        <v>8900.5</v>
      </c>
      <c r="AP49" s="60"/>
    </row>
    <row r="50" spans="1:42" x14ac:dyDescent="0.2">
      <c r="A50" s="449">
        <v>42278</v>
      </c>
      <c r="B50" s="37">
        <v>7484</v>
      </c>
      <c r="C50" s="37">
        <v>1334</v>
      </c>
      <c r="D50" s="37">
        <v>5</v>
      </c>
      <c r="E50" s="37">
        <v>8</v>
      </c>
      <c r="F50" s="37">
        <v>77</v>
      </c>
      <c r="G50" s="37">
        <v>31</v>
      </c>
      <c r="H50" s="457"/>
      <c r="I50" s="457"/>
      <c r="J50" s="37">
        <v>17</v>
      </c>
      <c r="K50" s="37">
        <v>2080</v>
      </c>
      <c r="M50" s="457"/>
      <c r="N50" s="457"/>
      <c r="O50" s="457"/>
      <c r="P50" s="457"/>
      <c r="Q50" s="457"/>
      <c r="R50" s="457"/>
      <c r="S50" s="457"/>
      <c r="T50" s="457"/>
      <c r="U50" s="457"/>
      <c r="V50" s="457"/>
      <c r="W50" s="460">
        <v>1</v>
      </c>
      <c r="X50" s="60">
        <f t="shared" si="11"/>
        <v>1</v>
      </c>
      <c r="AB50" s="449">
        <v>42278</v>
      </c>
      <c r="AC50" s="37">
        <f t="shared" si="2"/>
        <v>7475</v>
      </c>
      <c r="AD50" s="37">
        <f t="shared" si="3"/>
        <v>1334</v>
      </c>
      <c r="AE50" s="37">
        <f t="shared" si="4"/>
        <v>5</v>
      </c>
      <c r="AF50" s="37">
        <f t="shared" si="5"/>
        <v>8</v>
      </c>
      <c r="AG50" s="37">
        <f t="shared" si="6"/>
        <v>76.5</v>
      </c>
      <c r="AH50" s="37">
        <f t="shared" si="7"/>
        <v>31</v>
      </c>
      <c r="AI50" s="457"/>
      <c r="AJ50" s="457"/>
      <c r="AK50" s="37">
        <f t="shared" si="8"/>
        <v>17</v>
      </c>
      <c r="AL50" s="37">
        <f t="shared" si="9"/>
        <v>2080</v>
      </c>
      <c r="AN50" s="60">
        <f t="shared" si="12"/>
        <v>119.5</v>
      </c>
      <c r="AO50" s="60">
        <f t="shared" si="10"/>
        <v>8928.5</v>
      </c>
      <c r="AP50" s="60"/>
    </row>
    <row r="51" spans="1:42" x14ac:dyDescent="0.2">
      <c r="A51" s="449">
        <v>42309</v>
      </c>
      <c r="B51" s="37">
        <v>7508</v>
      </c>
      <c r="C51" s="37">
        <v>1334</v>
      </c>
      <c r="D51" s="37">
        <v>5</v>
      </c>
      <c r="E51" s="37">
        <v>8</v>
      </c>
      <c r="F51" s="37">
        <v>77</v>
      </c>
      <c r="G51" s="37">
        <v>31</v>
      </c>
      <c r="H51" s="457"/>
      <c r="I51" s="457"/>
      <c r="J51" s="37">
        <v>18</v>
      </c>
      <c r="K51" s="37">
        <v>2080</v>
      </c>
      <c r="M51" s="457"/>
      <c r="N51" s="457"/>
      <c r="O51" s="457"/>
      <c r="P51" s="457"/>
      <c r="Q51" s="457"/>
      <c r="R51" s="457"/>
      <c r="S51" s="457"/>
      <c r="T51" s="457"/>
      <c r="U51" s="457"/>
      <c r="V51" s="457"/>
      <c r="W51" s="460">
        <v>1</v>
      </c>
      <c r="X51" s="60">
        <f t="shared" si="11"/>
        <v>1</v>
      </c>
      <c r="AB51" s="449">
        <v>42309</v>
      </c>
      <c r="AC51" s="37">
        <f t="shared" si="2"/>
        <v>7496</v>
      </c>
      <c r="AD51" s="37">
        <f t="shared" si="3"/>
        <v>1334</v>
      </c>
      <c r="AE51" s="37">
        <f t="shared" si="4"/>
        <v>5</v>
      </c>
      <c r="AF51" s="37">
        <f t="shared" si="5"/>
        <v>8</v>
      </c>
      <c r="AG51" s="37">
        <f t="shared" si="6"/>
        <v>77</v>
      </c>
      <c r="AH51" s="37">
        <f t="shared" si="7"/>
        <v>31</v>
      </c>
      <c r="AI51" s="457"/>
      <c r="AJ51" s="457"/>
      <c r="AK51" s="37">
        <f t="shared" si="8"/>
        <v>17.5</v>
      </c>
      <c r="AL51" s="37">
        <f t="shared" si="9"/>
        <v>2080</v>
      </c>
      <c r="AN51" s="60">
        <f t="shared" si="12"/>
        <v>120</v>
      </c>
      <c r="AO51" s="60">
        <f t="shared" si="10"/>
        <v>8950</v>
      </c>
      <c r="AP51" s="60"/>
    </row>
    <row r="52" spans="1:42" x14ac:dyDescent="0.2">
      <c r="A52" s="449">
        <v>42339</v>
      </c>
      <c r="B52" s="37">
        <v>7551</v>
      </c>
      <c r="C52" s="37">
        <v>1336</v>
      </c>
      <c r="D52" s="37">
        <v>5</v>
      </c>
      <c r="E52" s="37">
        <v>8</v>
      </c>
      <c r="F52" s="37">
        <v>77</v>
      </c>
      <c r="G52" s="37">
        <v>31</v>
      </c>
      <c r="H52" s="457"/>
      <c r="I52" s="457"/>
      <c r="J52" s="37">
        <v>19</v>
      </c>
      <c r="K52" s="37">
        <v>2098</v>
      </c>
      <c r="M52" s="457"/>
      <c r="N52" s="457"/>
      <c r="O52" s="457"/>
      <c r="P52" s="457"/>
      <c r="Q52" s="457"/>
      <c r="R52" s="457"/>
      <c r="S52" s="457"/>
      <c r="T52" s="457"/>
      <c r="U52" s="457"/>
      <c r="V52" s="457"/>
      <c r="W52" s="460">
        <v>1</v>
      </c>
      <c r="X52" s="60">
        <f t="shared" si="11"/>
        <v>1</v>
      </c>
      <c r="AB52" s="449">
        <v>42339</v>
      </c>
      <c r="AC52" s="37">
        <f t="shared" si="2"/>
        <v>7529.5</v>
      </c>
      <c r="AD52" s="37">
        <f t="shared" si="3"/>
        <v>1335</v>
      </c>
      <c r="AE52" s="37">
        <f t="shared" si="4"/>
        <v>5</v>
      </c>
      <c r="AF52" s="37">
        <f t="shared" si="5"/>
        <v>8</v>
      </c>
      <c r="AG52" s="37">
        <f t="shared" si="6"/>
        <v>77</v>
      </c>
      <c r="AH52" s="37">
        <f t="shared" si="7"/>
        <v>31</v>
      </c>
      <c r="AI52" s="457"/>
      <c r="AJ52" s="457"/>
      <c r="AK52" s="37">
        <f t="shared" si="8"/>
        <v>18.5</v>
      </c>
      <c r="AL52" s="37">
        <f t="shared" si="9"/>
        <v>2089</v>
      </c>
      <c r="AN52" s="60">
        <f t="shared" si="12"/>
        <v>120</v>
      </c>
      <c r="AO52" s="60">
        <f t="shared" si="10"/>
        <v>8984.5</v>
      </c>
      <c r="AP52" s="60"/>
    </row>
    <row r="53" spans="1:42" x14ac:dyDescent="0.2">
      <c r="A53" s="449">
        <v>42370</v>
      </c>
      <c r="B53" s="37">
        <v>7568</v>
      </c>
      <c r="C53" s="37">
        <v>1329</v>
      </c>
      <c r="D53" s="37">
        <v>5</v>
      </c>
      <c r="E53" s="37">
        <v>8</v>
      </c>
      <c r="F53" s="37">
        <v>77</v>
      </c>
      <c r="G53" s="37">
        <v>31</v>
      </c>
      <c r="H53" s="457"/>
      <c r="I53" s="457"/>
      <c r="J53" s="37">
        <v>19</v>
      </c>
      <c r="K53" s="37">
        <v>2098</v>
      </c>
      <c r="M53" s="457"/>
      <c r="N53" s="457"/>
      <c r="O53" s="457"/>
      <c r="P53" s="457"/>
      <c r="Q53" s="457"/>
      <c r="R53" s="457"/>
      <c r="S53" s="457"/>
      <c r="T53" s="457"/>
      <c r="U53" s="457"/>
      <c r="V53" s="457"/>
      <c r="W53" s="460">
        <v>1</v>
      </c>
      <c r="X53" s="60">
        <f t="shared" si="11"/>
        <v>1</v>
      </c>
      <c r="AB53" s="449">
        <v>42370</v>
      </c>
      <c r="AC53" s="37">
        <f t="shared" si="2"/>
        <v>7559.5</v>
      </c>
      <c r="AD53" s="37">
        <f t="shared" si="3"/>
        <v>1332.5</v>
      </c>
      <c r="AE53" s="37">
        <f t="shared" si="4"/>
        <v>5</v>
      </c>
      <c r="AF53" s="37">
        <f t="shared" si="5"/>
        <v>8</v>
      </c>
      <c r="AG53" s="37">
        <f t="shared" si="6"/>
        <v>77</v>
      </c>
      <c r="AH53" s="37">
        <f t="shared" si="7"/>
        <v>31</v>
      </c>
      <c r="AI53" s="457"/>
      <c r="AJ53" s="457"/>
      <c r="AK53" s="37">
        <f t="shared" si="8"/>
        <v>19</v>
      </c>
      <c r="AL53" s="37">
        <f t="shared" si="9"/>
        <v>2098</v>
      </c>
      <c r="AN53" s="60">
        <f t="shared" si="12"/>
        <v>120</v>
      </c>
      <c r="AO53" s="60">
        <f t="shared" si="10"/>
        <v>9012</v>
      </c>
      <c r="AP53" s="60"/>
    </row>
    <row r="54" spans="1:42" x14ac:dyDescent="0.2">
      <c r="A54" s="449">
        <v>42401</v>
      </c>
      <c r="B54" s="37">
        <v>7596</v>
      </c>
      <c r="C54" s="37">
        <v>1327</v>
      </c>
      <c r="D54" s="37">
        <v>5</v>
      </c>
      <c r="E54" s="37">
        <v>8</v>
      </c>
      <c r="F54" s="37">
        <v>77</v>
      </c>
      <c r="G54" s="37">
        <v>31</v>
      </c>
      <c r="H54" s="457"/>
      <c r="I54" s="457"/>
      <c r="J54" s="37">
        <v>18</v>
      </c>
      <c r="K54" s="37">
        <v>2098</v>
      </c>
      <c r="M54" s="457"/>
      <c r="N54" s="457"/>
      <c r="O54" s="457"/>
      <c r="P54" s="457"/>
      <c r="Q54" s="457"/>
      <c r="R54" s="457"/>
      <c r="S54" s="457"/>
      <c r="T54" s="457"/>
      <c r="U54" s="457"/>
      <c r="V54" s="457"/>
      <c r="W54" s="460">
        <v>1</v>
      </c>
      <c r="X54" s="60">
        <f t="shared" si="11"/>
        <v>1</v>
      </c>
      <c r="AB54" s="449">
        <v>42401</v>
      </c>
      <c r="AC54" s="37">
        <f t="shared" si="2"/>
        <v>7582</v>
      </c>
      <c r="AD54" s="37">
        <f t="shared" si="3"/>
        <v>1328</v>
      </c>
      <c r="AE54" s="37">
        <f t="shared" si="4"/>
        <v>5</v>
      </c>
      <c r="AF54" s="37">
        <f t="shared" si="5"/>
        <v>8</v>
      </c>
      <c r="AG54" s="37">
        <f t="shared" si="6"/>
        <v>77</v>
      </c>
      <c r="AH54" s="37">
        <f t="shared" si="7"/>
        <v>31</v>
      </c>
      <c r="AI54" s="457"/>
      <c r="AJ54" s="457"/>
      <c r="AK54" s="37">
        <f t="shared" si="8"/>
        <v>18.5</v>
      </c>
      <c r="AL54" s="37">
        <f t="shared" si="9"/>
        <v>2098</v>
      </c>
      <c r="AN54" s="60">
        <f t="shared" si="12"/>
        <v>120</v>
      </c>
      <c r="AO54" s="60">
        <f t="shared" si="10"/>
        <v>9030</v>
      </c>
      <c r="AP54" s="60"/>
    </row>
    <row r="55" spans="1:42" x14ac:dyDescent="0.2">
      <c r="A55" s="449">
        <v>42430</v>
      </c>
      <c r="B55" s="37">
        <v>7625</v>
      </c>
      <c r="C55" s="37">
        <v>1325</v>
      </c>
      <c r="D55" s="37">
        <v>5</v>
      </c>
      <c r="E55" s="37">
        <v>8</v>
      </c>
      <c r="F55" s="37">
        <v>77</v>
      </c>
      <c r="G55" s="37">
        <v>31</v>
      </c>
      <c r="H55" s="457"/>
      <c r="I55" s="457"/>
      <c r="J55" s="37">
        <v>17</v>
      </c>
      <c r="K55" s="37">
        <v>2126</v>
      </c>
      <c r="M55" s="457"/>
      <c r="N55" s="457"/>
      <c r="O55" s="457"/>
      <c r="P55" s="457"/>
      <c r="Q55" s="457"/>
      <c r="R55" s="457"/>
      <c r="S55" s="457"/>
      <c r="T55" s="457"/>
      <c r="U55" s="457"/>
      <c r="V55" s="457"/>
      <c r="W55" s="460">
        <v>1</v>
      </c>
      <c r="X55" s="60">
        <f t="shared" si="11"/>
        <v>1</v>
      </c>
      <c r="AB55" s="449">
        <v>42430</v>
      </c>
      <c r="AC55" s="37">
        <f t="shared" si="2"/>
        <v>7610.5</v>
      </c>
      <c r="AD55" s="37">
        <f t="shared" si="3"/>
        <v>1326</v>
      </c>
      <c r="AE55" s="37">
        <f t="shared" si="4"/>
        <v>5</v>
      </c>
      <c r="AF55" s="37">
        <f t="shared" si="5"/>
        <v>8</v>
      </c>
      <c r="AG55" s="37">
        <f t="shared" si="6"/>
        <v>77</v>
      </c>
      <c r="AH55" s="37">
        <f t="shared" si="7"/>
        <v>31</v>
      </c>
      <c r="AI55" s="457"/>
      <c r="AJ55" s="457"/>
      <c r="AK55" s="37">
        <f t="shared" si="8"/>
        <v>17.5</v>
      </c>
      <c r="AL55" s="37">
        <f t="shared" si="9"/>
        <v>2112</v>
      </c>
      <c r="AN55" s="60">
        <f t="shared" si="12"/>
        <v>120</v>
      </c>
      <c r="AO55" s="60">
        <f t="shared" si="10"/>
        <v>9056.5</v>
      </c>
      <c r="AP55" s="60"/>
    </row>
    <row r="56" spans="1:42" x14ac:dyDescent="0.2">
      <c r="A56" s="449">
        <v>42461</v>
      </c>
      <c r="B56" s="37">
        <v>7631</v>
      </c>
      <c r="C56" s="37">
        <v>1327</v>
      </c>
      <c r="D56" s="37">
        <v>5</v>
      </c>
      <c r="E56" s="37">
        <v>8</v>
      </c>
      <c r="F56" s="37">
        <v>77</v>
      </c>
      <c r="G56" s="37">
        <v>31</v>
      </c>
      <c r="H56" s="457"/>
      <c r="I56" s="457"/>
      <c r="J56" s="37">
        <v>17</v>
      </c>
      <c r="K56" s="37">
        <v>2126</v>
      </c>
      <c r="M56" s="457"/>
      <c r="N56" s="457"/>
      <c r="O56" s="457"/>
      <c r="P56" s="457"/>
      <c r="Q56" s="457"/>
      <c r="R56" s="457"/>
      <c r="S56" s="457"/>
      <c r="T56" s="457"/>
      <c r="U56" s="457"/>
      <c r="V56" s="457"/>
      <c r="W56" s="460">
        <v>1</v>
      </c>
      <c r="X56" s="60">
        <f t="shared" si="11"/>
        <v>1</v>
      </c>
      <c r="AB56" s="449">
        <v>42461</v>
      </c>
      <c r="AC56" s="37">
        <f t="shared" si="2"/>
        <v>7628</v>
      </c>
      <c r="AD56" s="37">
        <f t="shared" si="3"/>
        <v>1326</v>
      </c>
      <c r="AE56" s="37">
        <f t="shared" si="4"/>
        <v>5</v>
      </c>
      <c r="AF56" s="37">
        <f t="shared" si="5"/>
        <v>8</v>
      </c>
      <c r="AG56" s="37">
        <f t="shared" si="6"/>
        <v>77</v>
      </c>
      <c r="AH56" s="37">
        <f t="shared" si="7"/>
        <v>31</v>
      </c>
      <c r="AI56" s="457"/>
      <c r="AJ56" s="457"/>
      <c r="AK56" s="37">
        <f t="shared" si="8"/>
        <v>17</v>
      </c>
      <c r="AL56" s="37">
        <f t="shared" si="9"/>
        <v>2126</v>
      </c>
      <c r="AN56" s="60">
        <f t="shared" si="12"/>
        <v>120</v>
      </c>
      <c r="AO56" s="60">
        <f t="shared" si="10"/>
        <v>9074</v>
      </c>
      <c r="AP56" s="60"/>
    </row>
    <row r="57" spans="1:42" x14ac:dyDescent="0.2">
      <c r="A57" s="449">
        <v>42491</v>
      </c>
      <c r="B57" s="37">
        <v>7635</v>
      </c>
      <c r="C57" s="37">
        <v>1326</v>
      </c>
      <c r="D57" s="37">
        <v>5</v>
      </c>
      <c r="E57" s="37">
        <v>8</v>
      </c>
      <c r="F57" s="37">
        <v>77</v>
      </c>
      <c r="G57" s="37">
        <v>31</v>
      </c>
      <c r="H57" s="457"/>
      <c r="I57" s="457"/>
      <c r="J57" s="37">
        <v>16</v>
      </c>
      <c r="K57" s="37">
        <v>2126</v>
      </c>
      <c r="M57" s="457"/>
      <c r="N57" s="457"/>
      <c r="O57" s="457"/>
      <c r="P57" s="457"/>
      <c r="Q57" s="457"/>
      <c r="R57" s="457"/>
      <c r="S57" s="457"/>
      <c r="T57" s="457"/>
      <c r="U57" s="457"/>
      <c r="V57" s="457"/>
      <c r="W57" s="460">
        <v>1</v>
      </c>
      <c r="X57" s="60">
        <f t="shared" si="11"/>
        <v>1</v>
      </c>
      <c r="AB57" s="449">
        <v>42491</v>
      </c>
      <c r="AC57" s="37">
        <f t="shared" si="2"/>
        <v>7633</v>
      </c>
      <c r="AD57" s="37">
        <f t="shared" si="3"/>
        <v>1326.5</v>
      </c>
      <c r="AE57" s="37">
        <f t="shared" si="4"/>
        <v>5</v>
      </c>
      <c r="AF57" s="37">
        <f t="shared" si="5"/>
        <v>8</v>
      </c>
      <c r="AG57" s="37">
        <f t="shared" si="6"/>
        <v>77</v>
      </c>
      <c r="AH57" s="37">
        <f t="shared" si="7"/>
        <v>31</v>
      </c>
      <c r="AI57" s="457"/>
      <c r="AJ57" s="457"/>
      <c r="AK57" s="37">
        <f t="shared" si="8"/>
        <v>16.5</v>
      </c>
      <c r="AL57" s="37">
        <f t="shared" si="9"/>
        <v>2126</v>
      </c>
      <c r="AN57" s="60">
        <f t="shared" si="12"/>
        <v>120</v>
      </c>
      <c r="AO57" s="60">
        <f t="shared" si="10"/>
        <v>9079.5</v>
      </c>
      <c r="AP57" s="60"/>
    </row>
    <row r="58" spans="1:42" x14ac:dyDescent="0.2">
      <c r="A58" s="452">
        <v>42522</v>
      </c>
      <c r="B58" s="453">
        <v>7651</v>
      </c>
      <c r="C58" s="453">
        <v>1324</v>
      </c>
      <c r="D58" s="453">
        <v>5</v>
      </c>
      <c r="E58" s="453">
        <v>8</v>
      </c>
      <c r="F58" s="453">
        <v>77</v>
      </c>
      <c r="G58" s="453">
        <v>31</v>
      </c>
      <c r="H58" s="457"/>
      <c r="I58" s="457"/>
      <c r="J58" s="453">
        <v>18</v>
      </c>
      <c r="K58" s="453">
        <v>2126</v>
      </c>
      <c r="M58" s="457"/>
      <c r="N58" s="457"/>
      <c r="O58" s="457"/>
      <c r="P58" s="457"/>
      <c r="Q58" s="457"/>
      <c r="R58" s="457"/>
      <c r="S58" s="457"/>
      <c r="T58" s="457"/>
      <c r="U58" s="457"/>
      <c r="V58" s="457"/>
      <c r="W58" s="460">
        <v>1</v>
      </c>
      <c r="X58" s="60">
        <f t="shared" si="11"/>
        <v>1</v>
      </c>
      <c r="AB58" s="452">
        <v>42522</v>
      </c>
      <c r="AC58" s="453">
        <f t="shared" ref="AC58:AH59" si="13">+AC178</f>
        <v>7651.014924692442</v>
      </c>
      <c r="AD58" s="453">
        <f t="shared" si="13"/>
        <v>1257.8540356730398</v>
      </c>
      <c r="AE58" s="453">
        <f t="shared" si="13"/>
        <v>5</v>
      </c>
      <c r="AF58" s="453">
        <f t="shared" si="13"/>
        <v>8.0833333333333339</v>
      </c>
      <c r="AG58" s="453">
        <f t="shared" si="13"/>
        <v>77.3585100879462</v>
      </c>
      <c r="AH58" s="453">
        <f t="shared" si="13"/>
        <v>19.12717536813922</v>
      </c>
      <c r="AI58" s="457"/>
      <c r="AJ58" s="457"/>
      <c r="AK58" s="453">
        <f>+AK178</f>
        <v>17</v>
      </c>
      <c r="AL58" s="453">
        <f>+AL178</f>
        <v>2126</v>
      </c>
      <c r="AN58" s="60">
        <f t="shared" si="12"/>
        <v>108.56901878941875</v>
      </c>
      <c r="AO58" s="60">
        <f t="shared" si="10"/>
        <v>9017.4379791548999</v>
      </c>
      <c r="AP58" s="60"/>
    </row>
    <row r="59" spans="1:42" x14ac:dyDescent="0.2">
      <c r="A59" s="452">
        <v>42552</v>
      </c>
      <c r="B59" s="453">
        <v>7665</v>
      </c>
      <c r="C59" s="453">
        <v>1193</v>
      </c>
      <c r="D59" s="453">
        <v>5</v>
      </c>
      <c r="E59" s="453">
        <v>8</v>
      </c>
      <c r="F59" s="453">
        <v>77</v>
      </c>
      <c r="G59" s="453">
        <v>7</v>
      </c>
      <c r="H59" s="457"/>
      <c r="I59" s="457"/>
      <c r="J59" s="453">
        <v>0</v>
      </c>
      <c r="K59" s="453">
        <v>2126</v>
      </c>
      <c r="M59" s="457"/>
      <c r="N59" s="457"/>
      <c r="O59" s="457"/>
      <c r="P59" s="457"/>
      <c r="Q59" s="457"/>
      <c r="R59" s="457"/>
      <c r="S59" s="457"/>
      <c r="T59" s="457"/>
      <c r="U59" s="457"/>
      <c r="V59" s="457"/>
      <c r="W59" s="460">
        <v>1</v>
      </c>
      <c r="X59" s="60">
        <f t="shared" si="11"/>
        <v>1</v>
      </c>
      <c r="AB59" s="452">
        <v>42552</v>
      </c>
      <c r="AC59" s="453">
        <f t="shared" si="13"/>
        <v>7664.985075307558</v>
      </c>
      <c r="AD59" s="453">
        <f t="shared" si="13"/>
        <v>1259.14596432696</v>
      </c>
      <c r="AE59" s="453">
        <f t="shared" si="13"/>
        <v>5</v>
      </c>
      <c r="AF59" s="453">
        <f t="shared" si="13"/>
        <v>7.916666666666667</v>
      </c>
      <c r="AG59" s="453">
        <f t="shared" si="13"/>
        <v>76.6414899120538</v>
      </c>
      <c r="AH59" s="453">
        <f t="shared" si="13"/>
        <v>18.872824631860777</v>
      </c>
      <c r="AI59" s="457"/>
      <c r="AJ59" s="457"/>
      <c r="AK59" s="453">
        <f>+AK179</f>
        <v>17</v>
      </c>
      <c r="AL59" s="453">
        <f>+AL179</f>
        <v>2126</v>
      </c>
      <c r="AN59" s="60">
        <f t="shared" si="12"/>
        <v>107.43098121058125</v>
      </c>
      <c r="AO59" s="60">
        <f t="shared" si="10"/>
        <v>9031.5620208451001</v>
      </c>
      <c r="AP59" s="60"/>
    </row>
    <row r="60" spans="1:42" x14ac:dyDescent="0.2">
      <c r="A60" s="449">
        <v>42583</v>
      </c>
      <c r="B60" s="37">
        <v>7683</v>
      </c>
      <c r="C60" s="37">
        <v>1334</v>
      </c>
      <c r="D60" s="37">
        <v>5</v>
      </c>
      <c r="E60" s="37">
        <v>8</v>
      </c>
      <c r="F60" s="37">
        <v>77</v>
      </c>
      <c r="G60" s="37">
        <v>31</v>
      </c>
      <c r="H60" s="457"/>
      <c r="I60" s="457"/>
      <c r="J60" s="37">
        <v>16</v>
      </c>
      <c r="K60" s="37">
        <v>2126</v>
      </c>
      <c r="M60" s="457"/>
      <c r="N60" s="457"/>
      <c r="O60" s="457"/>
      <c r="P60" s="457"/>
      <c r="Q60" s="457"/>
      <c r="R60" s="457"/>
      <c r="S60" s="457"/>
      <c r="T60" s="457"/>
      <c r="U60" s="457"/>
      <c r="V60" s="457"/>
      <c r="W60" s="460">
        <v>1</v>
      </c>
      <c r="X60" s="60">
        <f t="shared" si="11"/>
        <v>1</v>
      </c>
      <c r="AB60" s="449">
        <v>42583</v>
      </c>
      <c r="AC60" s="37">
        <f t="shared" ref="AC60:AC94" si="14">(B59+B60)/2</f>
        <v>7674</v>
      </c>
      <c r="AD60" s="37">
        <f t="shared" ref="AD60:AD94" si="15">(C59+C60)/2</f>
        <v>1263.5</v>
      </c>
      <c r="AE60" s="37">
        <f t="shared" ref="AE60:AE94" si="16">(D59+D60)/2</f>
        <v>5</v>
      </c>
      <c r="AF60" s="37">
        <f t="shared" ref="AF60:AF94" si="17">(E59+E60)/2</f>
        <v>8</v>
      </c>
      <c r="AG60" s="37">
        <f t="shared" ref="AG60:AG94" si="18">(F59+F60)/2</f>
        <v>77</v>
      </c>
      <c r="AH60" s="37">
        <f t="shared" ref="AH60:AH94" si="19">(G59+G60)/2</f>
        <v>19</v>
      </c>
      <c r="AI60" s="457"/>
      <c r="AJ60" s="457"/>
      <c r="AK60" s="37">
        <f t="shared" ref="AK60:AK94" si="20">(J59+J60)/2</f>
        <v>8</v>
      </c>
      <c r="AL60" s="37">
        <f t="shared" ref="AL60:AL94" si="21">(K59+K60)/2</f>
        <v>2126</v>
      </c>
      <c r="AN60" s="60">
        <f t="shared" si="12"/>
        <v>108</v>
      </c>
      <c r="AO60" s="60">
        <f t="shared" si="10"/>
        <v>9045.5</v>
      </c>
      <c r="AP60" s="60"/>
    </row>
    <row r="61" spans="1:42" x14ac:dyDescent="0.2">
      <c r="A61" s="449">
        <v>42614</v>
      </c>
      <c r="B61" s="37">
        <v>7694</v>
      </c>
      <c r="C61" s="37">
        <v>1336</v>
      </c>
      <c r="D61" s="37">
        <v>5</v>
      </c>
      <c r="E61" s="37">
        <v>8</v>
      </c>
      <c r="F61" s="37">
        <v>77</v>
      </c>
      <c r="G61" s="37">
        <v>30</v>
      </c>
      <c r="H61" s="457"/>
      <c r="I61" s="457"/>
      <c r="J61" s="37">
        <v>16</v>
      </c>
      <c r="K61" s="37">
        <v>2126</v>
      </c>
      <c r="M61" s="457"/>
      <c r="N61" s="457"/>
      <c r="O61" s="457"/>
      <c r="P61" s="457"/>
      <c r="Q61" s="457"/>
      <c r="R61" s="457"/>
      <c r="S61" s="457"/>
      <c r="T61" s="457"/>
      <c r="U61" s="457"/>
      <c r="V61" s="457"/>
      <c r="W61" s="460">
        <v>1</v>
      </c>
      <c r="X61" s="60">
        <f t="shared" si="11"/>
        <v>1</v>
      </c>
      <c r="AB61" s="449">
        <v>42614</v>
      </c>
      <c r="AC61" s="37">
        <f t="shared" si="14"/>
        <v>7688.5</v>
      </c>
      <c r="AD61" s="37">
        <f t="shared" si="15"/>
        <v>1335</v>
      </c>
      <c r="AE61" s="37">
        <f t="shared" si="16"/>
        <v>5</v>
      </c>
      <c r="AF61" s="37">
        <f t="shared" si="17"/>
        <v>8</v>
      </c>
      <c r="AG61" s="37">
        <f t="shared" si="18"/>
        <v>77</v>
      </c>
      <c r="AH61" s="37">
        <f t="shared" si="19"/>
        <v>30.5</v>
      </c>
      <c r="AI61" s="457"/>
      <c r="AJ61" s="457"/>
      <c r="AK61" s="37">
        <f t="shared" si="20"/>
        <v>16</v>
      </c>
      <c r="AL61" s="37">
        <f t="shared" si="21"/>
        <v>2126</v>
      </c>
      <c r="AN61" s="60">
        <f t="shared" si="12"/>
        <v>119.5</v>
      </c>
      <c r="AO61" s="60">
        <f t="shared" si="10"/>
        <v>9143</v>
      </c>
      <c r="AP61" s="60"/>
    </row>
    <row r="62" spans="1:42" x14ac:dyDescent="0.2">
      <c r="A62" s="449">
        <v>42644</v>
      </c>
      <c r="B62" s="37">
        <v>7715</v>
      </c>
      <c r="C62" s="37">
        <v>1337</v>
      </c>
      <c r="D62" s="37">
        <v>5</v>
      </c>
      <c r="E62" s="37">
        <v>8</v>
      </c>
      <c r="F62" s="37">
        <v>77</v>
      </c>
      <c r="G62" s="37">
        <v>32</v>
      </c>
      <c r="H62" s="457"/>
      <c r="I62" s="457"/>
      <c r="J62" s="37">
        <v>16</v>
      </c>
      <c r="K62" s="37">
        <v>2126</v>
      </c>
      <c r="M62" s="457"/>
      <c r="N62" s="457"/>
      <c r="O62" s="457"/>
      <c r="P62" s="457"/>
      <c r="Q62" s="457"/>
      <c r="R62" s="457"/>
      <c r="S62" s="457"/>
      <c r="T62" s="457"/>
      <c r="U62" s="457"/>
      <c r="V62" s="457"/>
      <c r="W62" s="460">
        <v>1</v>
      </c>
      <c r="X62" s="60">
        <f t="shared" si="11"/>
        <v>1</v>
      </c>
      <c r="AB62" s="449">
        <v>42644</v>
      </c>
      <c r="AC62" s="37">
        <f t="shared" si="14"/>
        <v>7704.5</v>
      </c>
      <c r="AD62" s="37">
        <f t="shared" si="15"/>
        <v>1336.5</v>
      </c>
      <c r="AE62" s="37">
        <f t="shared" si="16"/>
        <v>5</v>
      </c>
      <c r="AF62" s="37">
        <f t="shared" si="17"/>
        <v>8</v>
      </c>
      <c r="AG62" s="37">
        <f t="shared" si="18"/>
        <v>77</v>
      </c>
      <c r="AH62" s="37">
        <f t="shared" si="19"/>
        <v>31</v>
      </c>
      <c r="AI62" s="457"/>
      <c r="AJ62" s="457"/>
      <c r="AK62" s="37">
        <f t="shared" si="20"/>
        <v>16</v>
      </c>
      <c r="AL62" s="37">
        <f t="shared" si="21"/>
        <v>2126</v>
      </c>
      <c r="AN62" s="60">
        <f t="shared" si="12"/>
        <v>120</v>
      </c>
      <c r="AO62" s="60">
        <f t="shared" si="10"/>
        <v>9161</v>
      </c>
      <c r="AP62" s="60"/>
    </row>
    <row r="63" spans="1:42" x14ac:dyDescent="0.2">
      <c r="A63" s="449">
        <v>42675</v>
      </c>
      <c r="B63" s="37">
        <v>7734</v>
      </c>
      <c r="C63" s="37">
        <v>1331</v>
      </c>
      <c r="D63" s="37">
        <v>5</v>
      </c>
      <c r="E63" s="37">
        <v>8</v>
      </c>
      <c r="F63" s="37">
        <v>85</v>
      </c>
      <c r="G63" s="37">
        <v>32</v>
      </c>
      <c r="H63" s="457"/>
      <c r="I63" s="457"/>
      <c r="J63" s="37">
        <v>19</v>
      </c>
      <c r="K63" s="37">
        <v>2126</v>
      </c>
      <c r="M63" s="457"/>
      <c r="N63" s="457"/>
      <c r="O63" s="457"/>
      <c r="P63" s="457"/>
      <c r="Q63" s="457"/>
      <c r="R63" s="457"/>
      <c r="S63" s="457"/>
      <c r="T63" s="457"/>
      <c r="U63" s="457"/>
      <c r="V63" s="457"/>
      <c r="W63" s="460">
        <v>1</v>
      </c>
      <c r="X63" s="60">
        <f t="shared" si="11"/>
        <v>1</v>
      </c>
      <c r="AB63" s="449">
        <v>42675</v>
      </c>
      <c r="AC63" s="37">
        <f t="shared" si="14"/>
        <v>7724.5</v>
      </c>
      <c r="AD63" s="37">
        <f t="shared" si="15"/>
        <v>1334</v>
      </c>
      <c r="AE63" s="37">
        <f t="shared" si="16"/>
        <v>5</v>
      </c>
      <c r="AF63" s="37">
        <f t="shared" si="17"/>
        <v>8</v>
      </c>
      <c r="AG63" s="37">
        <f t="shared" si="18"/>
        <v>81</v>
      </c>
      <c r="AH63" s="37">
        <f t="shared" si="19"/>
        <v>32</v>
      </c>
      <c r="AI63" s="457"/>
      <c r="AJ63" s="457"/>
      <c r="AK63" s="37">
        <f t="shared" si="20"/>
        <v>17.5</v>
      </c>
      <c r="AL63" s="37">
        <f t="shared" si="21"/>
        <v>2126</v>
      </c>
      <c r="AN63" s="60">
        <f t="shared" si="12"/>
        <v>125</v>
      </c>
      <c r="AO63" s="60">
        <f t="shared" si="10"/>
        <v>9183.5</v>
      </c>
      <c r="AP63" s="60"/>
    </row>
    <row r="64" spans="1:42" x14ac:dyDescent="0.2">
      <c r="A64" s="449">
        <v>42705</v>
      </c>
      <c r="B64" s="37">
        <v>7768</v>
      </c>
      <c r="C64" s="37">
        <v>1332</v>
      </c>
      <c r="D64" s="37">
        <v>5</v>
      </c>
      <c r="E64" s="37">
        <v>8</v>
      </c>
      <c r="F64" s="37">
        <v>84</v>
      </c>
      <c r="G64" s="37">
        <v>32</v>
      </c>
      <c r="H64" s="457"/>
      <c r="I64" s="457"/>
      <c r="J64" s="37">
        <v>25</v>
      </c>
      <c r="K64" s="37">
        <v>2126</v>
      </c>
      <c r="M64" s="457"/>
      <c r="N64" s="457"/>
      <c r="O64" s="457"/>
      <c r="P64" s="457"/>
      <c r="Q64" s="457"/>
      <c r="R64" s="457"/>
      <c r="S64" s="457"/>
      <c r="T64" s="457"/>
      <c r="U64" s="457"/>
      <c r="V64" s="457"/>
      <c r="W64" s="460">
        <v>1</v>
      </c>
      <c r="X64" s="60">
        <f t="shared" si="11"/>
        <v>1</v>
      </c>
      <c r="AB64" s="449">
        <v>42705</v>
      </c>
      <c r="AC64" s="37">
        <f t="shared" si="14"/>
        <v>7751</v>
      </c>
      <c r="AD64" s="37">
        <f t="shared" si="15"/>
        <v>1331.5</v>
      </c>
      <c r="AE64" s="37">
        <f t="shared" si="16"/>
        <v>5</v>
      </c>
      <c r="AF64" s="37">
        <f t="shared" si="17"/>
        <v>8</v>
      </c>
      <c r="AG64" s="37">
        <f t="shared" si="18"/>
        <v>84.5</v>
      </c>
      <c r="AH64" s="37">
        <f t="shared" si="19"/>
        <v>32</v>
      </c>
      <c r="AI64" s="457"/>
      <c r="AJ64" s="457"/>
      <c r="AK64" s="37">
        <f t="shared" si="20"/>
        <v>22</v>
      </c>
      <c r="AL64" s="37">
        <f t="shared" si="21"/>
        <v>2126</v>
      </c>
      <c r="AN64" s="60">
        <f t="shared" si="12"/>
        <v>128.5</v>
      </c>
      <c r="AO64" s="60">
        <f t="shared" si="10"/>
        <v>9211</v>
      </c>
      <c r="AP64" s="60"/>
    </row>
    <row r="65" spans="1:42" x14ac:dyDescent="0.2">
      <c r="A65" s="449">
        <v>42736</v>
      </c>
      <c r="B65" s="37">
        <v>7786</v>
      </c>
      <c r="C65" s="37">
        <v>1334</v>
      </c>
      <c r="D65" s="37">
        <v>5</v>
      </c>
      <c r="E65" s="37">
        <v>8</v>
      </c>
      <c r="F65" s="37">
        <v>84</v>
      </c>
      <c r="G65" s="37">
        <v>32</v>
      </c>
      <c r="H65" s="457"/>
      <c r="I65" s="457"/>
      <c r="J65" s="37">
        <v>26</v>
      </c>
      <c r="K65" s="37">
        <v>2126</v>
      </c>
      <c r="M65" s="457"/>
      <c r="N65" s="457"/>
      <c r="O65" s="457"/>
      <c r="P65" s="457"/>
      <c r="Q65" s="457"/>
      <c r="R65" s="457"/>
      <c r="S65" s="457"/>
      <c r="T65" s="457"/>
      <c r="U65" s="457"/>
      <c r="V65" s="457"/>
      <c r="W65" s="460">
        <v>1</v>
      </c>
      <c r="X65" s="60">
        <f t="shared" si="11"/>
        <v>1</v>
      </c>
      <c r="AB65" s="449">
        <v>42736</v>
      </c>
      <c r="AC65" s="37">
        <f t="shared" si="14"/>
        <v>7777</v>
      </c>
      <c r="AD65" s="37">
        <f t="shared" si="15"/>
        <v>1333</v>
      </c>
      <c r="AE65" s="37">
        <f t="shared" si="16"/>
        <v>5</v>
      </c>
      <c r="AF65" s="37">
        <f t="shared" si="17"/>
        <v>8</v>
      </c>
      <c r="AG65" s="37">
        <f t="shared" si="18"/>
        <v>84</v>
      </c>
      <c r="AH65" s="37">
        <f t="shared" si="19"/>
        <v>32</v>
      </c>
      <c r="AI65" s="457"/>
      <c r="AJ65" s="457"/>
      <c r="AK65" s="37">
        <f t="shared" si="20"/>
        <v>25.5</v>
      </c>
      <c r="AL65" s="37">
        <f t="shared" si="21"/>
        <v>2126</v>
      </c>
      <c r="AN65" s="60">
        <f t="shared" si="12"/>
        <v>128</v>
      </c>
      <c r="AO65" s="60">
        <f t="shared" si="10"/>
        <v>9238</v>
      </c>
      <c r="AP65" s="60"/>
    </row>
    <row r="66" spans="1:42" x14ac:dyDescent="0.2">
      <c r="A66" s="449">
        <v>42767</v>
      </c>
      <c r="B66" s="37">
        <v>7795</v>
      </c>
      <c r="C66" s="37">
        <v>1329</v>
      </c>
      <c r="D66" s="37">
        <v>5</v>
      </c>
      <c r="E66" s="37">
        <v>8</v>
      </c>
      <c r="F66" s="37">
        <v>84</v>
      </c>
      <c r="G66" s="37">
        <v>32</v>
      </c>
      <c r="H66" s="457"/>
      <c r="I66" s="457"/>
      <c r="J66" s="37">
        <v>24</v>
      </c>
      <c r="K66" s="37">
        <v>2126</v>
      </c>
      <c r="M66" s="457"/>
      <c r="N66" s="457"/>
      <c r="O66" s="457"/>
      <c r="P66" s="457"/>
      <c r="Q66" s="457"/>
      <c r="R66" s="457"/>
      <c r="S66" s="457"/>
      <c r="T66" s="457"/>
      <c r="U66" s="457"/>
      <c r="V66" s="457"/>
      <c r="W66" s="460">
        <v>1</v>
      </c>
      <c r="X66" s="60">
        <f t="shared" si="11"/>
        <v>1</v>
      </c>
      <c r="AB66" s="449">
        <v>42767</v>
      </c>
      <c r="AC66" s="37">
        <f t="shared" si="14"/>
        <v>7790.5</v>
      </c>
      <c r="AD66" s="37">
        <f t="shared" si="15"/>
        <v>1331.5</v>
      </c>
      <c r="AE66" s="37">
        <f t="shared" si="16"/>
        <v>5</v>
      </c>
      <c r="AF66" s="37">
        <f t="shared" si="17"/>
        <v>8</v>
      </c>
      <c r="AG66" s="37">
        <f t="shared" si="18"/>
        <v>84</v>
      </c>
      <c r="AH66" s="37">
        <f t="shared" si="19"/>
        <v>32</v>
      </c>
      <c r="AI66" s="457"/>
      <c r="AJ66" s="457"/>
      <c r="AK66" s="37">
        <f t="shared" si="20"/>
        <v>25</v>
      </c>
      <c r="AL66" s="37">
        <f t="shared" si="21"/>
        <v>2126</v>
      </c>
      <c r="AN66" s="60">
        <f t="shared" si="12"/>
        <v>128</v>
      </c>
      <c r="AO66" s="60">
        <f t="shared" si="10"/>
        <v>9250</v>
      </c>
      <c r="AP66" s="60"/>
    </row>
    <row r="67" spans="1:42" x14ac:dyDescent="0.2">
      <c r="A67" s="449">
        <v>42795</v>
      </c>
      <c r="B67" s="37">
        <v>7806</v>
      </c>
      <c r="C67" s="37">
        <v>1330</v>
      </c>
      <c r="D67" s="37">
        <v>6</v>
      </c>
      <c r="E67" s="37">
        <v>8</v>
      </c>
      <c r="F67" s="37">
        <v>84</v>
      </c>
      <c r="G67" s="37">
        <v>32</v>
      </c>
      <c r="H67" s="457"/>
      <c r="I67" s="457"/>
      <c r="J67" s="37">
        <v>23</v>
      </c>
      <c r="K67" s="37">
        <v>2126</v>
      </c>
      <c r="M67" s="457"/>
      <c r="N67" s="457"/>
      <c r="O67" s="457"/>
      <c r="P67" s="457"/>
      <c r="Q67" s="457"/>
      <c r="R67" s="457"/>
      <c r="S67" s="457"/>
      <c r="T67" s="457"/>
      <c r="U67" s="457"/>
      <c r="V67" s="457"/>
      <c r="W67" s="460">
        <v>1</v>
      </c>
      <c r="X67" s="60">
        <f t="shared" si="11"/>
        <v>1</v>
      </c>
      <c r="AB67" s="449">
        <v>42795</v>
      </c>
      <c r="AC67" s="37">
        <f t="shared" si="14"/>
        <v>7800.5</v>
      </c>
      <c r="AD67" s="37">
        <f t="shared" si="15"/>
        <v>1329.5</v>
      </c>
      <c r="AE67" s="37">
        <f t="shared" si="16"/>
        <v>5.5</v>
      </c>
      <c r="AF67" s="37">
        <f t="shared" si="17"/>
        <v>8</v>
      </c>
      <c r="AG67" s="37">
        <f t="shared" si="18"/>
        <v>84</v>
      </c>
      <c r="AH67" s="37">
        <f t="shared" si="19"/>
        <v>32</v>
      </c>
      <c r="AI67" s="457"/>
      <c r="AJ67" s="457"/>
      <c r="AK67" s="37">
        <f t="shared" si="20"/>
        <v>23.5</v>
      </c>
      <c r="AL67" s="37">
        <f t="shared" si="21"/>
        <v>2126</v>
      </c>
      <c r="AN67" s="60">
        <f t="shared" si="12"/>
        <v>128.5</v>
      </c>
      <c r="AO67" s="60">
        <f t="shared" si="10"/>
        <v>9258.5</v>
      </c>
      <c r="AP67" s="60"/>
    </row>
    <row r="68" spans="1:42" x14ac:dyDescent="0.2">
      <c r="A68" s="449">
        <v>42826</v>
      </c>
      <c r="B68" s="37">
        <v>7819</v>
      </c>
      <c r="C68" s="37">
        <v>1330</v>
      </c>
      <c r="D68" s="37">
        <v>6</v>
      </c>
      <c r="E68" s="37">
        <v>8</v>
      </c>
      <c r="F68" s="37">
        <v>84</v>
      </c>
      <c r="G68" s="37">
        <v>32</v>
      </c>
      <c r="H68" s="457"/>
      <c r="I68" s="457"/>
      <c r="J68" s="37">
        <v>22</v>
      </c>
      <c r="K68" s="37">
        <v>2126</v>
      </c>
      <c r="M68" s="457"/>
      <c r="N68" s="457"/>
      <c r="O68" s="457"/>
      <c r="P68" s="457"/>
      <c r="Q68" s="457"/>
      <c r="R68" s="457"/>
      <c r="S68" s="457"/>
      <c r="T68" s="457"/>
      <c r="U68" s="457"/>
      <c r="V68" s="457"/>
      <c r="W68" s="460">
        <v>1</v>
      </c>
      <c r="X68" s="60">
        <f t="shared" si="11"/>
        <v>1</v>
      </c>
      <c r="AB68" s="449">
        <v>42826</v>
      </c>
      <c r="AC68" s="37">
        <f t="shared" si="14"/>
        <v>7812.5</v>
      </c>
      <c r="AD68" s="37">
        <f t="shared" si="15"/>
        <v>1330</v>
      </c>
      <c r="AE68" s="37">
        <f t="shared" si="16"/>
        <v>6</v>
      </c>
      <c r="AF68" s="37">
        <f t="shared" si="17"/>
        <v>8</v>
      </c>
      <c r="AG68" s="37">
        <f t="shared" si="18"/>
        <v>84</v>
      </c>
      <c r="AH68" s="37">
        <f t="shared" si="19"/>
        <v>32</v>
      </c>
      <c r="AI68" s="457"/>
      <c r="AJ68" s="457"/>
      <c r="AK68" s="37">
        <f t="shared" si="20"/>
        <v>22.5</v>
      </c>
      <c r="AL68" s="37">
        <f t="shared" si="21"/>
        <v>2126</v>
      </c>
      <c r="AN68" s="60">
        <f t="shared" si="12"/>
        <v>129</v>
      </c>
      <c r="AO68" s="60">
        <f t="shared" si="10"/>
        <v>9271.5</v>
      </c>
      <c r="AP68" s="60"/>
    </row>
    <row r="69" spans="1:42" x14ac:dyDescent="0.2">
      <c r="A69" s="449">
        <v>42856</v>
      </c>
      <c r="B69" s="37">
        <v>7830</v>
      </c>
      <c r="C69" s="37">
        <v>1325</v>
      </c>
      <c r="D69" s="37">
        <v>6</v>
      </c>
      <c r="E69" s="37">
        <v>8</v>
      </c>
      <c r="F69" s="37">
        <v>84</v>
      </c>
      <c r="G69" s="37">
        <v>32</v>
      </c>
      <c r="H69" s="457"/>
      <c r="I69" s="457"/>
      <c r="J69" s="37">
        <v>22</v>
      </c>
      <c r="K69" s="37">
        <v>2126</v>
      </c>
      <c r="M69" s="457"/>
      <c r="N69" s="457"/>
      <c r="O69" s="457"/>
      <c r="P69" s="457"/>
      <c r="Q69" s="457"/>
      <c r="R69" s="457"/>
      <c r="S69" s="457"/>
      <c r="T69" s="457"/>
      <c r="U69" s="457"/>
      <c r="V69" s="457"/>
      <c r="W69" s="460">
        <v>1</v>
      </c>
      <c r="X69" s="60">
        <f t="shared" si="11"/>
        <v>1</v>
      </c>
      <c r="AB69" s="449">
        <v>42856</v>
      </c>
      <c r="AC69" s="37">
        <f t="shared" si="14"/>
        <v>7824.5</v>
      </c>
      <c r="AD69" s="37">
        <f t="shared" si="15"/>
        <v>1327.5</v>
      </c>
      <c r="AE69" s="37">
        <f t="shared" si="16"/>
        <v>6</v>
      </c>
      <c r="AF69" s="37">
        <f t="shared" si="17"/>
        <v>8</v>
      </c>
      <c r="AG69" s="37">
        <f t="shared" si="18"/>
        <v>84</v>
      </c>
      <c r="AH69" s="37">
        <f t="shared" si="19"/>
        <v>32</v>
      </c>
      <c r="AI69" s="457"/>
      <c r="AJ69" s="457"/>
      <c r="AK69" s="37">
        <f t="shared" si="20"/>
        <v>22</v>
      </c>
      <c r="AL69" s="37">
        <f t="shared" si="21"/>
        <v>2126</v>
      </c>
      <c r="AN69" s="60">
        <f t="shared" ref="AN69:AN92" si="22">+AE69+AF69+AG69+AH69+AI69-X69</f>
        <v>129</v>
      </c>
      <c r="AO69" s="60">
        <f t="shared" si="10"/>
        <v>9281</v>
      </c>
      <c r="AP69" s="60"/>
    </row>
    <row r="70" spans="1:42" x14ac:dyDescent="0.2">
      <c r="A70" s="449">
        <v>42887</v>
      </c>
      <c r="B70" s="37">
        <v>7834</v>
      </c>
      <c r="C70" s="37">
        <v>1327</v>
      </c>
      <c r="D70" s="37">
        <v>6</v>
      </c>
      <c r="E70" s="37">
        <v>8</v>
      </c>
      <c r="F70" s="37">
        <v>83</v>
      </c>
      <c r="G70" s="37">
        <v>32</v>
      </c>
      <c r="H70" s="457"/>
      <c r="I70" s="457"/>
      <c r="J70" s="37">
        <v>22</v>
      </c>
      <c r="K70" s="37">
        <v>2126</v>
      </c>
      <c r="M70" s="457"/>
      <c r="N70" s="457"/>
      <c r="O70" s="457"/>
      <c r="P70" s="457"/>
      <c r="Q70" s="457"/>
      <c r="R70" s="457"/>
      <c r="S70" s="457"/>
      <c r="T70" s="457"/>
      <c r="U70" s="457"/>
      <c r="V70" s="457"/>
      <c r="W70" s="460">
        <v>1</v>
      </c>
      <c r="X70" s="60">
        <f t="shared" si="11"/>
        <v>1</v>
      </c>
      <c r="AB70" s="449">
        <v>42887</v>
      </c>
      <c r="AC70" s="37">
        <f t="shared" si="14"/>
        <v>7832</v>
      </c>
      <c r="AD70" s="37">
        <f t="shared" si="15"/>
        <v>1326</v>
      </c>
      <c r="AE70" s="37">
        <f t="shared" si="16"/>
        <v>6</v>
      </c>
      <c r="AF70" s="37">
        <f t="shared" si="17"/>
        <v>8</v>
      </c>
      <c r="AG70" s="37">
        <f t="shared" si="18"/>
        <v>83.5</v>
      </c>
      <c r="AH70" s="37">
        <f t="shared" si="19"/>
        <v>32</v>
      </c>
      <c r="AI70" s="457"/>
      <c r="AJ70" s="457"/>
      <c r="AK70" s="37">
        <f t="shared" si="20"/>
        <v>22</v>
      </c>
      <c r="AL70" s="37">
        <f t="shared" si="21"/>
        <v>2126</v>
      </c>
      <c r="AN70" s="60">
        <f t="shared" si="22"/>
        <v>128.5</v>
      </c>
      <c r="AO70" s="60">
        <f t="shared" ref="AO70:AO94" si="23">+AC70+AD70+AN70</f>
        <v>9286.5</v>
      </c>
      <c r="AP70" s="60"/>
    </row>
    <row r="71" spans="1:42" x14ac:dyDescent="0.2">
      <c r="A71" s="449">
        <v>42917</v>
      </c>
      <c r="B71" s="37">
        <v>7839</v>
      </c>
      <c r="C71" s="37">
        <v>1329</v>
      </c>
      <c r="D71" s="37">
        <v>6</v>
      </c>
      <c r="E71" s="37">
        <v>8</v>
      </c>
      <c r="F71" s="37">
        <v>84</v>
      </c>
      <c r="G71" s="37">
        <v>31</v>
      </c>
      <c r="I71" s="457"/>
      <c r="J71" s="37">
        <v>22</v>
      </c>
      <c r="K71" s="37">
        <v>2126</v>
      </c>
      <c r="M71" s="37">
        <v>1</v>
      </c>
      <c r="N71" s="441"/>
      <c r="O71" s="441"/>
      <c r="P71" s="441"/>
      <c r="Q71" s="441"/>
      <c r="R71" s="441"/>
      <c r="S71" s="441"/>
      <c r="T71" s="441"/>
      <c r="U71" s="441"/>
      <c r="V71" s="441"/>
      <c r="W71" s="460">
        <v>1</v>
      </c>
      <c r="X71" s="60">
        <f t="shared" si="11"/>
        <v>1</v>
      </c>
      <c r="AB71" s="449">
        <v>42917</v>
      </c>
      <c r="AC71" s="37">
        <f t="shared" si="14"/>
        <v>7836.5</v>
      </c>
      <c r="AD71" s="37">
        <f t="shared" si="15"/>
        <v>1328</v>
      </c>
      <c r="AE71" s="37">
        <f t="shared" si="16"/>
        <v>6</v>
      </c>
      <c r="AF71" s="37">
        <f t="shared" si="17"/>
        <v>8</v>
      </c>
      <c r="AG71" s="37">
        <f t="shared" si="18"/>
        <v>83.5</v>
      </c>
      <c r="AH71" s="37">
        <f t="shared" si="19"/>
        <v>31.5</v>
      </c>
      <c r="AI71" s="60">
        <f t="shared" ref="AI71:AI92" si="24">+M71+N71+O71+P71+U71+V71</f>
        <v>1</v>
      </c>
      <c r="AJ71" s="457"/>
      <c r="AK71" s="37">
        <f t="shared" si="20"/>
        <v>22</v>
      </c>
      <c r="AL71" s="37">
        <f t="shared" si="21"/>
        <v>2126</v>
      </c>
      <c r="AN71" s="60">
        <f t="shared" si="22"/>
        <v>129</v>
      </c>
      <c r="AO71" s="60">
        <f t="shared" si="23"/>
        <v>9293.5</v>
      </c>
      <c r="AP71" s="60"/>
    </row>
    <row r="72" spans="1:42" x14ac:dyDescent="0.2">
      <c r="A72" s="449">
        <v>42948</v>
      </c>
      <c r="B72" s="37">
        <v>7855</v>
      </c>
      <c r="C72" s="37">
        <v>1330</v>
      </c>
      <c r="D72" s="37">
        <v>6</v>
      </c>
      <c r="E72" s="37">
        <v>8</v>
      </c>
      <c r="F72" s="37">
        <v>83</v>
      </c>
      <c r="G72" s="37">
        <v>31</v>
      </c>
      <c r="I72" s="457"/>
      <c r="J72" s="37">
        <v>25</v>
      </c>
      <c r="K72" s="37">
        <v>2126</v>
      </c>
      <c r="M72" s="37">
        <v>1</v>
      </c>
      <c r="N72" s="441"/>
      <c r="O72" s="441"/>
      <c r="P72" s="441"/>
      <c r="Q72" s="441"/>
      <c r="R72" s="441"/>
      <c r="S72" s="441"/>
      <c r="T72" s="441"/>
      <c r="U72" s="441"/>
      <c r="V72" s="441"/>
      <c r="W72" s="460">
        <v>1</v>
      </c>
      <c r="X72" s="60">
        <f t="shared" si="11"/>
        <v>1</v>
      </c>
      <c r="AB72" s="449">
        <v>42948</v>
      </c>
      <c r="AC72" s="37">
        <f t="shared" si="14"/>
        <v>7847</v>
      </c>
      <c r="AD72" s="37">
        <f t="shared" si="15"/>
        <v>1329.5</v>
      </c>
      <c r="AE72" s="37">
        <f t="shared" si="16"/>
        <v>6</v>
      </c>
      <c r="AF72" s="37">
        <f t="shared" si="17"/>
        <v>8</v>
      </c>
      <c r="AG72" s="37">
        <f t="shared" si="18"/>
        <v>83.5</v>
      </c>
      <c r="AH72" s="37">
        <f t="shared" si="19"/>
        <v>31</v>
      </c>
      <c r="AI72" s="60">
        <f t="shared" si="24"/>
        <v>1</v>
      </c>
      <c r="AJ72" s="457"/>
      <c r="AK72" s="37">
        <f t="shared" si="20"/>
        <v>23.5</v>
      </c>
      <c r="AL72" s="37">
        <f t="shared" si="21"/>
        <v>2126</v>
      </c>
      <c r="AN72" s="60">
        <f t="shared" si="22"/>
        <v>128.5</v>
      </c>
      <c r="AO72" s="60">
        <f t="shared" si="23"/>
        <v>9305</v>
      </c>
      <c r="AP72" s="60"/>
    </row>
    <row r="73" spans="1:42" x14ac:dyDescent="0.2">
      <c r="A73" s="449">
        <v>42979</v>
      </c>
      <c r="B73" s="37">
        <v>7860</v>
      </c>
      <c r="C73" s="37">
        <v>1331</v>
      </c>
      <c r="D73" s="37">
        <v>6</v>
      </c>
      <c r="E73" s="37">
        <v>8</v>
      </c>
      <c r="F73" s="37">
        <v>83</v>
      </c>
      <c r="G73" s="37">
        <v>31</v>
      </c>
      <c r="I73" s="457"/>
      <c r="J73" s="37">
        <v>26</v>
      </c>
      <c r="K73" s="37">
        <v>2126</v>
      </c>
      <c r="M73" s="37">
        <v>1</v>
      </c>
      <c r="N73" s="441"/>
      <c r="O73" s="441"/>
      <c r="P73" s="441"/>
      <c r="Q73" s="441"/>
      <c r="R73" s="441"/>
      <c r="S73" s="441"/>
      <c r="T73" s="441"/>
      <c r="U73" s="441"/>
      <c r="V73" s="441"/>
      <c r="W73" s="460">
        <v>1</v>
      </c>
      <c r="X73" s="60">
        <f t="shared" si="11"/>
        <v>1</v>
      </c>
      <c r="AB73" s="449">
        <v>42979</v>
      </c>
      <c r="AC73" s="37">
        <f t="shared" si="14"/>
        <v>7857.5</v>
      </c>
      <c r="AD73" s="37">
        <f t="shared" si="15"/>
        <v>1330.5</v>
      </c>
      <c r="AE73" s="37">
        <f t="shared" si="16"/>
        <v>6</v>
      </c>
      <c r="AF73" s="37">
        <f t="shared" si="17"/>
        <v>8</v>
      </c>
      <c r="AG73" s="37">
        <f t="shared" si="18"/>
        <v>83</v>
      </c>
      <c r="AH73" s="37">
        <f t="shared" si="19"/>
        <v>31</v>
      </c>
      <c r="AI73" s="60">
        <f t="shared" si="24"/>
        <v>1</v>
      </c>
      <c r="AJ73" s="457"/>
      <c r="AK73" s="37">
        <f t="shared" si="20"/>
        <v>25.5</v>
      </c>
      <c r="AL73" s="37">
        <f t="shared" si="21"/>
        <v>2126</v>
      </c>
      <c r="AN73" s="60">
        <f t="shared" si="22"/>
        <v>128</v>
      </c>
      <c r="AO73" s="60">
        <f t="shared" si="23"/>
        <v>9316</v>
      </c>
      <c r="AP73" s="60"/>
    </row>
    <row r="74" spans="1:42" x14ac:dyDescent="0.2">
      <c r="A74" s="449">
        <v>43009</v>
      </c>
      <c r="B74" s="37">
        <v>7860</v>
      </c>
      <c r="C74" s="37">
        <v>1330</v>
      </c>
      <c r="D74" s="37">
        <v>6</v>
      </c>
      <c r="E74" s="37">
        <v>8</v>
      </c>
      <c r="F74" s="37">
        <v>83</v>
      </c>
      <c r="G74" s="37">
        <v>31</v>
      </c>
      <c r="I74" s="457"/>
      <c r="J74" s="37">
        <v>26</v>
      </c>
      <c r="K74" s="37">
        <v>2116</v>
      </c>
      <c r="M74" s="37">
        <v>1</v>
      </c>
      <c r="N74" s="441"/>
      <c r="O74" s="441"/>
      <c r="P74" s="441"/>
      <c r="Q74" s="441"/>
      <c r="R74" s="441"/>
      <c r="S74" s="441"/>
      <c r="T74" s="441"/>
      <c r="U74" s="441"/>
      <c r="V74" s="441"/>
      <c r="W74" s="460">
        <v>1</v>
      </c>
      <c r="X74" s="60">
        <f t="shared" si="11"/>
        <v>1</v>
      </c>
      <c r="AB74" s="449">
        <v>43009</v>
      </c>
      <c r="AC74" s="37">
        <f t="shared" si="14"/>
        <v>7860</v>
      </c>
      <c r="AD74" s="37">
        <f t="shared" si="15"/>
        <v>1330.5</v>
      </c>
      <c r="AE74" s="37">
        <f t="shared" si="16"/>
        <v>6</v>
      </c>
      <c r="AF74" s="37">
        <f t="shared" si="17"/>
        <v>8</v>
      </c>
      <c r="AG74" s="37">
        <f t="shared" si="18"/>
        <v>83</v>
      </c>
      <c r="AH74" s="37">
        <f t="shared" si="19"/>
        <v>31</v>
      </c>
      <c r="AI74" s="60">
        <f t="shared" si="24"/>
        <v>1</v>
      </c>
      <c r="AJ74" s="457"/>
      <c r="AK74" s="37">
        <f t="shared" si="20"/>
        <v>26</v>
      </c>
      <c r="AL74" s="37">
        <f t="shared" si="21"/>
        <v>2121</v>
      </c>
      <c r="AN74" s="60">
        <f t="shared" si="22"/>
        <v>128</v>
      </c>
      <c r="AO74" s="60">
        <f t="shared" si="23"/>
        <v>9318.5</v>
      </c>
      <c r="AP74" s="60"/>
    </row>
    <row r="75" spans="1:42" x14ac:dyDescent="0.2">
      <c r="A75" s="449">
        <v>43040</v>
      </c>
      <c r="B75" s="37">
        <v>7882</v>
      </c>
      <c r="C75" s="37">
        <v>1333</v>
      </c>
      <c r="D75" s="37">
        <v>6</v>
      </c>
      <c r="E75" s="37">
        <v>8</v>
      </c>
      <c r="F75" s="37">
        <v>85</v>
      </c>
      <c r="G75" s="37">
        <v>31</v>
      </c>
      <c r="I75" s="457"/>
      <c r="J75" s="37">
        <v>28</v>
      </c>
      <c r="K75" s="37">
        <v>2116</v>
      </c>
      <c r="M75" s="37">
        <v>1</v>
      </c>
      <c r="N75" s="441"/>
      <c r="O75" s="441"/>
      <c r="P75" s="441"/>
      <c r="Q75" s="441"/>
      <c r="R75" s="441"/>
      <c r="S75" s="441"/>
      <c r="T75" s="441"/>
      <c r="U75" s="441"/>
      <c r="V75" s="441"/>
      <c r="W75" s="460">
        <v>1</v>
      </c>
      <c r="X75" s="60">
        <f t="shared" si="11"/>
        <v>1</v>
      </c>
      <c r="AB75" s="449">
        <v>43040</v>
      </c>
      <c r="AC75" s="37">
        <f t="shared" si="14"/>
        <v>7871</v>
      </c>
      <c r="AD75" s="37">
        <f t="shared" si="15"/>
        <v>1331.5</v>
      </c>
      <c r="AE75" s="37">
        <f t="shared" si="16"/>
        <v>6</v>
      </c>
      <c r="AF75" s="37">
        <f t="shared" si="17"/>
        <v>8</v>
      </c>
      <c r="AG75" s="37">
        <f t="shared" si="18"/>
        <v>84</v>
      </c>
      <c r="AH75" s="37">
        <f t="shared" si="19"/>
        <v>31</v>
      </c>
      <c r="AI75" s="60">
        <f t="shared" si="24"/>
        <v>1</v>
      </c>
      <c r="AJ75" s="457"/>
      <c r="AK75" s="37">
        <f t="shared" si="20"/>
        <v>27</v>
      </c>
      <c r="AL75" s="37">
        <f t="shared" si="21"/>
        <v>2116</v>
      </c>
      <c r="AN75" s="60">
        <f t="shared" si="22"/>
        <v>129</v>
      </c>
      <c r="AO75" s="60">
        <f t="shared" si="23"/>
        <v>9331.5</v>
      </c>
      <c r="AP75" s="60"/>
    </row>
    <row r="76" spans="1:42" x14ac:dyDescent="0.2">
      <c r="A76" s="449">
        <v>43070</v>
      </c>
      <c r="B76" s="37">
        <v>7874</v>
      </c>
      <c r="C76" s="37">
        <v>1324</v>
      </c>
      <c r="D76" s="37">
        <v>6</v>
      </c>
      <c r="E76" s="37">
        <v>8</v>
      </c>
      <c r="F76" s="37">
        <v>81</v>
      </c>
      <c r="G76" s="37">
        <v>31</v>
      </c>
      <c r="I76" s="457"/>
      <c r="J76" s="37">
        <v>29</v>
      </c>
      <c r="K76" s="37">
        <v>2116</v>
      </c>
      <c r="M76" s="37">
        <v>1</v>
      </c>
      <c r="N76" s="441"/>
      <c r="O76" s="441"/>
      <c r="P76" s="441"/>
      <c r="Q76" s="441"/>
      <c r="R76" s="441"/>
      <c r="S76" s="441"/>
      <c r="T76" s="441"/>
      <c r="U76" s="441"/>
      <c r="V76" s="441"/>
      <c r="W76" s="460">
        <v>1</v>
      </c>
      <c r="X76" s="60">
        <f t="shared" si="11"/>
        <v>1</v>
      </c>
      <c r="AB76" s="449">
        <v>43070</v>
      </c>
      <c r="AC76" s="37">
        <f t="shared" si="14"/>
        <v>7878</v>
      </c>
      <c r="AD76" s="37">
        <f t="shared" si="15"/>
        <v>1328.5</v>
      </c>
      <c r="AE76" s="37">
        <f t="shared" si="16"/>
        <v>6</v>
      </c>
      <c r="AF76" s="37">
        <f t="shared" si="17"/>
        <v>8</v>
      </c>
      <c r="AG76" s="37">
        <f t="shared" si="18"/>
        <v>83</v>
      </c>
      <c r="AH76" s="37">
        <f t="shared" si="19"/>
        <v>31</v>
      </c>
      <c r="AI76" s="60">
        <f t="shared" si="24"/>
        <v>1</v>
      </c>
      <c r="AJ76" s="457"/>
      <c r="AK76" s="37">
        <f t="shared" si="20"/>
        <v>28.5</v>
      </c>
      <c r="AL76" s="37">
        <f t="shared" si="21"/>
        <v>2116</v>
      </c>
      <c r="AN76" s="60">
        <f t="shared" si="22"/>
        <v>128</v>
      </c>
      <c r="AO76" s="60">
        <f t="shared" si="23"/>
        <v>9334.5</v>
      </c>
      <c r="AP76" s="60"/>
    </row>
    <row r="77" spans="1:42" x14ac:dyDescent="0.2">
      <c r="A77" s="449">
        <v>43101</v>
      </c>
      <c r="B77" s="37">
        <v>7886</v>
      </c>
      <c r="C77" s="37">
        <v>1326</v>
      </c>
      <c r="D77" s="37">
        <v>6</v>
      </c>
      <c r="E77" s="37">
        <v>8</v>
      </c>
      <c r="F77" s="37">
        <v>80</v>
      </c>
      <c r="G77" s="37">
        <v>31</v>
      </c>
      <c r="I77" s="457"/>
      <c r="J77" s="37">
        <v>30</v>
      </c>
      <c r="K77" s="37">
        <v>2116</v>
      </c>
      <c r="M77" s="37">
        <v>1</v>
      </c>
      <c r="N77" s="441"/>
      <c r="O77" s="441"/>
      <c r="P77" s="441"/>
      <c r="Q77" s="441"/>
      <c r="R77" s="441"/>
      <c r="S77" s="441"/>
      <c r="T77" s="441"/>
      <c r="U77" s="441"/>
      <c r="V77" s="441"/>
      <c r="W77" s="460">
        <v>1</v>
      </c>
      <c r="X77" s="60">
        <f t="shared" si="11"/>
        <v>1</v>
      </c>
      <c r="AB77" s="449">
        <v>43101</v>
      </c>
      <c r="AC77" s="37">
        <f t="shared" si="14"/>
        <v>7880</v>
      </c>
      <c r="AD77" s="37">
        <f t="shared" si="15"/>
        <v>1325</v>
      </c>
      <c r="AE77" s="37">
        <f t="shared" si="16"/>
        <v>6</v>
      </c>
      <c r="AF77" s="37">
        <f t="shared" si="17"/>
        <v>8</v>
      </c>
      <c r="AG77" s="37">
        <f t="shared" si="18"/>
        <v>80.5</v>
      </c>
      <c r="AH77" s="37">
        <f t="shared" si="19"/>
        <v>31</v>
      </c>
      <c r="AI77" s="60">
        <f t="shared" si="24"/>
        <v>1</v>
      </c>
      <c r="AJ77" s="457"/>
      <c r="AK77" s="37">
        <f t="shared" si="20"/>
        <v>29.5</v>
      </c>
      <c r="AL77" s="37">
        <f t="shared" si="21"/>
        <v>2116</v>
      </c>
      <c r="AN77" s="60">
        <f t="shared" si="22"/>
        <v>125.5</v>
      </c>
      <c r="AO77" s="60">
        <f t="shared" si="23"/>
        <v>9330.5</v>
      </c>
      <c r="AP77" s="60"/>
    </row>
    <row r="78" spans="1:42" x14ac:dyDescent="0.2">
      <c r="A78" s="449">
        <v>43132</v>
      </c>
      <c r="B78" s="37">
        <v>7891</v>
      </c>
      <c r="C78" s="37">
        <v>1325</v>
      </c>
      <c r="D78" s="37">
        <v>6</v>
      </c>
      <c r="E78" s="37">
        <v>8</v>
      </c>
      <c r="F78" s="37">
        <v>80</v>
      </c>
      <c r="G78" s="37">
        <v>31</v>
      </c>
      <c r="I78" s="457"/>
      <c r="J78" s="37">
        <v>29</v>
      </c>
      <c r="K78" s="37">
        <v>2116</v>
      </c>
      <c r="M78" s="37">
        <v>1</v>
      </c>
      <c r="N78" s="441"/>
      <c r="O78" s="441"/>
      <c r="P78" s="441"/>
      <c r="Q78" s="441"/>
      <c r="R78" s="441"/>
      <c r="S78" s="441"/>
      <c r="T78" s="441"/>
      <c r="U78" s="441"/>
      <c r="V78" s="441"/>
      <c r="W78" s="460">
        <v>1</v>
      </c>
      <c r="X78" s="60">
        <f t="shared" si="11"/>
        <v>1</v>
      </c>
      <c r="AB78" s="449">
        <v>43132</v>
      </c>
      <c r="AC78" s="37">
        <f t="shared" si="14"/>
        <v>7888.5</v>
      </c>
      <c r="AD78" s="37">
        <f t="shared" si="15"/>
        <v>1325.5</v>
      </c>
      <c r="AE78" s="37">
        <f t="shared" si="16"/>
        <v>6</v>
      </c>
      <c r="AF78" s="37">
        <f t="shared" si="17"/>
        <v>8</v>
      </c>
      <c r="AG78" s="37">
        <f t="shared" si="18"/>
        <v>80</v>
      </c>
      <c r="AH78" s="37">
        <f t="shared" si="19"/>
        <v>31</v>
      </c>
      <c r="AI78" s="60">
        <f t="shared" si="24"/>
        <v>1</v>
      </c>
      <c r="AJ78" s="457"/>
      <c r="AK78" s="37">
        <f t="shared" si="20"/>
        <v>29.5</v>
      </c>
      <c r="AL78" s="37">
        <f t="shared" si="21"/>
        <v>2116</v>
      </c>
      <c r="AN78" s="60">
        <f t="shared" si="22"/>
        <v>125</v>
      </c>
      <c r="AO78" s="60">
        <f t="shared" si="23"/>
        <v>9339</v>
      </c>
      <c r="AP78" s="60"/>
    </row>
    <row r="79" spans="1:42" x14ac:dyDescent="0.2">
      <c r="A79" s="449">
        <v>43160</v>
      </c>
      <c r="B79" s="37">
        <v>7890</v>
      </c>
      <c r="C79" s="37">
        <v>1330</v>
      </c>
      <c r="D79" s="37">
        <v>6</v>
      </c>
      <c r="E79" s="37">
        <v>8</v>
      </c>
      <c r="F79" s="37">
        <v>80</v>
      </c>
      <c r="G79" s="37">
        <v>32</v>
      </c>
      <c r="I79" s="457"/>
      <c r="J79" s="37">
        <v>26</v>
      </c>
      <c r="K79" s="37">
        <v>2116</v>
      </c>
      <c r="M79" s="37">
        <v>1</v>
      </c>
      <c r="N79" s="441"/>
      <c r="O79" s="441"/>
      <c r="P79" s="441"/>
      <c r="Q79" s="441"/>
      <c r="R79" s="441"/>
      <c r="S79" s="441"/>
      <c r="T79" s="441"/>
      <c r="U79" s="441"/>
      <c r="V79" s="462">
        <v>0.5</v>
      </c>
      <c r="W79" s="462">
        <v>0.5</v>
      </c>
      <c r="X79" s="60">
        <f t="shared" si="11"/>
        <v>1</v>
      </c>
      <c r="AB79" s="449">
        <v>43160</v>
      </c>
      <c r="AC79" s="37">
        <f t="shared" si="14"/>
        <v>7890.5</v>
      </c>
      <c r="AD79" s="37">
        <f t="shared" si="15"/>
        <v>1327.5</v>
      </c>
      <c r="AE79" s="37">
        <f t="shared" si="16"/>
        <v>6</v>
      </c>
      <c r="AF79" s="37">
        <f t="shared" si="17"/>
        <v>8</v>
      </c>
      <c r="AG79" s="37">
        <f t="shared" si="18"/>
        <v>80</v>
      </c>
      <c r="AH79" s="37">
        <f t="shared" si="19"/>
        <v>31.5</v>
      </c>
      <c r="AI79" s="60">
        <f t="shared" si="24"/>
        <v>1.5</v>
      </c>
      <c r="AJ79" s="457"/>
      <c r="AK79" s="37">
        <f t="shared" si="20"/>
        <v>27.5</v>
      </c>
      <c r="AL79" s="37">
        <f t="shared" si="21"/>
        <v>2116</v>
      </c>
      <c r="AN79" s="60">
        <f t="shared" si="22"/>
        <v>126</v>
      </c>
      <c r="AO79" s="60">
        <f t="shared" si="23"/>
        <v>9344</v>
      </c>
      <c r="AP79" s="60"/>
    </row>
    <row r="80" spans="1:42" x14ac:dyDescent="0.2">
      <c r="A80" s="449">
        <v>43191</v>
      </c>
      <c r="B80" s="37">
        <v>7903</v>
      </c>
      <c r="C80" s="37">
        <v>1331</v>
      </c>
      <c r="D80" s="37">
        <v>6</v>
      </c>
      <c r="E80" s="37">
        <v>8</v>
      </c>
      <c r="F80" s="37">
        <v>80</v>
      </c>
      <c r="G80" s="37">
        <v>32</v>
      </c>
      <c r="I80" s="457"/>
      <c r="J80" s="37">
        <v>26</v>
      </c>
      <c r="K80" s="37">
        <v>2116</v>
      </c>
      <c r="M80" s="37">
        <v>1</v>
      </c>
      <c r="N80" s="441"/>
      <c r="O80" s="441"/>
      <c r="P80" s="441"/>
      <c r="Q80" s="441"/>
      <c r="R80" s="441"/>
      <c r="S80" s="441"/>
      <c r="T80" s="441"/>
      <c r="U80" s="441"/>
      <c r="V80" s="462">
        <v>0.5</v>
      </c>
      <c r="W80" s="462">
        <v>0.5</v>
      </c>
      <c r="X80" s="60">
        <f t="shared" si="11"/>
        <v>1</v>
      </c>
      <c r="AB80" s="449">
        <v>43191</v>
      </c>
      <c r="AC80" s="37">
        <f t="shared" si="14"/>
        <v>7896.5</v>
      </c>
      <c r="AD80" s="37">
        <f t="shared" si="15"/>
        <v>1330.5</v>
      </c>
      <c r="AE80" s="37">
        <f t="shared" si="16"/>
        <v>6</v>
      </c>
      <c r="AF80" s="37">
        <f t="shared" si="17"/>
        <v>8</v>
      </c>
      <c r="AG80" s="37">
        <f t="shared" si="18"/>
        <v>80</v>
      </c>
      <c r="AH80" s="37">
        <f t="shared" si="19"/>
        <v>32</v>
      </c>
      <c r="AI80" s="60">
        <f t="shared" si="24"/>
        <v>1.5</v>
      </c>
      <c r="AJ80" s="457"/>
      <c r="AK80" s="37">
        <f t="shared" si="20"/>
        <v>26</v>
      </c>
      <c r="AL80" s="37">
        <f t="shared" si="21"/>
        <v>2116</v>
      </c>
      <c r="AN80" s="60">
        <f t="shared" si="22"/>
        <v>126.5</v>
      </c>
      <c r="AO80" s="60">
        <f t="shared" si="23"/>
        <v>9353.5</v>
      </c>
      <c r="AP80" s="60"/>
    </row>
    <row r="81" spans="1:42" x14ac:dyDescent="0.2">
      <c r="A81" s="449">
        <v>43221</v>
      </c>
      <c r="B81" s="37">
        <v>7911</v>
      </c>
      <c r="C81" s="37">
        <v>1334</v>
      </c>
      <c r="D81" s="37">
        <v>6</v>
      </c>
      <c r="E81" s="37">
        <v>8</v>
      </c>
      <c r="F81" s="37">
        <v>80</v>
      </c>
      <c r="G81" s="37">
        <v>32</v>
      </c>
      <c r="I81" s="457"/>
      <c r="J81" s="37">
        <v>26</v>
      </c>
      <c r="K81" s="37">
        <v>2116</v>
      </c>
      <c r="M81" s="37">
        <v>1</v>
      </c>
      <c r="N81" s="441"/>
      <c r="O81" s="441"/>
      <c r="P81" s="441"/>
      <c r="Q81" s="441"/>
      <c r="R81" s="441"/>
      <c r="S81" s="441"/>
      <c r="T81" s="441"/>
      <c r="U81" s="441"/>
      <c r="V81" s="462">
        <v>0.5</v>
      </c>
      <c r="W81" s="462">
        <v>0.5</v>
      </c>
      <c r="X81" s="60">
        <f t="shared" si="11"/>
        <v>1</v>
      </c>
      <c r="AB81" s="449">
        <v>43221</v>
      </c>
      <c r="AC81" s="37">
        <f t="shared" si="14"/>
        <v>7907</v>
      </c>
      <c r="AD81" s="37">
        <f t="shared" si="15"/>
        <v>1332.5</v>
      </c>
      <c r="AE81" s="37">
        <f t="shared" si="16"/>
        <v>6</v>
      </c>
      <c r="AF81" s="37">
        <f t="shared" si="17"/>
        <v>8</v>
      </c>
      <c r="AG81" s="37">
        <f t="shared" si="18"/>
        <v>80</v>
      </c>
      <c r="AH81" s="37">
        <f t="shared" si="19"/>
        <v>32</v>
      </c>
      <c r="AI81" s="60">
        <f t="shared" si="24"/>
        <v>1.5</v>
      </c>
      <c r="AJ81" s="457"/>
      <c r="AK81" s="37">
        <f t="shared" si="20"/>
        <v>26</v>
      </c>
      <c r="AL81" s="37">
        <f t="shared" si="21"/>
        <v>2116</v>
      </c>
      <c r="AN81" s="60">
        <f t="shared" si="22"/>
        <v>126.5</v>
      </c>
      <c r="AO81" s="60">
        <f t="shared" si="23"/>
        <v>9366</v>
      </c>
      <c r="AP81" s="60"/>
    </row>
    <row r="82" spans="1:42" x14ac:dyDescent="0.2">
      <c r="A82" s="449">
        <v>43252</v>
      </c>
      <c r="B82" s="37">
        <v>7916</v>
      </c>
      <c r="C82" s="37">
        <v>1335</v>
      </c>
      <c r="D82" s="37">
        <v>6</v>
      </c>
      <c r="E82" s="37">
        <v>8</v>
      </c>
      <c r="F82" s="37">
        <v>80</v>
      </c>
      <c r="G82" s="37">
        <v>32</v>
      </c>
      <c r="I82" s="457"/>
      <c r="J82" s="37">
        <v>26</v>
      </c>
      <c r="K82" s="37">
        <v>2116</v>
      </c>
      <c r="M82" s="37">
        <v>1</v>
      </c>
      <c r="N82" s="441"/>
      <c r="O82" s="441"/>
      <c r="P82" s="441"/>
      <c r="Q82" s="441"/>
      <c r="R82" s="441"/>
      <c r="S82" s="441"/>
      <c r="T82" s="441"/>
      <c r="U82" s="441"/>
      <c r="V82" s="462">
        <v>0.5</v>
      </c>
      <c r="W82" s="462">
        <v>0.5</v>
      </c>
      <c r="X82" s="60">
        <f t="shared" si="11"/>
        <v>1</v>
      </c>
      <c r="AB82" s="449">
        <v>43252</v>
      </c>
      <c r="AC82" s="37">
        <f t="shared" si="14"/>
        <v>7913.5</v>
      </c>
      <c r="AD82" s="37">
        <f t="shared" si="15"/>
        <v>1334.5</v>
      </c>
      <c r="AE82" s="37">
        <f t="shared" si="16"/>
        <v>6</v>
      </c>
      <c r="AF82" s="37">
        <f t="shared" si="17"/>
        <v>8</v>
      </c>
      <c r="AG82" s="37">
        <f t="shared" si="18"/>
        <v>80</v>
      </c>
      <c r="AH82" s="37">
        <f t="shared" si="19"/>
        <v>32</v>
      </c>
      <c r="AI82" s="60">
        <f t="shared" si="24"/>
        <v>1.5</v>
      </c>
      <c r="AJ82" s="457"/>
      <c r="AK82" s="37">
        <f t="shared" si="20"/>
        <v>26</v>
      </c>
      <c r="AL82" s="37">
        <f t="shared" si="21"/>
        <v>2116</v>
      </c>
      <c r="AN82" s="60">
        <f t="shared" si="22"/>
        <v>126.5</v>
      </c>
      <c r="AO82" s="60">
        <f t="shared" si="23"/>
        <v>9374.5</v>
      </c>
      <c r="AP82" s="60"/>
    </row>
    <row r="83" spans="1:42" x14ac:dyDescent="0.2">
      <c r="A83" s="449">
        <v>43282</v>
      </c>
      <c r="B83" s="37">
        <v>7919</v>
      </c>
      <c r="C83" s="37">
        <v>1336</v>
      </c>
      <c r="D83" s="37">
        <v>6</v>
      </c>
      <c r="E83" s="37">
        <v>7</v>
      </c>
      <c r="F83" s="37">
        <v>80</v>
      </c>
      <c r="G83" s="37">
        <v>29</v>
      </c>
      <c r="I83" s="457"/>
      <c r="J83" s="37">
        <v>26</v>
      </c>
      <c r="K83" s="37">
        <v>2116</v>
      </c>
      <c r="M83" s="441"/>
      <c r="N83" s="37">
        <v>1</v>
      </c>
      <c r="O83" s="37">
        <v>1</v>
      </c>
      <c r="P83" s="37">
        <v>1</v>
      </c>
      <c r="Q83" s="37"/>
      <c r="R83" s="441"/>
      <c r="S83" s="441"/>
      <c r="T83" s="441"/>
      <c r="U83" s="37">
        <v>1</v>
      </c>
      <c r="V83" s="441"/>
      <c r="W83" s="441"/>
      <c r="X83" s="60">
        <f t="shared" si="11"/>
        <v>1</v>
      </c>
      <c r="AB83" s="449">
        <v>43282</v>
      </c>
      <c r="AC83" s="37">
        <f t="shared" si="14"/>
        <v>7917.5</v>
      </c>
      <c r="AD83" s="37">
        <f t="shared" si="15"/>
        <v>1335.5</v>
      </c>
      <c r="AE83" s="37">
        <f t="shared" si="16"/>
        <v>6</v>
      </c>
      <c r="AF83" s="37">
        <f t="shared" si="17"/>
        <v>7.5</v>
      </c>
      <c r="AG83" s="37">
        <f t="shared" si="18"/>
        <v>80</v>
      </c>
      <c r="AH83" s="37">
        <f t="shared" si="19"/>
        <v>30.5</v>
      </c>
      <c r="AI83" s="60">
        <f t="shared" si="24"/>
        <v>4</v>
      </c>
      <c r="AJ83" s="457"/>
      <c r="AK83" s="37">
        <f t="shared" si="20"/>
        <v>26</v>
      </c>
      <c r="AL83" s="37">
        <f t="shared" si="21"/>
        <v>2116</v>
      </c>
      <c r="AN83" s="60">
        <f t="shared" si="22"/>
        <v>127</v>
      </c>
      <c r="AO83" s="60">
        <f t="shared" si="23"/>
        <v>9380</v>
      </c>
      <c r="AP83" s="60"/>
    </row>
    <row r="84" spans="1:42" x14ac:dyDescent="0.2">
      <c r="A84" s="449">
        <v>43313</v>
      </c>
      <c r="B84" s="37">
        <v>7919</v>
      </c>
      <c r="C84" s="37">
        <v>1340</v>
      </c>
      <c r="D84" s="37">
        <v>6</v>
      </c>
      <c r="E84" s="37">
        <v>7</v>
      </c>
      <c r="F84" s="37">
        <v>81</v>
      </c>
      <c r="G84" s="37">
        <v>29</v>
      </c>
      <c r="I84" s="457"/>
      <c r="J84" s="37">
        <v>26</v>
      </c>
      <c r="K84" s="37">
        <v>2116</v>
      </c>
      <c r="M84" s="441"/>
      <c r="N84" s="37">
        <v>1</v>
      </c>
      <c r="O84" s="37">
        <v>1</v>
      </c>
      <c r="P84" s="37">
        <v>1</v>
      </c>
      <c r="Q84" s="37"/>
      <c r="R84" s="441"/>
      <c r="S84" s="441"/>
      <c r="T84" s="441"/>
      <c r="U84" s="37">
        <v>1</v>
      </c>
      <c r="V84" s="441"/>
      <c r="W84" s="441"/>
      <c r="X84" s="60">
        <f t="shared" si="11"/>
        <v>1</v>
      </c>
      <c r="AB84" s="449">
        <v>43313</v>
      </c>
      <c r="AC84" s="37">
        <f t="shared" si="14"/>
        <v>7919</v>
      </c>
      <c r="AD84" s="37">
        <f t="shared" si="15"/>
        <v>1338</v>
      </c>
      <c r="AE84" s="37">
        <f t="shared" si="16"/>
        <v>6</v>
      </c>
      <c r="AF84" s="37">
        <f t="shared" si="17"/>
        <v>7</v>
      </c>
      <c r="AG84" s="37">
        <f t="shared" si="18"/>
        <v>80.5</v>
      </c>
      <c r="AH84" s="37">
        <f t="shared" si="19"/>
        <v>29</v>
      </c>
      <c r="AI84" s="60">
        <f t="shared" si="24"/>
        <v>4</v>
      </c>
      <c r="AJ84" s="457"/>
      <c r="AK84" s="37">
        <f t="shared" si="20"/>
        <v>26</v>
      </c>
      <c r="AL84" s="37">
        <f t="shared" si="21"/>
        <v>2116</v>
      </c>
      <c r="AN84" s="60">
        <f t="shared" si="22"/>
        <v>125.5</v>
      </c>
      <c r="AO84" s="60">
        <f t="shared" si="23"/>
        <v>9382.5</v>
      </c>
      <c r="AP84" s="60"/>
    </row>
    <row r="85" spans="1:42" x14ac:dyDescent="0.2">
      <c r="A85" s="449">
        <v>43344</v>
      </c>
      <c r="B85" s="37">
        <v>7923</v>
      </c>
      <c r="C85" s="37">
        <v>1339</v>
      </c>
      <c r="D85" s="37">
        <v>6</v>
      </c>
      <c r="E85" s="37">
        <v>7</v>
      </c>
      <c r="F85" s="37">
        <v>80</v>
      </c>
      <c r="G85" s="37">
        <v>29</v>
      </c>
      <c r="I85" s="457"/>
      <c r="J85" s="37">
        <v>26</v>
      </c>
      <c r="K85" s="37">
        <v>2116</v>
      </c>
      <c r="M85" s="441"/>
      <c r="N85" s="37">
        <v>1</v>
      </c>
      <c r="O85" s="37">
        <v>1</v>
      </c>
      <c r="P85" s="37">
        <v>1</v>
      </c>
      <c r="Q85" s="37"/>
      <c r="R85" s="441"/>
      <c r="S85" s="441"/>
      <c r="T85" s="441"/>
      <c r="U85" s="37">
        <v>1</v>
      </c>
      <c r="V85" s="441"/>
      <c r="W85" s="441"/>
      <c r="X85" s="60">
        <f t="shared" si="11"/>
        <v>1</v>
      </c>
      <c r="AB85" s="449">
        <v>43344</v>
      </c>
      <c r="AC85" s="37">
        <f t="shared" si="14"/>
        <v>7921</v>
      </c>
      <c r="AD85" s="37">
        <f t="shared" si="15"/>
        <v>1339.5</v>
      </c>
      <c r="AE85" s="37">
        <f t="shared" si="16"/>
        <v>6</v>
      </c>
      <c r="AF85" s="37">
        <f t="shared" si="17"/>
        <v>7</v>
      </c>
      <c r="AG85" s="37">
        <f t="shared" si="18"/>
        <v>80.5</v>
      </c>
      <c r="AH85" s="37">
        <f t="shared" si="19"/>
        <v>29</v>
      </c>
      <c r="AI85" s="60">
        <f t="shared" si="24"/>
        <v>4</v>
      </c>
      <c r="AJ85" s="457"/>
      <c r="AK85" s="37">
        <f t="shared" si="20"/>
        <v>26</v>
      </c>
      <c r="AL85" s="37">
        <f t="shared" si="21"/>
        <v>2116</v>
      </c>
      <c r="AN85" s="60">
        <f t="shared" si="22"/>
        <v>125.5</v>
      </c>
      <c r="AO85" s="60">
        <f t="shared" si="23"/>
        <v>9386</v>
      </c>
      <c r="AP85" s="60"/>
    </row>
    <row r="86" spans="1:42" x14ac:dyDescent="0.2">
      <c r="A86" s="449">
        <v>43374</v>
      </c>
      <c r="B86" s="37">
        <v>7959</v>
      </c>
      <c r="C86" s="37">
        <v>1345</v>
      </c>
      <c r="D86" s="37">
        <v>6</v>
      </c>
      <c r="E86" s="37">
        <v>7</v>
      </c>
      <c r="F86" s="37">
        <v>80</v>
      </c>
      <c r="G86" s="37">
        <v>29</v>
      </c>
      <c r="I86" s="457"/>
      <c r="J86" s="37">
        <v>26</v>
      </c>
      <c r="K86" s="37">
        <v>2116</v>
      </c>
      <c r="M86" s="441"/>
      <c r="N86" s="37">
        <v>1</v>
      </c>
      <c r="O86" s="37">
        <v>1</v>
      </c>
      <c r="P86" s="37">
        <v>1</v>
      </c>
      <c r="Q86" s="37"/>
      <c r="R86" s="441"/>
      <c r="S86" s="441"/>
      <c r="T86" s="441"/>
      <c r="U86" s="37">
        <v>1</v>
      </c>
      <c r="V86" s="441"/>
      <c r="W86" s="441"/>
      <c r="X86" s="60">
        <f t="shared" si="11"/>
        <v>1</v>
      </c>
      <c r="AB86" s="449">
        <v>43374</v>
      </c>
      <c r="AC86" s="37">
        <f t="shared" si="14"/>
        <v>7941</v>
      </c>
      <c r="AD86" s="37">
        <f t="shared" si="15"/>
        <v>1342</v>
      </c>
      <c r="AE86" s="37">
        <f t="shared" si="16"/>
        <v>6</v>
      </c>
      <c r="AF86" s="37">
        <f t="shared" si="17"/>
        <v>7</v>
      </c>
      <c r="AG86" s="37">
        <f t="shared" si="18"/>
        <v>80</v>
      </c>
      <c r="AH86" s="37">
        <f t="shared" si="19"/>
        <v>29</v>
      </c>
      <c r="AI86" s="60">
        <f t="shared" si="24"/>
        <v>4</v>
      </c>
      <c r="AJ86" s="457"/>
      <c r="AK86" s="37">
        <f t="shared" si="20"/>
        <v>26</v>
      </c>
      <c r="AL86" s="37">
        <f t="shared" si="21"/>
        <v>2116</v>
      </c>
      <c r="AN86" s="60">
        <f t="shared" si="22"/>
        <v>125</v>
      </c>
      <c r="AO86" s="60">
        <f t="shared" si="23"/>
        <v>9408</v>
      </c>
      <c r="AP86" s="60"/>
    </row>
    <row r="87" spans="1:42" x14ac:dyDescent="0.2">
      <c r="A87" s="449">
        <v>43405</v>
      </c>
      <c r="B87" s="37">
        <v>7967</v>
      </c>
      <c r="C87" s="37">
        <v>1348</v>
      </c>
      <c r="D87" s="37">
        <v>6</v>
      </c>
      <c r="E87" s="37">
        <v>7</v>
      </c>
      <c r="F87" s="37">
        <v>80</v>
      </c>
      <c r="G87" s="37">
        <v>29</v>
      </c>
      <c r="I87" s="457"/>
      <c r="J87" s="37">
        <v>29</v>
      </c>
      <c r="K87" s="37">
        <v>2116</v>
      </c>
      <c r="M87" s="441"/>
      <c r="N87" s="37">
        <v>1</v>
      </c>
      <c r="O87" s="37">
        <v>1</v>
      </c>
      <c r="P87" s="37">
        <v>1</v>
      </c>
      <c r="Q87" s="37"/>
      <c r="R87" s="441"/>
      <c r="S87" s="441"/>
      <c r="T87" s="441"/>
      <c r="U87" s="37">
        <v>1</v>
      </c>
      <c r="V87" s="441"/>
      <c r="W87" s="441"/>
      <c r="X87" s="60">
        <f t="shared" si="11"/>
        <v>1</v>
      </c>
      <c r="AB87" s="449">
        <v>43405</v>
      </c>
      <c r="AC87" s="37">
        <f t="shared" si="14"/>
        <v>7963</v>
      </c>
      <c r="AD87" s="37">
        <f t="shared" si="15"/>
        <v>1346.5</v>
      </c>
      <c r="AE87" s="37">
        <f t="shared" si="16"/>
        <v>6</v>
      </c>
      <c r="AF87" s="37">
        <f t="shared" si="17"/>
        <v>7</v>
      </c>
      <c r="AG87" s="37">
        <f t="shared" si="18"/>
        <v>80</v>
      </c>
      <c r="AH87" s="37">
        <f t="shared" si="19"/>
        <v>29</v>
      </c>
      <c r="AI87" s="60">
        <f t="shared" si="24"/>
        <v>4</v>
      </c>
      <c r="AJ87" s="457"/>
      <c r="AK87" s="37">
        <f t="shared" si="20"/>
        <v>27.5</v>
      </c>
      <c r="AL87" s="37">
        <f t="shared" si="21"/>
        <v>2116</v>
      </c>
      <c r="AN87" s="60">
        <f t="shared" si="22"/>
        <v>125</v>
      </c>
      <c r="AO87" s="60">
        <f t="shared" si="23"/>
        <v>9434.5</v>
      </c>
      <c r="AP87" s="60"/>
    </row>
    <row r="88" spans="1:42" x14ac:dyDescent="0.2">
      <c r="A88" s="449">
        <v>43435</v>
      </c>
      <c r="B88" s="37">
        <v>7977</v>
      </c>
      <c r="C88" s="37">
        <v>1348</v>
      </c>
      <c r="D88" s="37">
        <v>6</v>
      </c>
      <c r="E88" s="37">
        <v>7</v>
      </c>
      <c r="F88" s="37">
        <v>80</v>
      </c>
      <c r="G88" s="37">
        <v>29</v>
      </c>
      <c r="I88" s="457"/>
      <c r="J88" s="37">
        <v>29</v>
      </c>
      <c r="K88" s="37">
        <v>2116</v>
      </c>
      <c r="M88" s="441"/>
      <c r="N88" s="37">
        <v>1</v>
      </c>
      <c r="O88" s="37">
        <v>1</v>
      </c>
      <c r="P88" s="37">
        <v>1</v>
      </c>
      <c r="Q88" s="37"/>
      <c r="R88" s="441"/>
      <c r="S88" s="441"/>
      <c r="T88" s="441"/>
      <c r="U88" s="37">
        <v>1</v>
      </c>
      <c r="V88" s="441"/>
      <c r="W88" s="441"/>
      <c r="X88" s="60">
        <f t="shared" si="11"/>
        <v>1</v>
      </c>
      <c r="AB88" s="449">
        <v>43435</v>
      </c>
      <c r="AC88" s="37">
        <f t="shared" si="14"/>
        <v>7972</v>
      </c>
      <c r="AD88" s="37">
        <f t="shared" si="15"/>
        <v>1348</v>
      </c>
      <c r="AE88" s="37">
        <f t="shared" si="16"/>
        <v>6</v>
      </c>
      <c r="AF88" s="37">
        <f t="shared" si="17"/>
        <v>7</v>
      </c>
      <c r="AG88" s="37">
        <f t="shared" si="18"/>
        <v>80</v>
      </c>
      <c r="AH88" s="37">
        <f t="shared" si="19"/>
        <v>29</v>
      </c>
      <c r="AI88" s="60">
        <f t="shared" si="24"/>
        <v>4</v>
      </c>
      <c r="AJ88" s="457"/>
      <c r="AK88" s="37">
        <f t="shared" si="20"/>
        <v>29</v>
      </c>
      <c r="AL88" s="37">
        <f t="shared" si="21"/>
        <v>2116</v>
      </c>
      <c r="AN88" s="60">
        <f t="shared" si="22"/>
        <v>125</v>
      </c>
      <c r="AO88" s="60">
        <f t="shared" si="23"/>
        <v>9445</v>
      </c>
      <c r="AP88" s="60"/>
    </row>
    <row r="89" spans="1:42" x14ac:dyDescent="0.2">
      <c r="A89" s="449">
        <v>43466</v>
      </c>
      <c r="B89" s="37">
        <v>8003</v>
      </c>
      <c r="C89" s="37">
        <v>1355</v>
      </c>
      <c r="D89" s="37">
        <v>6</v>
      </c>
      <c r="E89" s="37">
        <v>7</v>
      </c>
      <c r="F89" s="37">
        <v>81</v>
      </c>
      <c r="G89" s="37">
        <v>29</v>
      </c>
      <c r="H89" s="37"/>
      <c r="I89" s="457"/>
      <c r="J89" s="37">
        <v>29</v>
      </c>
      <c r="K89" s="37">
        <v>2158</v>
      </c>
      <c r="M89" s="441"/>
      <c r="N89" s="37">
        <v>1</v>
      </c>
      <c r="O89" s="37">
        <v>1</v>
      </c>
      <c r="P89" s="37">
        <v>1</v>
      </c>
      <c r="Q89" s="37"/>
      <c r="R89" s="441"/>
      <c r="S89" s="441"/>
      <c r="T89" s="441"/>
      <c r="U89" s="37">
        <v>1</v>
      </c>
      <c r="V89" s="441"/>
      <c r="W89" s="441"/>
      <c r="X89" s="60">
        <f t="shared" si="11"/>
        <v>1</v>
      </c>
      <c r="AB89" s="449">
        <v>43466</v>
      </c>
      <c r="AC89" s="37">
        <f t="shared" si="14"/>
        <v>7990</v>
      </c>
      <c r="AD89" s="37">
        <f t="shared" si="15"/>
        <v>1351.5</v>
      </c>
      <c r="AE89" s="37">
        <f t="shared" si="16"/>
        <v>6</v>
      </c>
      <c r="AF89" s="37">
        <f t="shared" si="17"/>
        <v>7</v>
      </c>
      <c r="AG89" s="37">
        <f t="shared" si="18"/>
        <v>80.5</v>
      </c>
      <c r="AH89" s="37">
        <f t="shared" si="19"/>
        <v>29</v>
      </c>
      <c r="AI89" s="60">
        <f t="shared" si="24"/>
        <v>4</v>
      </c>
      <c r="AJ89" s="457"/>
      <c r="AK89" s="37">
        <f t="shared" si="20"/>
        <v>29</v>
      </c>
      <c r="AL89" s="37">
        <f t="shared" si="21"/>
        <v>2137</v>
      </c>
      <c r="AN89" s="60">
        <f t="shared" si="22"/>
        <v>125.5</v>
      </c>
      <c r="AO89" s="60">
        <f t="shared" si="23"/>
        <v>9467</v>
      </c>
      <c r="AP89" s="60"/>
    </row>
    <row r="90" spans="1:42" x14ac:dyDescent="0.2">
      <c r="A90" s="449">
        <v>43497</v>
      </c>
      <c r="B90" s="37">
        <v>8007</v>
      </c>
      <c r="C90" s="37">
        <v>1362</v>
      </c>
      <c r="D90" s="37">
        <v>6</v>
      </c>
      <c r="E90" s="37">
        <v>7</v>
      </c>
      <c r="F90" s="37">
        <v>81</v>
      </c>
      <c r="G90" s="37">
        <v>29</v>
      </c>
      <c r="H90" s="37"/>
      <c r="I90" s="457"/>
      <c r="J90" s="37">
        <v>29</v>
      </c>
      <c r="K90" s="37">
        <v>2158</v>
      </c>
      <c r="M90" s="441"/>
      <c r="N90" s="37">
        <v>1</v>
      </c>
      <c r="O90" s="37">
        <v>1</v>
      </c>
      <c r="P90" s="37">
        <v>1</v>
      </c>
      <c r="Q90" s="37"/>
      <c r="R90" s="441"/>
      <c r="S90" s="441"/>
      <c r="T90" s="441"/>
      <c r="U90" s="37">
        <v>1</v>
      </c>
      <c r="V90" s="441"/>
      <c r="W90" s="441"/>
      <c r="X90" s="60">
        <f t="shared" si="11"/>
        <v>1</v>
      </c>
      <c r="AB90" s="449">
        <v>43497</v>
      </c>
      <c r="AC90" s="37">
        <f t="shared" si="14"/>
        <v>8005</v>
      </c>
      <c r="AD90" s="37">
        <f t="shared" si="15"/>
        <v>1358.5</v>
      </c>
      <c r="AE90" s="37">
        <f t="shared" si="16"/>
        <v>6</v>
      </c>
      <c r="AF90" s="37">
        <f t="shared" si="17"/>
        <v>7</v>
      </c>
      <c r="AG90" s="37">
        <f t="shared" si="18"/>
        <v>81</v>
      </c>
      <c r="AH90" s="37">
        <f t="shared" si="19"/>
        <v>29</v>
      </c>
      <c r="AI90" s="60">
        <f t="shared" si="24"/>
        <v>4</v>
      </c>
      <c r="AJ90" s="457"/>
      <c r="AK90" s="37">
        <f t="shared" si="20"/>
        <v>29</v>
      </c>
      <c r="AL90" s="37">
        <f t="shared" si="21"/>
        <v>2158</v>
      </c>
      <c r="AN90" s="60">
        <f t="shared" si="22"/>
        <v>126</v>
      </c>
      <c r="AO90" s="60">
        <f t="shared" si="23"/>
        <v>9489.5</v>
      </c>
      <c r="AP90" s="60"/>
    </row>
    <row r="91" spans="1:42" x14ac:dyDescent="0.2">
      <c r="A91" s="449">
        <v>43525</v>
      </c>
      <c r="B91" s="37">
        <v>8006</v>
      </c>
      <c r="C91" s="37">
        <v>1361</v>
      </c>
      <c r="D91" s="37">
        <v>6</v>
      </c>
      <c r="E91" s="37">
        <v>7</v>
      </c>
      <c r="F91" s="37">
        <v>81</v>
      </c>
      <c r="G91" s="37">
        <v>29</v>
      </c>
      <c r="H91" s="37"/>
      <c r="I91" s="457"/>
      <c r="J91" s="37">
        <v>29</v>
      </c>
      <c r="K91" s="37">
        <v>2158</v>
      </c>
      <c r="M91" s="441"/>
      <c r="N91" s="37">
        <v>1</v>
      </c>
      <c r="O91" s="37">
        <v>1</v>
      </c>
      <c r="P91" s="37">
        <v>1</v>
      </c>
      <c r="Q91" s="37"/>
      <c r="R91" s="441"/>
      <c r="S91" s="441"/>
      <c r="T91" s="441"/>
      <c r="U91" s="37">
        <v>1</v>
      </c>
      <c r="V91" s="441"/>
      <c r="W91" s="441"/>
      <c r="X91" s="60">
        <f t="shared" si="11"/>
        <v>1</v>
      </c>
      <c r="AB91" s="449">
        <v>43525</v>
      </c>
      <c r="AC91" s="37">
        <f t="shared" si="14"/>
        <v>8006.5</v>
      </c>
      <c r="AD91" s="37">
        <f t="shared" si="15"/>
        <v>1361.5</v>
      </c>
      <c r="AE91" s="37">
        <f t="shared" si="16"/>
        <v>6</v>
      </c>
      <c r="AF91" s="37">
        <f t="shared" si="17"/>
        <v>7</v>
      </c>
      <c r="AG91" s="37">
        <f t="shared" si="18"/>
        <v>81</v>
      </c>
      <c r="AH91" s="37">
        <f t="shared" si="19"/>
        <v>29</v>
      </c>
      <c r="AI91" s="60">
        <f t="shared" si="24"/>
        <v>4</v>
      </c>
      <c r="AJ91" s="457"/>
      <c r="AK91" s="37">
        <f t="shared" si="20"/>
        <v>29</v>
      </c>
      <c r="AL91" s="37">
        <f t="shared" si="21"/>
        <v>2158</v>
      </c>
      <c r="AN91" s="60">
        <f t="shared" si="22"/>
        <v>126</v>
      </c>
      <c r="AO91" s="60">
        <f t="shared" si="23"/>
        <v>9494</v>
      </c>
      <c r="AP91" s="60"/>
    </row>
    <row r="92" spans="1:42" x14ac:dyDescent="0.2">
      <c r="A92" s="449">
        <v>43556</v>
      </c>
      <c r="B92" s="37">
        <v>8006</v>
      </c>
      <c r="C92" s="37">
        <v>1362</v>
      </c>
      <c r="D92" s="37">
        <v>6</v>
      </c>
      <c r="E92" s="37">
        <v>7</v>
      </c>
      <c r="F92" s="37">
        <v>81</v>
      </c>
      <c r="G92" s="37">
        <v>29</v>
      </c>
      <c r="H92" s="37"/>
      <c r="I92" s="457"/>
      <c r="J92" s="37">
        <v>30</v>
      </c>
      <c r="K92" s="37">
        <v>2158</v>
      </c>
      <c r="M92" s="441"/>
      <c r="N92" s="37">
        <v>1</v>
      </c>
      <c r="O92" s="37">
        <v>1</v>
      </c>
      <c r="P92" s="37">
        <v>1</v>
      </c>
      <c r="Q92" s="37"/>
      <c r="R92" s="441"/>
      <c r="S92" s="441"/>
      <c r="T92" s="441"/>
      <c r="U92" s="37">
        <v>1</v>
      </c>
      <c r="V92" s="441"/>
      <c r="W92" s="441"/>
      <c r="X92" s="60">
        <f t="shared" si="11"/>
        <v>1</v>
      </c>
      <c r="AB92" s="449">
        <v>43556</v>
      </c>
      <c r="AC92" s="37">
        <f t="shared" si="14"/>
        <v>8006</v>
      </c>
      <c r="AD92" s="37">
        <f t="shared" si="15"/>
        <v>1361.5</v>
      </c>
      <c r="AE92" s="37">
        <f t="shared" si="16"/>
        <v>6</v>
      </c>
      <c r="AF92" s="37">
        <f t="shared" si="17"/>
        <v>7</v>
      </c>
      <c r="AG92" s="37">
        <f t="shared" si="18"/>
        <v>81</v>
      </c>
      <c r="AH92" s="37">
        <f t="shared" si="19"/>
        <v>29</v>
      </c>
      <c r="AI92" s="60">
        <f t="shared" si="24"/>
        <v>4</v>
      </c>
      <c r="AJ92" s="457"/>
      <c r="AK92" s="37">
        <f t="shared" si="20"/>
        <v>29.5</v>
      </c>
      <c r="AL92" s="37">
        <f t="shared" si="21"/>
        <v>2158</v>
      </c>
      <c r="AN92" s="60">
        <f t="shared" si="22"/>
        <v>126</v>
      </c>
      <c r="AO92" s="60">
        <f t="shared" si="23"/>
        <v>9493.5</v>
      </c>
      <c r="AP92" s="60"/>
    </row>
    <row r="93" spans="1:42" x14ac:dyDescent="0.2">
      <c r="A93" s="449">
        <v>43586</v>
      </c>
      <c r="B93" s="37">
        <v>8006</v>
      </c>
      <c r="C93" s="37">
        <v>1360</v>
      </c>
      <c r="D93" s="37">
        <v>6</v>
      </c>
      <c r="E93" s="37">
        <v>7</v>
      </c>
      <c r="F93" s="37">
        <v>82</v>
      </c>
      <c r="G93" s="37">
        <v>29</v>
      </c>
      <c r="H93" s="37"/>
      <c r="I93" s="1">
        <v>1</v>
      </c>
      <c r="J93" s="37">
        <v>30</v>
      </c>
      <c r="K93" s="37">
        <v>2158</v>
      </c>
      <c r="M93" s="441"/>
      <c r="N93" s="37">
        <v>1</v>
      </c>
      <c r="O93" s="37">
        <v>1</v>
      </c>
      <c r="P93" s="37">
        <v>1</v>
      </c>
      <c r="Q93" s="37"/>
      <c r="R93" s="441"/>
      <c r="S93" s="441"/>
      <c r="T93" s="441"/>
      <c r="U93" s="37">
        <v>1</v>
      </c>
      <c r="V93" s="441"/>
      <c r="W93" s="441"/>
      <c r="X93" s="60">
        <f t="shared" si="11"/>
        <v>1</v>
      </c>
      <c r="AB93" s="449">
        <v>43586</v>
      </c>
      <c r="AC93" s="37">
        <f t="shared" si="14"/>
        <v>8006</v>
      </c>
      <c r="AD93" s="37">
        <f t="shared" si="15"/>
        <v>1361</v>
      </c>
      <c r="AE93" s="37">
        <f t="shared" si="16"/>
        <v>6</v>
      </c>
      <c r="AF93" s="37">
        <f t="shared" si="17"/>
        <v>7</v>
      </c>
      <c r="AG93" s="37">
        <f t="shared" si="18"/>
        <v>81.5</v>
      </c>
      <c r="AH93" s="37">
        <f t="shared" si="19"/>
        <v>29</v>
      </c>
      <c r="AI93" s="60">
        <f>+M93+N93+O93+P93</f>
        <v>3</v>
      </c>
      <c r="AJ93" s="60">
        <f>+U93</f>
        <v>1</v>
      </c>
      <c r="AK93" s="37">
        <f t="shared" si="20"/>
        <v>30</v>
      </c>
      <c r="AL93" s="37">
        <f t="shared" si="21"/>
        <v>2158</v>
      </c>
      <c r="AN93" s="60">
        <f>+AE93+AF93+AG93+AH93+AI93</f>
        <v>126.5</v>
      </c>
      <c r="AO93" s="60">
        <f t="shared" si="23"/>
        <v>9493.5</v>
      </c>
      <c r="AP93" s="60"/>
    </row>
    <row r="94" spans="1:42" s="457" customFormat="1" x14ac:dyDescent="0.2">
      <c r="A94" s="449">
        <v>43617</v>
      </c>
      <c r="B94" s="37">
        <v>8009</v>
      </c>
      <c r="C94" s="37">
        <v>1367</v>
      </c>
      <c r="D94" s="37">
        <v>6</v>
      </c>
      <c r="E94" s="37">
        <v>7</v>
      </c>
      <c r="F94" s="37">
        <v>82</v>
      </c>
      <c r="G94" s="37">
        <v>29</v>
      </c>
      <c r="H94" s="37"/>
      <c r="I94" s="1">
        <v>1</v>
      </c>
      <c r="J94" s="37">
        <v>30</v>
      </c>
      <c r="K94" s="37">
        <v>2158</v>
      </c>
      <c r="L94" s="1"/>
      <c r="M94" s="441"/>
      <c r="N94" s="37">
        <v>1</v>
      </c>
      <c r="O94" s="37">
        <v>1</v>
      </c>
      <c r="P94" s="37">
        <v>1</v>
      </c>
      <c r="Q94" s="37"/>
      <c r="R94" s="441"/>
      <c r="S94" s="441"/>
      <c r="T94" s="441"/>
      <c r="U94" s="37">
        <v>1</v>
      </c>
      <c r="V94" s="441"/>
      <c r="W94" s="441"/>
      <c r="X94" s="60">
        <f t="shared" si="11"/>
        <v>1</v>
      </c>
      <c r="AB94" s="449">
        <v>43617</v>
      </c>
      <c r="AC94" s="37">
        <f t="shared" si="14"/>
        <v>8007.5</v>
      </c>
      <c r="AD94" s="37">
        <f t="shared" si="15"/>
        <v>1363.5</v>
      </c>
      <c r="AE94" s="37">
        <f t="shared" si="16"/>
        <v>6</v>
      </c>
      <c r="AF94" s="37">
        <f t="shared" si="17"/>
        <v>7</v>
      </c>
      <c r="AG94" s="37">
        <f t="shared" si="18"/>
        <v>82</v>
      </c>
      <c r="AH94" s="37">
        <f t="shared" si="19"/>
        <v>29</v>
      </c>
      <c r="AI94" s="60">
        <f>+M94+N94+O94+P94</f>
        <v>3</v>
      </c>
      <c r="AJ94" s="60">
        <f>+U94</f>
        <v>1</v>
      </c>
      <c r="AK94" s="37">
        <f t="shared" si="20"/>
        <v>30</v>
      </c>
      <c r="AL94" s="37">
        <f t="shared" si="21"/>
        <v>2158</v>
      </c>
      <c r="AM94" s="1"/>
      <c r="AN94" s="60">
        <f>+AE94+AF94+AG94+AH94+AI94</f>
        <v>127</v>
      </c>
      <c r="AO94" s="60">
        <f t="shared" si="23"/>
        <v>9498</v>
      </c>
      <c r="AP94" s="60"/>
    </row>
    <row r="95" spans="1:42" x14ac:dyDescent="0.2">
      <c r="A95" s="449">
        <v>43647</v>
      </c>
      <c r="B95" s="37">
        <v>8009</v>
      </c>
      <c r="C95" s="37">
        <v>1368</v>
      </c>
      <c r="D95" s="37">
        <v>6</v>
      </c>
      <c r="E95" s="37">
        <v>7</v>
      </c>
      <c r="F95" s="37">
        <v>82</v>
      </c>
      <c r="G95" s="37">
        <v>29</v>
      </c>
      <c r="H95" s="37"/>
      <c r="I95" s="1">
        <v>1</v>
      </c>
      <c r="J95" s="37">
        <v>30</v>
      </c>
      <c r="K95" s="37">
        <v>2158</v>
      </c>
      <c r="M95" s="441"/>
      <c r="N95" s="441"/>
      <c r="O95" s="441"/>
      <c r="P95" s="37">
        <v>1</v>
      </c>
      <c r="Q95" s="37"/>
      <c r="R95" s="441"/>
      <c r="S95" s="441"/>
      <c r="T95" s="441"/>
      <c r="U95" s="37">
        <v>1</v>
      </c>
      <c r="V95" s="441"/>
      <c r="W95" s="441"/>
      <c r="X95" s="60">
        <f t="shared" si="11"/>
        <v>1</v>
      </c>
      <c r="AB95" s="449">
        <v>43647</v>
      </c>
      <c r="AC95" s="37">
        <f t="shared" ref="AC95:AC109" si="25">(B94+B95)/2</f>
        <v>8009</v>
      </c>
      <c r="AD95" s="37">
        <f t="shared" ref="AD95:AD109" si="26">(C94+C95)/2</f>
        <v>1367.5</v>
      </c>
      <c r="AE95" s="37">
        <f t="shared" ref="AE95:AE109" si="27">(D94+D95)/2</f>
        <v>6</v>
      </c>
      <c r="AF95" s="37">
        <f t="shared" ref="AF95:AF109" si="28">(E94+E95)/2</f>
        <v>7</v>
      </c>
      <c r="AG95" s="37">
        <f t="shared" ref="AG95:AG109" si="29">(F94+F95)/2</f>
        <v>82</v>
      </c>
      <c r="AH95" s="37">
        <f t="shared" ref="AH95:AH109" si="30">(G94+G95)/2</f>
        <v>29</v>
      </c>
      <c r="AI95" s="60">
        <f t="shared" ref="AI95:AI109" si="31">+M95+N95+O95+P95</f>
        <v>1</v>
      </c>
      <c r="AJ95" s="60">
        <f t="shared" ref="AJ95:AJ109" si="32">+U95</f>
        <v>1</v>
      </c>
      <c r="AK95" s="37">
        <f t="shared" ref="AK95:AK109" si="33">(J94+J95)/2</f>
        <v>30</v>
      </c>
      <c r="AL95" s="37">
        <f t="shared" ref="AL95:AL109" si="34">(K94+K95)/2</f>
        <v>2158</v>
      </c>
      <c r="AN95" s="60">
        <f t="shared" ref="AN95:AN109" si="35">+AE95+AF95+AG95+AH95+AI95</f>
        <v>125</v>
      </c>
      <c r="AO95" s="60">
        <f t="shared" ref="AO95:AO109" si="36">+AC95+AD95+AN95</f>
        <v>9501.5</v>
      </c>
    </row>
    <row r="96" spans="1:42" x14ac:dyDescent="0.2">
      <c r="A96" s="449">
        <v>43678</v>
      </c>
      <c r="B96" s="37">
        <v>8009</v>
      </c>
      <c r="C96" s="37">
        <v>1366</v>
      </c>
      <c r="D96" s="37">
        <v>6</v>
      </c>
      <c r="E96" s="37">
        <v>7</v>
      </c>
      <c r="F96" s="37">
        <v>82</v>
      </c>
      <c r="G96" s="37">
        <v>31</v>
      </c>
      <c r="H96" s="37"/>
      <c r="I96" s="1">
        <v>1</v>
      </c>
      <c r="J96" s="37">
        <v>30</v>
      </c>
      <c r="K96" s="37">
        <v>2158</v>
      </c>
      <c r="M96" s="441"/>
      <c r="N96" s="441"/>
      <c r="O96" s="441"/>
      <c r="P96" s="37">
        <v>1</v>
      </c>
      <c r="Q96" s="37"/>
      <c r="R96" s="441"/>
      <c r="S96" s="441"/>
      <c r="T96" s="441"/>
      <c r="U96" s="37">
        <v>1</v>
      </c>
      <c r="V96" s="441"/>
      <c r="W96" s="441"/>
      <c r="X96" s="60">
        <f t="shared" si="11"/>
        <v>1</v>
      </c>
      <c r="AB96" s="449">
        <v>43678</v>
      </c>
      <c r="AC96" s="37">
        <f t="shared" si="25"/>
        <v>8009</v>
      </c>
      <c r="AD96" s="37">
        <f t="shared" si="26"/>
        <v>1367</v>
      </c>
      <c r="AE96" s="37">
        <f t="shared" si="27"/>
        <v>6</v>
      </c>
      <c r="AF96" s="37">
        <f t="shared" si="28"/>
        <v>7</v>
      </c>
      <c r="AG96" s="37">
        <f t="shared" si="29"/>
        <v>82</v>
      </c>
      <c r="AH96" s="37">
        <f t="shared" si="30"/>
        <v>30</v>
      </c>
      <c r="AI96" s="60">
        <f t="shared" si="31"/>
        <v>1</v>
      </c>
      <c r="AJ96" s="60">
        <f t="shared" si="32"/>
        <v>1</v>
      </c>
      <c r="AK96" s="37">
        <f t="shared" si="33"/>
        <v>30</v>
      </c>
      <c r="AL96" s="37">
        <f t="shared" si="34"/>
        <v>2158</v>
      </c>
      <c r="AN96" s="60">
        <f t="shared" si="35"/>
        <v>126</v>
      </c>
      <c r="AO96" s="60">
        <f t="shared" si="36"/>
        <v>9502</v>
      </c>
    </row>
    <row r="97" spans="1:41" x14ac:dyDescent="0.2">
      <c r="A97" s="449">
        <v>43709</v>
      </c>
      <c r="B97" s="37">
        <v>8012</v>
      </c>
      <c r="C97" s="37">
        <v>1363</v>
      </c>
      <c r="D97" s="37">
        <v>6</v>
      </c>
      <c r="E97" s="37">
        <v>7</v>
      </c>
      <c r="F97" s="37">
        <v>82</v>
      </c>
      <c r="G97" s="37">
        <v>30</v>
      </c>
      <c r="H97" s="37"/>
      <c r="I97" s="1">
        <v>1</v>
      </c>
      <c r="J97" s="37">
        <v>30</v>
      </c>
      <c r="K97" s="37">
        <v>2148</v>
      </c>
      <c r="M97" s="441"/>
      <c r="N97" s="441"/>
      <c r="O97" s="441"/>
      <c r="P97" s="37">
        <v>1</v>
      </c>
      <c r="Q97" s="37"/>
      <c r="R97" s="441"/>
      <c r="S97" s="441"/>
      <c r="T97" s="441"/>
      <c r="U97" s="37">
        <v>1</v>
      </c>
      <c r="V97" s="441"/>
      <c r="W97" s="441"/>
      <c r="X97" s="60">
        <f t="shared" si="11"/>
        <v>1</v>
      </c>
      <c r="AB97" s="449">
        <v>43709</v>
      </c>
      <c r="AC97" s="37">
        <f t="shared" si="25"/>
        <v>8010.5</v>
      </c>
      <c r="AD97" s="37">
        <f t="shared" si="26"/>
        <v>1364.5</v>
      </c>
      <c r="AE97" s="37">
        <f t="shared" si="27"/>
        <v>6</v>
      </c>
      <c r="AF97" s="37">
        <f t="shared" si="28"/>
        <v>7</v>
      </c>
      <c r="AG97" s="37">
        <f t="shared" si="29"/>
        <v>82</v>
      </c>
      <c r="AH97" s="37">
        <f t="shared" si="30"/>
        <v>30.5</v>
      </c>
      <c r="AI97" s="60">
        <f t="shared" si="31"/>
        <v>1</v>
      </c>
      <c r="AJ97" s="60">
        <f t="shared" si="32"/>
        <v>1</v>
      </c>
      <c r="AK97" s="37">
        <f t="shared" si="33"/>
        <v>30</v>
      </c>
      <c r="AL97" s="37">
        <f t="shared" si="34"/>
        <v>2153</v>
      </c>
      <c r="AN97" s="60">
        <f t="shared" si="35"/>
        <v>126.5</v>
      </c>
      <c r="AO97" s="60">
        <f t="shared" si="36"/>
        <v>9501.5</v>
      </c>
    </row>
    <row r="98" spans="1:41" x14ac:dyDescent="0.2">
      <c r="A98" s="449">
        <v>43739</v>
      </c>
      <c r="B98" s="37">
        <v>8022</v>
      </c>
      <c r="C98" s="37">
        <v>1366</v>
      </c>
      <c r="D98" s="37">
        <v>6</v>
      </c>
      <c r="E98" s="37">
        <v>7</v>
      </c>
      <c r="F98" s="37">
        <v>82</v>
      </c>
      <c r="G98" s="37">
        <v>31</v>
      </c>
      <c r="H98" s="37"/>
      <c r="I98" s="1">
        <v>1</v>
      </c>
      <c r="J98" s="37">
        <v>30</v>
      </c>
      <c r="K98" s="37">
        <v>2148</v>
      </c>
      <c r="M98" s="441"/>
      <c r="N98" s="441"/>
      <c r="O98" s="441"/>
      <c r="P98" s="37">
        <v>1</v>
      </c>
      <c r="Q98" s="37"/>
      <c r="R98" s="441"/>
      <c r="S98" s="441"/>
      <c r="T98" s="441"/>
      <c r="U98" s="37">
        <v>1</v>
      </c>
      <c r="V98" s="441"/>
      <c r="W98" s="441"/>
      <c r="X98" s="60">
        <f t="shared" si="11"/>
        <v>1</v>
      </c>
      <c r="AB98" s="449">
        <v>43739</v>
      </c>
      <c r="AC98" s="37">
        <f t="shared" si="25"/>
        <v>8017</v>
      </c>
      <c r="AD98" s="37">
        <f t="shared" si="26"/>
        <v>1364.5</v>
      </c>
      <c r="AE98" s="37">
        <f t="shared" si="27"/>
        <v>6</v>
      </c>
      <c r="AF98" s="37">
        <f t="shared" si="28"/>
        <v>7</v>
      </c>
      <c r="AG98" s="37">
        <f t="shared" si="29"/>
        <v>82</v>
      </c>
      <c r="AH98" s="37">
        <f t="shared" si="30"/>
        <v>30.5</v>
      </c>
      <c r="AI98" s="60">
        <f t="shared" si="31"/>
        <v>1</v>
      </c>
      <c r="AJ98" s="60">
        <f t="shared" si="32"/>
        <v>1</v>
      </c>
      <c r="AK98" s="37">
        <f t="shared" si="33"/>
        <v>30</v>
      </c>
      <c r="AL98" s="37">
        <f t="shared" si="34"/>
        <v>2148</v>
      </c>
      <c r="AN98" s="60">
        <f t="shared" si="35"/>
        <v>126.5</v>
      </c>
      <c r="AO98" s="60">
        <f t="shared" si="36"/>
        <v>9508</v>
      </c>
    </row>
    <row r="99" spans="1:41" x14ac:dyDescent="0.2">
      <c r="A99" s="449">
        <v>43770</v>
      </c>
      <c r="B99" s="37">
        <v>8028</v>
      </c>
      <c r="C99" s="37">
        <v>1368</v>
      </c>
      <c r="D99" s="37">
        <v>6</v>
      </c>
      <c r="E99" s="37">
        <v>7</v>
      </c>
      <c r="F99" s="37">
        <v>81</v>
      </c>
      <c r="G99" s="37">
        <v>31</v>
      </c>
      <c r="H99" s="37"/>
      <c r="I99" s="1">
        <v>1</v>
      </c>
      <c r="J99" s="37">
        <v>30</v>
      </c>
      <c r="K99" s="37">
        <v>2148</v>
      </c>
      <c r="M99" s="441"/>
      <c r="N99" s="441"/>
      <c r="O99" s="441"/>
      <c r="P99" s="37">
        <v>1</v>
      </c>
      <c r="Q99" s="37"/>
      <c r="R99" s="441"/>
      <c r="S99" s="441"/>
      <c r="T99" s="441"/>
      <c r="U99" s="37">
        <v>1</v>
      </c>
      <c r="V99" s="441"/>
      <c r="W99" s="441"/>
      <c r="X99" s="60">
        <f t="shared" si="11"/>
        <v>1</v>
      </c>
      <c r="AB99" s="449">
        <v>43770</v>
      </c>
      <c r="AC99" s="37">
        <f t="shared" si="25"/>
        <v>8025</v>
      </c>
      <c r="AD99" s="37">
        <f t="shared" si="26"/>
        <v>1367</v>
      </c>
      <c r="AE99" s="37">
        <f t="shared" si="27"/>
        <v>6</v>
      </c>
      <c r="AF99" s="37">
        <f t="shared" si="28"/>
        <v>7</v>
      </c>
      <c r="AG99" s="37">
        <f t="shared" si="29"/>
        <v>81.5</v>
      </c>
      <c r="AH99" s="37">
        <f t="shared" si="30"/>
        <v>31</v>
      </c>
      <c r="AI99" s="60">
        <f t="shared" si="31"/>
        <v>1</v>
      </c>
      <c r="AJ99" s="60">
        <f t="shared" si="32"/>
        <v>1</v>
      </c>
      <c r="AK99" s="37">
        <f t="shared" si="33"/>
        <v>30</v>
      </c>
      <c r="AL99" s="37">
        <f t="shared" si="34"/>
        <v>2148</v>
      </c>
      <c r="AN99" s="60">
        <f t="shared" si="35"/>
        <v>126.5</v>
      </c>
      <c r="AO99" s="60">
        <f t="shared" si="36"/>
        <v>9518.5</v>
      </c>
    </row>
    <row r="100" spans="1:41" x14ac:dyDescent="0.2">
      <c r="A100" s="449">
        <v>43800</v>
      </c>
      <c r="B100" s="37">
        <v>8060</v>
      </c>
      <c r="C100" s="37">
        <v>1371</v>
      </c>
      <c r="D100" s="37">
        <v>6</v>
      </c>
      <c r="E100" s="37">
        <v>7</v>
      </c>
      <c r="F100" s="37">
        <v>81</v>
      </c>
      <c r="G100" s="37">
        <v>31</v>
      </c>
      <c r="H100" s="37"/>
      <c r="I100" s="1">
        <v>1</v>
      </c>
      <c r="J100" s="37">
        <v>30</v>
      </c>
      <c r="K100" s="37">
        <v>2148</v>
      </c>
      <c r="M100" s="441"/>
      <c r="N100" s="441"/>
      <c r="O100" s="441"/>
      <c r="P100" s="37">
        <v>1</v>
      </c>
      <c r="Q100" s="37"/>
      <c r="R100" s="441"/>
      <c r="S100" s="441"/>
      <c r="T100" s="441"/>
      <c r="U100" s="37">
        <v>1</v>
      </c>
      <c r="V100" s="441"/>
      <c r="W100" s="441"/>
      <c r="X100" s="60">
        <f t="shared" si="11"/>
        <v>1</v>
      </c>
      <c r="AB100" s="449">
        <v>43800</v>
      </c>
      <c r="AC100" s="37">
        <f t="shared" si="25"/>
        <v>8044</v>
      </c>
      <c r="AD100" s="37">
        <f t="shared" si="26"/>
        <v>1369.5</v>
      </c>
      <c r="AE100" s="37">
        <f t="shared" si="27"/>
        <v>6</v>
      </c>
      <c r="AF100" s="37">
        <f t="shared" si="28"/>
        <v>7</v>
      </c>
      <c r="AG100" s="37">
        <f t="shared" si="29"/>
        <v>81</v>
      </c>
      <c r="AH100" s="37">
        <f t="shared" si="30"/>
        <v>31</v>
      </c>
      <c r="AI100" s="60">
        <f t="shared" si="31"/>
        <v>1</v>
      </c>
      <c r="AJ100" s="60">
        <f t="shared" si="32"/>
        <v>1</v>
      </c>
      <c r="AK100" s="37">
        <f t="shared" si="33"/>
        <v>30</v>
      </c>
      <c r="AL100" s="37">
        <f t="shared" si="34"/>
        <v>2148</v>
      </c>
      <c r="AN100" s="60">
        <f t="shared" si="35"/>
        <v>126</v>
      </c>
      <c r="AO100" s="60">
        <f t="shared" si="36"/>
        <v>9539.5</v>
      </c>
    </row>
    <row r="101" spans="1:41" x14ac:dyDescent="0.2">
      <c r="A101" s="449">
        <v>43831</v>
      </c>
      <c r="B101" s="37">
        <v>8056</v>
      </c>
      <c r="C101" s="37">
        <v>1381</v>
      </c>
      <c r="D101" s="37">
        <v>6</v>
      </c>
      <c r="E101" s="37">
        <v>6</v>
      </c>
      <c r="F101" s="37">
        <v>41</v>
      </c>
      <c r="G101" s="37">
        <v>71</v>
      </c>
      <c r="H101" s="37"/>
      <c r="I101" s="1">
        <v>1</v>
      </c>
      <c r="J101" s="37">
        <v>30</v>
      </c>
      <c r="K101" s="37">
        <v>2148</v>
      </c>
      <c r="M101" s="441"/>
      <c r="N101" s="441"/>
      <c r="O101" s="441"/>
      <c r="P101" s="37">
        <v>1</v>
      </c>
      <c r="Q101" s="37"/>
      <c r="R101" s="441"/>
      <c r="S101" s="441"/>
      <c r="T101" s="441"/>
      <c r="U101" s="37">
        <v>1</v>
      </c>
      <c r="V101" s="441"/>
      <c r="W101" s="441"/>
      <c r="X101" s="60">
        <f t="shared" si="11"/>
        <v>1</v>
      </c>
      <c r="AB101" s="449">
        <v>43831</v>
      </c>
      <c r="AC101" s="37">
        <f t="shared" si="25"/>
        <v>8058</v>
      </c>
      <c r="AD101" s="37">
        <f t="shared" si="26"/>
        <v>1376</v>
      </c>
      <c r="AE101" s="37">
        <f t="shared" si="27"/>
        <v>6</v>
      </c>
      <c r="AF101" s="37">
        <f t="shared" si="28"/>
        <v>6.5</v>
      </c>
      <c r="AG101" s="37">
        <f t="shared" si="29"/>
        <v>61</v>
      </c>
      <c r="AH101" s="37">
        <f t="shared" si="30"/>
        <v>51</v>
      </c>
      <c r="AI101" s="60">
        <f t="shared" si="31"/>
        <v>1</v>
      </c>
      <c r="AJ101" s="60">
        <f t="shared" si="32"/>
        <v>1</v>
      </c>
      <c r="AK101" s="37">
        <f t="shared" si="33"/>
        <v>30</v>
      </c>
      <c r="AL101" s="37">
        <f t="shared" si="34"/>
        <v>2148</v>
      </c>
      <c r="AN101" s="60">
        <f t="shared" si="35"/>
        <v>125.5</v>
      </c>
      <c r="AO101" s="60">
        <f t="shared" si="36"/>
        <v>9559.5</v>
      </c>
    </row>
    <row r="102" spans="1:41" x14ac:dyDescent="0.2">
      <c r="A102" s="449">
        <v>43862</v>
      </c>
      <c r="B102" s="37">
        <v>8051</v>
      </c>
      <c r="C102" s="37">
        <v>1383</v>
      </c>
      <c r="D102" s="37">
        <v>6</v>
      </c>
      <c r="E102" s="37">
        <v>6</v>
      </c>
      <c r="F102" s="37">
        <v>41</v>
      </c>
      <c r="G102" s="37">
        <v>71</v>
      </c>
      <c r="H102" s="37"/>
      <c r="I102" s="1">
        <v>1</v>
      </c>
      <c r="J102" s="37">
        <v>30</v>
      </c>
      <c r="K102" s="37">
        <v>2148</v>
      </c>
      <c r="M102" s="441"/>
      <c r="N102" s="441"/>
      <c r="O102" s="441"/>
      <c r="P102" s="37">
        <v>1</v>
      </c>
      <c r="Q102" s="37"/>
      <c r="R102" s="441"/>
      <c r="S102" s="441"/>
      <c r="T102" s="441"/>
      <c r="U102" s="37">
        <v>1</v>
      </c>
      <c r="V102" s="441"/>
      <c r="W102" s="441"/>
      <c r="X102" s="60">
        <f t="shared" si="11"/>
        <v>1</v>
      </c>
      <c r="AB102" s="449">
        <v>43862</v>
      </c>
      <c r="AC102" s="37">
        <f t="shared" si="25"/>
        <v>8053.5</v>
      </c>
      <c r="AD102" s="37">
        <f t="shared" si="26"/>
        <v>1382</v>
      </c>
      <c r="AE102" s="37">
        <f t="shared" si="27"/>
        <v>6</v>
      </c>
      <c r="AF102" s="37">
        <f t="shared" si="28"/>
        <v>6</v>
      </c>
      <c r="AG102" s="37">
        <f t="shared" si="29"/>
        <v>41</v>
      </c>
      <c r="AH102" s="37">
        <f t="shared" si="30"/>
        <v>71</v>
      </c>
      <c r="AI102" s="60">
        <f t="shared" si="31"/>
        <v>1</v>
      </c>
      <c r="AJ102" s="60">
        <f t="shared" si="32"/>
        <v>1</v>
      </c>
      <c r="AK102" s="37">
        <f t="shared" si="33"/>
        <v>30</v>
      </c>
      <c r="AL102" s="37">
        <f t="shared" si="34"/>
        <v>2148</v>
      </c>
      <c r="AN102" s="60">
        <f t="shared" si="35"/>
        <v>125</v>
      </c>
      <c r="AO102" s="60">
        <f t="shared" si="36"/>
        <v>9560.5</v>
      </c>
    </row>
    <row r="103" spans="1:41" x14ac:dyDescent="0.2">
      <c r="A103" s="449">
        <v>43891</v>
      </c>
      <c r="B103" s="37">
        <v>8052</v>
      </c>
      <c r="C103" s="37">
        <v>1381</v>
      </c>
      <c r="D103" s="37">
        <v>6</v>
      </c>
      <c r="E103" s="37">
        <v>6</v>
      </c>
      <c r="F103" s="37">
        <v>41</v>
      </c>
      <c r="G103" s="37">
        <v>71</v>
      </c>
      <c r="H103" s="37"/>
      <c r="I103" s="1">
        <v>1</v>
      </c>
      <c r="J103" s="37">
        <v>30</v>
      </c>
      <c r="K103" s="37">
        <v>2148</v>
      </c>
      <c r="M103" s="441"/>
      <c r="N103" s="441"/>
      <c r="O103" s="441"/>
      <c r="P103" s="37">
        <v>1</v>
      </c>
      <c r="Q103" s="37"/>
      <c r="R103" s="441"/>
      <c r="S103" s="441"/>
      <c r="T103" s="441"/>
      <c r="U103" s="37">
        <v>1</v>
      </c>
      <c r="V103" s="441"/>
      <c r="W103" s="441"/>
      <c r="X103" s="60">
        <f t="shared" si="11"/>
        <v>1</v>
      </c>
      <c r="AB103" s="449">
        <v>43891</v>
      </c>
      <c r="AC103" s="37">
        <f t="shared" si="25"/>
        <v>8051.5</v>
      </c>
      <c r="AD103" s="37">
        <f t="shared" si="26"/>
        <v>1382</v>
      </c>
      <c r="AE103" s="37">
        <f t="shared" si="27"/>
        <v>6</v>
      </c>
      <c r="AF103" s="37">
        <f t="shared" si="28"/>
        <v>6</v>
      </c>
      <c r="AG103" s="37">
        <f t="shared" si="29"/>
        <v>41</v>
      </c>
      <c r="AH103" s="37">
        <f t="shared" si="30"/>
        <v>71</v>
      </c>
      <c r="AI103" s="60">
        <f t="shared" si="31"/>
        <v>1</v>
      </c>
      <c r="AJ103" s="60">
        <f t="shared" si="32"/>
        <v>1</v>
      </c>
      <c r="AK103" s="37">
        <f t="shared" si="33"/>
        <v>30</v>
      </c>
      <c r="AL103" s="37">
        <f t="shared" si="34"/>
        <v>2148</v>
      </c>
      <c r="AN103" s="60">
        <f t="shared" si="35"/>
        <v>125</v>
      </c>
      <c r="AO103" s="60">
        <f t="shared" si="36"/>
        <v>9558.5</v>
      </c>
    </row>
    <row r="104" spans="1:41" x14ac:dyDescent="0.2">
      <c r="A104" s="449">
        <v>43922</v>
      </c>
      <c r="B104" s="37">
        <v>8059</v>
      </c>
      <c r="C104" s="37">
        <v>1385</v>
      </c>
      <c r="D104" s="37">
        <v>6</v>
      </c>
      <c r="E104" s="37">
        <v>5</v>
      </c>
      <c r="F104" s="37">
        <v>41</v>
      </c>
      <c r="G104" s="37">
        <v>71</v>
      </c>
      <c r="H104" s="37"/>
      <c r="I104" s="1">
        <v>1</v>
      </c>
      <c r="J104" s="37">
        <v>30</v>
      </c>
      <c r="K104" s="37">
        <v>2148</v>
      </c>
      <c r="M104" s="441"/>
      <c r="N104" s="441"/>
      <c r="O104" s="441"/>
      <c r="P104" s="37">
        <v>1</v>
      </c>
      <c r="Q104" s="37"/>
      <c r="R104" s="441"/>
      <c r="S104" s="441"/>
      <c r="T104" s="441"/>
      <c r="U104" s="37">
        <v>1</v>
      </c>
      <c r="V104" s="441"/>
      <c r="W104" s="441"/>
      <c r="X104" s="60">
        <f t="shared" si="11"/>
        <v>1</v>
      </c>
      <c r="AB104" s="449">
        <v>43922</v>
      </c>
      <c r="AC104" s="37">
        <f t="shared" si="25"/>
        <v>8055.5</v>
      </c>
      <c r="AD104" s="37">
        <f t="shared" si="26"/>
        <v>1383</v>
      </c>
      <c r="AE104" s="37">
        <f t="shared" si="27"/>
        <v>6</v>
      </c>
      <c r="AF104" s="37">
        <f t="shared" si="28"/>
        <v>5.5</v>
      </c>
      <c r="AG104" s="37">
        <f t="shared" si="29"/>
        <v>41</v>
      </c>
      <c r="AH104" s="37">
        <f t="shared" si="30"/>
        <v>71</v>
      </c>
      <c r="AI104" s="60">
        <f t="shared" si="31"/>
        <v>1</v>
      </c>
      <c r="AJ104" s="60">
        <f t="shared" si="32"/>
        <v>1</v>
      </c>
      <c r="AK104" s="37">
        <f t="shared" si="33"/>
        <v>30</v>
      </c>
      <c r="AL104" s="37">
        <f t="shared" si="34"/>
        <v>2148</v>
      </c>
      <c r="AN104" s="60">
        <f t="shared" si="35"/>
        <v>124.5</v>
      </c>
      <c r="AO104" s="60">
        <f t="shared" si="36"/>
        <v>9563</v>
      </c>
    </row>
    <row r="105" spans="1:41" x14ac:dyDescent="0.2">
      <c r="A105" s="449">
        <v>43952</v>
      </c>
      <c r="B105" s="37">
        <v>8064</v>
      </c>
      <c r="C105" s="37">
        <v>1388</v>
      </c>
      <c r="D105" s="37">
        <v>6</v>
      </c>
      <c r="E105" s="37">
        <v>5</v>
      </c>
      <c r="F105" s="37">
        <v>41</v>
      </c>
      <c r="G105" s="37">
        <v>71</v>
      </c>
      <c r="H105" s="37"/>
      <c r="I105" s="1">
        <v>1</v>
      </c>
      <c r="J105" s="37">
        <v>30</v>
      </c>
      <c r="K105" s="37">
        <v>2148</v>
      </c>
      <c r="M105" s="441"/>
      <c r="N105" s="441"/>
      <c r="O105" s="441"/>
      <c r="P105" s="37">
        <v>1</v>
      </c>
      <c r="Q105" s="37"/>
      <c r="R105" s="441"/>
      <c r="S105" s="441"/>
      <c r="T105" s="441"/>
      <c r="U105" s="37">
        <v>1</v>
      </c>
      <c r="V105" s="441"/>
      <c r="W105" s="441"/>
      <c r="X105" s="60">
        <f t="shared" si="11"/>
        <v>1</v>
      </c>
      <c r="AB105" s="449">
        <v>43952</v>
      </c>
      <c r="AC105" s="37">
        <f t="shared" si="25"/>
        <v>8061.5</v>
      </c>
      <c r="AD105" s="37">
        <f t="shared" si="26"/>
        <v>1386.5</v>
      </c>
      <c r="AE105" s="37">
        <f t="shared" si="27"/>
        <v>6</v>
      </c>
      <c r="AF105" s="37">
        <f t="shared" si="28"/>
        <v>5</v>
      </c>
      <c r="AG105" s="37">
        <f t="shared" si="29"/>
        <v>41</v>
      </c>
      <c r="AH105" s="37">
        <f t="shared" si="30"/>
        <v>71</v>
      </c>
      <c r="AI105" s="60">
        <f t="shared" si="31"/>
        <v>1</v>
      </c>
      <c r="AJ105" s="60">
        <f t="shared" si="32"/>
        <v>1</v>
      </c>
      <c r="AK105" s="37">
        <f t="shared" si="33"/>
        <v>30</v>
      </c>
      <c r="AL105" s="37">
        <f t="shared" si="34"/>
        <v>2148</v>
      </c>
      <c r="AN105" s="60">
        <f t="shared" si="35"/>
        <v>124</v>
      </c>
      <c r="AO105" s="60">
        <f t="shared" si="36"/>
        <v>9572</v>
      </c>
    </row>
    <row r="106" spans="1:41" x14ac:dyDescent="0.2">
      <c r="A106" s="449">
        <v>43983</v>
      </c>
      <c r="B106" s="37">
        <v>8065</v>
      </c>
      <c r="C106" s="37">
        <v>1391</v>
      </c>
      <c r="D106" s="37">
        <v>6</v>
      </c>
      <c r="E106" s="37">
        <v>5</v>
      </c>
      <c r="F106" s="37">
        <v>37</v>
      </c>
      <c r="G106" s="37">
        <v>75</v>
      </c>
      <c r="H106" s="37"/>
      <c r="I106" s="1">
        <v>1</v>
      </c>
      <c r="J106" s="37">
        <v>30</v>
      </c>
      <c r="K106" s="37">
        <v>2148</v>
      </c>
      <c r="M106" s="441"/>
      <c r="N106" s="441"/>
      <c r="O106" s="441"/>
      <c r="P106" s="37">
        <v>1</v>
      </c>
      <c r="Q106" s="37"/>
      <c r="R106" s="441"/>
      <c r="S106" s="441"/>
      <c r="T106" s="441"/>
      <c r="U106" s="37">
        <v>1</v>
      </c>
      <c r="V106" s="441"/>
      <c r="W106" s="441"/>
      <c r="X106" s="60">
        <f t="shared" si="11"/>
        <v>1</v>
      </c>
      <c r="AB106" s="449">
        <v>43983</v>
      </c>
      <c r="AC106" s="37">
        <f t="shared" si="25"/>
        <v>8064.5</v>
      </c>
      <c r="AD106" s="37">
        <f t="shared" si="26"/>
        <v>1389.5</v>
      </c>
      <c r="AE106" s="37">
        <f t="shared" si="27"/>
        <v>6</v>
      </c>
      <c r="AF106" s="37">
        <f t="shared" si="28"/>
        <v>5</v>
      </c>
      <c r="AG106" s="37">
        <f t="shared" si="29"/>
        <v>39</v>
      </c>
      <c r="AH106" s="37">
        <f t="shared" si="30"/>
        <v>73</v>
      </c>
      <c r="AI106" s="60">
        <f t="shared" si="31"/>
        <v>1</v>
      </c>
      <c r="AJ106" s="60">
        <f t="shared" si="32"/>
        <v>1</v>
      </c>
      <c r="AK106" s="37">
        <f t="shared" si="33"/>
        <v>30</v>
      </c>
      <c r="AL106" s="37">
        <f t="shared" si="34"/>
        <v>2148</v>
      </c>
      <c r="AN106" s="60">
        <f t="shared" si="35"/>
        <v>124</v>
      </c>
      <c r="AO106" s="60">
        <f t="shared" si="36"/>
        <v>9578</v>
      </c>
    </row>
    <row r="107" spans="1:41" x14ac:dyDescent="0.2">
      <c r="A107" s="449">
        <v>44013</v>
      </c>
      <c r="B107" s="37">
        <v>8082</v>
      </c>
      <c r="C107" s="37">
        <v>1390</v>
      </c>
      <c r="D107" s="37">
        <v>6</v>
      </c>
      <c r="E107" s="37">
        <v>5</v>
      </c>
      <c r="F107" s="37">
        <v>28</v>
      </c>
      <c r="G107" s="37">
        <v>85</v>
      </c>
      <c r="H107" s="37"/>
      <c r="I107" s="1">
        <v>1</v>
      </c>
      <c r="J107" s="37">
        <v>30</v>
      </c>
      <c r="K107" s="37">
        <v>2148</v>
      </c>
      <c r="M107" s="441"/>
      <c r="N107" s="441"/>
      <c r="O107" s="37">
        <v>1</v>
      </c>
      <c r="P107" s="441"/>
      <c r="Q107" s="441"/>
      <c r="R107" s="441"/>
      <c r="S107" s="441"/>
      <c r="T107" s="441"/>
      <c r="U107" s="37">
        <v>1</v>
      </c>
      <c r="V107" s="441"/>
      <c r="W107" s="441"/>
      <c r="X107" s="60">
        <f t="shared" si="11"/>
        <v>1</v>
      </c>
      <c r="AB107" s="449">
        <v>44013</v>
      </c>
      <c r="AC107" s="37">
        <f t="shared" si="25"/>
        <v>8073.5</v>
      </c>
      <c r="AD107" s="37">
        <f t="shared" si="26"/>
        <v>1390.5</v>
      </c>
      <c r="AE107" s="37">
        <f t="shared" si="27"/>
        <v>6</v>
      </c>
      <c r="AF107" s="37">
        <f t="shared" si="28"/>
        <v>5</v>
      </c>
      <c r="AG107" s="37">
        <f t="shared" si="29"/>
        <v>32.5</v>
      </c>
      <c r="AH107" s="37">
        <f t="shared" si="30"/>
        <v>80</v>
      </c>
      <c r="AI107" s="60">
        <f t="shared" si="31"/>
        <v>1</v>
      </c>
      <c r="AJ107" s="60">
        <f t="shared" si="32"/>
        <v>1</v>
      </c>
      <c r="AK107" s="37">
        <f t="shared" si="33"/>
        <v>30</v>
      </c>
      <c r="AL107" s="37">
        <f t="shared" si="34"/>
        <v>2148</v>
      </c>
      <c r="AN107" s="60">
        <f t="shared" si="35"/>
        <v>124.5</v>
      </c>
      <c r="AO107" s="60">
        <f t="shared" si="36"/>
        <v>9588.5</v>
      </c>
    </row>
    <row r="108" spans="1:41" x14ac:dyDescent="0.2">
      <c r="A108" s="449">
        <v>44044</v>
      </c>
      <c r="B108" s="37">
        <v>8092</v>
      </c>
      <c r="C108" s="37">
        <v>1392</v>
      </c>
      <c r="D108" s="37">
        <v>6</v>
      </c>
      <c r="E108" s="37">
        <v>4</v>
      </c>
      <c r="F108" s="37">
        <v>25</v>
      </c>
      <c r="G108" s="37">
        <v>88</v>
      </c>
      <c r="H108" s="37"/>
      <c r="I108" s="1">
        <v>1</v>
      </c>
      <c r="J108" s="37">
        <v>30</v>
      </c>
      <c r="K108" s="37">
        <v>2148</v>
      </c>
      <c r="M108" s="441"/>
      <c r="N108" s="441"/>
      <c r="O108" s="37">
        <v>1</v>
      </c>
      <c r="P108" s="441"/>
      <c r="Q108" s="441"/>
      <c r="R108" s="441"/>
      <c r="S108" s="441"/>
      <c r="T108" s="441"/>
      <c r="U108" s="37">
        <v>1</v>
      </c>
      <c r="V108" s="441"/>
      <c r="W108" s="441"/>
      <c r="X108" s="60">
        <f t="shared" si="11"/>
        <v>1</v>
      </c>
      <c r="AB108" s="449">
        <v>44044</v>
      </c>
      <c r="AC108" s="37">
        <f t="shared" si="25"/>
        <v>8087</v>
      </c>
      <c r="AD108" s="37">
        <f t="shared" si="26"/>
        <v>1391</v>
      </c>
      <c r="AE108" s="37">
        <f t="shared" si="27"/>
        <v>6</v>
      </c>
      <c r="AF108" s="37">
        <f t="shared" si="28"/>
        <v>4.5</v>
      </c>
      <c r="AG108" s="37">
        <f t="shared" si="29"/>
        <v>26.5</v>
      </c>
      <c r="AH108" s="37">
        <f t="shared" si="30"/>
        <v>86.5</v>
      </c>
      <c r="AI108" s="60">
        <f t="shared" si="31"/>
        <v>1</v>
      </c>
      <c r="AJ108" s="60">
        <f t="shared" si="32"/>
        <v>1</v>
      </c>
      <c r="AK108" s="37">
        <f t="shared" si="33"/>
        <v>30</v>
      </c>
      <c r="AL108" s="37">
        <f t="shared" si="34"/>
        <v>2148</v>
      </c>
      <c r="AN108" s="60">
        <f t="shared" si="35"/>
        <v>124.5</v>
      </c>
      <c r="AO108" s="60">
        <f t="shared" si="36"/>
        <v>9602.5</v>
      </c>
    </row>
    <row r="109" spans="1:41" x14ac:dyDescent="0.2">
      <c r="A109" s="449">
        <v>44075</v>
      </c>
      <c r="B109" s="37">
        <v>8097</v>
      </c>
      <c r="C109" s="37">
        <v>1393</v>
      </c>
      <c r="D109" s="37">
        <v>6</v>
      </c>
      <c r="E109" s="37">
        <v>4</v>
      </c>
      <c r="F109" s="37">
        <v>8</v>
      </c>
      <c r="G109" s="37">
        <v>105</v>
      </c>
      <c r="H109" s="37"/>
      <c r="I109" s="1">
        <v>1</v>
      </c>
      <c r="J109" s="37">
        <v>30</v>
      </c>
      <c r="K109" s="37">
        <v>2148</v>
      </c>
      <c r="M109" s="441"/>
      <c r="N109" s="441"/>
      <c r="O109" s="37">
        <v>1</v>
      </c>
      <c r="P109" s="441"/>
      <c r="Q109" s="441"/>
      <c r="R109" s="441"/>
      <c r="S109" s="441"/>
      <c r="T109" s="441"/>
      <c r="U109" s="37">
        <v>1</v>
      </c>
      <c r="V109" s="441"/>
      <c r="W109" s="441"/>
      <c r="X109" s="60">
        <f>+U109+V109+W109</f>
        <v>1</v>
      </c>
      <c r="AB109" s="449">
        <v>44075</v>
      </c>
      <c r="AC109" s="37">
        <f t="shared" si="25"/>
        <v>8094.5</v>
      </c>
      <c r="AD109" s="37">
        <f t="shared" si="26"/>
        <v>1392.5</v>
      </c>
      <c r="AE109" s="37">
        <f t="shared" si="27"/>
        <v>6</v>
      </c>
      <c r="AF109" s="37">
        <f t="shared" si="28"/>
        <v>4</v>
      </c>
      <c r="AG109" s="37">
        <f t="shared" si="29"/>
        <v>16.5</v>
      </c>
      <c r="AH109" s="37">
        <f t="shared" si="30"/>
        <v>96.5</v>
      </c>
      <c r="AI109" s="60">
        <f t="shared" si="31"/>
        <v>1</v>
      </c>
      <c r="AJ109" s="60">
        <f t="shared" si="32"/>
        <v>1</v>
      </c>
      <c r="AK109" s="37">
        <f t="shared" si="33"/>
        <v>30</v>
      </c>
      <c r="AL109" s="37">
        <f t="shared" si="34"/>
        <v>2148</v>
      </c>
      <c r="AN109" s="60">
        <f t="shared" si="35"/>
        <v>124</v>
      </c>
      <c r="AO109" s="60">
        <f t="shared" si="36"/>
        <v>9611</v>
      </c>
    </row>
    <row r="110" spans="1:41" x14ac:dyDescent="0.2">
      <c r="A110" s="449">
        <v>44105</v>
      </c>
      <c r="B110" s="37">
        <v>8099</v>
      </c>
      <c r="C110" s="37">
        <v>1397</v>
      </c>
      <c r="D110" s="37">
        <v>6</v>
      </c>
      <c r="E110" s="37">
        <v>2</v>
      </c>
      <c r="F110" s="37">
        <v>4</v>
      </c>
      <c r="G110" s="37">
        <v>107</v>
      </c>
      <c r="H110" s="37"/>
      <c r="I110" s="1">
        <v>1</v>
      </c>
      <c r="J110" s="37">
        <v>30</v>
      </c>
      <c r="K110" s="37">
        <v>2148</v>
      </c>
      <c r="M110" s="441"/>
      <c r="N110" s="441"/>
      <c r="O110" s="37">
        <v>1</v>
      </c>
      <c r="P110" s="441"/>
      <c r="Q110" s="441"/>
      <c r="R110" s="441"/>
      <c r="S110" s="441"/>
      <c r="T110" s="441"/>
      <c r="U110" s="37">
        <v>1</v>
      </c>
      <c r="V110" s="441"/>
      <c r="W110" s="441"/>
      <c r="X110" s="60">
        <f t="shared" ref="X110:X136" si="37">+U110+V110+W110</f>
        <v>1</v>
      </c>
      <c r="AB110" s="449">
        <v>44105</v>
      </c>
      <c r="AC110" s="37">
        <f t="shared" ref="AC110:AC126" si="38">(B109+B110)/2</f>
        <v>8098</v>
      </c>
      <c r="AD110" s="37">
        <f t="shared" ref="AD110:AD126" si="39">(C109+C110)/2</f>
        <v>1395</v>
      </c>
      <c r="AE110" s="37">
        <f t="shared" ref="AE110:AE126" si="40">(D109+D110)/2</f>
        <v>6</v>
      </c>
      <c r="AF110" s="37">
        <f t="shared" ref="AF110:AF126" si="41">(E109+E110)/2</f>
        <v>3</v>
      </c>
      <c r="AG110" s="37">
        <f t="shared" ref="AG110:AG126" si="42">(F109+F110)/2</f>
        <v>6</v>
      </c>
      <c r="AH110" s="37">
        <f t="shared" ref="AH110:AH126" si="43">(G109+G110)/2</f>
        <v>106</v>
      </c>
      <c r="AI110" s="60">
        <f t="shared" ref="AI110:AI126" si="44">+M110+N110+O110+P110</f>
        <v>1</v>
      </c>
      <c r="AJ110" s="60">
        <f t="shared" ref="AJ110:AJ126" si="45">+U110</f>
        <v>1</v>
      </c>
      <c r="AK110" s="37">
        <f t="shared" ref="AK110:AK126" si="46">(J109+J110)/2</f>
        <v>30</v>
      </c>
      <c r="AL110" s="37">
        <f t="shared" ref="AL110:AL126" si="47">(K109+K110)/2</f>
        <v>2148</v>
      </c>
      <c r="AN110" s="60">
        <f t="shared" ref="AN110:AN126" si="48">+AE110+AF110+AG110+AH110+AI110</f>
        <v>122</v>
      </c>
      <c r="AO110" s="60">
        <f t="shared" ref="AO110:AO126" si="49">+AC110+AD110+AN110</f>
        <v>9615</v>
      </c>
    </row>
    <row r="111" spans="1:41" x14ac:dyDescent="0.2">
      <c r="A111" s="449">
        <v>44136</v>
      </c>
      <c r="B111" s="37">
        <v>8102</v>
      </c>
      <c r="C111" s="37">
        <v>1393</v>
      </c>
      <c r="D111" s="37">
        <v>6</v>
      </c>
      <c r="E111" s="37">
        <v>2</v>
      </c>
      <c r="F111" s="37">
        <v>4</v>
      </c>
      <c r="G111" s="37">
        <v>109</v>
      </c>
      <c r="H111" s="37"/>
      <c r="I111" s="1">
        <v>1</v>
      </c>
      <c r="J111" s="37">
        <v>30</v>
      </c>
      <c r="K111" s="37">
        <v>2148</v>
      </c>
      <c r="M111" s="441"/>
      <c r="N111" s="441"/>
      <c r="O111" s="37">
        <v>1</v>
      </c>
      <c r="P111" s="441"/>
      <c r="Q111" s="441"/>
      <c r="R111" s="441"/>
      <c r="S111" s="441"/>
      <c r="T111" s="441"/>
      <c r="U111" s="37">
        <v>1</v>
      </c>
      <c r="V111" s="441"/>
      <c r="W111" s="441"/>
      <c r="X111" s="60">
        <f t="shared" si="37"/>
        <v>1</v>
      </c>
      <c r="AB111" s="449">
        <v>44136</v>
      </c>
      <c r="AC111" s="37">
        <f t="shared" si="38"/>
        <v>8100.5</v>
      </c>
      <c r="AD111" s="37">
        <f t="shared" si="39"/>
        <v>1395</v>
      </c>
      <c r="AE111" s="37">
        <f t="shared" si="40"/>
        <v>6</v>
      </c>
      <c r="AF111" s="37">
        <f t="shared" si="41"/>
        <v>2</v>
      </c>
      <c r="AG111" s="37">
        <f t="shared" si="42"/>
        <v>4</v>
      </c>
      <c r="AH111" s="37">
        <f t="shared" si="43"/>
        <v>108</v>
      </c>
      <c r="AI111" s="60">
        <f t="shared" si="44"/>
        <v>1</v>
      </c>
      <c r="AJ111" s="60">
        <f t="shared" si="45"/>
        <v>1</v>
      </c>
      <c r="AK111" s="37">
        <f t="shared" si="46"/>
        <v>30</v>
      </c>
      <c r="AL111" s="37">
        <f t="shared" si="47"/>
        <v>2148</v>
      </c>
      <c r="AN111" s="60">
        <f t="shared" si="48"/>
        <v>121</v>
      </c>
      <c r="AO111" s="60">
        <f t="shared" si="49"/>
        <v>9616.5</v>
      </c>
    </row>
    <row r="112" spans="1:41" x14ac:dyDescent="0.2">
      <c r="A112" s="449">
        <v>44166</v>
      </c>
      <c r="B112" s="37">
        <v>8115</v>
      </c>
      <c r="C112" s="37">
        <v>1393</v>
      </c>
      <c r="D112" s="37">
        <v>6</v>
      </c>
      <c r="E112" s="37">
        <v>2</v>
      </c>
      <c r="F112" s="37">
        <v>0</v>
      </c>
      <c r="G112" s="37">
        <v>114</v>
      </c>
      <c r="H112" s="37"/>
      <c r="I112" s="1">
        <v>1</v>
      </c>
      <c r="J112" s="37">
        <v>31</v>
      </c>
      <c r="K112" s="37">
        <v>2148</v>
      </c>
      <c r="M112" s="441"/>
      <c r="N112" s="441"/>
      <c r="O112" s="37">
        <v>1</v>
      </c>
      <c r="P112" s="441"/>
      <c r="Q112" s="441"/>
      <c r="R112" s="441"/>
      <c r="S112" s="441"/>
      <c r="T112" s="441"/>
      <c r="U112" s="37">
        <v>1</v>
      </c>
      <c r="V112" s="441"/>
      <c r="W112" s="441"/>
      <c r="X112" s="60">
        <f t="shared" si="37"/>
        <v>1</v>
      </c>
      <c r="AB112" s="449">
        <v>44166</v>
      </c>
      <c r="AC112" s="37">
        <f t="shared" si="38"/>
        <v>8108.5</v>
      </c>
      <c r="AD112" s="37">
        <f t="shared" si="39"/>
        <v>1393</v>
      </c>
      <c r="AE112" s="37">
        <f t="shared" si="40"/>
        <v>6</v>
      </c>
      <c r="AF112" s="37">
        <f t="shared" si="41"/>
        <v>2</v>
      </c>
      <c r="AG112" s="37">
        <f t="shared" si="42"/>
        <v>2</v>
      </c>
      <c r="AH112" s="37">
        <f t="shared" si="43"/>
        <v>111.5</v>
      </c>
      <c r="AI112" s="60">
        <f t="shared" si="44"/>
        <v>1</v>
      </c>
      <c r="AJ112" s="60">
        <f t="shared" si="45"/>
        <v>1</v>
      </c>
      <c r="AK112" s="37">
        <f t="shared" si="46"/>
        <v>30.5</v>
      </c>
      <c r="AL112" s="37">
        <f t="shared" si="47"/>
        <v>2148</v>
      </c>
      <c r="AN112" s="60">
        <f t="shared" si="48"/>
        <v>122.5</v>
      </c>
      <c r="AO112" s="60">
        <f t="shared" si="49"/>
        <v>9624</v>
      </c>
    </row>
    <row r="113" spans="1:41" x14ac:dyDescent="0.2">
      <c r="A113" s="449">
        <v>44197</v>
      </c>
      <c r="B113" s="37">
        <v>8124</v>
      </c>
      <c r="C113" s="37">
        <v>1400</v>
      </c>
      <c r="D113" s="37">
        <v>6</v>
      </c>
      <c r="E113" s="37">
        <v>2</v>
      </c>
      <c r="F113" s="37">
        <v>0</v>
      </c>
      <c r="G113" s="37">
        <v>114</v>
      </c>
      <c r="H113" s="37"/>
      <c r="I113" s="1">
        <v>1</v>
      </c>
      <c r="J113" s="37">
        <v>31</v>
      </c>
      <c r="K113" s="37">
        <v>2237</v>
      </c>
      <c r="M113" s="441"/>
      <c r="N113" s="441"/>
      <c r="O113" s="37">
        <v>1</v>
      </c>
      <c r="P113" s="441"/>
      <c r="Q113" s="441"/>
      <c r="R113" s="441"/>
      <c r="S113" s="441"/>
      <c r="T113" s="441"/>
      <c r="U113" s="37">
        <v>1</v>
      </c>
      <c r="V113" s="441"/>
      <c r="W113" s="441"/>
      <c r="X113" s="60">
        <f t="shared" si="37"/>
        <v>1</v>
      </c>
      <c r="AB113" s="449">
        <v>44197</v>
      </c>
      <c r="AC113" s="37">
        <f t="shared" si="38"/>
        <v>8119.5</v>
      </c>
      <c r="AD113" s="37">
        <f t="shared" si="39"/>
        <v>1396.5</v>
      </c>
      <c r="AE113" s="37">
        <f t="shared" si="40"/>
        <v>6</v>
      </c>
      <c r="AF113" s="37">
        <f t="shared" si="41"/>
        <v>2</v>
      </c>
      <c r="AG113" s="37">
        <f t="shared" si="42"/>
        <v>0</v>
      </c>
      <c r="AH113" s="37">
        <f t="shared" si="43"/>
        <v>114</v>
      </c>
      <c r="AI113" s="60">
        <f t="shared" si="44"/>
        <v>1</v>
      </c>
      <c r="AJ113" s="60">
        <f t="shared" si="45"/>
        <v>1</v>
      </c>
      <c r="AK113" s="37">
        <f t="shared" si="46"/>
        <v>31</v>
      </c>
      <c r="AL113" s="37">
        <f t="shared" si="47"/>
        <v>2192.5</v>
      </c>
      <c r="AN113" s="60">
        <f t="shared" si="48"/>
        <v>123</v>
      </c>
      <c r="AO113" s="60">
        <f t="shared" si="49"/>
        <v>9639</v>
      </c>
    </row>
    <row r="114" spans="1:41" x14ac:dyDescent="0.2">
      <c r="A114" s="449">
        <v>44228</v>
      </c>
      <c r="B114" s="37">
        <v>8124</v>
      </c>
      <c r="C114" s="37">
        <v>1401</v>
      </c>
      <c r="D114" s="37">
        <v>6</v>
      </c>
      <c r="E114" s="37">
        <v>2</v>
      </c>
      <c r="F114" s="37">
        <v>0</v>
      </c>
      <c r="G114" s="37">
        <v>114</v>
      </c>
      <c r="H114" s="37"/>
      <c r="I114" s="1">
        <v>1</v>
      </c>
      <c r="J114" s="37">
        <v>30</v>
      </c>
      <c r="K114" s="37">
        <v>2237</v>
      </c>
      <c r="M114" s="441"/>
      <c r="N114" s="441"/>
      <c r="O114" s="37">
        <v>1</v>
      </c>
      <c r="P114" s="441"/>
      <c r="Q114" s="441"/>
      <c r="R114" s="441"/>
      <c r="S114" s="441"/>
      <c r="T114" s="441"/>
      <c r="U114" s="37">
        <v>1</v>
      </c>
      <c r="V114" s="441"/>
      <c r="W114" s="441"/>
      <c r="X114" s="60">
        <f t="shared" si="37"/>
        <v>1</v>
      </c>
      <c r="AB114" s="449">
        <v>44228</v>
      </c>
      <c r="AC114" s="37">
        <f t="shared" si="38"/>
        <v>8124</v>
      </c>
      <c r="AD114" s="37">
        <f t="shared" si="39"/>
        <v>1400.5</v>
      </c>
      <c r="AE114" s="37">
        <f t="shared" si="40"/>
        <v>6</v>
      </c>
      <c r="AF114" s="37">
        <f t="shared" si="41"/>
        <v>2</v>
      </c>
      <c r="AG114" s="37">
        <f t="shared" si="42"/>
        <v>0</v>
      </c>
      <c r="AH114" s="37">
        <f t="shared" si="43"/>
        <v>114</v>
      </c>
      <c r="AI114" s="60">
        <f t="shared" si="44"/>
        <v>1</v>
      </c>
      <c r="AJ114" s="60">
        <f t="shared" si="45"/>
        <v>1</v>
      </c>
      <c r="AK114" s="37">
        <f t="shared" si="46"/>
        <v>30.5</v>
      </c>
      <c r="AL114" s="37">
        <f t="shared" si="47"/>
        <v>2237</v>
      </c>
      <c r="AN114" s="60">
        <f t="shared" si="48"/>
        <v>123</v>
      </c>
      <c r="AO114" s="60">
        <f t="shared" si="49"/>
        <v>9647.5</v>
      </c>
    </row>
    <row r="115" spans="1:41" x14ac:dyDescent="0.2">
      <c r="A115" s="449">
        <v>44256</v>
      </c>
      <c r="B115" s="37">
        <v>8132</v>
      </c>
      <c r="C115" s="37">
        <v>1401</v>
      </c>
      <c r="D115" s="37">
        <v>6</v>
      </c>
      <c r="E115" s="37">
        <v>2</v>
      </c>
      <c r="F115" s="37">
        <v>0</v>
      </c>
      <c r="G115" s="37">
        <v>116</v>
      </c>
      <c r="H115" s="37"/>
      <c r="I115" s="1">
        <v>1</v>
      </c>
      <c r="J115" s="37">
        <v>30</v>
      </c>
      <c r="K115" s="37">
        <v>2237</v>
      </c>
      <c r="M115" s="441"/>
      <c r="N115" s="441"/>
      <c r="O115" s="37">
        <v>1</v>
      </c>
      <c r="P115" s="441"/>
      <c r="Q115" s="441"/>
      <c r="R115" s="441"/>
      <c r="S115" s="441"/>
      <c r="T115" s="441"/>
      <c r="U115" s="37">
        <v>1</v>
      </c>
      <c r="V115" s="441"/>
      <c r="W115" s="441"/>
      <c r="X115" s="60">
        <f t="shared" si="37"/>
        <v>1</v>
      </c>
      <c r="AB115" s="449">
        <v>44256</v>
      </c>
      <c r="AC115" s="37">
        <f t="shared" si="38"/>
        <v>8128</v>
      </c>
      <c r="AD115" s="37">
        <f t="shared" si="39"/>
        <v>1401</v>
      </c>
      <c r="AE115" s="37">
        <f t="shared" si="40"/>
        <v>6</v>
      </c>
      <c r="AF115" s="37">
        <f t="shared" si="41"/>
        <v>2</v>
      </c>
      <c r="AG115" s="37">
        <f t="shared" si="42"/>
        <v>0</v>
      </c>
      <c r="AH115" s="37">
        <f t="shared" si="43"/>
        <v>115</v>
      </c>
      <c r="AI115" s="60">
        <f t="shared" si="44"/>
        <v>1</v>
      </c>
      <c r="AJ115" s="60">
        <f t="shared" si="45"/>
        <v>1</v>
      </c>
      <c r="AK115" s="37">
        <f t="shared" si="46"/>
        <v>30</v>
      </c>
      <c r="AL115" s="37">
        <f t="shared" si="47"/>
        <v>2237</v>
      </c>
      <c r="AN115" s="60">
        <f t="shared" si="48"/>
        <v>124</v>
      </c>
      <c r="AO115" s="60">
        <f t="shared" si="49"/>
        <v>9653</v>
      </c>
    </row>
    <row r="116" spans="1:41" x14ac:dyDescent="0.2">
      <c r="A116" s="449">
        <v>44287</v>
      </c>
      <c r="B116" s="37">
        <v>8134</v>
      </c>
      <c r="C116" s="37">
        <v>1397</v>
      </c>
      <c r="D116" s="37">
        <v>6</v>
      </c>
      <c r="E116" s="37">
        <v>2</v>
      </c>
      <c r="F116" s="37">
        <v>0</v>
      </c>
      <c r="G116" s="37">
        <v>116</v>
      </c>
      <c r="H116" s="37"/>
      <c r="I116" s="1">
        <v>1</v>
      </c>
      <c r="J116" s="37">
        <v>30</v>
      </c>
      <c r="K116" s="37">
        <v>2254</v>
      </c>
      <c r="M116" s="441"/>
      <c r="N116" s="441"/>
      <c r="O116" s="37">
        <v>1</v>
      </c>
      <c r="P116" s="441"/>
      <c r="Q116" s="441"/>
      <c r="R116" s="441"/>
      <c r="S116" s="441"/>
      <c r="T116" s="441"/>
      <c r="U116" s="37">
        <v>1</v>
      </c>
      <c r="V116" s="441"/>
      <c r="W116" s="441"/>
      <c r="X116" s="60">
        <f t="shared" si="37"/>
        <v>1</v>
      </c>
      <c r="AB116" s="449">
        <v>44287</v>
      </c>
      <c r="AC116" s="37">
        <f t="shared" si="38"/>
        <v>8133</v>
      </c>
      <c r="AD116" s="37">
        <f t="shared" si="39"/>
        <v>1399</v>
      </c>
      <c r="AE116" s="37">
        <f t="shared" si="40"/>
        <v>6</v>
      </c>
      <c r="AF116" s="37">
        <f t="shared" si="41"/>
        <v>2</v>
      </c>
      <c r="AG116" s="37">
        <f t="shared" si="42"/>
        <v>0</v>
      </c>
      <c r="AH116" s="37">
        <f t="shared" si="43"/>
        <v>116</v>
      </c>
      <c r="AI116" s="60">
        <f t="shared" si="44"/>
        <v>1</v>
      </c>
      <c r="AJ116" s="60">
        <f t="shared" si="45"/>
        <v>1</v>
      </c>
      <c r="AK116" s="37">
        <f t="shared" si="46"/>
        <v>30</v>
      </c>
      <c r="AL116" s="37">
        <f t="shared" si="47"/>
        <v>2245.5</v>
      </c>
      <c r="AN116" s="60">
        <f t="shared" si="48"/>
        <v>125</v>
      </c>
      <c r="AO116" s="60">
        <f t="shared" si="49"/>
        <v>9657</v>
      </c>
    </row>
    <row r="117" spans="1:41" x14ac:dyDescent="0.2">
      <c r="A117" s="449">
        <v>44317</v>
      </c>
      <c r="B117" s="37">
        <v>8135</v>
      </c>
      <c r="C117" s="37">
        <v>1400</v>
      </c>
      <c r="D117" s="37">
        <v>6</v>
      </c>
      <c r="E117" s="37">
        <v>2</v>
      </c>
      <c r="F117" s="37">
        <v>0</v>
      </c>
      <c r="G117" s="37">
        <v>116</v>
      </c>
      <c r="H117" s="37"/>
      <c r="I117" s="1">
        <v>1</v>
      </c>
      <c r="J117" s="37">
        <v>30</v>
      </c>
      <c r="K117" s="37">
        <v>2254</v>
      </c>
      <c r="M117" s="441"/>
      <c r="N117" s="441"/>
      <c r="O117" s="37">
        <v>1</v>
      </c>
      <c r="P117" s="441"/>
      <c r="Q117" s="441"/>
      <c r="R117" s="441"/>
      <c r="S117" s="441"/>
      <c r="T117" s="441"/>
      <c r="U117" s="37">
        <v>1</v>
      </c>
      <c r="V117" s="441"/>
      <c r="W117" s="441"/>
      <c r="X117" s="60">
        <f t="shared" si="37"/>
        <v>1</v>
      </c>
      <c r="AB117" s="449">
        <v>44317</v>
      </c>
      <c r="AC117" s="37">
        <f t="shared" si="38"/>
        <v>8134.5</v>
      </c>
      <c r="AD117" s="37">
        <f t="shared" si="39"/>
        <v>1398.5</v>
      </c>
      <c r="AE117" s="37">
        <f t="shared" si="40"/>
        <v>6</v>
      </c>
      <c r="AF117" s="37">
        <f t="shared" si="41"/>
        <v>2</v>
      </c>
      <c r="AG117" s="37">
        <f t="shared" si="42"/>
        <v>0</v>
      </c>
      <c r="AH117" s="37">
        <f t="shared" si="43"/>
        <v>116</v>
      </c>
      <c r="AI117" s="60">
        <f t="shared" si="44"/>
        <v>1</v>
      </c>
      <c r="AJ117" s="60">
        <f t="shared" si="45"/>
        <v>1</v>
      </c>
      <c r="AK117" s="37">
        <f t="shared" si="46"/>
        <v>30</v>
      </c>
      <c r="AL117" s="37">
        <f t="shared" si="47"/>
        <v>2254</v>
      </c>
      <c r="AN117" s="60">
        <f t="shared" si="48"/>
        <v>125</v>
      </c>
      <c r="AO117" s="60">
        <f t="shared" si="49"/>
        <v>9658</v>
      </c>
    </row>
    <row r="118" spans="1:41" x14ac:dyDescent="0.2">
      <c r="A118" s="449">
        <v>44348</v>
      </c>
      <c r="B118" s="37">
        <v>8089</v>
      </c>
      <c r="C118" s="37">
        <v>1458</v>
      </c>
      <c r="D118" s="37">
        <v>6</v>
      </c>
      <c r="E118" s="37">
        <v>2</v>
      </c>
      <c r="F118" s="37">
        <v>0</v>
      </c>
      <c r="G118" s="37">
        <v>115</v>
      </c>
      <c r="H118" s="37"/>
      <c r="I118" s="1">
        <v>1</v>
      </c>
      <c r="J118" s="37">
        <v>30</v>
      </c>
      <c r="K118" s="37">
        <v>2254</v>
      </c>
      <c r="M118" s="441"/>
      <c r="N118" s="441"/>
      <c r="O118" s="37">
        <v>1</v>
      </c>
      <c r="P118" s="441"/>
      <c r="Q118" s="441"/>
      <c r="R118" s="441"/>
      <c r="S118" s="441"/>
      <c r="T118" s="441"/>
      <c r="U118" s="37">
        <v>1</v>
      </c>
      <c r="V118" s="441"/>
      <c r="W118" s="441"/>
      <c r="X118" s="60">
        <f t="shared" si="37"/>
        <v>1</v>
      </c>
      <c r="AB118" s="449">
        <v>44348</v>
      </c>
      <c r="AC118" s="37">
        <f t="shared" si="38"/>
        <v>8112</v>
      </c>
      <c r="AD118" s="37">
        <f t="shared" si="39"/>
        <v>1429</v>
      </c>
      <c r="AE118" s="37">
        <f t="shared" si="40"/>
        <v>6</v>
      </c>
      <c r="AF118" s="37">
        <f t="shared" si="41"/>
        <v>2</v>
      </c>
      <c r="AG118" s="37">
        <f t="shared" si="42"/>
        <v>0</v>
      </c>
      <c r="AH118" s="37">
        <f t="shared" si="43"/>
        <v>115.5</v>
      </c>
      <c r="AI118" s="60">
        <f t="shared" si="44"/>
        <v>1</v>
      </c>
      <c r="AJ118" s="60">
        <f t="shared" si="45"/>
        <v>1</v>
      </c>
      <c r="AK118" s="37">
        <f t="shared" si="46"/>
        <v>30</v>
      </c>
      <c r="AL118" s="37">
        <f t="shared" si="47"/>
        <v>2254</v>
      </c>
      <c r="AN118" s="60">
        <f t="shared" si="48"/>
        <v>124.5</v>
      </c>
      <c r="AO118" s="60">
        <f t="shared" si="49"/>
        <v>9665.5</v>
      </c>
    </row>
    <row r="119" spans="1:41" x14ac:dyDescent="0.2">
      <c r="A119" s="449">
        <v>44378</v>
      </c>
      <c r="B119" s="37">
        <v>8100</v>
      </c>
      <c r="C119" s="37">
        <v>1460</v>
      </c>
      <c r="D119" s="37">
        <v>6</v>
      </c>
      <c r="E119" s="37">
        <v>2</v>
      </c>
      <c r="F119" s="37">
        <v>0</v>
      </c>
      <c r="G119" s="37">
        <v>116</v>
      </c>
      <c r="H119" s="37"/>
      <c r="I119" s="1">
        <v>1</v>
      </c>
      <c r="J119" s="37">
        <v>30</v>
      </c>
      <c r="K119" s="37">
        <v>2254</v>
      </c>
      <c r="M119" s="441"/>
      <c r="N119" s="1">
        <v>1</v>
      </c>
      <c r="O119" s="37">
        <v>1</v>
      </c>
      <c r="P119" s="441"/>
      <c r="Q119" s="441"/>
      <c r="R119" s="441"/>
      <c r="S119" s="441"/>
      <c r="T119" s="441"/>
      <c r="U119" s="37">
        <v>1</v>
      </c>
      <c r="V119" s="441"/>
      <c r="W119" s="441"/>
      <c r="X119" s="60">
        <f t="shared" si="37"/>
        <v>1</v>
      </c>
      <c r="AB119" s="449">
        <v>44378</v>
      </c>
      <c r="AC119" s="37">
        <f t="shared" si="38"/>
        <v>8094.5</v>
      </c>
      <c r="AD119" s="37">
        <f t="shared" si="39"/>
        <v>1459</v>
      </c>
      <c r="AE119" s="37">
        <f t="shared" si="40"/>
        <v>6</v>
      </c>
      <c r="AF119" s="37">
        <f t="shared" si="41"/>
        <v>2</v>
      </c>
      <c r="AG119" s="37">
        <f t="shared" si="42"/>
        <v>0</v>
      </c>
      <c r="AH119" s="37">
        <f t="shared" si="43"/>
        <v>115.5</v>
      </c>
      <c r="AI119" s="60">
        <f t="shared" si="44"/>
        <v>2</v>
      </c>
      <c r="AJ119" s="60">
        <f t="shared" si="45"/>
        <v>1</v>
      </c>
      <c r="AK119" s="37">
        <f t="shared" si="46"/>
        <v>30</v>
      </c>
      <c r="AL119" s="37">
        <f t="shared" si="47"/>
        <v>2254</v>
      </c>
      <c r="AN119" s="60">
        <f t="shared" si="48"/>
        <v>125.5</v>
      </c>
      <c r="AO119" s="60">
        <f t="shared" si="49"/>
        <v>9679</v>
      </c>
    </row>
    <row r="120" spans="1:41" x14ac:dyDescent="0.2">
      <c r="A120" s="449">
        <v>44409</v>
      </c>
      <c r="B120" s="37">
        <v>8101</v>
      </c>
      <c r="C120" s="37">
        <v>1469</v>
      </c>
      <c r="D120" s="37">
        <v>6</v>
      </c>
      <c r="E120" s="37">
        <v>2</v>
      </c>
      <c r="F120" s="37">
        <v>0</v>
      </c>
      <c r="G120" s="37">
        <v>115</v>
      </c>
      <c r="H120" s="37"/>
      <c r="I120" s="1">
        <v>1</v>
      </c>
      <c r="J120" s="37">
        <v>30</v>
      </c>
      <c r="K120" s="37">
        <v>2254</v>
      </c>
      <c r="M120" s="441"/>
      <c r="N120" s="1">
        <v>1</v>
      </c>
      <c r="O120" s="37">
        <v>1</v>
      </c>
      <c r="P120" s="441"/>
      <c r="Q120" s="441"/>
      <c r="R120" s="441"/>
      <c r="S120" s="441"/>
      <c r="T120" s="441"/>
      <c r="U120" s="37">
        <v>1</v>
      </c>
      <c r="V120" s="441"/>
      <c r="W120" s="441"/>
      <c r="X120" s="60">
        <f t="shared" si="37"/>
        <v>1</v>
      </c>
      <c r="AB120" s="449">
        <v>44409</v>
      </c>
      <c r="AC120" s="37">
        <f t="shared" si="38"/>
        <v>8100.5</v>
      </c>
      <c r="AD120" s="37">
        <f t="shared" si="39"/>
        <v>1464.5</v>
      </c>
      <c r="AE120" s="37">
        <f t="shared" si="40"/>
        <v>6</v>
      </c>
      <c r="AF120" s="37">
        <f t="shared" si="41"/>
        <v>2</v>
      </c>
      <c r="AG120" s="37">
        <f t="shared" si="42"/>
        <v>0</v>
      </c>
      <c r="AH120" s="37">
        <f t="shared" si="43"/>
        <v>115.5</v>
      </c>
      <c r="AI120" s="60">
        <f t="shared" si="44"/>
        <v>2</v>
      </c>
      <c r="AJ120" s="60">
        <f t="shared" si="45"/>
        <v>1</v>
      </c>
      <c r="AK120" s="37">
        <f t="shared" si="46"/>
        <v>30</v>
      </c>
      <c r="AL120" s="37">
        <f t="shared" si="47"/>
        <v>2254</v>
      </c>
      <c r="AN120" s="60">
        <f t="shared" si="48"/>
        <v>125.5</v>
      </c>
      <c r="AO120" s="60">
        <f t="shared" si="49"/>
        <v>9690.5</v>
      </c>
    </row>
    <row r="121" spans="1:41" x14ac:dyDescent="0.2">
      <c r="A121" s="449">
        <v>44440</v>
      </c>
      <c r="B121" s="37">
        <v>8105</v>
      </c>
      <c r="C121" s="37">
        <v>1472</v>
      </c>
      <c r="D121" s="37">
        <v>6</v>
      </c>
      <c r="E121" s="37">
        <v>2</v>
      </c>
      <c r="F121" s="37">
        <v>0</v>
      </c>
      <c r="G121" s="37">
        <v>115</v>
      </c>
      <c r="H121" s="37"/>
      <c r="I121" s="1">
        <v>1</v>
      </c>
      <c r="J121" s="37">
        <v>34</v>
      </c>
      <c r="K121" s="37">
        <v>2254</v>
      </c>
      <c r="M121" s="441"/>
      <c r="N121" s="1">
        <v>1</v>
      </c>
      <c r="O121" s="37">
        <v>1</v>
      </c>
      <c r="P121" s="441"/>
      <c r="Q121" s="441"/>
      <c r="R121" s="441"/>
      <c r="S121" s="441"/>
      <c r="T121" s="441"/>
      <c r="U121" s="37">
        <v>1</v>
      </c>
      <c r="V121" s="441"/>
      <c r="W121" s="441"/>
      <c r="X121" s="60">
        <f t="shared" si="37"/>
        <v>1</v>
      </c>
      <c r="AB121" s="449">
        <v>44440</v>
      </c>
      <c r="AC121" s="37">
        <f t="shared" si="38"/>
        <v>8103</v>
      </c>
      <c r="AD121" s="37">
        <f t="shared" si="39"/>
        <v>1470.5</v>
      </c>
      <c r="AE121" s="37">
        <f t="shared" si="40"/>
        <v>6</v>
      </c>
      <c r="AF121" s="37">
        <f t="shared" si="41"/>
        <v>2</v>
      </c>
      <c r="AG121" s="37">
        <f t="shared" si="42"/>
        <v>0</v>
      </c>
      <c r="AH121" s="37">
        <f t="shared" si="43"/>
        <v>115</v>
      </c>
      <c r="AI121" s="60">
        <f t="shared" si="44"/>
        <v>2</v>
      </c>
      <c r="AJ121" s="60">
        <f t="shared" si="45"/>
        <v>1</v>
      </c>
      <c r="AK121" s="37">
        <f t="shared" si="46"/>
        <v>32</v>
      </c>
      <c r="AL121" s="37">
        <f t="shared" si="47"/>
        <v>2254</v>
      </c>
      <c r="AN121" s="60">
        <f t="shared" si="48"/>
        <v>125</v>
      </c>
      <c r="AO121" s="60">
        <f t="shared" si="49"/>
        <v>9698.5</v>
      </c>
    </row>
    <row r="122" spans="1:41" x14ac:dyDescent="0.2">
      <c r="A122" s="449">
        <v>44470</v>
      </c>
      <c r="B122" s="37">
        <v>8115</v>
      </c>
      <c r="C122" s="37">
        <v>1475</v>
      </c>
      <c r="D122" s="37">
        <v>6</v>
      </c>
      <c r="E122" s="37">
        <v>2</v>
      </c>
      <c r="F122" s="37">
        <v>0</v>
      </c>
      <c r="G122" s="37">
        <v>115</v>
      </c>
      <c r="H122" s="37"/>
      <c r="I122" s="1">
        <v>1</v>
      </c>
      <c r="J122" s="37">
        <v>35</v>
      </c>
      <c r="K122" s="37">
        <v>2254</v>
      </c>
      <c r="M122" s="441"/>
      <c r="N122" s="1">
        <v>1</v>
      </c>
      <c r="O122" s="1">
        <v>1</v>
      </c>
      <c r="P122" s="441"/>
      <c r="Q122" s="441"/>
      <c r="R122" s="441"/>
      <c r="S122" s="441"/>
      <c r="T122" s="441"/>
      <c r="U122" s="1">
        <v>1</v>
      </c>
      <c r="V122" s="441"/>
      <c r="W122" s="441"/>
      <c r="X122" s="1">
        <f t="shared" si="37"/>
        <v>1</v>
      </c>
      <c r="AB122" s="449">
        <v>44470</v>
      </c>
      <c r="AC122" s="37">
        <f t="shared" si="38"/>
        <v>8110</v>
      </c>
      <c r="AD122" s="37">
        <f t="shared" si="39"/>
        <v>1473.5</v>
      </c>
      <c r="AE122" s="37">
        <f t="shared" si="40"/>
        <v>6</v>
      </c>
      <c r="AF122" s="37">
        <f t="shared" si="41"/>
        <v>2</v>
      </c>
      <c r="AG122" s="37">
        <f t="shared" si="42"/>
        <v>0</v>
      </c>
      <c r="AH122" s="37">
        <f t="shared" si="43"/>
        <v>115</v>
      </c>
      <c r="AI122" s="60">
        <f t="shared" si="44"/>
        <v>2</v>
      </c>
      <c r="AJ122" s="60">
        <f t="shared" si="45"/>
        <v>1</v>
      </c>
      <c r="AK122" s="37">
        <f t="shared" si="46"/>
        <v>34.5</v>
      </c>
      <c r="AL122" s="37">
        <f t="shared" si="47"/>
        <v>2254</v>
      </c>
      <c r="AN122" s="60">
        <f t="shared" si="48"/>
        <v>125</v>
      </c>
      <c r="AO122" s="60">
        <f t="shared" si="49"/>
        <v>9708.5</v>
      </c>
    </row>
    <row r="123" spans="1:41" x14ac:dyDescent="0.2">
      <c r="A123" s="449">
        <v>44501</v>
      </c>
      <c r="B123" s="37">
        <v>8122</v>
      </c>
      <c r="C123" s="37">
        <v>1476</v>
      </c>
      <c r="D123" s="37">
        <v>6</v>
      </c>
      <c r="E123" s="37">
        <v>2</v>
      </c>
      <c r="F123" s="37">
        <v>0</v>
      </c>
      <c r="G123" s="37">
        <v>115</v>
      </c>
      <c r="H123" s="37"/>
      <c r="I123" s="1">
        <v>1</v>
      </c>
      <c r="J123" s="37">
        <v>35</v>
      </c>
      <c r="K123" s="37">
        <v>2254</v>
      </c>
      <c r="M123" s="441"/>
      <c r="N123" s="1">
        <v>1</v>
      </c>
      <c r="O123" s="1">
        <v>1</v>
      </c>
      <c r="P123" s="441"/>
      <c r="Q123" s="441"/>
      <c r="R123" s="441"/>
      <c r="S123" s="441"/>
      <c r="T123" s="441"/>
      <c r="U123" s="1">
        <v>1</v>
      </c>
      <c r="V123" s="441"/>
      <c r="W123" s="441"/>
      <c r="X123" s="1">
        <f t="shared" si="37"/>
        <v>1</v>
      </c>
      <c r="AB123" s="449">
        <v>44501</v>
      </c>
      <c r="AC123" s="37">
        <f t="shared" si="38"/>
        <v>8118.5</v>
      </c>
      <c r="AD123" s="37">
        <f t="shared" si="39"/>
        <v>1475.5</v>
      </c>
      <c r="AE123" s="37">
        <f t="shared" si="40"/>
        <v>6</v>
      </c>
      <c r="AF123" s="37">
        <f t="shared" si="41"/>
        <v>2</v>
      </c>
      <c r="AG123" s="37">
        <f t="shared" si="42"/>
        <v>0</v>
      </c>
      <c r="AH123" s="37">
        <f t="shared" si="43"/>
        <v>115</v>
      </c>
      <c r="AI123" s="60">
        <f t="shared" si="44"/>
        <v>2</v>
      </c>
      <c r="AJ123" s="60">
        <f t="shared" si="45"/>
        <v>1</v>
      </c>
      <c r="AK123" s="37">
        <f t="shared" si="46"/>
        <v>35</v>
      </c>
      <c r="AL123" s="37">
        <f t="shared" si="47"/>
        <v>2254</v>
      </c>
      <c r="AN123" s="60">
        <f t="shared" si="48"/>
        <v>125</v>
      </c>
      <c r="AO123" s="60">
        <f t="shared" si="49"/>
        <v>9719</v>
      </c>
    </row>
    <row r="124" spans="1:41" x14ac:dyDescent="0.2">
      <c r="A124" s="449">
        <v>44531</v>
      </c>
      <c r="B124" s="37">
        <v>8127</v>
      </c>
      <c r="C124" s="37">
        <v>1478</v>
      </c>
      <c r="D124" s="37">
        <v>6</v>
      </c>
      <c r="E124" s="37">
        <v>2</v>
      </c>
      <c r="F124" s="37">
        <v>0</v>
      </c>
      <c r="G124" s="37">
        <v>115</v>
      </c>
      <c r="H124" s="37"/>
      <c r="I124" s="1">
        <v>1</v>
      </c>
      <c r="J124" s="37">
        <v>45</v>
      </c>
      <c r="K124" s="37">
        <v>2254</v>
      </c>
      <c r="M124" s="441"/>
      <c r="N124" s="1">
        <v>1</v>
      </c>
      <c r="O124" s="1">
        <v>1</v>
      </c>
      <c r="P124" s="441"/>
      <c r="Q124" s="441"/>
      <c r="R124" s="441"/>
      <c r="S124" s="441"/>
      <c r="T124" s="441"/>
      <c r="U124" s="1">
        <v>1</v>
      </c>
      <c r="V124" s="441"/>
      <c r="W124" s="441"/>
      <c r="X124" s="1">
        <f t="shared" si="37"/>
        <v>1</v>
      </c>
      <c r="AB124" s="449">
        <v>44531</v>
      </c>
      <c r="AC124" s="37">
        <f t="shared" si="38"/>
        <v>8124.5</v>
      </c>
      <c r="AD124" s="37">
        <f t="shared" si="39"/>
        <v>1477</v>
      </c>
      <c r="AE124" s="37">
        <f t="shared" si="40"/>
        <v>6</v>
      </c>
      <c r="AF124" s="37">
        <f t="shared" si="41"/>
        <v>2</v>
      </c>
      <c r="AG124" s="37">
        <f t="shared" si="42"/>
        <v>0</v>
      </c>
      <c r="AH124" s="37">
        <f t="shared" si="43"/>
        <v>115</v>
      </c>
      <c r="AI124" s="60">
        <f t="shared" si="44"/>
        <v>2</v>
      </c>
      <c r="AJ124" s="60">
        <f t="shared" si="45"/>
        <v>1</v>
      </c>
      <c r="AK124" s="37">
        <f t="shared" si="46"/>
        <v>40</v>
      </c>
      <c r="AL124" s="37">
        <f t="shared" si="47"/>
        <v>2254</v>
      </c>
      <c r="AN124" s="60">
        <f t="shared" si="48"/>
        <v>125</v>
      </c>
      <c r="AO124" s="60">
        <f t="shared" si="49"/>
        <v>9726.5</v>
      </c>
    </row>
    <row r="125" spans="1:41" x14ac:dyDescent="0.2">
      <c r="A125" s="449">
        <v>44562</v>
      </c>
      <c r="B125" s="37">
        <v>8134</v>
      </c>
      <c r="C125" s="37">
        <v>1480</v>
      </c>
      <c r="D125" s="37">
        <v>6</v>
      </c>
      <c r="E125" s="37">
        <v>2</v>
      </c>
      <c r="F125" s="37">
        <v>0</v>
      </c>
      <c r="G125" s="37">
        <v>115</v>
      </c>
      <c r="H125" s="37"/>
      <c r="I125" s="1">
        <v>1</v>
      </c>
      <c r="J125" s="37">
        <v>45</v>
      </c>
      <c r="K125" s="37">
        <v>2254</v>
      </c>
      <c r="M125" s="441"/>
      <c r="N125" s="1">
        <v>1</v>
      </c>
      <c r="O125" s="1">
        <v>1</v>
      </c>
      <c r="P125" s="441"/>
      <c r="Q125" s="441"/>
      <c r="R125" s="441"/>
      <c r="S125" s="441"/>
      <c r="T125" s="441"/>
      <c r="U125" s="1">
        <v>1</v>
      </c>
      <c r="V125" s="441"/>
      <c r="W125" s="441"/>
      <c r="X125" s="1">
        <f t="shared" si="37"/>
        <v>1</v>
      </c>
      <c r="AB125" s="449">
        <v>44562</v>
      </c>
      <c r="AC125" s="37">
        <f t="shared" si="38"/>
        <v>8130.5</v>
      </c>
      <c r="AD125" s="37">
        <f t="shared" si="39"/>
        <v>1479</v>
      </c>
      <c r="AE125" s="37">
        <f t="shared" si="40"/>
        <v>6</v>
      </c>
      <c r="AF125" s="37">
        <f t="shared" si="41"/>
        <v>2</v>
      </c>
      <c r="AG125" s="37">
        <f t="shared" si="42"/>
        <v>0</v>
      </c>
      <c r="AH125" s="37">
        <f t="shared" si="43"/>
        <v>115</v>
      </c>
      <c r="AI125" s="60">
        <f t="shared" si="44"/>
        <v>2</v>
      </c>
      <c r="AJ125" s="60">
        <f t="shared" si="45"/>
        <v>1</v>
      </c>
      <c r="AK125" s="37">
        <f t="shared" si="46"/>
        <v>45</v>
      </c>
      <c r="AL125" s="37">
        <f t="shared" si="47"/>
        <v>2254</v>
      </c>
      <c r="AN125" s="60">
        <f t="shared" si="48"/>
        <v>125</v>
      </c>
      <c r="AO125" s="60">
        <f t="shared" si="49"/>
        <v>9734.5</v>
      </c>
    </row>
    <row r="126" spans="1:41" x14ac:dyDescent="0.2">
      <c r="A126" s="449">
        <v>44593</v>
      </c>
      <c r="B126" s="539">
        <f>8175-37</f>
        <v>8138</v>
      </c>
      <c r="C126" s="37">
        <v>1480</v>
      </c>
      <c r="D126" s="37">
        <v>6</v>
      </c>
      <c r="E126" s="37">
        <v>2</v>
      </c>
      <c r="F126" s="37">
        <v>0</v>
      </c>
      <c r="G126" s="37">
        <v>115</v>
      </c>
      <c r="H126" s="37"/>
      <c r="I126" s="1">
        <v>1</v>
      </c>
      <c r="J126" s="37">
        <v>45</v>
      </c>
      <c r="K126" s="37">
        <v>2254</v>
      </c>
      <c r="M126" s="441"/>
      <c r="N126" s="1">
        <v>1</v>
      </c>
      <c r="O126" s="1">
        <v>1</v>
      </c>
      <c r="P126" s="441"/>
      <c r="Q126" s="441"/>
      <c r="R126" s="441"/>
      <c r="S126" s="441"/>
      <c r="T126" s="441"/>
      <c r="U126" s="1">
        <v>1</v>
      </c>
      <c r="V126" s="441"/>
      <c r="W126" s="441"/>
      <c r="X126" s="1">
        <f t="shared" si="37"/>
        <v>1</v>
      </c>
      <c r="AB126" s="449">
        <v>44593</v>
      </c>
      <c r="AC126" s="37">
        <f t="shared" si="38"/>
        <v>8136</v>
      </c>
      <c r="AD126" s="37">
        <f t="shared" si="39"/>
        <v>1480</v>
      </c>
      <c r="AE126" s="37">
        <f t="shared" si="40"/>
        <v>6</v>
      </c>
      <c r="AF126" s="37">
        <f t="shared" si="41"/>
        <v>2</v>
      </c>
      <c r="AG126" s="37">
        <f t="shared" si="42"/>
        <v>0</v>
      </c>
      <c r="AH126" s="37">
        <f t="shared" si="43"/>
        <v>115</v>
      </c>
      <c r="AI126" s="60">
        <f t="shared" si="44"/>
        <v>2</v>
      </c>
      <c r="AJ126" s="60">
        <f t="shared" si="45"/>
        <v>1</v>
      </c>
      <c r="AK126" s="37">
        <f t="shared" si="46"/>
        <v>45</v>
      </c>
      <c r="AL126" s="37">
        <f t="shared" si="47"/>
        <v>2254</v>
      </c>
      <c r="AN126" s="60">
        <f t="shared" si="48"/>
        <v>125</v>
      </c>
      <c r="AO126" s="60">
        <f t="shared" si="49"/>
        <v>9741</v>
      </c>
    </row>
    <row r="127" spans="1:41" x14ac:dyDescent="0.2">
      <c r="A127" s="449">
        <v>44621</v>
      </c>
      <c r="B127" s="539">
        <f>8183-37</f>
        <v>8146</v>
      </c>
      <c r="C127" s="37">
        <v>1482</v>
      </c>
      <c r="D127" s="37">
        <v>6</v>
      </c>
      <c r="E127" s="37">
        <v>2</v>
      </c>
      <c r="F127" s="37">
        <v>0</v>
      </c>
      <c r="G127" s="37">
        <v>118</v>
      </c>
      <c r="H127" s="37"/>
      <c r="I127" s="1">
        <v>1</v>
      </c>
      <c r="J127" s="37">
        <v>46</v>
      </c>
      <c r="K127" s="37">
        <v>2254</v>
      </c>
      <c r="M127" s="441"/>
      <c r="N127" s="1">
        <v>1</v>
      </c>
      <c r="O127" s="1">
        <v>1</v>
      </c>
      <c r="P127" s="441"/>
      <c r="Q127" s="441"/>
      <c r="R127" s="441"/>
      <c r="S127" s="441"/>
      <c r="T127" s="441"/>
      <c r="U127" s="1">
        <v>1</v>
      </c>
      <c r="V127" s="441"/>
      <c r="W127" s="441"/>
      <c r="X127" s="1">
        <f t="shared" si="37"/>
        <v>1</v>
      </c>
      <c r="AB127" s="449">
        <v>44621</v>
      </c>
      <c r="AC127" s="37">
        <f t="shared" ref="AC127:AC136" si="50">(B126+B127)/2</f>
        <v>8142</v>
      </c>
      <c r="AD127" s="37">
        <f t="shared" ref="AD127:AD136" si="51">(C126+C127)/2</f>
        <v>1481</v>
      </c>
      <c r="AE127" s="37">
        <f t="shared" ref="AE127:AE136" si="52">(D126+D127)/2</f>
        <v>6</v>
      </c>
      <c r="AF127" s="37">
        <f t="shared" ref="AF127:AF136" si="53">(E126+E127)/2</f>
        <v>2</v>
      </c>
      <c r="AG127" s="37">
        <f t="shared" ref="AG127:AG136" si="54">(F126+F127)/2</f>
        <v>0</v>
      </c>
      <c r="AH127" s="37">
        <f t="shared" ref="AH127:AH136" si="55">(G126+G127)/2</f>
        <v>116.5</v>
      </c>
      <c r="AI127" s="60">
        <f t="shared" ref="AI127:AI136" si="56">+M127+N127+O127+P127</f>
        <v>2</v>
      </c>
      <c r="AJ127" s="60">
        <f t="shared" ref="AJ127:AJ136" si="57">+U127</f>
        <v>1</v>
      </c>
      <c r="AK127" s="37">
        <f t="shared" ref="AK127:AK136" si="58">(J126+J127)/2</f>
        <v>45.5</v>
      </c>
      <c r="AL127" s="37">
        <f t="shared" ref="AL127:AL136" si="59">(K126+K127)/2</f>
        <v>2254</v>
      </c>
      <c r="AN127" s="60">
        <f t="shared" ref="AN127:AN136" si="60">+AE127+AF127+AG127+AH127+AI127</f>
        <v>126.5</v>
      </c>
      <c r="AO127" s="60">
        <f t="shared" ref="AO127:AO136" si="61">+AC127+AD127+AN127</f>
        <v>9749.5</v>
      </c>
    </row>
    <row r="128" spans="1:41" x14ac:dyDescent="0.2">
      <c r="A128" s="449">
        <v>44652</v>
      </c>
      <c r="B128" s="539">
        <f>8202-37</f>
        <v>8165</v>
      </c>
      <c r="C128" s="37">
        <v>1465</v>
      </c>
      <c r="D128" s="37">
        <v>6</v>
      </c>
      <c r="E128" s="37">
        <v>2</v>
      </c>
      <c r="F128" s="37">
        <v>0</v>
      </c>
      <c r="G128" s="37">
        <v>118</v>
      </c>
      <c r="H128" s="37"/>
      <c r="I128" s="1">
        <v>1</v>
      </c>
      <c r="J128" s="37">
        <v>46</v>
      </c>
      <c r="K128" s="37">
        <v>2254</v>
      </c>
      <c r="M128" s="441"/>
      <c r="N128" s="1">
        <v>1</v>
      </c>
      <c r="O128" s="1">
        <v>1</v>
      </c>
      <c r="P128" s="441"/>
      <c r="Q128" s="441"/>
      <c r="R128" s="441"/>
      <c r="S128" s="441"/>
      <c r="T128" s="441"/>
      <c r="U128" s="1">
        <v>1</v>
      </c>
      <c r="V128" s="441"/>
      <c r="W128" s="441"/>
      <c r="X128" s="1">
        <f t="shared" si="37"/>
        <v>1</v>
      </c>
      <c r="AB128" s="449">
        <v>44652</v>
      </c>
      <c r="AC128" s="37">
        <f t="shared" si="50"/>
        <v>8155.5</v>
      </c>
      <c r="AD128" s="37">
        <f t="shared" si="51"/>
        <v>1473.5</v>
      </c>
      <c r="AE128" s="37">
        <f t="shared" si="52"/>
        <v>6</v>
      </c>
      <c r="AF128" s="37">
        <f t="shared" si="53"/>
        <v>2</v>
      </c>
      <c r="AG128" s="37">
        <f t="shared" si="54"/>
        <v>0</v>
      </c>
      <c r="AH128" s="37">
        <f t="shared" si="55"/>
        <v>118</v>
      </c>
      <c r="AI128" s="60">
        <f t="shared" si="56"/>
        <v>2</v>
      </c>
      <c r="AJ128" s="60">
        <f t="shared" si="57"/>
        <v>1</v>
      </c>
      <c r="AK128" s="37">
        <f t="shared" si="58"/>
        <v>46</v>
      </c>
      <c r="AL128" s="37">
        <f t="shared" si="59"/>
        <v>2254</v>
      </c>
      <c r="AN128" s="60">
        <f t="shared" si="60"/>
        <v>128</v>
      </c>
      <c r="AO128" s="60">
        <f t="shared" si="61"/>
        <v>9757</v>
      </c>
    </row>
    <row r="129" spans="1:41" x14ac:dyDescent="0.2">
      <c r="A129" s="449">
        <v>44682</v>
      </c>
      <c r="B129" s="539">
        <f>8209-37</f>
        <v>8172</v>
      </c>
      <c r="C129" s="37">
        <v>1463</v>
      </c>
      <c r="D129" s="37">
        <v>6</v>
      </c>
      <c r="E129" s="37">
        <v>2</v>
      </c>
      <c r="F129" s="37">
        <v>0</v>
      </c>
      <c r="G129" s="37">
        <v>118</v>
      </c>
      <c r="H129" s="37"/>
      <c r="I129" s="1">
        <v>1</v>
      </c>
      <c r="J129" s="37">
        <v>49</v>
      </c>
      <c r="K129" s="37">
        <v>2254</v>
      </c>
      <c r="M129" s="441"/>
      <c r="N129" s="1">
        <v>1</v>
      </c>
      <c r="O129" s="1">
        <v>1</v>
      </c>
      <c r="P129" s="441"/>
      <c r="Q129" s="441"/>
      <c r="R129" s="441"/>
      <c r="S129" s="441"/>
      <c r="T129" s="441"/>
      <c r="U129" s="1">
        <v>1</v>
      </c>
      <c r="V129" s="441"/>
      <c r="W129" s="441"/>
      <c r="X129" s="1">
        <f t="shared" si="37"/>
        <v>1</v>
      </c>
      <c r="AB129" s="449">
        <v>44682</v>
      </c>
      <c r="AC129" s="37">
        <f t="shared" si="50"/>
        <v>8168.5</v>
      </c>
      <c r="AD129" s="37">
        <f t="shared" si="51"/>
        <v>1464</v>
      </c>
      <c r="AE129" s="37">
        <f t="shared" si="52"/>
        <v>6</v>
      </c>
      <c r="AF129" s="37">
        <f t="shared" si="53"/>
        <v>2</v>
      </c>
      <c r="AG129" s="37">
        <f t="shared" si="54"/>
        <v>0</v>
      </c>
      <c r="AH129" s="37">
        <f t="shared" si="55"/>
        <v>118</v>
      </c>
      <c r="AI129" s="60">
        <f t="shared" si="56"/>
        <v>2</v>
      </c>
      <c r="AJ129" s="60">
        <f t="shared" si="57"/>
        <v>1</v>
      </c>
      <c r="AK129" s="37">
        <f t="shared" si="58"/>
        <v>47.5</v>
      </c>
      <c r="AL129" s="37">
        <f t="shared" si="59"/>
        <v>2254</v>
      </c>
      <c r="AN129" s="60">
        <f t="shared" si="60"/>
        <v>128</v>
      </c>
      <c r="AO129" s="60">
        <f t="shared" si="61"/>
        <v>9760.5</v>
      </c>
    </row>
    <row r="130" spans="1:41" x14ac:dyDescent="0.2">
      <c r="A130" s="449">
        <v>44713</v>
      </c>
      <c r="B130" s="539">
        <f>8308-132</f>
        <v>8176</v>
      </c>
      <c r="C130" s="37">
        <v>1465</v>
      </c>
      <c r="D130" s="37">
        <v>6</v>
      </c>
      <c r="E130" s="37">
        <v>2</v>
      </c>
      <c r="F130" s="37">
        <v>0</v>
      </c>
      <c r="G130" s="37">
        <v>118</v>
      </c>
      <c r="H130" s="37"/>
      <c r="I130" s="1">
        <v>1</v>
      </c>
      <c r="J130" s="37">
        <v>51</v>
      </c>
      <c r="K130" s="37">
        <v>2254</v>
      </c>
      <c r="M130" s="441"/>
      <c r="N130" s="1">
        <v>1</v>
      </c>
      <c r="O130" s="1">
        <v>1</v>
      </c>
      <c r="P130" s="441"/>
      <c r="Q130" s="441"/>
      <c r="R130" s="441"/>
      <c r="S130" s="441"/>
      <c r="T130" s="441"/>
      <c r="U130" s="1">
        <v>1</v>
      </c>
      <c r="V130" s="441"/>
      <c r="W130" s="441"/>
      <c r="X130" s="1">
        <f t="shared" si="37"/>
        <v>1</v>
      </c>
      <c r="AB130" s="449">
        <v>44713</v>
      </c>
      <c r="AC130" s="37">
        <f t="shared" si="50"/>
        <v>8174</v>
      </c>
      <c r="AD130" s="37">
        <f t="shared" si="51"/>
        <v>1464</v>
      </c>
      <c r="AE130" s="37">
        <f t="shared" si="52"/>
        <v>6</v>
      </c>
      <c r="AF130" s="37">
        <f t="shared" si="53"/>
        <v>2</v>
      </c>
      <c r="AG130" s="37">
        <f t="shared" si="54"/>
        <v>0</v>
      </c>
      <c r="AH130" s="37">
        <f t="shared" si="55"/>
        <v>118</v>
      </c>
      <c r="AI130" s="60">
        <f t="shared" si="56"/>
        <v>2</v>
      </c>
      <c r="AJ130" s="60">
        <f t="shared" si="57"/>
        <v>1</v>
      </c>
      <c r="AK130" s="37">
        <f t="shared" si="58"/>
        <v>50</v>
      </c>
      <c r="AL130" s="37">
        <f t="shared" si="59"/>
        <v>2254</v>
      </c>
      <c r="AN130" s="60">
        <f t="shared" si="60"/>
        <v>128</v>
      </c>
      <c r="AO130" s="60">
        <f t="shared" si="61"/>
        <v>9766</v>
      </c>
    </row>
    <row r="131" spans="1:41" x14ac:dyDescent="0.2">
      <c r="A131" s="449">
        <v>44743</v>
      </c>
      <c r="B131" s="539">
        <f>8320-132</f>
        <v>8188</v>
      </c>
      <c r="C131" s="37">
        <v>1466</v>
      </c>
      <c r="D131" s="37">
        <v>6</v>
      </c>
      <c r="E131" s="37">
        <v>2</v>
      </c>
      <c r="F131" s="37">
        <v>0</v>
      </c>
      <c r="G131" s="37">
        <f t="shared" ref="G131:G136" si="62">116-1</f>
        <v>115</v>
      </c>
      <c r="H131" s="37"/>
      <c r="I131" s="1">
        <v>0</v>
      </c>
      <c r="J131" s="37">
        <v>52</v>
      </c>
      <c r="K131" s="37">
        <v>2254</v>
      </c>
      <c r="M131" s="441"/>
      <c r="N131" s="1">
        <v>1</v>
      </c>
      <c r="O131" s="1">
        <v>1</v>
      </c>
      <c r="P131" s="441"/>
      <c r="Q131" s="1">
        <v>1</v>
      </c>
      <c r="R131" s="1">
        <v>1</v>
      </c>
      <c r="S131" s="1">
        <v>1</v>
      </c>
      <c r="T131" s="1">
        <v>1</v>
      </c>
      <c r="U131" s="441"/>
      <c r="V131" s="1">
        <v>1</v>
      </c>
      <c r="W131" s="441"/>
      <c r="X131" s="1">
        <f t="shared" si="37"/>
        <v>1</v>
      </c>
      <c r="AB131" s="449">
        <v>44743</v>
      </c>
      <c r="AC131" s="37">
        <f t="shared" si="50"/>
        <v>8182</v>
      </c>
      <c r="AD131" s="37">
        <f t="shared" si="51"/>
        <v>1465.5</v>
      </c>
      <c r="AE131" s="37">
        <f t="shared" si="52"/>
        <v>6</v>
      </c>
      <c r="AF131" s="37">
        <f t="shared" si="53"/>
        <v>2</v>
      </c>
      <c r="AG131" s="37">
        <f t="shared" si="54"/>
        <v>0</v>
      </c>
      <c r="AH131" s="37">
        <f t="shared" si="55"/>
        <v>116.5</v>
      </c>
      <c r="AI131" s="60">
        <f t="shared" si="56"/>
        <v>2</v>
      </c>
      <c r="AJ131" s="60">
        <f t="shared" si="57"/>
        <v>0</v>
      </c>
      <c r="AK131" s="37">
        <f t="shared" si="58"/>
        <v>51.5</v>
      </c>
      <c r="AL131" s="37">
        <f t="shared" si="59"/>
        <v>2254</v>
      </c>
      <c r="AN131" s="60">
        <f t="shared" si="60"/>
        <v>126.5</v>
      </c>
      <c r="AO131" s="60">
        <f t="shared" si="61"/>
        <v>9774</v>
      </c>
    </row>
    <row r="132" spans="1:41" x14ac:dyDescent="0.2">
      <c r="A132" s="449">
        <v>44774</v>
      </c>
      <c r="B132" s="539">
        <f>8323-132</f>
        <v>8191</v>
      </c>
      <c r="C132" s="37">
        <v>1464</v>
      </c>
      <c r="D132" s="37">
        <v>6</v>
      </c>
      <c r="E132" s="37">
        <v>2</v>
      </c>
      <c r="F132" s="37">
        <v>0</v>
      </c>
      <c r="G132" s="37">
        <f t="shared" si="62"/>
        <v>115</v>
      </c>
      <c r="H132" s="37"/>
      <c r="I132" s="1">
        <v>0</v>
      </c>
      <c r="J132" s="37">
        <v>52</v>
      </c>
      <c r="K132" s="37">
        <v>2254</v>
      </c>
      <c r="M132" s="441"/>
      <c r="N132" s="1">
        <v>1</v>
      </c>
      <c r="O132" s="1">
        <v>1</v>
      </c>
      <c r="P132" s="441"/>
      <c r="Q132" s="1">
        <v>1</v>
      </c>
      <c r="R132" s="1">
        <v>1</v>
      </c>
      <c r="S132" s="1">
        <v>1</v>
      </c>
      <c r="T132" s="1">
        <v>1</v>
      </c>
      <c r="U132" s="441"/>
      <c r="V132" s="1">
        <v>1</v>
      </c>
      <c r="W132" s="441"/>
      <c r="X132" s="1">
        <f t="shared" si="37"/>
        <v>1</v>
      </c>
      <c r="AB132" s="449">
        <v>44774</v>
      </c>
      <c r="AC132" s="37">
        <f t="shared" si="50"/>
        <v>8189.5</v>
      </c>
      <c r="AD132" s="37">
        <f t="shared" si="51"/>
        <v>1465</v>
      </c>
      <c r="AE132" s="37">
        <f t="shared" si="52"/>
        <v>6</v>
      </c>
      <c r="AF132" s="37">
        <f t="shared" si="53"/>
        <v>2</v>
      </c>
      <c r="AG132" s="37">
        <f t="shared" si="54"/>
        <v>0</v>
      </c>
      <c r="AH132" s="37">
        <f t="shared" si="55"/>
        <v>115</v>
      </c>
      <c r="AI132" s="60">
        <f t="shared" si="56"/>
        <v>2</v>
      </c>
      <c r="AJ132" s="60">
        <f t="shared" si="57"/>
        <v>0</v>
      </c>
      <c r="AK132" s="37">
        <f t="shared" si="58"/>
        <v>52</v>
      </c>
      <c r="AL132" s="37">
        <f t="shared" si="59"/>
        <v>2254</v>
      </c>
      <c r="AN132" s="60">
        <f t="shared" si="60"/>
        <v>125</v>
      </c>
      <c r="AO132" s="60">
        <f t="shared" si="61"/>
        <v>9779.5</v>
      </c>
    </row>
    <row r="133" spans="1:41" x14ac:dyDescent="0.2">
      <c r="A133" s="449">
        <v>44805</v>
      </c>
      <c r="B133" s="539">
        <f>8323-132</f>
        <v>8191</v>
      </c>
      <c r="C133" s="37">
        <v>1469</v>
      </c>
      <c r="D133" s="37">
        <v>6</v>
      </c>
      <c r="E133" s="37">
        <v>2</v>
      </c>
      <c r="F133" s="37">
        <v>0</v>
      </c>
      <c r="G133" s="37">
        <f t="shared" si="62"/>
        <v>115</v>
      </c>
      <c r="H133" s="37"/>
      <c r="I133" s="1">
        <v>0</v>
      </c>
      <c r="J133" s="37">
        <v>52</v>
      </c>
      <c r="K133" s="37">
        <v>2254</v>
      </c>
      <c r="M133" s="441"/>
      <c r="N133" s="1">
        <v>1</v>
      </c>
      <c r="O133" s="1">
        <v>1</v>
      </c>
      <c r="P133" s="441"/>
      <c r="Q133" s="1">
        <v>1</v>
      </c>
      <c r="R133" s="1">
        <v>1</v>
      </c>
      <c r="S133" s="1">
        <v>1</v>
      </c>
      <c r="T133" s="1">
        <v>1</v>
      </c>
      <c r="U133" s="441"/>
      <c r="V133" s="1">
        <v>1</v>
      </c>
      <c r="W133" s="441"/>
      <c r="X133" s="1">
        <f t="shared" si="37"/>
        <v>1</v>
      </c>
      <c r="AB133" s="449">
        <v>44805</v>
      </c>
      <c r="AC133" s="37">
        <f t="shared" si="50"/>
        <v>8191</v>
      </c>
      <c r="AD133" s="37">
        <f t="shared" si="51"/>
        <v>1466.5</v>
      </c>
      <c r="AE133" s="37">
        <f t="shared" si="52"/>
        <v>6</v>
      </c>
      <c r="AF133" s="37">
        <f t="shared" si="53"/>
        <v>2</v>
      </c>
      <c r="AG133" s="37">
        <f t="shared" si="54"/>
        <v>0</v>
      </c>
      <c r="AH133" s="37">
        <f t="shared" si="55"/>
        <v>115</v>
      </c>
      <c r="AI133" s="60">
        <f t="shared" si="56"/>
        <v>2</v>
      </c>
      <c r="AJ133" s="60">
        <f t="shared" si="57"/>
        <v>0</v>
      </c>
      <c r="AK133" s="37">
        <f t="shared" si="58"/>
        <v>52</v>
      </c>
      <c r="AL133" s="37">
        <f t="shared" si="59"/>
        <v>2254</v>
      </c>
      <c r="AN133" s="60">
        <f t="shared" si="60"/>
        <v>125</v>
      </c>
      <c r="AO133" s="60">
        <f t="shared" si="61"/>
        <v>9782.5</v>
      </c>
    </row>
    <row r="134" spans="1:41" x14ac:dyDescent="0.2">
      <c r="A134" s="449">
        <v>44835</v>
      </c>
      <c r="B134" s="539">
        <f>8326-132</f>
        <v>8194</v>
      </c>
      <c r="C134" s="37">
        <v>1468</v>
      </c>
      <c r="D134" s="37">
        <v>6</v>
      </c>
      <c r="E134" s="37">
        <v>2</v>
      </c>
      <c r="F134" s="37">
        <v>0</v>
      </c>
      <c r="G134" s="37">
        <f t="shared" si="62"/>
        <v>115</v>
      </c>
      <c r="H134" s="37"/>
      <c r="I134" s="1">
        <v>0</v>
      </c>
      <c r="J134" s="37">
        <v>52</v>
      </c>
      <c r="K134" s="37">
        <v>2254</v>
      </c>
      <c r="M134" s="441"/>
      <c r="N134" s="1">
        <v>1</v>
      </c>
      <c r="O134" s="1">
        <v>1</v>
      </c>
      <c r="P134" s="441"/>
      <c r="Q134" s="1">
        <v>1</v>
      </c>
      <c r="R134" s="1">
        <v>1</v>
      </c>
      <c r="S134" s="1">
        <v>1</v>
      </c>
      <c r="T134" s="1">
        <v>1</v>
      </c>
      <c r="U134" s="441"/>
      <c r="V134" s="1">
        <v>1</v>
      </c>
      <c r="W134" s="441"/>
      <c r="X134" s="1">
        <f t="shared" si="37"/>
        <v>1</v>
      </c>
      <c r="AB134" s="449">
        <v>44835</v>
      </c>
      <c r="AC134" s="37">
        <f t="shared" si="50"/>
        <v>8192.5</v>
      </c>
      <c r="AD134" s="37">
        <f t="shared" si="51"/>
        <v>1468.5</v>
      </c>
      <c r="AE134" s="37">
        <f t="shared" si="52"/>
        <v>6</v>
      </c>
      <c r="AF134" s="37">
        <f t="shared" si="53"/>
        <v>2</v>
      </c>
      <c r="AG134" s="37">
        <f t="shared" si="54"/>
        <v>0</v>
      </c>
      <c r="AH134" s="37">
        <f t="shared" si="55"/>
        <v>115</v>
      </c>
      <c r="AI134" s="60">
        <f t="shared" si="56"/>
        <v>2</v>
      </c>
      <c r="AJ134" s="60">
        <f t="shared" si="57"/>
        <v>0</v>
      </c>
      <c r="AK134" s="37">
        <f t="shared" si="58"/>
        <v>52</v>
      </c>
      <c r="AL134" s="37">
        <f t="shared" si="59"/>
        <v>2254</v>
      </c>
      <c r="AN134" s="60">
        <f t="shared" si="60"/>
        <v>125</v>
      </c>
      <c r="AO134" s="60">
        <f t="shared" si="61"/>
        <v>9786</v>
      </c>
    </row>
    <row r="135" spans="1:41" x14ac:dyDescent="0.2">
      <c r="A135" s="449">
        <v>44866</v>
      </c>
      <c r="B135" s="37">
        <v>8205</v>
      </c>
      <c r="C135" s="37">
        <v>1468</v>
      </c>
      <c r="D135" s="37">
        <v>6</v>
      </c>
      <c r="E135" s="37">
        <v>2</v>
      </c>
      <c r="F135" s="37">
        <v>0</v>
      </c>
      <c r="G135" s="37">
        <f t="shared" si="62"/>
        <v>115</v>
      </c>
      <c r="H135" s="37"/>
      <c r="I135" s="37">
        <v>0</v>
      </c>
      <c r="J135" s="37">
        <v>53</v>
      </c>
      <c r="K135" s="37">
        <v>2254</v>
      </c>
      <c r="L135" s="37"/>
      <c r="M135" s="441"/>
      <c r="N135" s="37">
        <v>1</v>
      </c>
      <c r="O135" s="37">
        <v>1</v>
      </c>
      <c r="P135" s="441"/>
      <c r="Q135" s="37">
        <v>1</v>
      </c>
      <c r="R135" s="37">
        <v>1</v>
      </c>
      <c r="S135" s="37">
        <v>1</v>
      </c>
      <c r="T135" s="37">
        <v>1</v>
      </c>
      <c r="U135" s="441"/>
      <c r="V135" s="37">
        <v>1</v>
      </c>
      <c r="W135" s="441"/>
      <c r="X135" s="1">
        <f t="shared" si="37"/>
        <v>1</v>
      </c>
      <c r="Y135" s="37"/>
      <c r="Z135" s="37"/>
      <c r="AB135" s="449">
        <v>44866</v>
      </c>
      <c r="AC135" s="37">
        <f t="shared" si="50"/>
        <v>8199.5</v>
      </c>
      <c r="AD135" s="37">
        <f t="shared" si="51"/>
        <v>1468</v>
      </c>
      <c r="AE135" s="37">
        <f t="shared" si="52"/>
        <v>6</v>
      </c>
      <c r="AF135" s="37">
        <f t="shared" si="53"/>
        <v>2</v>
      </c>
      <c r="AG135" s="37">
        <f t="shared" si="54"/>
        <v>0</v>
      </c>
      <c r="AH135" s="37">
        <f t="shared" si="55"/>
        <v>115</v>
      </c>
      <c r="AI135" s="60">
        <f t="shared" si="56"/>
        <v>2</v>
      </c>
      <c r="AJ135" s="60">
        <f t="shared" si="57"/>
        <v>0</v>
      </c>
      <c r="AK135" s="37">
        <f t="shared" si="58"/>
        <v>52.5</v>
      </c>
      <c r="AL135" s="37">
        <f t="shared" si="59"/>
        <v>2254</v>
      </c>
      <c r="AN135" s="60">
        <f t="shared" si="60"/>
        <v>125</v>
      </c>
      <c r="AO135" s="60">
        <f t="shared" si="61"/>
        <v>9792.5</v>
      </c>
    </row>
    <row r="136" spans="1:41" x14ac:dyDescent="0.2">
      <c r="A136" s="449">
        <v>44896</v>
      </c>
      <c r="B136" s="37">
        <v>8220</v>
      </c>
      <c r="C136" s="37">
        <v>1466</v>
      </c>
      <c r="D136" s="37">
        <v>6</v>
      </c>
      <c r="E136" s="37">
        <v>2</v>
      </c>
      <c r="F136" s="37">
        <v>0</v>
      </c>
      <c r="G136" s="37">
        <f t="shared" si="62"/>
        <v>115</v>
      </c>
      <c r="H136" s="37"/>
      <c r="I136" s="37">
        <v>0</v>
      </c>
      <c r="J136" s="37">
        <v>67</v>
      </c>
      <c r="K136" s="37">
        <v>2254</v>
      </c>
      <c r="L136" s="37"/>
      <c r="M136" s="441"/>
      <c r="N136" s="37">
        <v>1</v>
      </c>
      <c r="O136" s="37">
        <v>1</v>
      </c>
      <c r="P136" s="441"/>
      <c r="Q136" s="37">
        <v>1</v>
      </c>
      <c r="R136" s="37">
        <v>1</v>
      </c>
      <c r="S136" s="37">
        <v>1</v>
      </c>
      <c r="T136" s="37">
        <v>1</v>
      </c>
      <c r="U136" s="441"/>
      <c r="V136" s="37">
        <v>1</v>
      </c>
      <c r="W136" s="441"/>
      <c r="X136" s="1">
        <f t="shared" si="37"/>
        <v>1</v>
      </c>
      <c r="Y136" s="37"/>
      <c r="Z136" s="37"/>
      <c r="AB136" s="449">
        <v>44896</v>
      </c>
      <c r="AC136" s="37">
        <f t="shared" si="50"/>
        <v>8212.5</v>
      </c>
      <c r="AD136" s="37">
        <f t="shared" si="51"/>
        <v>1467</v>
      </c>
      <c r="AE136" s="37">
        <f t="shared" si="52"/>
        <v>6</v>
      </c>
      <c r="AF136" s="37">
        <f t="shared" si="53"/>
        <v>2</v>
      </c>
      <c r="AG136" s="37">
        <f t="shared" si="54"/>
        <v>0</v>
      </c>
      <c r="AH136" s="37">
        <f t="shared" si="55"/>
        <v>115</v>
      </c>
      <c r="AI136" s="60">
        <f t="shared" si="56"/>
        <v>2</v>
      </c>
      <c r="AJ136" s="60">
        <f t="shared" si="57"/>
        <v>0</v>
      </c>
      <c r="AK136" s="37">
        <f t="shared" si="58"/>
        <v>60</v>
      </c>
      <c r="AL136" s="37">
        <f t="shared" si="59"/>
        <v>2254</v>
      </c>
      <c r="AN136" s="60">
        <f t="shared" si="60"/>
        <v>125</v>
      </c>
      <c r="AO136" s="60">
        <f t="shared" si="61"/>
        <v>9804.5</v>
      </c>
    </row>
    <row r="137" spans="1:41" x14ac:dyDescent="0.2">
      <c r="A137" s="449">
        <v>44927</v>
      </c>
      <c r="AB137" s="449"/>
      <c r="AC137" s="37"/>
      <c r="AD137" s="37"/>
      <c r="AE137" s="37"/>
      <c r="AF137" s="37"/>
      <c r="AG137" s="37"/>
      <c r="AH137" s="37"/>
      <c r="AI137" s="60"/>
      <c r="AJ137" s="60"/>
      <c r="AK137" s="37"/>
      <c r="AL137" s="37"/>
      <c r="AN137" s="60"/>
      <c r="AO137" s="60"/>
    </row>
    <row r="138" spans="1:41" x14ac:dyDescent="0.2">
      <c r="A138" s="449">
        <v>44958</v>
      </c>
      <c r="AB138" s="449"/>
      <c r="AC138" s="37"/>
      <c r="AD138" s="37"/>
      <c r="AE138" s="37"/>
      <c r="AF138" s="37"/>
      <c r="AG138" s="37"/>
      <c r="AH138" s="37"/>
      <c r="AI138" s="60"/>
      <c r="AJ138" s="60"/>
      <c r="AK138" s="37"/>
      <c r="AL138" s="37"/>
      <c r="AN138" s="60"/>
      <c r="AO138" s="60"/>
    </row>
    <row r="139" spans="1:41" x14ac:dyDescent="0.2">
      <c r="A139" s="449">
        <v>44986</v>
      </c>
      <c r="AB139" s="449"/>
      <c r="AC139" s="37"/>
      <c r="AD139" s="37"/>
      <c r="AE139" s="37"/>
      <c r="AF139" s="37"/>
      <c r="AG139" s="37"/>
      <c r="AH139" s="37"/>
      <c r="AI139" s="60"/>
      <c r="AJ139" s="60"/>
      <c r="AK139" s="37"/>
      <c r="AL139" s="37"/>
      <c r="AN139" s="60"/>
      <c r="AO139" s="60"/>
    </row>
    <row r="140" spans="1:41" x14ac:dyDescent="0.2">
      <c r="A140" s="449">
        <v>45017</v>
      </c>
      <c r="AB140" s="449"/>
      <c r="AC140" s="37"/>
      <c r="AD140" s="37"/>
      <c r="AE140" s="37"/>
      <c r="AF140" s="37"/>
      <c r="AG140" s="37"/>
      <c r="AH140" s="37"/>
      <c r="AI140" s="60"/>
      <c r="AJ140" s="60"/>
      <c r="AK140" s="37"/>
      <c r="AL140" s="37"/>
      <c r="AN140" s="60"/>
      <c r="AO140" s="60"/>
    </row>
    <row r="141" spans="1:41" x14ac:dyDescent="0.2">
      <c r="A141" s="449">
        <v>45047</v>
      </c>
      <c r="AB141" s="449"/>
      <c r="AC141" s="37"/>
      <c r="AD141" s="37"/>
      <c r="AE141" s="37"/>
      <c r="AF141" s="37"/>
      <c r="AG141" s="37"/>
      <c r="AH141" s="37"/>
      <c r="AI141" s="60"/>
      <c r="AJ141" s="60"/>
      <c r="AK141" s="37"/>
      <c r="AL141" s="37"/>
      <c r="AN141" s="60"/>
      <c r="AO141" s="60"/>
    </row>
    <row r="142" spans="1:41" x14ac:dyDescent="0.2">
      <c r="A142" s="449">
        <v>45078</v>
      </c>
      <c r="AB142" s="449"/>
      <c r="AC142" s="37"/>
      <c r="AD142" s="37"/>
      <c r="AE142" s="37"/>
      <c r="AF142" s="37"/>
      <c r="AG142" s="37"/>
      <c r="AH142" s="37"/>
      <c r="AI142" s="60"/>
      <c r="AJ142" s="60"/>
      <c r="AK142" s="37"/>
      <c r="AL142" s="37"/>
      <c r="AN142" s="60"/>
      <c r="AO142" s="60"/>
    </row>
    <row r="143" spans="1:41" x14ac:dyDescent="0.2">
      <c r="A143" s="449">
        <v>45108</v>
      </c>
      <c r="AB143" s="449"/>
      <c r="AC143" s="37"/>
      <c r="AD143" s="37"/>
      <c r="AE143" s="37"/>
      <c r="AF143" s="37"/>
      <c r="AG143" s="37"/>
      <c r="AH143" s="37"/>
      <c r="AI143" s="60"/>
      <c r="AJ143" s="60"/>
      <c r="AK143" s="37"/>
      <c r="AL143" s="37"/>
      <c r="AN143" s="60"/>
      <c r="AO143" s="60"/>
    </row>
    <row r="144" spans="1:41" x14ac:dyDescent="0.2">
      <c r="A144" s="449">
        <v>45139</v>
      </c>
      <c r="AB144" s="449"/>
      <c r="AC144" s="37"/>
      <c r="AD144" s="37"/>
      <c r="AE144" s="37"/>
      <c r="AF144" s="37"/>
      <c r="AG144" s="37"/>
      <c r="AH144" s="37"/>
      <c r="AI144" s="60"/>
      <c r="AJ144" s="60"/>
      <c r="AK144" s="37"/>
      <c r="AL144" s="37"/>
      <c r="AN144" s="60"/>
      <c r="AO144" s="60"/>
    </row>
    <row r="145" spans="1:41" x14ac:dyDescent="0.2">
      <c r="A145" s="449">
        <v>45170</v>
      </c>
      <c r="AB145" s="449"/>
      <c r="AC145" s="37"/>
      <c r="AD145" s="37"/>
      <c r="AE145" s="37"/>
      <c r="AF145" s="37"/>
      <c r="AG145" s="37"/>
      <c r="AH145" s="37"/>
      <c r="AI145" s="60"/>
      <c r="AJ145" s="60"/>
      <c r="AK145" s="37"/>
      <c r="AL145" s="37"/>
      <c r="AN145" s="60"/>
      <c r="AO145" s="60"/>
    </row>
    <row r="146" spans="1:41" x14ac:dyDescent="0.2">
      <c r="A146" s="449">
        <v>45200</v>
      </c>
      <c r="AB146" s="449"/>
      <c r="AC146" s="37"/>
      <c r="AD146" s="37"/>
      <c r="AE146" s="37"/>
      <c r="AF146" s="37"/>
      <c r="AG146" s="37"/>
      <c r="AH146" s="37"/>
      <c r="AI146" s="60"/>
      <c r="AJ146" s="60"/>
      <c r="AK146" s="37"/>
      <c r="AL146" s="37"/>
      <c r="AN146" s="60"/>
      <c r="AO146" s="60"/>
    </row>
    <row r="147" spans="1:41" x14ac:dyDescent="0.2">
      <c r="A147" s="449">
        <v>45231</v>
      </c>
    </row>
    <row r="148" spans="1:41" x14ac:dyDescent="0.2">
      <c r="A148" s="449">
        <v>45261</v>
      </c>
    </row>
    <row r="149" spans="1:41" x14ac:dyDescent="0.2">
      <c r="A149" s="449">
        <v>45292</v>
      </c>
    </row>
    <row r="150" spans="1:41" x14ac:dyDescent="0.2">
      <c r="A150" s="449">
        <v>45323</v>
      </c>
    </row>
    <row r="151" spans="1:41" x14ac:dyDescent="0.2">
      <c r="A151" s="449">
        <v>45352</v>
      </c>
    </row>
    <row r="152" spans="1:41" x14ac:dyDescent="0.2">
      <c r="A152" s="449">
        <v>45383</v>
      </c>
    </row>
    <row r="153" spans="1:41" x14ac:dyDescent="0.2">
      <c r="A153" s="449">
        <v>45413</v>
      </c>
    </row>
    <row r="154" spans="1:41" x14ac:dyDescent="0.2">
      <c r="A154" s="449">
        <v>45444</v>
      </c>
    </row>
    <row r="155" spans="1:41" x14ac:dyDescent="0.2">
      <c r="A155" s="449">
        <v>45474</v>
      </c>
    </row>
    <row r="156" spans="1:41" x14ac:dyDescent="0.2">
      <c r="A156" s="449">
        <v>45505</v>
      </c>
    </row>
    <row r="157" spans="1:41" x14ac:dyDescent="0.2">
      <c r="A157" s="449">
        <v>45536</v>
      </c>
    </row>
    <row r="158" spans="1:41" x14ac:dyDescent="0.2">
      <c r="A158" s="449">
        <v>45566</v>
      </c>
    </row>
    <row r="159" spans="1:41" x14ac:dyDescent="0.2">
      <c r="A159" s="449">
        <v>45597</v>
      </c>
    </row>
    <row r="160" spans="1:41" x14ac:dyDescent="0.2">
      <c r="A160" s="449">
        <v>45627</v>
      </c>
    </row>
    <row r="162" spans="1:38" x14ac:dyDescent="0.2">
      <c r="A162" s="505"/>
    </row>
    <row r="170" spans="1:38" x14ac:dyDescent="0.2">
      <c r="AB170" s="1" t="s">
        <v>293</v>
      </c>
    </row>
    <row r="172" spans="1:38" x14ac:dyDescent="0.2">
      <c r="AB172" s="1" t="s">
        <v>294</v>
      </c>
      <c r="AC172" s="60">
        <f t="shared" ref="AC172:AH173" si="63">AVERAGE(AC10,AC22,AC34,AC46,AC70,AC82)</f>
        <v>7302.25</v>
      </c>
      <c r="AD172" s="60">
        <f t="shared" si="63"/>
        <v>1298.1666666666667</v>
      </c>
      <c r="AE172" s="60">
        <f t="shared" si="63"/>
        <v>5.333333333333333</v>
      </c>
      <c r="AF172" s="60">
        <f t="shared" si="63"/>
        <v>8.0833333333333339</v>
      </c>
      <c r="AG172" s="60">
        <f t="shared" si="63"/>
        <v>80.916666666666671</v>
      </c>
      <c r="AH172" s="60">
        <f t="shared" si="63"/>
        <v>31.333333333333332</v>
      </c>
      <c r="AI172" s="60"/>
      <c r="AJ172" s="60"/>
      <c r="AK172" s="60">
        <f>AVERAGE(AK10,AK22,AK34,AK46,AK70,AK82)</f>
        <v>20.666666666666668</v>
      </c>
      <c r="AL172" s="60">
        <f>AVERAGE(AL10,AL22,AL34,AL46,AL70,AL82)</f>
        <v>2044.1666666666667</v>
      </c>
    </row>
    <row r="173" spans="1:38" x14ac:dyDescent="0.2">
      <c r="AB173" s="1" t="s">
        <v>295</v>
      </c>
      <c r="AC173" s="60">
        <f t="shared" si="63"/>
        <v>7315.583333333333</v>
      </c>
      <c r="AD173" s="60">
        <f t="shared" si="63"/>
        <v>1299.5</v>
      </c>
      <c r="AE173" s="60">
        <f t="shared" si="63"/>
        <v>5.333333333333333</v>
      </c>
      <c r="AF173" s="60">
        <f t="shared" si="63"/>
        <v>7.916666666666667</v>
      </c>
      <c r="AG173" s="60">
        <f t="shared" si="63"/>
        <v>80.166666666666671</v>
      </c>
      <c r="AH173" s="60">
        <f t="shared" si="63"/>
        <v>30.916666666666668</v>
      </c>
      <c r="AI173" s="60"/>
      <c r="AJ173" s="60"/>
      <c r="AK173" s="60">
        <f>AVERAGE(AK11,AK23,AK35,AK47,AK71,AK83)</f>
        <v>20.5</v>
      </c>
      <c r="AL173" s="60">
        <f>AVERAGE(AL11,AL23,AL35,AL47,AL71,AL83)</f>
        <v>2044.1666666666667</v>
      </c>
    </row>
    <row r="174" spans="1:38" x14ac:dyDescent="0.2">
      <c r="AB174" s="1" t="s">
        <v>15</v>
      </c>
      <c r="AC174" s="60">
        <f>+AC172+AC173</f>
        <v>14617.833333333332</v>
      </c>
      <c r="AD174" s="60">
        <f t="shared" ref="AD174:AL174" si="64">+AD172+AD173</f>
        <v>2597.666666666667</v>
      </c>
      <c r="AE174" s="60">
        <f t="shared" si="64"/>
        <v>10.666666666666666</v>
      </c>
      <c r="AF174" s="60">
        <f t="shared" si="64"/>
        <v>16</v>
      </c>
      <c r="AG174" s="60">
        <f t="shared" si="64"/>
        <v>161.08333333333334</v>
      </c>
      <c r="AH174" s="60">
        <f t="shared" si="64"/>
        <v>62.25</v>
      </c>
      <c r="AI174" s="60"/>
      <c r="AJ174" s="60"/>
      <c r="AK174" s="60">
        <f t="shared" si="64"/>
        <v>41.166666666666671</v>
      </c>
      <c r="AL174" s="60">
        <f t="shared" si="64"/>
        <v>4088.3333333333335</v>
      </c>
    </row>
    <row r="176" spans="1:38" x14ac:dyDescent="0.2">
      <c r="AB176" s="1" t="s">
        <v>296</v>
      </c>
      <c r="AC176" s="60">
        <f t="shared" ref="AC176:AH176" si="65">+B58+B59</f>
        <v>15316</v>
      </c>
      <c r="AD176" s="60">
        <f t="shared" si="65"/>
        <v>2517</v>
      </c>
      <c r="AE176" s="60">
        <f t="shared" si="65"/>
        <v>10</v>
      </c>
      <c r="AF176" s="60">
        <f t="shared" si="65"/>
        <v>16</v>
      </c>
      <c r="AG176" s="60">
        <f t="shared" si="65"/>
        <v>154</v>
      </c>
      <c r="AH176" s="60">
        <f t="shared" si="65"/>
        <v>38</v>
      </c>
      <c r="AI176" s="60"/>
      <c r="AJ176" s="60"/>
      <c r="AK176" s="60">
        <f>+J58+J60</f>
        <v>34</v>
      </c>
      <c r="AL176" s="60">
        <f>+K58+K59</f>
        <v>4252</v>
      </c>
    </row>
    <row r="178" spans="28:38" x14ac:dyDescent="0.2">
      <c r="AB178" s="1" t="s">
        <v>297</v>
      </c>
      <c r="AC178" s="37">
        <f>+AC172/AC174*AC176</f>
        <v>7651.014924692442</v>
      </c>
      <c r="AD178" s="37">
        <f t="shared" ref="AD178:AL178" si="66">+AD172/AD174*AD176</f>
        <v>1257.8540356730398</v>
      </c>
      <c r="AE178" s="37">
        <f t="shared" si="66"/>
        <v>5</v>
      </c>
      <c r="AF178" s="37">
        <f t="shared" si="66"/>
        <v>8.0833333333333339</v>
      </c>
      <c r="AG178" s="37">
        <f t="shared" si="66"/>
        <v>77.3585100879462</v>
      </c>
      <c r="AH178" s="37">
        <f t="shared" si="66"/>
        <v>19.12717536813922</v>
      </c>
      <c r="AI178" s="37"/>
      <c r="AJ178" s="37"/>
      <c r="AK178" s="37">
        <f>+AK176/2</f>
        <v>17</v>
      </c>
      <c r="AL178" s="37">
        <f t="shared" si="66"/>
        <v>2126</v>
      </c>
    </row>
    <row r="179" spans="28:38" x14ac:dyDescent="0.2">
      <c r="AB179" s="1" t="s">
        <v>298</v>
      </c>
      <c r="AC179" s="37">
        <f>+AC173/AC174*AC176</f>
        <v>7664.985075307558</v>
      </c>
      <c r="AD179" s="37">
        <f t="shared" ref="AD179:AL179" si="67">+AD173/AD174*AD176</f>
        <v>1259.14596432696</v>
      </c>
      <c r="AE179" s="37">
        <f t="shared" si="67"/>
        <v>5</v>
      </c>
      <c r="AF179" s="37">
        <f t="shared" si="67"/>
        <v>7.916666666666667</v>
      </c>
      <c r="AG179" s="37">
        <f t="shared" si="67"/>
        <v>76.6414899120538</v>
      </c>
      <c r="AH179" s="37">
        <f t="shared" si="67"/>
        <v>18.872824631860777</v>
      </c>
      <c r="AI179" s="37"/>
      <c r="AJ179" s="37"/>
      <c r="AK179" s="37">
        <f>+AK176/2</f>
        <v>17</v>
      </c>
      <c r="AL179" s="37">
        <f t="shared" si="67"/>
        <v>2126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79998168889431442"/>
  </sheetPr>
  <dimension ref="A1:AE182"/>
  <sheetViews>
    <sheetView showGridLines="0" zoomScale="80" zoomScaleNormal="80" zoomScaleSheetLayoutView="50" workbookViewId="0">
      <pane xSplit="2" ySplit="9" topLeftCell="C10" activePane="bottomRight" state="frozen"/>
      <selection pane="topRight" activeCell="D1" sqref="D1"/>
      <selection pane="bottomLeft" activeCell="A25" sqref="A25"/>
      <selection pane="bottomRight" activeCell="C10" sqref="C10"/>
    </sheetView>
  </sheetViews>
  <sheetFormatPr defaultRowHeight="12.75" x14ac:dyDescent="0.2"/>
  <cols>
    <col min="1" max="1" width="18" style="1" customWidth="1"/>
    <col min="2" max="2" width="16.83203125" style="22" customWidth="1"/>
    <col min="3" max="3" width="14.1640625" style="22" customWidth="1"/>
    <col min="4" max="4" width="14.1640625" style="13" customWidth="1"/>
    <col min="5" max="5" width="14.1640625" style="22" customWidth="1"/>
    <col min="6" max="6" width="14.1640625" style="13" customWidth="1"/>
    <col min="7" max="7" width="14.1640625" style="22" customWidth="1"/>
    <col min="8" max="8" width="15.1640625" style="13" customWidth="1"/>
    <col min="9" max="10" width="14.1640625" style="22" customWidth="1"/>
    <col min="11" max="11" width="14.1640625" style="13" customWidth="1"/>
    <col min="12" max="13" width="14.1640625" style="22" customWidth="1"/>
    <col min="14" max="14" width="14.1640625" style="13" customWidth="1"/>
    <col min="15" max="16" width="14.1640625" style="22" customWidth="1"/>
    <col min="17" max="17" width="14.1640625" style="13" customWidth="1"/>
    <col min="18" max="19" width="14.1640625" style="22" customWidth="1"/>
    <col min="20" max="20" width="14.1640625" style="13" customWidth="1"/>
    <col min="21" max="21" width="1.83203125" style="13" customWidth="1"/>
    <col min="22" max="22" width="15.6640625" style="1" bestFit="1" customWidth="1"/>
    <col min="23" max="23" width="12.5" style="1" customWidth="1"/>
    <col min="24" max="24" width="13" style="1" customWidth="1"/>
    <col min="25" max="25" width="1.83203125" style="1" hidden="1" customWidth="1"/>
    <col min="26" max="31" width="14" style="1" hidden="1" customWidth="1"/>
    <col min="32" max="16384" width="9.33203125" style="1"/>
  </cols>
  <sheetData>
    <row r="1" spans="1:31" x14ac:dyDescent="0.2">
      <c r="A1" s="1" t="str">
        <f>+'1. Assumptions'!A1</f>
        <v>Niagara-on-the-Lake Hydro Inc.</v>
      </c>
    </row>
    <row r="2" spans="1:31" x14ac:dyDescent="0.2">
      <c r="A2" s="262" t="s">
        <v>212</v>
      </c>
    </row>
    <row r="3" spans="1:31" x14ac:dyDescent="0.2">
      <c r="A3" s="1" t="str">
        <f>+'1. Assumptions'!A3</f>
        <v>2024 Test &amp; 2023 Bridge</v>
      </c>
      <c r="B3" s="1"/>
      <c r="D3" s="22"/>
      <c r="F3" s="22"/>
      <c r="G3" s="1"/>
      <c r="H3" s="1"/>
      <c r="J3" s="1"/>
      <c r="K3" s="22"/>
      <c r="M3" s="1"/>
      <c r="N3" s="22"/>
      <c r="P3" s="1"/>
      <c r="Q3" s="22"/>
      <c r="R3" s="1"/>
      <c r="S3" s="1"/>
      <c r="T3" s="1"/>
      <c r="U3" s="1"/>
    </row>
    <row r="4" spans="1:31" ht="13.5" thickBot="1" x14ac:dyDescent="0.25">
      <c r="I4" s="24"/>
      <c r="L4" s="24"/>
    </row>
    <row r="5" spans="1:31" ht="12.75" customHeight="1" x14ac:dyDescent="0.2">
      <c r="A5" s="14"/>
      <c r="B5" s="14"/>
      <c r="C5" s="597" t="str">
        <f>'2. Customer Classes'!A6</f>
        <v>Residential</v>
      </c>
      <c r="D5" s="598"/>
      <c r="E5" s="597" t="str">
        <f>'2. Customer Classes'!A7</f>
        <v>General Service &lt; 50 kW</v>
      </c>
      <c r="F5" s="598"/>
      <c r="G5" s="600" t="str">
        <f>+'2. Customer Classes'!A8</f>
        <v>Unmetered Scattered Load</v>
      </c>
      <c r="H5" s="601"/>
      <c r="I5" s="597" t="str">
        <f>'2. Customer Classes'!A9</f>
        <v>General Service &gt; 50 kW - 4999 kW</v>
      </c>
      <c r="J5" s="599"/>
      <c r="K5" s="598"/>
      <c r="L5" s="597" t="str">
        <f>+I5</f>
        <v>General Service &gt; 50 kW - 4999 kW</v>
      </c>
      <c r="M5" s="599"/>
      <c r="N5" s="598"/>
      <c r="O5" s="602" t="str">
        <f>'2. Customer Classes'!A10</f>
        <v>Streetlighting</v>
      </c>
      <c r="P5" s="603"/>
      <c r="Q5" s="604"/>
      <c r="R5" s="602" t="str">
        <f>'2. Customer Classes'!A11</f>
        <v>Large User</v>
      </c>
      <c r="S5" s="603"/>
      <c r="T5" s="604"/>
      <c r="U5" s="270"/>
    </row>
    <row r="6" spans="1:31" ht="12.75" customHeight="1" x14ac:dyDescent="0.2">
      <c r="A6" s="30"/>
      <c r="B6" s="30"/>
      <c r="C6" s="605" t="s">
        <v>66</v>
      </c>
      <c r="D6" s="606"/>
      <c r="E6" s="605" t="s">
        <v>66</v>
      </c>
      <c r="F6" s="606"/>
      <c r="G6" s="605" t="s">
        <v>66</v>
      </c>
      <c r="H6" s="606"/>
      <c r="I6" s="605" t="s">
        <v>464</v>
      </c>
      <c r="J6" s="607"/>
      <c r="K6" s="606"/>
      <c r="L6" s="605" t="s">
        <v>465</v>
      </c>
      <c r="M6" s="607"/>
      <c r="N6" s="606"/>
      <c r="O6" s="605" t="s">
        <v>66</v>
      </c>
      <c r="P6" s="607"/>
      <c r="Q6" s="606"/>
      <c r="R6" s="605" t="s">
        <v>66</v>
      </c>
      <c r="S6" s="607"/>
      <c r="T6" s="606"/>
      <c r="U6" s="272"/>
      <c r="V6" s="22"/>
    </row>
    <row r="7" spans="1:31" x14ac:dyDescent="0.2">
      <c r="A7" s="15"/>
      <c r="B7" s="15"/>
      <c r="C7" s="16"/>
      <c r="D7" s="129" t="s">
        <v>205</v>
      </c>
      <c r="E7" s="16"/>
      <c r="F7" s="129" t="s">
        <v>205</v>
      </c>
      <c r="G7" s="16"/>
      <c r="H7" s="129" t="s">
        <v>205</v>
      </c>
      <c r="I7" s="16"/>
      <c r="J7" s="5"/>
      <c r="K7" s="129" t="s">
        <v>205</v>
      </c>
      <c r="L7" s="16"/>
      <c r="M7" s="5"/>
      <c r="N7" s="129" t="s">
        <v>205</v>
      </c>
      <c r="O7" s="16"/>
      <c r="P7" s="5"/>
      <c r="Q7" s="129" t="s">
        <v>205</v>
      </c>
      <c r="R7" s="16"/>
      <c r="S7" s="5"/>
      <c r="T7" s="129" t="s">
        <v>205</v>
      </c>
      <c r="U7" s="279"/>
      <c r="V7" s="595" t="s">
        <v>210</v>
      </c>
      <c r="W7" s="595"/>
      <c r="X7" s="595"/>
      <c r="Z7" s="595" t="s">
        <v>211</v>
      </c>
      <c r="AA7" s="595"/>
      <c r="AB7" s="595"/>
      <c r="AC7" s="595"/>
      <c r="AD7" s="595"/>
      <c r="AE7" s="595"/>
    </row>
    <row r="8" spans="1:31" ht="26.25" thickBot="1" x14ac:dyDescent="0.25">
      <c r="A8" s="17"/>
      <c r="B8" s="17"/>
      <c r="C8" s="18" t="s">
        <v>33</v>
      </c>
      <c r="D8" s="277" t="s">
        <v>206</v>
      </c>
      <c r="E8" s="18" t="s">
        <v>33</v>
      </c>
      <c r="F8" s="277" t="s">
        <v>206</v>
      </c>
      <c r="G8" s="19" t="s">
        <v>33</v>
      </c>
      <c r="H8" s="277" t="s">
        <v>206</v>
      </c>
      <c r="I8" s="18" t="s">
        <v>33</v>
      </c>
      <c r="J8" s="8" t="s">
        <v>34</v>
      </c>
      <c r="K8" s="277" t="s">
        <v>206</v>
      </c>
      <c r="L8" s="18" t="s">
        <v>33</v>
      </c>
      <c r="M8" s="8" t="s">
        <v>34</v>
      </c>
      <c r="N8" s="277" t="s">
        <v>206</v>
      </c>
      <c r="O8" s="18" t="s">
        <v>33</v>
      </c>
      <c r="P8" s="8" t="s">
        <v>34</v>
      </c>
      <c r="Q8" s="277" t="s">
        <v>206</v>
      </c>
      <c r="R8" s="18" t="s">
        <v>33</v>
      </c>
      <c r="S8" s="8" t="s">
        <v>34</v>
      </c>
      <c r="T8" s="277" t="s">
        <v>206</v>
      </c>
      <c r="U8" s="280"/>
      <c r="V8" s="22" t="s">
        <v>207</v>
      </c>
      <c r="W8" s="22" t="s">
        <v>208</v>
      </c>
      <c r="X8" s="1" t="s">
        <v>209</v>
      </c>
      <c r="Z8" s="1" t="s">
        <v>5</v>
      </c>
      <c r="AA8" s="1" t="s">
        <v>172</v>
      </c>
      <c r="AB8" s="1" t="s">
        <v>174</v>
      </c>
      <c r="AC8" s="1" t="s">
        <v>173</v>
      </c>
      <c r="AD8" s="1" t="s">
        <v>51</v>
      </c>
      <c r="AE8" s="1" t="s">
        <v>147</v>
      </c>
    </row>
    <row r="9" spans="1:31" ht="15.75" customHeight="1" thickBot="1" x14ac:dyDescent="0.25">
      <c r="A9" s="14" t="s">
        <v>31</v>
      </c>
      <c r="B9" s="14" t="s">
        <v>146</v>
      </c>
      <c r="C9" s="54"/>
      <c r="D9" s="130"/>
      <c r="E9" s="54"/>
      <c r="F9" s="130"/>
      <c r="G9" s="56"/>
      <c r="H9" s="130"/>
      <c r="I9" s="54"/>
      <c r="J9" s="57"/>
      <c r="K9" s="130"/>
      <c r="L9" s="54"/>
      <c r="M9" s="57"/>
      <c r="N9" s="130"/>
      <c r="O9" s="54"/>
      <c r="P9" s="57"/>
      <c r="Q9" s="130"/>
      <c r="R9" s="54"/>
      <c r="S9" s="57"/>
      <c r="T9" s="55"/>
    </row>
    <row r="10" spans="1:31" x14ac:dyDescent="0.2">
      <c r="A10" s="31" t="s">
        <v>318</v>
      </c>
      <c r="B10" s="20" t="s">
        <v>58</v>
      </c>
      <c r="C10" s="88">
        <f>+'SQL Data kWh'!AC5</f>
        <v>5715082.75</v>
      </c>
      <c r="D10" s="131">
        <f>+'Customer Counts'!AC5</f>
        <v>6668</v>
      </c>
      <c r="E10" s="94">
        <f>+'SQL Data kWh'!AD5</f>
        <v>2855718.69</v>
      </c>
      <c r="F10" s="131">
        <f>+'Customer Counts'!AD5</f>
        <v>1250</v>
      </c>
      <c r="G10" s="95">
        <f>+'SQL Data kWh'!AK5</f>
        <v>19634</v>
      </c>
      <c r="H10" s="131">
        <f>+'Customer Counts'!AK5</f>
        <v>23.5</v>
      </c>
      <c r="I10" s="88">
        <f>+'SQL Data kWh'!AN5</f>
        <v>6396639.8799999999</v>
      </c>
      <c r="J10" s="480">
        <f>+'Harris Data kW'!U4</f>
        <v>15180.73</v>
      </c>
      <c r="K10" s="131">
        <f>+'Customer Counts'!AN5</f>
        <v>118</v>
      </c>
      <c r="L10" s="88">
        <f>+'SQL Data kWh'!AO5</f>
        <v>6396639.8799999999</v>
      </c>
      <c r="M10" s="480">
        <f>+'Harris Data kW'!T4</f>
        <v>15180.73</v>
      </c>
      <c r="N10" s="131">
        <f>+'Customer Counts'!AN5</f>
        <v>118</v>
      </c>
      <c r="O10" s="88">
        <f>+'SQL Data kWh'!AL5</f>
        <v>121945.88</v>
      </c>
      <c r="P10" s="93">
        <v>260.91000000000003</v>
      </c>
      <c r="Q10" s="131">
        <f>+'Customer Counts'!AL5</f>
        <v>1946</v>
      </c>
      <c r="R10" s="94"/>
      <c r="S10" s="93"/>
      <c r="T10" s="92"/>
      <c r="U10" s="281"/>
      <c r="V10" s="140">
        <f t="shared" ref="V10:V41" si="0">+D10+F10+K10</f>
        <v>8036</v>
      </c>
      <c r="W10" s="1">
        <v>7891</v>
      </c>
      <c r="X10" s="140">
        <f>+V10-W10</f>
        <v>145</v>
      </c>
      <c r="Y10" s="140"/>
    </row>
    <row r="11" spans="1:31" x14ac:dyDescent="0.2">
      <c r="A11" s="31" t="s">
        <v>318</v>
      </c>
      <c r="B11" s="20" t="s">
        <v>59</v>
      </c>
      <c r="C11" s="88">
        <f>+'SQL Data kWh'!AC6</f>
        <v>5023845.28</v>
      </c>
      <c r="D11" s="131">
        <f>+'Customer Counts'!AC6</f>
        <v>6677</v>
      </c>
      <c r="E11" s="94">
        <f>+'SQL Data kWh'!AD6</f>
        <v>2631051.66</v>
      </c>
      <c r="F11" s="131">
        <f>+'Customer Counts'!AD6</f>
        <v>1255.5</v>
      </c>
      <c r="G11" s="95">
        <f>+'SQL Data kWh'!AK6</f>
        <v>19454</v>
      </c>
      <c r="H11" s="131">
        <f>+'Customer Counts'!AK6</f>
        <v>22.5</v>
      </c>
      <c r="I11" s="88">
        <f>+'SQL Data kWh'!AN6</f>
        <v>6003179.7300000004</v>
      </c>
      <c r="J11" s="480">
        <f>+'Harris Data kW'!U5</f>
        <v>17758.75</v>
      </c>
      <c r="K11" s="131">
        <f>+'Customer Counts'!AN6</f>
        <v>118</v>
      </c>
      <c r="L11" s="88">
        <f>+'SQL Data kWh'!AO6</f>
        <v>6003179.7300000004</v>
      </c>
      <c r="M11" s="480">
        <f>+'Harris Data kW'!T5</f>
        <v>17758.75</v>
      </c>
      <c r="N11" s="131">
        <f>+'Customer Counts'!AN6</f>
        <v>118</v>
      </c>
      <c r="O11" s="88">
        <f>+'SQL Data kWh'!AL6</f>
        <v>105126.32</v>
      </c>
      <c r="P11" s="93">
        <v>252.50000000000006</v>
      </c>
      <c r="Q11" s="131">
        <f>+'Customer Counts'!AL6</f>
        <v>1946</v>
      </c>
      <c r="R11" s="94"/>
      <c r="S11" s="93"/>
      <c r="T11" s="92"/>
      <c r="U11" s="281"/>
      <c r="V11" s="140">
        <f t="shared" si="0"/>
        <v>8050.5</v>
      </c>
      <c r="W11" s="1">
        <v>7898.5</v>
      </c>
      <c r="X11" s="140">
        <f t="shared" ref="X11:X74" si="1">+V11-W11</f>
        <v>152</v>
      </c>
      <c r="Y11" s="140"/>
    </row>
    <row r="12" spans="1:31" x14ac:dyDescent="0.2">
      <c r="A12" s="31" t="s">
        <v>318</v>
      </c>
      <c r="B12" s="20" t="s">
        <v>60</v>
      </c>
      <c r="C12" s="88">
        <f>+'SQL Data kWh'!AC7</f>
        <v>4700287.42</v>
      </c>
      <c r="D12" s="131">
        <f>+'Customer Counts'!AC7</f>
        <v>6684</v>
      </c>
      <c r="E12" s="94">
        <f>+'SQL Data kWh'!AD7</f>
        <v>2655346.23</v>
      </c>
      <c r="F12" s="131">
        <f>+'Customer Counts'!AD7</f>
        <v>1264</v>
      </c>
      <c r="G12" s="95">
        <f>+'SQL Data kWh'!AK7</f>
        <v>18231</v>
      </c>
      <c r="H12" s="131">
        <f>+'Customer Counts'!AK7</f>
        <v>21</v>
      </c>
      <c r="I12" s="88">
        <f>+'SQL Data kWh'!AN7</f>
        <v>6181438.7699999996</v>
      </c>
      <c r="J12" s="480">
        <f>+'Harris Data kW'!U6</f>
        <v>14378.610000000002</v>
      </c>
      <c r="K12" s="131">
        <f>+'Customer Counts'!AN7</f>
        <v>118</v>
      </c>
      <c r="L12" s="88">
        <f>+'SQL Data kWh'!AO7</f>
        <v>6181438.7699999996</v>
      </c>
      <c r="M12" s="480">
        <f>+'Harris Data kW'!T6</f>
        <v>14378.610000000002</v>
      </c>
      <c r="N12" s="131">
        <f>+'Customer Counts'!AN7</f>
        <v>118</v>
      </c>
      <c r="O12" s="88">
        <f>+'SQL Data kWh'!AL7</f>
        <v>100694.98</v>
      </c>
      <c r="P12" s="93">
        <v>305.91000000000003</v>
      </c>
      <c r="Q12" s="131">
        <f>+'Customer Counts'!AL7</f>
        <v>1946</v>
      </c>
      <c r="R12" s="94"/>
      <c r="S12" s="93"/>
      <c r="T12" s="92"/>
      <c r="U12" s="281"/>
      <c r="V12" s="140">
        <f t="shared" si="0"/>
        <v>8066</v>
      </c>
      <c r="W12" s="1">
        <v>7902</v>
      </c>
      <c r="X12" s="140">
        <f t="shared" si="1"/>
        <v>164</v>
      </c>
      <c r="Y12" s="140"/>
    </row>
    <row r="13" spans="1:31" x14ac:dyDescent="0.2">
      <c r="A13" s="31" t="s">
        <v>318</v>
      </c>
      <c r="B13" s="20" t="s">
        <v>61</v>
      </c>
      <c r="C13" s="88">
        <f>+'SQL Data kWh'!AC8</f>
        <v>4414336.8099999996</v>
      </c>
      <c r="D13" s="131">
        <f>+'Customer Counts'!AC8</f>
        <v>6688</v>
      </c>
      <c r="E13" s="94">
        <f>+'SQL Data kWh'!AD8</f>
        <v>2534293.46</v>
      </c>
      <c r="F13" s="131">
        <f>+'Customer Counts'!AD8</f>
        <v>1271.5</v>
      </c>
      <c r="G13" s="95">
        <f>+'SQL Data kWh'!AK8</f>
        <v>18224.8</v>
      </c>
      <c r="H13" s="131">
        <f>+'Customer Counts'!AK8</f>
        <v>20</v>
      </c>
      <c r="I13" s="88">
        <f>+'SQL Data kWh'!AN8</f>
        <v>5768420.6799999997</v>
      </c>
      <c r="J13" s="480">
        <f>+'Harris Data kW'!U7</f>
        <v>15084.28</v>
      </c>
      <c r="K13" s="131">
        <f>+'Customer Counts'!AN8</f>
        <v>118</v>
      </c>
      <c r="L13" s="88">
        <f>+'SQL Data kWh'!AO8</f>
        <v>5768420.6799999997</v>
      </c>
      <c r="M13" s="480">
        <f>+'Harris Data kW'!T7</f>
        <v>15084.28</v>
      </c>
      <c r="N13" s="131">
        <f>+'Customer Counts'!AN8</f>
        <v>118</v>
      </c>
      <c r="O13" s="88">
        <f>+'SQL Data kWh'!AL8</f>
        <v>85427.38</v>
      </c>
      <c r="P13" s="93">
        <v>242.58999999999997</v>
      </c>
      <c r="Q13" s="131">
        <f>+'Customer Counts'!AL8</f>
        <v>1946</v>
      </c>
      <c r="R13" s="94"/>
      <c r="S13" s="93"/>
      <c r="T13" s="92"/>
      <c r="U13" s="281"/>
      <c r="V13" s="140">
        <f t="shared" si="0"/>
        <v>8077.5</v>
      </c>
      <c r="W13" s="1">
        <v>7910.5</v>
      </c>
      <c r="X13" s="140">
        <f t="shared" si="1"/>
        <v>167</v>
      </c>
      <c r="Y13" s="140"/>
    </row>
    <row r="14" spans="1:31" x14ac:dyDescent="0.2">
      <c r="A14" s="31" t="s">
        <v>318</v>
      </c>
      <c r="B14" s="20" t="s">
        <v>62</v>
      </c>
      <c r="C14" s="88">
        <f>+'SQL Data kWh'!AC9</f>
        <v>4890985.37</v>
      </c>
      <c r="D14" s="131">
        <f>+'Customer Counts'!AC9</f>
        <v>6691.5</v>
      </c>
      <c r="E14" s="94">
        <f>+'SQL Data kWh'!AD9</f>
        <v>2800386.68</v>
      </c>
      <c r="F14" s="131">
        <f>+'Customer Counts'!AD9</f>
        <v>1278</v>
      </c>
      <c r="G14" s="95">
        <f>+'SQL Data kWh'!AK9</f>
        <v>18232</v>
      </c>
      <c r="H14" s="131">
        <f>+'Customer Counts'!AK9</f>
        <v>20</v>
      </c>
      <c r="I14" s="88">
        <f>+'SQL Data kWh'!AN9</f>
        <v>6510902.3799999999</v>
      </c>
      <c r="J14" s="480">
        <f>+'Harris Data kW'!U8</f>
        <v>18279.060000000001</v>
      </c>
      <c r="K14" s="131">
        <f>+'Customer Counts'!AN9</f>
        <v>118.5</v>
      </c>
      <c r="L14" s="88">
        <f>+'SQL Data kWh'!AO9</f>
        <v>6510902.3799999999</v>
      </c>
      <c r="M14" s="480">
        <f>+'Harris Data kW'!T8</f>
        <v>18279.060000000001</v>
      </c>
      <c r="N14" s="131">
        <f>+'Customer Counts'!AN9</f>
        <v>118.5</v>
      </c>
      <c r="O14" s="88">
        <f>+'SQL Data kWh'!AL9</f>
        <v>77781.740000000005</v>
      </c>
      <c r="P14" s="93">
        <v>287.59000000000003</v>
      </c>
      <c r="Q14" s="131">
        <f>+'Customer Counts'!AL9</f>
        <v>1946</v>
      </c>
      <c r="R14" s="94"/>
      <c r="S14" s="93"/>
      <c r="T14" s="92"/>
      <c r="U14" s="281"/>
      <c r="V14" s="140">
        <f t="shared" si="0"/>
        <v>8088</v>
      </c>
      <c r="W14" s="1">
        <v>7919</v>
      </c>
      <c r="X14" s="140">
        <f t="shared" si="1"/>
        <v>169</v>
      </c>
      <c r="Y14" s="140"/>
    </row>
    <row r="15" spans="1:31" x14ac:dyDescent="0.2">
      <c r="A15" s="31" t="s">
        <v>318</v>
      </c>
      <c r="B15" s="20" t="s">
        <v>63</v>
      </c>
      <c r="C15" s="88">
        <f>+'SQL Data kWh'!AC10</f>
        <v>6454309.4699999997</v>
      </c>
      <c r="D15" s="131">
        <f>+'Customer Counts'!AC10</f>
        <v>6699.5</v>
      </c>
      <c r="E15" s="94">
        <f>+'SQL Data kWh'!AD10</f>
        <v>3270941.03</v>
      </c>
      <c r="F15" s="131">
        <f>+'Customer Counts'!AD10</f>
        <v>1278</v>
      </c>
      <c r="G15" s="95">
        <f>+'SQL Data kWh'!AK10</f>
        <v>18227</v>
      </c>
      <c r="H15" s="131">
        <f>+'Customer Counts'!AK10</f>
        <v>20</v>
      </c>
      <c r="I15" s="88">
        <f>+'SQL Data kWh'!AN10</f>
        <v>7065411.2300000004</v>
      </c>
      <c r="J15" s="480">
        <f>+'Harris Data kW'!U9</f>
        <v>17787.2</v>
      </c>
      <c r="K15" s="131">
        <f>+'Customer Counts'!AN10</f>
        <v>118.5</v>
      </c>
      <c r="L15" s="88">
        <f>+'SQL Data kWh'!AO10</f>
        <v>7065411.2300000004</v>
      </c>
      <c r="M15" s="480">
        <f>+'Harris Data kW'!T9</f>
        <v>17787.2</v>
      </c>
      <c r="N15" s="131">
        <f>+'Customer Counts'!AN10</f>
        <v>118.5</v>
      </c>
      <c r="O15" s="88">
        <f>+'SQL Data kWh'!AL10</f>
        <v>70069.06</v>
      </c>
      <c r="P15" s="93">
        <v>252.20999999999998</v>
      </c>
      <c r="Q15" s="131">
        <f>+'Customer Counts'!AL10</f>
        <v>1946</v>
      </c>
      <c r="R15" s="94"/>
      <c r="S15" s="93"/>
      <c r="T15" s="92"/>
      <c r="U15" s="281"/>
      <c r="V15" s="140">
        <f t="shared" si="0"/>
        <v>8096</v>
      </c>
      <c r="W15" s="1">
        <v>7928</v>
      </c>
      <c r="X15" s="140">
        <f t="shared" si="1"/>
        <v>168</v>
      </c>
      <c r="Y15" s="140"/>
    </row>
    <row r="16" spans="1:31" x14ac:dyDescent="0.2">
      <c r="A16" s="31" t="s">
        <v>318</v>
      </c>
      <c r="B16" s="20" t="s">
        <v>64</v>
      </c>
      <c r="C16" s="88">
        <f>+'SQL Data kWh'!AC11</f>
        <v>8054449.0999999996</v>
      </c>
      <c r="D16" s="131">
        <f>+'Customer Counts'!AC11</f>
        <v>6708.5</v>
      </c>
      <c r="E16" s="94">
        <f>+'SQL Data kWh'!AD11</f>
        <v>4037845.33</v>
      </c>
      <c r="F16" s="131">
        <f>+'Customer Counts'!AD11</f>
        <v>1277</v>
      </c>
      <c r="G16" s="95">
        <f>+'SQL Data kWh'!AK11</f>
        <v>18232</v>
      </c>
      <c r="H16" s="131">
        <f>+'Customer Counts'!AK11</f>
        <v>20</v>
      </c>
      <c r="I16" s="88">
        <f>+'SQL Data kWh'!AN11</f>
        <v>8134028.8099999996</v>
      </c>
      <c r="J16" s="480">
        <f>+'Harris Data kW'!U10</f>
        <v>20563.059999999998</v>
      </c>
      <c r="K16" s="131">
        <f>+'Customer Counts'!AN11</f>
        <v>118</v>
      </c>
      <c r="L16" s="88">
        <f>+'SQL Data kWh'!AO11</f>
        <v>8134028.8099999996</v>
      </c>
      <c r="M16" s="480">
        <f>+'Harris Data kW'!T10</f>
        <v>20563.059999999998</v>
      </c>
      <c r="N16" s="131">
        <f>+'Customer Counts'!AN11</f>
        <v>118</v>
      </c>
      <c r="O16" s="88">
        <f>+'SQL Data kWh'!AL11</f>
        <v>75240.36</v>
      </c>
      <c r="P16" s="93">
        <v>287.59000000000003</v>
      </c>
      <c r="Q16" s="131">
        <f>+'Customer Counts'!AL11</f>
        <v>1946</v>
      </c>
      <c r="R16" s="94"/>
      <c r="S16" s="93"/>
      <c r="T16" s="92"/>
      <c r="U16" s="281"/>
      <c r="V16" s="140">
        <f t="shared" si="0"/>
        <v>8103.5</v>
      </c>
      <c r="W16" s="1">
        <v>7942.5</v>
      </c>
      <c r="X16" s="140">
        <f t="shared" si="1"/>
        <v>161</v>
      </c>
      <c r="Y16" s="140"/>
    </row>
    <row r="17" spans="1:25" x14ac:dyDescent="0.2">
      <c r="A17" s="31" t="s">
        <v>318</v>
      </c>
      <c r="B17" s="20" t="s">
        <v>65</v>
      </c>
      <c r="C17" s="88">
        <f>+'SQL Data kWh'!AC12</f>
        <v>7023140.3499999996</v>
      </c>
      <c r="D17" s="131">
        <f>+'Customer Counts'!AC12</f>
        <v>6723</v>
      </c>
      <c r="E17" s="94">
        <f>+'SQL Data kWh'!AD12</f>
        <v>3709391.96</v>
      </c>
      <c r="F17" s="131">
        <f>+'Customer Counts'!AD12</f>
        <v>1278</v>
      </c>
      <c r="G17" s="95">
        <f>+'SQL Data kWh'!AK12</f>
        <v>18232</v>
      </c>
      <c r="H17" s="131">
        <f>+'Customer Counts'!AK12</f>
        <v>20</v>
      </c>
      <c r="I17" s="88">
        <f>+'SQL Data kWh'!AN12</f>
        <v>7874485.0099999998</v>
      </c>
      <c r="J17" s="480">
        <f>+'Harris Data kW'!U11</f>
        <v>19610.009999999998</v>
      </c>
      <c r="K17" s="131">
        <f>+'Customer Counts'!AN12</f>
        <v>118</v>
      </c>
      <c r="L17" s="88">
        <f>+'SQL Data kWh'!AO12</f>
        <v>7874485.0099999998</v>
      </c>
      <c r="M17" s="480">
        <f>+'Harris Data kW'!T11</f>
        <v>19610.009999999998</v>
      </c>
      <c r="N17" s="131">
        <f>+'Customer Counts'!AN12</f>
        <v>118</v>
      </c>
      <c r="O17" s="88">
        <f>+'SQL Data kWh'!AL12</f>
        <v>84504.34</v>
      </c>
      <c r="P17" s="93">
        <v>260.91000000000003</v>
      </c>
      <c r="Q17" s="131">
        <f>+'Customer Counts'!AL12</f>
        <v>1946</v>
      </c>
      <c r="R17" s="94"/>
      <c r="S17" s="93"/>
      <c r="T17" s="92"/>
      <c r="U17" s="281"/>
      <c r="V17" s="140">
        <f t="shared" si="0"/>
        <v>8119</v>
      </c>
      <c r="W17" s="1">
        <v>7966.5</v>
      </c>
      <c r="X17" s="140">
        <f t="shared" si="1"/>
        <v>152.5</v>
      </c>
      <c r="Y17" s="140"/>
    </row>
    <row r="18" spans="1:25" x14ac:dyDescent="0.2">
      <c r="A18" s="31" t="s">
        <v>318</v>
      </c>
      <c r="B18" s="20" t="s">
        <v>55</v>
      </c>
      <c r="C18" s="88">
        <f>+'SQL Data kWh'!AC13</f>
        <v>5382154.04</v>
      </c>
      <c r="D18" s="131">
        <f>+'Customer Counts'!AC13</f>
        <v>6734.5</v>
      </c>
      <c r="E18" s="94">
        <f>+'SQL Data kWh'!AD13</f>
        <v>2859233.42</v>
      </c>
      <c r="F18" s="131">
        <f>+'Customer Counts'!AD13</f>
        <v>1280</v>
      </c>
      <c r="G18" s="95">
        <f>+'SQL Data kWh'!AK13</f>
        <v>18227</v>
      </c>
      <c r="H18" s="131">
        <f>+'Customer Counts'!AK13</f>
        <v>20</v>
      </c>
      <c r="I18" s="88">
        <f>+'SQL Data kWh'!AN13</f>
        <v>6677237.1500000004</v>
      </c>
      <c r="J18" s="480">
        <f>+'Harris Data kW'!U12</f>
        <v>18759.97</v>
      </c>
      <c r="K18" s="131">
        <f>+'Customer Counts'!AN13</f>
        <v>118</v>
      </c>
      <c r="L18" s="88">
        <f>+'SQL Data kWh'!AO13</f>
        <v>6677237.1500000004</v>
      </c>
      <c r="M18" s="480">
        <f>+'Harris Data kW'!T12</f>
        <v>18759.97</v>
      </c>
      <c r="N18" s="131">
        <f>+'Customer Counts'!AN13</f>
        <v>118</v>
      </c>
      <c r="O18" s="88">
        <f>+'SQL Data kWh'!AL13</f>
        <v>93230.86</v>
      </c>
      <c r="P18" s="93">
        <v>261.2</v>
      </c>
      <c r="Q18" s="131">
        <f>+'Customer Counts'!AL13</f>
        <v>1947.5</v>
      </c>
      <c r="R18" s="94"/>
      <c r="S18" s="93"/>
      <c r="T18" s="92"/>
      <c r="U18" s="281"/>
      <c r="V18" s="140">
        <f t="shared" si="0"/>
        <v>8132.5</v>
      </c>
      <c r="W18" s="1">
        <v>7987</v>
      </c>
      <c r="X18" s="140">
        <f t="shared" si="1"/>
        <v>145.5</v>
      </c>
      <c r="Y18" s="140"/>
    </row>
    <row r="19" spans="1:25" x14ac:dyDescent="0.2">
      <c r="A19" s="31" t="s">
        <v>318</v>
      </c>
      <c r="B19" s="20" t="s">
        <v>56</v>
      </c>
      <c r="C19" s="88">
        <f>+'SQL Data kWh'!AC14</f>
        <v>4699064.01</v>
      </c>
      <c r="D19" s="131">
        <f>+'Customer Counts'!AC14</f>
        <v>6743</v>
      </c>
      <c r="E19" s="94">
        <f>+'SQL Data kWh'!AD14</f>
        <v>2564023.9500000002</v>
      </c>
      <c r="F19" s="131">
        <f>+'Customer Counts'!AD14</f>
        <v>1277</v>
      </c>
      <c r="G19" s="95">
        <f>+'SQL Data kWh'!AK14</f>
        <v>19409</v>
      </c>
      <c r="H19" s="131">
        <f>+'Customer Counts'!AK14</f>
        <v>20</v>
      </c>
      <c r="I19" s="88">
        <f>+'SQL Data kWh'!AN14</f>
        <v>6298287.9800000004</v>
      </c>
      <c r="J19" s="480">
        <f>+'Harris Data kW'!U13</f>
        <v>17912.849999999999</v>
      </c>
      <c r="K19" s="131">
        <f>+'Customer Counts'!AN14</f>
        <v>118</v>
      </c>
      <c r="L19" s="88">
        <f>+'SQL Data kWh'!AO14</f>
        <v>6298287.9800000004</v>
      </c>
      <c r="M19" s="480">
        <f>+'Harris Data kW'!T13</f>
        <v>17912.849999999999</v>
      </c>
      <c r="N19" s="131">
        <f>+'Customer Counts'!AN14</f>
        <v>118</v>
      </c>
      <c r="O19" s="88">
        <f>+'SQL Data kWh'!AL14</f>
        <v>108656.06</v>
      </c>
      <c r="P19" s="93">
        <v>287.59000000000003</v>
      </c>
      <c r="Q19" s="131">
        <f>+'Customer Counts'!AL14</f>
        <v>1949</v>
      </c>
      <c r="R19" s="94"/>
      <c r="S19" s="93"/>
      <c r="T19" s="92"/>
      <c r="U19" s="281"/>
      <c r="V19" s="140">
        <f t="shared" si="0"/>
        <v>8138</v>
      </c>
      <c r="W19" s="1">
        <v>7999</v>
      </c>
      <c r="X19" s="140">
        <f t="shared" si="1"/>
        <v>139</v>
      </c>
      <c r="Y19" s="140"/>
    </row>
    <row r="20" spans="1:25" x14ac:dyDescent="0.2">
      <c r="A20" s="31" t="s">
        <v>318</v>
      </c>
      <c r="B20" s="20" t="s">
        <v>57</v>
      </c>
      <c r="C20" s="88">
        <f>+'SQL Data kWh'!AC15</f>
        <v>4983441.99</v>
      </c>
      <c r="D20" s="131">
        <f>+'Customer Counts'!AC15</f>
        <v>6769.5</v>
      </c>
      <c r="E20" s="94">
        <f>+'SQL Data kWh'!AD15</f>
        <v>2619967.92</v>
      </c>
      <c r="F20" s="131">
        <f>+'Customer Counts'!AD15</f>
        <v>1274</v>
      </c>
      <c r="G20" s="95">
        <f>+'SQL Data kWh'!AK15</f>
        <v>19411</v>
      </c>
      <c r="H20" s="131">
        <f>+'Customer Counts'!AK15</f>
        <v>20.5</v>
      </c>
      <c r="I20" s="88">
        <f>+'SQL Data kWh'!AN15</f>
        <v>6021548.96</v>
      </c>
      <c r="J20" s="480">
        <f>+'Harris Data kW'!U14</f>
        <v>14242.69</v>
      </c>
      <c r="K20" s="131">
        <f>+'Customer Counts'!AN15</f>
        <v>118</v>
      </c>
      <c r="L20" s="88">
        <f>+'SQL Data kWh'!AO15</f>
        <v>6021548.96</v>
      </c>
      <c r="M20" s="480">
        <f>+'Harris Data kW'!T14</f>
        <v>14242.69</v>
      </c>
      <c r="N20" s="131">
        <f>+'Customer Counts'!AN15</f>
        <v>118</v>
      </c>
      <c r="O20" s="88">
        <f>+'SQL Data kWh'!AL15</f>
        <v>115693.92</v>
      </c>
      <c r="P20" s="93">
        <v>252.20999999999998</v>
      </c>
      <c r="Q20" s="131">
        <f>+'Customer Counts'!AL15</f>
        <v>1949</v>
      </c>
      <c r="R20" s="94"/>
      <c r="S20" s="93"/>
      <c r="T20" s="92"/>
      <c r="U20" s="281"/>
      <c r="V20" s="140">
        <f t="shared" si="0"/>
        <v>8161.5</v>
      </c>
      <c r="W20" s="1">
        <v>8013</v>
      </c>
      <c r="X20" s="140">
        <f t="shared" si="1"/>
        <v>148.5</v>
      </c>
      <c r="Y20" s="140"/>
    </row>
    <row r="21" spans="1:25" x14ac:dyDescent="0.2">
      <c r="A21" s="31" t="s">
        <v>318</v>
      </c>
      <c r="B21" s="20" t="s">
        <v>54</v>
      </c>
      <c r="C21" s="88">
        <f>+'SQL Data kWh'!AC16</f>
        <v>5745878.4699999997</v>
      </c>
      <c r="D21" s="131">
        <f>+'Customer Counts'!AC16</f>
        <v>6803.5</v>
      </c>
      <c r="E21" s="94">
        <f>+'SQL Data kWh'!AD16</f>
        <v>2836677.68</v>
      </c>
      <c r="F21" s="131">
        <f>+'Customer Counts'!AD16</f>
        <v>1263.5</v>
      </c>
      <c r="G21" s="95">
        <f>+'SQL Data kWh'!AK16</f>
        <v>20880</v>
      </c>
      <c r="H21" s="131">
        <f>+'Customer Counts'!AK16</f>
        <v>22</v>
      </c>
      <c r="I21" s="88">
        <f>+'SQL Data kWh'!AN16</f>
        <v>6120800.2200000007</v>
      </c>
      <c r="J21" s="480">
        <f>+'Harris Data kW'!U15</f>
        <v>13180.599999999997</v>
      </c>
      <c r="K21" s="131">
        <f>+'Customer Counts'!AN16</f>
        <v>117.5</v>
      </c>
      <c r="L21" s="88">
        <f>+'SQL Data kWh'!AO16</f>
        <v>6120800.2200000007</v>
      </c>
      <c r="M21" s="480">
        <f>+'Harris Data kW'!T15</f>
        <v>13180.599999999997</v>
      </c>
      <c r="N21" s="131">
        <f>+'Customer Counts'!AN16</f>
        <v>117.5</v>
      </c>
      <c r="O21" s="88">
        <f>+'SQL Data kWh'!AL16</f>
        <v>125093.48</v>
      </c>
      <c r="P21" s="93">
        <v>287.59000000000003</v>
      </c>
      <c r="Q21" s="131">
        <f>+'Customer Counts'!AL16</f>
        <v>1947.5</v>
      </c>
      <c r="R21" s="94"/>
      <c r="S21" s="93"/>
      <c r="T21" s="92"/>
      <c r="U21" s="281"/>
      <c r="V21" s="140">
        <f t="shared" si="0"/>
        <v>8184.5</v>
      </c>
      <c r="W21" s="1">
        <v>8029</v>
      </c>
      <c r="X21" s="140">
        <f t="shared" si="1"/>
        <v>155.5</v>
      </c>
      <c r="Y21" s="140"/>
    </row>
    <row r="22" spans="1:25" x14ac:dyDescent="0.2">
      <c r="A22" s="31" t="s">
        <v>327</v>
      </c>
      <c r="B22" s="20" t="s">
        <v>58</v>
      </c>
      <c r="C22" s="88">
        <f>+'SQL Data kWh'!AC17</f>
        <v>5981421.4299999997</v>
      </c>
      <c r="D22" s="131">
        <f>+'Customer Counts'!AC17</f>
        <v>6837</v>
      </c>
      <c r="E22" s="94">
        <f>+'SQL Data kWh'!AD17</f>
        <v>2985395.65</v>
      </c>
      <c r="F22" s="131">
        <f>+'Customer Counts'!AD17</f>
        <v>1246</v>
      </c>
      <c r="G22" s="95">
        <f>+'SQL Data kWh'!AK17</f>
        <v>20819.2</v>
      </c>
      <c r="H22" s="131">
        <f>+'Customer Counts'!AK17</f>
        <v>23</v>
      </c>
      <c r="I22" s="88">
        <f>+'SQL Data kWh'!AN17</f>
        <v>6464865.0300000003</v>
      </c>
      <c r="J22" s="480">
        <f>+'Harris Data kW'!U16</f>
        <v>15679.79</v>
      </c>
      <c r="K22" s="131">
        <f>+'Customer Counts'!AN17</f>
        <v>117</v>
      </c>
      <c r="L22" s="88">
        <f>+'SQL Data kWh'!AO17</f>
        <v>6464865.0300000003</v>
      </c>
      <c r="M22" s="480">
        <f>+'Harris Data kW'!T16</f>
        <v>15679.79</v>
      </c>
      <c r="N22" s="131">
        <f>+'Customer Counts'!AN17</f>
        <v>117</v>
      </c>
      <c r="O22" s="88">
        <f>+'SQL Data kWh'!AL17</f>
        <v>121945.88</v>
      </c>
      <c r="P22" s="93">
        <v>260.91000000000003</v>
      </c>
      <c r="Q22" s="131">
        <f>+'Customer Counts'!AL17</f>
        <v>1946</v>
      </c>
      <c r="R22" s="94"/>
      <c r="S22" s="93"/>
      <c r="T22" s="92"/>
      <c r="U22" s="281"/>
      <c r="V22" s="140">
        <f t="shared" si="0"/>
        <v>8200</v>
      </c>
      <c r="W22" s="1">
        <v>8038.5</v>
      </c>
      <c r="X22" s="140">
        <f t="shared" si="1"/>
        <v>161.5</v>
      </c>
      <c r="Y22" s="140"/>
    </row>
    <row r="23" spans="1:25" x14ac:dyDescent="0.2">
      <c r="A23" s="31" t="s">
        <v>327</v>
      </c>
      <c r="B23" s="20" t="s">
        <v>59</v>
      </c>
      <c r="C23" s="88">
        <f>+'SQL Data kWh'!AC18</f>
        <v>5329196.3600000003</v>
      </c>
      <c r="D23" s="131">
        <f>+'Customer Counts'!AC18</f>
        <v>6859</v>
      </c>
      <c r="E23" s="94">
        <f>+'SQL Data kWh'!AD18</f>
        <v>2780277.34</v>
      </c>
      <c r="F23" s="131">
        <f>+'Customer Counts'!AD18</f>
        <v>1228.5</v>
      </c>
      <c r="G23" s="95">
        <f>+'SQL Data kWh'!AK18</f>
        <v>20574</v>
      </c>
      <c r="H23" s="131">
        <f>+'Customer Counts'!AK18</f>
        <v>22</v>
      </c>
      <c r="I23" s="88">
        <f>+'SQL Data kWh'!AN18</f>
        <v>5908648.0499999998</v>
      </c>
      <c r="J23" s="480">
        <f>+'Harris Data kW'!U17</f>
        <v>15130.829999999998</v>
      </c>
      <c r="K23" s="131">
        <f>+'Customer Counts'!AN18</f>
        <v>117</v>
      </c>
      <c r="L23" s="88">
        <f>+'SQL Data kWh'!AO18</f>
        <v>5908648.0499999998</v>
      </c>
      <c r="M23" s="480">
        <f>+'Harris Data kW'!T17</f>
        <v>15130.829999999998</v>
      </c>
      <c r="N23" s="131">
        <f>+'Customer Counts'!AN18</f>
        <v>117</v>
      </c>
      <c r="O23" s="88">
        <f>+'SQL Data kWh'!AL18</f>
        <v>101685.39</v>
      </c>
      <c r="P23" s="93">
        <v>243.78000000000003</v>
      </c>
      <c r="Q23" s="131">
        <f>+'Customer Counts'!AL18</f>
        <v>1946</v>
      </c>
      <c r="R23" s="94"/>
      <c r="S23" s="93"/>
      <c r="T23" s="92"/>
      <c r="U23" s="281"/>
      <c r="V23" s="140">
        <f t="shared" si="0"/>
        <v>8204.5</v>
      </c>
      <c r="W23" s="1">
        <v>8048.5</v>
      </c>
      <c r="X23" s="140">
        <f t="shared" si="1"/>
        <v>156</v>
      </c>
      <c r="Y23" s="140"/>
    </row>
    <row r="24" spans="1:25" x14ac:dyDescent="0.2">
      <c r="A24" s="31" t="s">
        <v>327</v>
      </c>
      <c r="B24" s="20" t="s">
        <v>60</v>
      </c>
      <c r="C24" s="88">
        <f>+'SQL Data kWh'!AC19</f>
        <v>5409441.7000000002</v>
      </c>
      <c r="D24" s="131">
        <f>+'Customer Counts'!AC19</f>
        <v>6867</v>
      </c>
      <c r="E24" s="94">
        <f>+'SQL Data kWh'!AD19</f>
        <v>2889530.71</v>
      </c>
      <c r="F24" s="131">
        <f>+'Customer Counts'!AD19</f>
        <v>1218</v>
      </c>
      <c r="G24" s="95">
        <f>+'SQL Data kWh'!AK19</f>
        <v>19408</v>
      </c>
      <c r="H24" s="131">
        <f>+'Customer Counts'!AK19</f>
        <v>20.5</v>
      </c>
      <c r="I24" s="88">
        <f>+'SQL Data kWh'!AN19</f>
        <v>6240798.4000000004</v>
      </c>
      <c r="J24" s="480">
        <f>+'Harris Data kW'!U18</f>
        <v>17119.010000000002</v>
      </c>
      <c r="K24" s="131">
        <f>+'Customer Counts'!AN19</f>
        <v>117</v>
      </c>
      <c r="L24" s="88">
        <f>+'SQL Data kWh'!AO19</f>
        <v>6240798.4000000004</v>
      </c>
      <c r="M24" s="480">
        <f>+'Harris Data kW'!T18</f>
        <v>17119.010000000002</v>
      </c>
      <c r="N24" s="131">
        <f>+'Customer Counts'!AN19</f>
        <v>117</v>
      </c>
      <c r="O24" s="88">
        <f>+'SQL Data kWh'!AL19</f>
        <v>100695.44</v>
      </c>
      <c r="P24" s="93">
        <v>324.94000000000005</v>
      </c>
      <c r="Q24" s="131">
        <f>+'Customer Counts'!AL19</f>
        <v>1946</v>
      </c>
      <c r="R24" s="94"/>
      <c r="S24" s="93"/>
      <c r="T24" s="92"/>
      <c r="U24" s="281"/>
      <c r="V24" s="140">
        <f t="shared" si="0"/>
        <v>8202</v>
      </c>
      <c r="W24" s="1">
        <v>8061.5</v>
      </c>
      <c r="X24" s="140">
        <f t="shared" si="1"/>
        <v>140.5</v>
      </c>
      <c r="Y24" s="140"/>
    </row>
    <row r="25" spans="1:25" x14ac:dyDescent="0.2">
      <c r="A25" s="31" t="s">
        <v>327</v>
      </c>
      <c r="B25" s="20" t="s">
        <v>61</v>
      </c>
      <c r="C25" s="88">
        <f>+'SQL Data kWh'!AC20</f>
        <v>4691365.6399999997</v>
      </c>
      <c r="D25" s="131">
        <f>+'Customer Counts'!AC20</f>
        <v>6874</v>
      </c>
      <c r="E25" s="94">
        <f>+'SQL Data kWh'!AD20</f>
        <v>2592932.2200000002</v>
      </c>
      <c r="F25" s="131">
        <f>+'Customer Counts'!AD20</f>
        <v>1217.5</v>
      </c>
      <c r="G25" s="95">
        <f>+'SQL Data kWh'!AK20</f>
        <v>19402</v>
      </c>
      <c r="H25" s="131">
        <f>+'Customer Counts'!AK20</f>
        <v>20</v>
      </c>
      <c r="I25" s="88">
        <f>+'SQL Data kWh'!AN20</f>
        <v>5870791.6500000004</v>
      </c>
      <c r="J25" s="480">
        <f>+'Harris Data kW'!U19</f>
        <v>12204.099999999999</v>
      </c>
      <c r="K25" s="131">
        <f>+'Customer Counts'!AN20</f>
        <v>117</v>
      </c>
      <c r="L25" s="88">
        <f>+'SQL Data kWh'!AO20</f>
        <v>5870791.6500000004</v>
      </c>
      <c r="M25" s="480">
        <f>+'Harris Data kW'!T19</f>
        <v>12204.099999999999</v>
      </c>
      <c r="N25" s="131">
        <f>+'Customer Counts'!AN20</f>
        <v>117</v>
      </c>
      <c r="O25" s="88">
        <f>+'SQL Data kWh'!AL20</f>
        <v>85427.38</v>
      </c>
      <c r="P25" s="93">
        <v>232.27999999999997</v>
      </c>
      <c r="Q25" s="131">
        <f>+'Customer Counts'!AL20</f>
        <v>1946</v>
      </c>
      <c r="R25" s="94"/>
      <c r="S25" s="93"/>
      <c r="T25" s="92"/>
      <c r="U25" s="281"/>
      <c r="V25" s="140">
        <f t="shared" si="0"/>
        <v>8208.5</v>
      </c>
      <c r="W25" s="1">
        <v>8072</v>
      </c>
      <c r="X25" s="140">
        <f t="shared" si="1"/>
        <v>136.5</v>
      </c>
      <c r="Y25" s="140"/>
    </row>
    <row r="26" spans="1:25" x14ac:dyDescent="0.2">
      <c r="A26" s="31" t="s">
        <v>327</v>
      </c>
      <c r="B26" s="20" t="s">
        <v>62</v>
      </c>
      <c r="C26" s="88">
        <f>+'SQL Data kWh'!AC21</f>
        <v>4778001.26</v>
      </c>
      <c r="D26" s="131">
        <f>+'Customer Counts'!AC21</f>
        <v>6886</v>
      </c>
      <c r="E26" s="94">
        <f>+'SQL Data kWh'!AD21</f>
        <v>2713316.71</v>
      </c>
      <c r="F26" s="131">
        <f>+'Customer Counts'!AD21</f>
        <v>1216</v>
      </c>
      <c r="G26" s="95">
        <f>+'SQL Data kWh'!AK21</f>
        <v>19409</v>
      </c>
      <c r="H26" s="131">
        <f>+'Customer Counts'!AK21</f>
        <v>20</v>
      </c>
      <c r="I26" s="88">
        <f>+'SQL Data kWh'!AN21</f>
        <v>6366541.6600000001</v>
      </c>
      <c r="J26" s="480">
        <f>+'Harris Data kW'!U20</f>
        <v>18681.499999999996</v>
      </c>
      <c r="K26" s="131">
        <f>+'Customer Counts'!AN21</f>
        <v>117</v>
      </c>
      <c r="L26" s="88">
        <f>+'SQL Data kWh'!AO21</f>
        <v>6366541.6600000001</v>
      </c>
      <c r="M26" s="480">
        <f>+'Harris Data kW'!T20</f>
        <v>18681.499999999996</v>
      </c>
      <c r="N26" s="131">
        <f>+'Customer Counts'!AN21</f>
        <v>117</v>
      </c>
      <c r="O26" s="88">
        <f>+'SQL Data kWh'!AL21</f>
        <v>77781.740000000005</v>
      </c>
      <c r="P26" s="93">
        <v>287.59000000000003</v>
      </c>
      <c r="Q26" s="131">
        <f>+'Customer Counts'!AL21</f>
        <v>1946</v>
      </c>
      <c r="R26" s="94"/>
      <c r="S26" s="93"/>
      <c r="T26" s="92"/>
      <c r="U26" s="281"/>
      <c r="V26" s="140">
        <f t="shared" si="0"/>
        <v>8219</v>
      </c>
      <c r="W26" s="1">
        <v>8082</v>
      </c>
      <c r="X26" s="140">
        <f t="shared" si="1"/>
        <v>137</v>
      </c>
      <c r="Y26" s="140"/>
    </row>
    <row r="27" spans="1:25" x14ac:dyDescent="0.2">
      <c r="A27" s="31" t="s">
        <v>327</v>
      </c>
      <c r="B27" s="20" t="s">
        <v>63</v>
      </c>
      <c r="C27" s="88">
        <f>+'SQL Data kWh'!AC22</f>
        <v>5905178.7699999996</v>
      </c>
      <c r="D27" s="131">
        <f>+'Customer Counts'!AC22</f>
        <v>6901.5</v>
      </c>
      <c r="E27" s="94">
        <f>+'SQL Data kWh'!AD22</f>
        <v>2947996.96</v>
      </c>
      <c r="F27" s="131">
        <f>+'Customer Counts'!AD22</f>
        <v>1217.5</v>
      </c>
      <c r="G27" s="95">
        <f>+'SQL Data kWh'!AK22</f>
        <v>19027</v>
      </c>
      <c r="H27" s="131">
        <f>+'Customer Counts'!AK22</f>
        <v>19.5</v>
      </c>
      <c r="I27" s="88">
        <f>+'SQL Data kWh'!AN22</f>
        <v>6822565.5999999996</v>
      </c>
      <c r="J27" s="480">
        <f>+'Harris Data kW'!U21</f>
        <v>16808.740000000005</v>
      </c>
      <c r="K27" s="131">
        <f>+'Customer Counts'!AN22</f>
        <v>117</v>
      </c>
      <c r="L27" s="88">
        <f>+'SQL Data kWh'!AO22</f>
        <v>6822565.5999999996</v>
      </c>
      <c r="M27" s="480">
        <f>+'Harris Data kW'!T21</f>
        <v>16808.740000000005</v>
      </c>
      <c r="N27" s="131">
        <f>+'Customer Counts'!AN22</f>
        <v>117</v>
      </c>
      <c r="O27" s="88">
        <f>+'SQL Data kWh'!AL22</f>
        <v>70069.06</v>
      </c>
      <c r="P27" s="93">
        <v>252.20999999999998</v>
      </c>
      <c r="Q27" s="131">
        <f>+'Customer Counts'!AL22</f>
        <v>1946</v>
      </c>
      <c r="R27" s="94"/>
      <c r="S27" s="93"/>
      <c r="T27" s="92"/>
      <c r="U27" s="281"/>
      <c r="V27" s="140">
        <f t="shared" si="0"/>
        <v>8236</v>
      </c>
      <c r="W27" s="1">
        <v>8093.5</v>
      </c>
      <c r="X27" s="140">
        <f t="shared" si="1"/>
        <v>142.5</v>
      </c>
      <c r="Y27" s="140"/>
    </row>
    <row r="28" spans="1:25" x14ac:dyDescent="0.2">
      <c r="A28" s="31" t="s">
        <v>327</v>
      </c>
      <c r="B28" s="20" t="s">
        <v>64</v>
      </c>
      <c r="C28" s="88">
        <f>+'SQL Data kWh'!AC23</f>
        <v>7385958.1200000001</v>
      </c>
      <c r="D28" s="131">
        <f>+'Customer Counts'!AC23</f>
        <v>6913.5</v>
      </c>
      <c r="E28" s="94">
        <f>+'SQL Data kWh'!AD23</f>
        <v>3544817.85</v>
      </c>
      <c r="F28" s="131">
        <f>+'Customer Counts'!AD23</f>
        <v>1217.5</v>
      </c>
      <c r="G28" s="95">
        <f>+'SQL Data kWh'!AK23</f>
        <v>19032</v>
      </c>
      <c r="H28" s="131">
        <f>+'Customer Counts'!AK23</f>
        <v>19</v>
      </c>
      <c r="I28" s="88">
        <f>+'SQL Data kWh'!AN23</f>
        <v>7562847.5299999993</v>
      </c>
      <c r="J28" s="480">
        <f>+'Harris Data kW'!U22</f>
        <v>21104.940000000002</v>
      </c>
      <c r="K28" s="131">
        <f>+'Customer Counts'!AN23</f>
        <v>117.5</v>
      </c>
      <c r="L28" s="88">
        <f>+'SQL Data kWh'!AO23</f>
        <v>7562847.5299999993</v>
      </c>
      <c r="M28" s="480">
        <f>+'Harris Data kW'!T22</f>
        <v>21104.940000000002</v>
      </c>
      <c r="N28" s="131">
        <f>+'Customer Counts'!AN23</f>
        <v>117.5</v>
      </c>
      <c r="O28" s="88">
        <f>+'SQL Data kWh'!AL23</f>
        <v>75240.36</v>
      </c>
      <c r="P28" s="93">
        <v>287.59000000000003</v>
      </c>
      <c r="Q28" s="131">
        <f>+'Customer Counts'!AL23</f>
        <v>1946</v>
      </c>
      <c r="R28" s="94"/>
      <c r="S28" s="93"/>
      <c r="T28" s="92"/>
      <c r="U28" s="281"/>
      <c r="V28" s="140">
        <f t="shared" si="0"/>
        <v>8248.5</v>
      </c>
      <c r="W28" s="1">
        <v>8105</v>
      </c>
      <c r="X28" s="140">
        <f t="shared" si="1"/>
        <v>143.5</v>
      </c>
      <c r="Y28" s="140"/>
    </row>
    <row r="29" spans="1:25" x14ac:dyDescent="0.2">
      <c r="A29" s="31" t="s">
        <v>327</v>
      </c>
      <c r="B29" s="20" t="s">
        <v>65</v>
      </c>
      <c r="C29" s="88">
        <f>+'SQL Data kWh'!AC24</f>
        <v>6483157.8600000003</v>
      </c>
      <c r="D29" s="131">
        <f>+'Customer Counts'!AC24</f>
        <v>6928</v>
      </c>
      <c r="E29" s="94">
        <f>+'SQL Data kWh'!AD24</f>
        <v>3494421.66</v>
      </c>
      <c r="F29" s="131">
        <f>+'Customer Counts'!AD24</f>
        <v>1216</v>
      </c>
      <c r="G29" s="95">
        <f>+'SQL Data kWh'!AK24</f>
        <v>19032</v>
      </c>
      <c r="H29" s="131">
        <f>+'Customer Counts'!AK24</f>
        <v>19</v>
      </c>
      <c r="I29" s="88">
        <f>+'SQL Data kWh'!AN24</f>
        <v>7552240.8499999996</v>
      </c>
      <c r="J29" s="480">
        <f>+'Harris Data kW'!U23</f>
        <v>20859.770000000004</v>
      </c>
      <c r="K29" s="131">
        <f>+'Customer Counts'!AN24</f>
        <v>117.5</v>
      </c>
      <c r="L29" s="88">
        <f>+'SQL Data kWh'!AO24</f>
        <v>7552240.8499999996</v>
      </c>
      <c r="M29" s="480">
        <f>+'Harris Data kW'!T23</f>
        <v>20859.770000000004</v>
      </c>
      <c r="N29" s="131">
        <f>+'Customer Counts'!AN24</f>
        <v>117.5</v>
      </c>
      <c r="O29" s="88">
        <f>+'SQL Data kWh'!AL24</f>
        <v>84504.34</v>
      </c>
      <c r="P29" s="93">
        <v>260.91000000000003</v>
      </c>
      <c r="Q29" s="131">
        <f>+'Customer Counts'!AL24</f>
        <v>1946</v>
      </c>
      <c r="R29" s="94"/>
      <c r="S29" s="93"/>
      <c r="T29" s="92"/>
      <c r="U29" s="281"/>
      <c r="V29" s="140">
        <f t="shared" si="0"/>
        <v>8261.5</v>
      </c>
      <c r="W29" s="1">
        <v>8121.5</v>
      </c>
      <c r="X29" s="140">
        <f t="shared" si="1"/>
        <v>140</v>
      </c>
      <c r="Y29" s="140"/>
    </row>
    <row r="30" spans="1:25" x14ac:dyDescent="0.2">
      <c r="A30" s="31" t="s">
        <v>327</v>
      </c>
      <c r="B30" s="20" t="s">
        <v>55</v>
      </c>
      <c r="C30" s="88">
        <f>+'SQL Data kWh'!AC25</f>
        <v>5501921.9400000004</v>
      </c>
      <c r="D30" s="131">
        <f>+'Customer Counts'!AC25</f>
        <v>6943.5</v>
      </c>
      <c r="E30" s="94">
        <f>+'SQL Data kWh'!AD25</f>
        <v>2925463.28</v>
      </c>
      <c r="F30" s="131">
        <f>+'Customer Counts'!AD25</f>
        <v>1212</v>
      </c>
      <c r="G30" s="95">
        <f>+'SQL Data kWh'!AK25</f>
        <v>19027</v>
      </c>
      <c r="H30" s="131">
        <f>+'Customer Counts'!AK25</f>
        <v>19</v>
      </c>
      <c r="I30" s="88">
        <f>+'SQL Data kWh'!AN25</f>
        <v>6841977.0999999996</v>
      </c>
      <c r="J30" s="480">
        <f>+'Harris Data kW'!U24</f>
        <v>16243.869999999999</v>
      </c>
      <c r="K30" s="131">
        <f>+'Customer Counts'!AN25</f>
        <v>117</v>
      </c>
      <c r="L30" s="88">
        <f>+'SQL Data kWh'!AO25</f>
        <v>6841977.0999999996</v>
      </c>
      <c r="M30" s="480">
        <f>+'Harris Data kW'!T24</f>
        <v>16243.869999999999</v>
      </c>
      <c r="N30" s="131">
        <f>+'Customer Counts'!AN25</f>
        <v>117</v>
      </c>
      <c r="O30" s="88">
        <f>+'SQL Data kWh'!AL25</f>
        <v>93230.86</v>
      </c>
      <c r="P30" s="93">
        <v>261.2</v>
      </c>
      <c r="Q30" s="131">
        <f>+'Customer Counts'!AL25</f>
        <v>1946</v>
      </c>
      <c r="R30" s="94"/>
      <c r="S30" s="93"/>
      <c r="T30" s="92"/>
      <c r="U30" s="281"/>
      <c r="V30" s="140">
        <f t="shared" si="0"/>
        <v>8272.5</v>
      </c>
      <c r="W30" s="1">
        <v>8133</v>
      </c>
      <c r="X30" s="140">
        <f t="shared" si="1"/>
        <v>139.5</v>
      </c>
      <c r="Y30" s="140"/>
    </row>
    <row r="31" spans="1:25" x14ac:dyDescent="0.2">
      <c r="A31" s="31" t="s">
        <v>327</v>
      </c>
      <c r="B31" s="20" t="s">
        <v>56</v>
      </c>
      <c r="C31" s="88">
        <f>+'SQL Data kWh'!AC26</f>
        <v>4917782</v>
      </c>
      <c r="D31" s="131">
        <f>+'Customer Counts'!AC26</f>
        <v>6962.5</v>
      </c>
      <c r="E31" s="94">
        <f>+'SQL Data kWh'!AD26</f>
        <v>2589876.71</v>
      </c>
      <c r="F31" s="131">
        <f>+'Customer Counts'!AD26</f>
        <v>1208.5</v>
      </c>
      <c r="G31" s="95">
        <f>+'SQL Data kWh'!AK26</f>
        <v>19032</v>
      </c>
      <c r="H31" s="131">
        <f>+'Customer Counts'!AK26</f>
        <v>19</v>
      </c>
      <c r="I31" s="88">
        <f>+'SQL Data kWh'!AN26</f>
        <v>6528573</v>
      </c>
      <c r="J31" s="480">
        <f>+'Harris Data kW'!U25</f>
        <v>21228.75</v>
      </c>
      <c r="K31" s="131">
        <f>+'Customer Counts'!AN26</f>
        <v>117.5</v>
      </c>
      <c r="L31" s="88">
        <f>+'SQL Data kWh'!AO26</f>
        <v>6528573</v>
      </c>
      <c r="M31" s="480">
        <f>+'Harris Data kW'!T25</f>
        <v>21228.75</v>
      </c>
      <c r="N31" s="131">
        <f>+'Customer Counts'!AN26</f>
        <v>117.5</v>
      </c>
      <c r="O31" s="88">
        <f>+'SQL Data kWh'!AL26</f>
        <v>108656.06</v>
      </c>
      <c r="P31" s="93">
        <v>287.59000000000003</v>
      </c>
      <c r="Q31" s="131">
        <f>+'Customer Counts'!AL26</f>
        <v>1946</v>
      </c>
      <c r="R31" s="94"/>
      <c r="S31" s="93"/>
      <c r="T31" s="92"/>
      <c r="U31" s="281"/>
      <c r="V31" s="140">
        <f t="shared" si="0"/>
        <v>8288.5</v>
      </c>
      <c r="W31" s="1">
        <v>8143.5</v>
      </c>
      <c r="X31" s="140">
        <f t="shared" si="1"/>
        <v>145</v>
      </c>
      <c r="Y31" s="140"/>
    </row>
    <row r="32" spans="1:25" x14ac:dyDescent="0.2">
      <c r="A32" s="31" t="s">
        <v>327</v>
      </c>
      <c r="B32" s="20" t="s">
        <v>57</v>
      </c>
      <c r="C32" s="88">
        <f>+'SQL Data kWh'!AC27</f>
        <v>5302448.6399999997</v>
      </c>
      <c r="D32" s="131">
        <f>+'Customer Counts'!AC27</f>
        <v>6981.5</v>
      </c>
      <c r="E32" s="94">
        <f>+'SQL Data kWh'!AD27</f>
        <v>2717466.3</v>
      </c>
      <c r="F32" s="131">
        <f>+'Customer Counts'!AD27</f>
        <v>1209.5</v>
      </c>
      <c r="G32" s="95">
        <f>+'SQL Data kWh'!AK27</f>
        <v>19032</v>
      </c>
      <c r="H32" s="131">
        <f>+'Customer Counts'!AK27</f>
        <v>19.5</v>
      </c>
      <c r="I32" s="88">
        <f>+'SQL Data kWh'!AN27</f>
        <v>6260045.1500000004</v>
      </c>
      <c r="J32" s="480">
        <f>+'Harris Data kW'!U26</f>
        <v>15295.029999999999</v>
      </c>
      <c r="K32" s="131">
        <f>+'Customer Counts'!AN27</f>
        <v>118.5</v>
      </c>
      <c r="L32" s="88">
        <f>+'SQL Data kWh'!AO27</f>
        <v>6260045.1500000004</v>
      </c>
      <c r="M32" s="480">
        <f>+'Harris Data kW'!T26</f>
        <v>15295.029999999999</v>
      </c>
      <c r="N32" s="131">
        <f>+'Customer Counts'!AN27</f>
        <v>118.5</v>
      </c>
      <c r="O32" s="88">
        <f>+'SQL Data kWh'!AL27</f>
        <v>115693.92</v>
      </c>
      <c r="P32" s="93">
        <v>269.61000000000007</v>
      </c>
      <c r="Q32" s="131">
        <f>+'Customer Counts'!AL27</f>
        <v>1946</v>
      </c>
      <c r="R32" s="94"/>
      <c r="S32" s="93"/>
      <c r="T32" s="92"/>
      <c r="U32" s="281"/>
      <c r="V32" s="140">
        <f t="shared" si="0"/>
        <v>8309.5</v>
      </c>
      <c r="W32" s="1">
        <v>8160</v>
      </c>
      <c r="X32" s="140">
        <f t="shared" si="1"/>
        <v>149.5</v>
      </c>
      <c r="Y32" s="140"/>
    </row>
    <row r="33" spans="1:25" x14ac:dyDescent="0.2">
      <c r="A33" s="31" t="s">
        <v>327</v>
      </c>
      <c r="B33" s="20" t="s">
        <v>54</v>
      </c>
      <c r="C33" s="88">
        <f>+'SQL Data kWh'!AC28</f>
        <v>6440934.8499999996</v>
      </c>
      <c r="D33" s="131">
        <f>+'Customer Counts'!AC28</f>
        <v>6993</v>
      </c>
      <c r="E33" s="94">
        <f>+'SQL Data kWh'!AD28</f>
        <v>3109635.52</v>
      </c>
      <c r="F33" s="131">
        <f>+'Customer Counts'!AD28</f>
        <v>1227.5</v>
      </c>
      <c r="G33" s="95">
        <f>+'SQL Data kWh'!AK28</f>
        <v>20673.03</v>
      </c>
      <c r="H33" s="131">
        <f>+'Customer Counts'!AK28</f>
        <v>21</v>
      </c>
      <c r="I33" s="88">
        <f>+'SQL Data kWh'!AN28</f>
        <v>6582604.2000000002</v>
      </c>
      <c r="J33" s="480">
        <f>+'Harris Data kW'!U27</f>
        <v>14236.49</v>
      </c>
      <c r="K33" s="131">
        <f>+'Customer Counts'!AN28</f>
        <v>119</v>
      </c>
      <c r="L33" s="88">
        <f>+'SQL Data kWh'!AO28</f>
        <v>6582604.2000000002</v>
      </c>
      <c r="M33" s="480">
        <f>+'Harris Data kW'!T27</f>
        <v>14236.49</v>
      </c>
      <c r="N33" s="131">
        <f>+'Customer Counts'!AN28</f>
        <v>119</v>
      </c>
      <c r="O33" s="88">
        <f>+'SQL Data kWh'!AL28</f>
        <v>125093.48</v>
      </c>
      <c r="P33" s="93">
        <v>288.18000000000006</v>
      </c>
      <c r="Q33" s="131">
        <f>+'Customer Counts'!AL28</f>
        <v>1979</v>
      </c>
      <c r="R33" s="94"/>
      <c r="S33" s="93"/>
      <c r="T33" s="92"/>
      <c r="U33" s="281"/>
      <c r="V33" s="140">
        <f t="shared" si="0"/>
        <v>8339.5</v>
      </c>
      <c r="W33" s="1">
        <v>8176</v>
      </c>
      <c r="X33" s="140">
        <f t="shared" si="1"/>
        <v>163.5</v>
      </c>
      <c r="Y33" s="140"/>
    </row>
    <row r="34" spans="1:25" x14ac:dyDescent="0.2">
      <c r="A34" s="31" t="s">
        <v>328</v>
      </c>
      <c r="B34" s="20" t="s">
        <v>58</v>
      </c>
      <c r="C34" s="88">
        <f>+'SQL Data kWh'!AC29</f>
        <v>6653405.75</v>
      </c>
      <c r="D34" s="131">
        <f>+'Customer Counts'!AC29</f>
        <v>7007</v>
      </c>
      <c r="E34" s="94">
        <f>+'SQL Data kWh'!AD29</f>
        <v>3327003.9</v>
      </c>
      <c r="F34" s="131">
        <f>+'Customer Counts'!AD29</f>
        <v>1249.5</v>
      </c>
      <c r="G34" s="95">
        <f>+'SQL Data kWh'!AK29</f>
        <v>20423.169999999998</v>
      </c>
      <c r="H34" s="131">
        <f>+'Customer Counts'!AK29</f>
        <v>22</v>
      </c>
      <c r="I34" s="88">
        <f>+'SQL Data kWh'!AN29</f>
        <v>6886574.9199999999</v>
      </c>
      <c r="J34" s="480">
        <f>+'Harris Data kW'!U28</f>
        <v>14687.93</v>
      </c>
      <c r="K34" s="131">
        <f>+'Customer Counts'!AN29</f>
        <v>121.5</v>
      </c>
      <c r="L34" s="88">
        <f>+'SQL Data kWh'!AO29</f>
        <v>6886574.9199999999</v>
      </c>
      <c r="M34" s="480">
        <f>+'Harris Data kW'!T28</f>
        <v>14687.93</v>
      </c>
      <c r="N34" s="131">
        <f>+'Customer Counts'!AN29</f>
        <v>121.5</v>
      </c>
      <c r="O34" s="88">
        <f>+'SQL Data kWh'!AL29</f>
        <v>121945.88</v>
      </c>
      <c r="P34" s="93">
        <v>242.92000000000002</v>
      </c>
      <c r="Q34" s="131">
        <f>+'Customer Counts'!AL29</f>
        <v>2012</v>
      </c>
      <c r="R34" s="94"/>
      <c r="S34" s="93"/>
      <c r="T34" s="92"/>
      <c r="U34" s="281"/>
      <c r="V34" s="140">
        <f t="shared" si="0"/>
        <v>8378</v>
      </c>
      <c r="W34" s="1">
        <v>8190</v>
      </c>
      <c r="X34" s="140">
        <f t="shared" si="1"/>
        <v>188</v>
      </c>
      <c r="Y34" s="140"/>
    </row>
    <row r="35" spans="1:25" x14ac:dyDescent="0.2">
      <c r="A35" s="31" t="s">
        <v>328</v>
      </c>
      <c r="B35" s="20" t="s">
        <v>59</v>
      </c>
      <c r="C35" s="88">
        <f>+'SQL Data kWh'!AC30</f>
        <v>5746564.9299999997</v>
      </c>
      <c r="D35" s="131">
        <f>+'Customer Counts'!AC30</f>
        <v>7015</v>
      </c>
      <c r="E35" s="94">
        <f>+'SQL Data kWh'!AD30</f>
        <v>3050128.84</v>
      </c>
      <c r="F35" s="131">
        <f>+'Customer Counts'!AD30</f>
        <v>1278.5</v>
      </c>
      <c r="G35" s="95">
        <f>+'SQL Data kWh'!AK30</f>
        <v>19016</v>
      </c>
      <c r="H35" s="131">
        <f>+'Customer Counts'!AK30</f>
        <v>21</v>
      </c>
      <c r="I35" s="88">
        <f>+'SQL Data kWh'!AN30</f>
        <v>6214510.6200000001</v>
      </c>
      <c r="J35" s="480">
        <f>+'Harris Data kW'!U29</f>
        <v>14137.810000000001</v>
      </c>
      <c r="K35" s="131">
        <f>+'Customer Counts'!AN30</f>
        <v>125</v>
      </c>
      <c r="L35" s="88">
        <f>+'SQL Data kWh'!AO30</f>
        <v>6214510.6200000001</v>
      </c>
      <c r="M35" s="480">
        <f>+'Harris Data kW'!T29</f>
        <v>14137.810000000001</v>
      </c>
      <c r="N35" s="131">
        <f>+'Customer Counts'!AN30</f>
        <v>125</v>
      </c>
      <c r="O35" s="88">
        <f>+'SQL Data kWh'!AL30</f>
        <v>101685.39</v>
      </c>
      <c r="P35" s="93">
        <v>243.78000000000003</v>
      </c>
      <c r="Q35" s="131">
        <f>+'Customer Counts'!AL30</f>
        <v>2012</v>
      </c>
      <c r="R35" s="94"/>
      <c r="S35" s="93"/>
      <c r="T35" s="92"/>
      <c r="U35" s="281"/>
      <c r="V35" s="140">
        <f t="shared" si="0"/>
        <v>8418.5</v>
      </c>
      <c r="W35" s="1">
        <v>8195.5</v>
      </c>
      <c r="X35" s="140">
        <f t="shared" si="1"/>
        <v>223</v>
      </c>
      <c r="Y35" s="140"/>
    </row>
    <row r="36" spans="1:25" x14ac:dyDescent="0.2">
      <c r="A36" s="31" t="s">
        <v>328</v>
      </c>
      <c r="B36" s="20" t="s">
        <v>60</v>
      </c>
      <c r="C36" s="88">
        <f>+'SQL Data kWh'!AC31</f>
        <v>5802479.2300000004</v>
      </c>
      <c r="D36" s="131">
        <f>+'Customer Counts'!AC31</f>
        <v>7024</v>
      </c>
      <c r="E36" s="94">
        <f>+'SQL Data kWh'!AD31</f>
        <v>3242278.92</v>
      </c>
      <c r="F36" s="131">
        <f>+'Customer Counts'!AD31</f>
        <v>1308.5</v>
      </c>
      <c r="G36" s="95">
        <f>+'SQL Data kWh'!AK31</f>
        <v>19031</v>
      </c>
      <c r="H36" s="131">
        <f>+'Customer Counts'!AK31</f>
        <v>19.5</v>
      </c>
      <c r="I36" s="88">
        <f>+'SQL Data kWh'!AN31</f>
        <v>6617589.3700000001</v>
      </c>
      <c r="J36" s="480">
        <f>+'Harris Data kW'!U30</f>
        <v>19629.05</v>
      </c>
      <c r="K36" s="131">
        <f>+'Customer Counts'!AN31</f>
        <v>127</v>
      </c>
      <c r="L36" s="88">
        <f>+'SQL Data kWh'!AO31</f>
        <v>6617589.3700000001</v>
      </c>
      <c r="M36" s="480">
        <f>+'Harris Data kW'!T30</f>
        <v>19629.05</v>
      </c>
      <c r="N36" s="131">
        <f>+'Customer Counts'!AN31</f>
        <v>127</v>
      </c>
      <c r="O36" s="88">
        <f>+'SQL Data kWh'!AL31</f>
        <v>100695.44</v>
      </c>
      <c r="P36" s="93">
        <v>324.94000000000005</v>
      </c>
      <c r="Q36" s="131">
        <f>+'Customer Counts'!AL31</f>
        <v>2031.5</v>
      </c>
      <c r="R36" s="94"/>
      <c r="S36" s="93"/>
      <c r="T36" s="92"/>
      <c r="U36" s="281"/>
      <c r="V36" s="140">
        <f t="shared" si="0"/>
        <v>8459.5</v>
      </c>
      <c r="W36" s="1">
        <v>8202</v>
      </c>
      <c r="X36" s="140">
        <f t="shared" si="1"/>
        <v>257.5</v>
      </c>
      <c r="Y36" s="140"/>
    </row>
    <row r="37" spans="1:25" x14ac:dyDescent="0.2">
      <c r="A37" s="31" t="s">
        <v>328</v>
      </c>
      <c r="B37" s="20" t="s">
        <v>61</v>
      </c>
      <c r="C37" s="88">
        <f>+'SQL Data kWh'!AC32</f>
        <v>4865502.6900000004</v>
      </c>
      <c r="D37" s="131">
        <f>+'Customer Counts'!AC32</f>
        <v>7043</v>
      </c>
      <c r="E37" s="94">
        <f>+'SQL Data kWh'!AD32</f>
        <v>2858595.72</v>
      </c>
      <c r="F37" s="131">
        <f>+'Customer Counts'!AD32</f>
        <v>1314.5</v>
      </c>
      <c r="G37" s="95">
        <f>+'SQL Data kWh'!AK32</f>
        <v>19025</v>
      </c>
      <c r="H37" s="131">
        <f>+'Customer Counts'!AK32</f>
        <v>19</v>
      </c>
      <c r="I37" s="88">
        <f>+'SQL Data kWh'!AN32</f>
        <v>5896957.9800000004</v>
      </c>
      <c r="J37" s="480">
        <f>+'Harris Data kW'!U31</f>
        <v>14327.149999999998</v>
      </c>
      <c r="K37" s="131">
        <f>+'Customer Counts'!AN32</f>
        <v>128.5</v>
      </c>
      <c r="L37" s="88">
        <f>+'SQL Data kWh'!AO32</f>
        <v>5896957.9800000004</v>
      </c>
      <c r="M37" s="480">
        <f>+'Harris Data kW'!T31</f>
        <v>14327.149999999998</v>
      </c>
      <c r="N37" s="131">
        <f>+'Customer Counts'!AN32</f>
        <v>128.5</v>
      </c>
      <c r="O37" s="88">
        <f>+'SQL Data kWh'!AL32</f>
        <v>85427.38</v>
      </c>
      <c r="P37" s="93">
        <v>232.27999999999997</v>
      </c>
      <c r="Q37" s="131">
        <f>+'Customer Counts'!AL32</f>
        <v>2051</v>
      </c>
      <c r="R37" s="94"/>
      <c r="S37" s="93"/>
      <c r="T37" s="92"/>
      <c r="U37" s="281"/>
      <c r="V37" s="140">
        <f t="shared" si="0"/>
        <v>8486</v>
      </c>
      <c r="W37" s="1">
        <v>8210</v>
      </c>
      <c r="X37" s="140">
        <f t="shared" si="1"/>
        <v>276</v>
      </c>
      <c r="Y37" s="140"/>
    </row>
    <row r="38" spans="1:25" x14ac:dyDescent="0.2">
      <c r="A38" s="31" t="s">
        <v>328</v>
      </c>
      <c r="B38" s="20" t="s">
        <v>62</v>
      </c>
      <c r="C38" s="88">
        <f>+'SQL Data kWh'!AC33</f>
        <v>4770890.78</v>
      </c>
      <c r="D38" s="131">
        <f>+'Customer Counts'!AC33</f>
        <v>7063.5</v>
      </c>
      <c r="E38" s="94">
        <f>+'SQL Data kWh'!AD33</f>
        <v>3110798.37</v>
      </c>
      <c r="F38" s="131">
        <f>+'Customer Counts'!AD33</f>
        <v>1314</v>
      </c>
      <c r="G38" s="95">
        <f>+'SQL Data kWh'!AK33</f>
        <v>19027</v>
      </c>
      <c r="H38" s="131">
        <f>+'Customer Counts'!AK33</f>
        <v>19</v>
      </c>
      <c r="I38" s="88">
        <f>+'SQL Data kWh'!AN33</f>
        <v>6347899.6400000006</v>
      </c>
      <c r="J38" s="480">
        <f>+'Harris Data kW'!U32</f>
        <v>15460.570000000003</v>
      </c>
      <c r="K38" s="131">
        <f>+'Customer Counts'!AN33</f>
        <v>129</v>
      </c>
      <c r="L38" s="88">
        <f>+'SQL Data kWh'!AO33</f>
        <v>6347899.6400000006</v>
      </c>
      <c r="M38" s="480">
        <f>+'Harris Data kW'!T32</f>
        <v>15460.570000000003</v>
      </c>
      <c r="N38" s="131">
        <f>+'Customer Counts'!AN33</f>
        <v>129</v>
      </c>
      <c r="O38" s="88">
        <f>+'SQL Data kWh'!AL33</f>
        <v>77781.740000000005</v>
      </c>
      <c r="P38" s="93">
        <v>278.60000000000002</v>
      </c>
      <c r="Q38" s="131">
        <f>+'Customer Counts'!AL33</f>
        <v>2051</v>
      </c>
      <c r="R38" s="94"/>
      <c r="S38" s="93"/>
      <c r="T38" s="92"/>
      <c r="U38" s="281"/>
      <c r="V38" s="140">
        <f t="shared" si="0"/>
        <v>8506.5</v>
      </c>
      <c r="W38" s="1">
        <v>8222.5</v>
      </c>
      <c r="X38" s="140">
        <f t="shared" si="1"/>
        <v>284</v>
      </c>
      <c r="Y38" s="140"/>
    </row>
    <row r="39" spans="1:25" x14ac:dyDescent="0.2">
      <c r="A39" s="31" t="s">
        <v>328</v>
      </c>
      <c r="B39" s="20" t="s">
        <v>63</v>
      </c>
      <c r="C39" s="88">
        <f>+'SQL Data kWh'!AC34</f>
        <v>5859852.4299999997</v>
      </c>
      <c r="D39" s="131">
        <f>+'Customer Counts'!AC34</f>
        <v>7095.5</v>
      </c>
      <c r="E39" s="94">
        <f>+'SQL Data kWh'!AD34</f>
        <v>3437599.14</v>
      </c>
      <c r="F39" s="131">
        <f>+'Customer Counts'!AD34</f>
        <v>1312.5</v>
      </c>
      <c r="G39" s="95">
        <f>+'SQL Data kWh'!AK34</f>
        <v>19027</v>
      </c>
      <c r="H39" s="131">
        <f>+'Customer Counts'!AK34</f>
        <v>19</v>
      </c>
      <c r="I39" s="88">
        <f>+'SQL Data kWh'!AN34</f>
        <v>6930847.9500000002</v>
      </c>
      <c r="J39" s="480">
        <f>+'Harris Data kW'!U33</f>
        <v>18947.189999999999</v>
      </c>
      <c r="K39" s="131">
        <f>+'Customer Counts'!AN34</f>
        <v>128</v>
      </c>
      <c r="L39" s="88">
        <f>+'SQL Data kWh'!AO34</f>
        <v>6926306.9500000002</v>
      </c>
      <c r="M39" s="480">
        <f>+'Harris Data kW'!T33</f>
        <v>18903.39</v>
      </c>
      <c r="N39" s="131">
        <f>+'Customer Counts'!AN34</f>
        <v>128</v>
      </c>
      <c r="O39" s="88">
        <f>+'SQL Data kWh'!AL34</f>
        <v>70069.06</v>
      </c>
      <c r="P39" s="93">
        <v>269.90000000000003</v>
      </c>
      <c r="Q39" s="131">
        <f>+'Customer Counts'!AL34</f>
        <v>2051</v>
      </c>
      <c r="R39" s="94"/>
      <c r="S39" s="93"/>
      <c r="T39" s="92"/>
      <c r="U39" s="281"/>
      <c r="V39" s="140">
        <f t="shared" si="0"/>
        <v>8536</v>
      </c>
      <c r="W39" s="1">
        <v>8239</v>
      </c>
      <c r="X39" s="140">
        <f t="shared" si="1"/>
        <v>297</v>
      </c>
      <c r="Y39" s="140"/>
    </row>
    <row r="40" spans="1:25" x14ac:dyDescent="0.2">
      <c r="A40" s="31" t="s">
        <v>328</v>
      </c>
      <c r="B40" s="20" t="s">
        <v>64</v>
      </c>
      <c r="C40" s="88">
        <f>+'SQL Data kWh'!AC35</f>
        <v>6618149.96</v>
      </c>
      <c r="D40" s="131">
        <f>+'Customer Counts'!AC35</f>
        <v>7124</v>
      </c>
      <c r="E40" s="94">
        <f>+'SQL Data kWh'!AD35</f>
        <v>3807261.57</v>
      </c>
      <c r="F40" s="131">
        <f>+'Customer Counts'!AD35</f>
        <v>1311</v>
      </c>
      <c r="G40" s="95">
        <f>+'SQL Data kWh'!AK35</f>
        <v>19027</v>
      </c>
      <c r="H40" s="131">
        <f>+'Customer Counts'!AK35</f>
        <v>19</v>
      </c>
      <c r="I40" s="88">
        <f>+'SQL Data kWh'!AN35</f>
        <v>7451804.4000000004</v>
      </c>
      <c r="J40" s="480">
        <f>+'Harris Data kW'!U34</f>
        <v>19759.82</v>
      </c>
      <c r="K40" s="131">
        <f>+'Customer Counts'!AN35</f>
        <v>128</v>
      </c>
      <c r="L40" s="88">
        <f>+'SQL Data kWh'!AO35</f>
        <v>7433178.4000000004</v>
      </c>
      <c r="M40" s="480">
        <f>+'Harris Data kW'!T34</f>
        <v>19713.98</v>
      </c>
      <c r="N40" s="131">
        <f>+'Customer Counts'!AN35</f>
        <v>128</v>
      </c>
      <c r="O40" s="88">
        <f>+'SQL Data kWh'!AL35</f>
        <v>75240.36</v>
      </c>
      <c r="P40" s="93">
        <v>278.89000000000004</v>
      </c>
      <c r="Q40" s="131">
        <f>+'Customer Counts'!AL35</f>
        <v>2051</v>
      </c>
      <c r="R40" s="94"/>
      <c r="S40" s="93"/>
      <c r="T40" s="92"/>
      <c r="U40" s="281"/>
      <c r="V40" s="140">
        <f t="shared" si="0"/>
        <v>8563</v>
      </c>
      <c r="W40" s="1">
        <v>8250.5</v>
      </c>
      <c r="X40" s="140">
        <f t="shared" si="1"/>
        <v>312.5</v>
      </c>
      <c r="Y40" s="140"/>
    </row>
    <row r="41" spans="1:25" x14ac:dyDescent="0.2">
      <c r="A41" s="31" t="s">
        <v>328</v>
      </c>
      <c r="B41" s="20" t="s">
        <v>65</v>
      </c>
      <c r="C41" s="88">
        <f>+'SQL Data kWh'!AC36</f>
        <v>6469853.2800000003</v>
      </c>
      <c r="D41" s="131">
        <f>+'Customer Counts'!AC36</f>
        <v>7147</v>
      </c>
      <c r="E41" s="94">
        <f>+'SQL Data kWh'!AD36</f>
        <v>3890116.71</v>
      </c>
      <c r="F41" s="131">
        <f>+'Customer Counts'!AD36</f>
        <v>1311.5</v>
      </c>
      <c r="G41" s="95">
        <f>+'SQL Data kWh'!AK36</f>
        <v>19027</v>
      </c>
      <c r="H41" s="131">
        <f>+'Customer Counts'!AK36</f>
        <v>19</v>
      </c>
      <c r="I41" s="88">
        <f>+'SQL Data kWh'!AN36</f>
        <v>7709016.5199999996</v>
      </c>
      <c r="J41" s="480">
        <f>+'Harris Data kW'!U35</f>
        <v>17492.130000000005</v>
      </c>
      <c r="K41" s="131">
        <f>+'Customer Counts'!AN36</f>
        <v>129</v>
      </c>
      <c r="L41" s="88">
        <f>+'SQL Data kWh'!AO36</f>
        <v>7686144.5199999996</v>
      </c>
      <c r="M41" s="480">
        <f>+'Harris Data kW'!T35</f>
        <v>17449.620000000006</v>
      </c>
      <c r="N41" s="131">
        <f>+'Customer Counts'!AN36</f>
        <v>129</v>
      </c>
      <c r="O41" s="88">
        <f>+'SQL Data kWh'!AL36</f>
        <v>84504.34</v>
      </c>
      <c r="P41" s="93">
        <v>243.51000000000005</v>
      </c>
      <c r="Q41" s="131">
        <f>+'Customer Counts'!AL36</f>
        <v>2051</v>
      </c>
      <c r="R41" s="94"/>
      <c r="S41" s="93"/>
      <c r="T41" s="92"/>
      <c r="U41" s="281"/>
      <c r="V41" s="140">
        <f t="shared" si="0"/>
        <v>8587.5</v>
      </c>
      <c r="W41" s="1">
        <v>8267.5</v>
      </c>
      <c r="X41" s="140">
        <f t="shared" si="1"/>
        <v>320</v>
      </c>
      <c r="Y41" s="140"/>
    </row>
    <row r="42" spans="1:25" x14ac:dyDescent="0.2">
      <c r="A42" s="31" t="s">
        <v>328</v>
      </c>
      <c r="B42" s="20" t="s">
        <v>55</v>
      </c>
      <c r="C42" s="88">
        <f>+'SQL Data kWh'!AC37</f>
        <v>5526119.1299999999</v>
      </c>
      <c r="D42" s="131">
        <f>+'Customer Counts'!AC37</f>
        <v>7166</v>
      </c>
      <c r="E42" s="94">
        <f>+'SQL Data kWh'!AD37</f>
        <v>3334866.07</v>
      </c>
      <c r="F42" s="131">
        <f>+'Customer Counts'!AD37</f>
        <v>1312</v>
      </c>
      <c r="G42" s="95">
        <f>+'SQL Data kWh'!AK37</f>
        <v>19027</v>
      </c>
      <c r="H42" s="131">
        <f>+'Customer Counts'!AK37</f>
        <v>19</v>
      </c>
      <c r="I42" s="88">
        <f>+'SQL Data kWh'!AN37</f>
        <v>6967313.1799999997</v>
      </c>
      <c r="J42" s="480">
        <f>+'Harris Data kW'!U36</f>
        <v>22729.459999999995</v>
      </c>
      <c r="K42" s="131">
        <f>+'Customer Counts'!AN37</f>
        <v>130</v>
      </c>
      <c r="L42" s="88">
        <f>+'SQL Data kWh'!AO37</f>
        <v>6940825.1799999997</v>
      </c>
      <c r="M42" s="480">
        <f>+'Harris Data kW'!T36</f>
        <v>22682.509999999995</v>
      </c>
      <c r="N42" s="131">
        <f>+'Customer Counts'!AN37</f>
        <v>130</v>
      </c>
      <c r="O42" s="88">
        <f>+'SQL Data kWh'!AL37</f>
        <v>93230.86</v>
      </c>
      <c r="P42" s="93">
        <v>278.59999999999997</v>
      </c>
      <c r="Q42" s="131">
        <f>+'Customer Counts'!AL37</f>
        <v>2065.5</v>
      </c>
      <c r="R42" s="94"/>
      <c r="S42" s="93"/>
      <c r="T42" s="92"/>
      <c r="U42" s="281"/>
      <c r="V42" s="140">
        <f t="shared" ref="V42:V73" si="2">+D42+F42+K42</f>
        <v>8608</v>
      </c>
      <c r="W42" s="1">
        <v>8281.5</v>
      </c>
      <c r="X42" s="140">
        <f t="shared" si="1"/>
        <v>326.5</v>
      </c>
      <c r="Y42" s="140"/>
    </row>
    <row r="43" spans="1:25" x14ac:dyDescent="0.2">
      <c r="A43" s="31" t="s">
        <v>328</v>
      </c>
      <c r="B43" s="20" t="s">
        <v>56</v>
      </c>
      <c r="C43" s="88">
        <f>+'SQL Data kWh'!AC38</f>
        <v>4860007.08</v>
      </c>
      <c r="D43" s="131">
        <f>+'Customer Counts'!AC38</f>
        <v>7176.5</v>
      </c>
      <c r="E43" s="94">
        <f>+'SQL Data kWh'!AD38</f>
        <v>2937049.01</v>
      </c>
      <c r="F43" s="131">
        <f>+'Customer Counts'!AD38</f>
        <v>1310.5</v>
      </c>
      <c r="G43" s="95">
        <f>+'SQL Data kWh'!AK38</f>
        <v>19027</v>
      </c>
      <c r="H43" s="131">
        <f>+'Customer Counts'!AK38</f>
        <v>19</v>
      </c>
      <c r="I43" s="88">
        <f>+'SQL Data kWh'!AN38</f>
        <v>6650699.6799999997</v>
      </c>
      <c r="J43" s="480">
        <f>+'Harris Data kW'!U37</f>
        <v>19270.780000000002</v>
      </c>
      <c r="K43" s="131">
        <f>+'Customer Counts'!AN38</f>
        <v>130.5</v>
      </c>
      <c r="L43" s="88">
        <f>+'SQL Data kWh'!AO38</f>
        <v>6623781.9699999997</v>
      </c>
      <c r="M43" s="480">
        <f>+'Harris Data kW'!T37</f>
        <v>19227.7</v>
      </c>
      <c r="N43" s="131">
        <f>+'Customer Counts'!AN38</f>
        <v>130.5</v>
      </c>
      <c r="O43" s="88">
        <f>+'SQL Data kWh'!AL38</f>
        <v>108656.51</v>
      </c>
      <c r="P43" s="93">
        <v>314.58000000000004</v>
      </c>
      <c r="Q43" s="131">
        <f>+'Customer Counts'!AL38</f>
        <v>2080</v>
      </c>
      <c r="R43" s="94"/>
      <c r="S43" s="93"/>
      <c r="T43" s="92"/>
      <c r="U43" s="281"/>
      <c r="V43" s="140">
        <f t="shared" si="2"/>
        <v>8617.5</v>
      </c>
      <c r="W43" s="1">
        <v>8294.5</v>
      </c>
      <c r="X43" s="140">
        <f t="shared" si="1"/>
        <v>323</v>
      </c>
      <c r="Y43" s="140"/>
    </row>
    <row r="44" spans="1:25" x14ac:dyDescent="0.2">
      <c r="A44" s="31" t="s">
        <v>328</v>
      </c>
      <c r="B44" s="20" t="s">
        <v>57</v>
      </c>
      <c r="C44" s="88">
        <f>+'SQL Data kWh'!AC39</f>
        <v>5327677.2300000004</v>
      </c>
      <c r="D44" s="131">
        <f>+'Customer Counts'!AC39</f>
        <v>7190</v>
      </c>
      <c r="E44" s="94">
        <f>+'SQL Data kWh'!AD39</f>
        <v>3004230.92</v>
      </c>
      <c r="F44" s="131">
        <f>+'Customer Counts'!AD39</f>
        <v>1310</v>
      </c>
      <c r="G44" s="95">
        <f>+'SQL Data kWh'!AK39</f>
        <v>19027</v>
      </c>
      <c r="H44" s="131">
        <f>+'Customer Counts'!AK39</f>
        <v>19</v>
      </c>
      <c r="I44" s="88">
        <f>+'SQL Data kWh'!AN39</f>
        <v>6593137.6299999999</v>
      </c>
      <c r="J44" s="480">
        <f>+'Harris Data kW'!U38</f>
        <v>11688.480000000003</v>
      </c>
      <c r="K44" s="131">
        <f>+'Customer Counts'!AN39</f>
        <v>132</v>
      </c>
      <c r="L44" s="88">
        <f>+'SQL Data kWh'!AO39</f>
        <v>6569040.5899999999</v>
      </c>
      <c r="M44" s="480">
        <f>+'Harris Data kW'!T38</f>
        <v>11641.380000000003</v>
      </c>
      <c r="N44" s="131">
        <f>+'Customer Counts'!AN39</f>
        <v>132</v>
      </c>
      <c r="O44" s="88">
        <f>+'SQL Data kWh'!AL39</f>
        <v>115694.32</v>
      </c>
      <c r="P44" s="93">
        <v>207.79999999999995</v>
      </c>
      <c r="Q44" s="131">
        <f>+'Customer Counts'!AL39</f>
        <v>2080</v>
      </c>
      <c r="R44" s="94"/>
      <c r="S44" s="93"/>
      <c r="T44" s="92"/>
      <c r="U44" s="281"/>
      <c r="V44" s="140">
        <f t="shared" si="2"/>
        <v>8632</v>
      </c>
      <c r="W44" s="1">
        <v>8314.5</v>
      </c>
      <c r="X44" s="140">
        <f t="shared" si="1"/>
        <v>317.5</v>
      </c>
      <c r="Y44" s="140"/>
    </row>
    <row r="45" spans="1:25" x14ac:dyDescent="0.2">
      <c r="A45" s="31" t="s">
        <v>328</v>
      </c>
      <c r="B45" s="20" t="s">
        <v>54</v>
      </c>
      <c r="C45" s="88">
        <f>+'SQL Data kWh'!AC40</f>
        <v>6099025.4299999997</v>
      </c>
      <c r="D45" s="131">
        <f>+'Customer Counts'!AC40</f>
        <v>7210</v>
      </c>
      <c r="E45" s="94">
        <f>+'SQL Data kWh'!AD40</f>
        <v>3288531.2</v>
      </c>
      <c r="F45" s="131">
        <f>+'Customer Counts'!AD40</f>
        <v>1308.5</v>
      </c>
      <c r="G45" s="95">
        <f>+'SQL Data kWh'!AK40</f>
        <v>20132.57</v>
      </c>
      <c r="H45" s="131">
        <f>+'Customer Counts'!AK40</f>
        <v>20</v>
      </c>
      <c r="I45" s="88">
        <f>+'SQL Data kWh'!AN40</f>
        <v>6946100.7199999997</v>
      </c>
      <c r="J45" s="480">
        <f>+'Harris Data kW'!U39</f>
        <v>19912.150000000001</v>
      </c>
      <c r="K45" s="131">
        <f>+'Customer Counts'!AN40</f>
        <v>132.5</v>
      </c>
      <c r="L45" s="88">
        <f>+'SQL Data kWh'!AO40</f>
        <v>6916598.2199999997</v>
      </c>
      <c r="M45" s="480">
        <f>+'Harris Data kW'!T39</f>
        <v>19864.120000000003</v>
      </c>
      <c r="N45" s="131">
        <f>+'Customer Counts'!AN40</f>
        <v>132.5</v>
      </c>
      <c r="O45" s="88">
        <f>+'SQL Data kWh'!AL40</f>
        <v>125093.78</v>
      </c>
      <c r="P45" s="93">
        <v>323</v>
      </c>
      <c r="Q45" s="131">
        <f>+'Customer Counts'!AL40</f>
        <v>2080</v>
      </c>
      <c r="R45" s="94"/>
      <c r="S45" s="93"/>
      <c r="T45" s="92"/>
      <c r="U45" s="281"/>
      <c r="V45" s="140">
        <f t="shared" si="2"/>
        <v>8651</v>
      </c>
      <c r="W45" s="1">
        <v>8349</v>
      </c>
      <c r="X45" s="140">
        <f t="shared" si="1"/>
        <v>302</v>
      </c>
      <c r="Y45" s="140"/>
    </row>
    <row r="46" spans="1:25" x14ac:dyDescent="0.2">
      <c r="A46" s="31" t="s">
        <v>329</v>
      </c>
      <c r="B46" s="20" t="s">
        <v>58</v>
      </c>
      <c r="C46" s="88">
        <f>+'SQL Data kWh'!AC41</f>
        <v>6455139.9199999999</v>
      </c>
      <c r="D46" s="131">
        <f>+'Customer Counts'!AC41</f>
        <v>7238</v>
      </c>
      <c r="E46" s="94">
        <f>+'SQL Data kWh'!AD41</f>
        <v>3561752.46</v>
      </c>
      <c r="F46" s="131">
        <f>+'Customer Counts'!AD41</f>
        <v>1308.5</v>
      </c>
      <c r="G46" s="95">
        <f>+'SQL Data kWh'!AK41</f>
        <v>20069.990000000002</v>
      </c>
      <c r="H46" s="131">
        <f>+'Customer Counts'!AK41</f>
        <v>21</v>
      </c>
      <c r="I46" s="88">
        <f>+'SQL Data kWh'!AN41</f>
        <v>7311368.7300000004</v>
      </c>
      <c r="J46" s="480">
        <f>('Harris Data kW'!$U$40+'Harris Data kW'!$U$41)/2</f>
        <v>14459.13</v>
      </c>
      <c r="K46" s="131">
        <f>+'Customer Counts'!AN41</f>
        <v>132</v>
      </c>
      <c r="L46" s="88">
        <f>+'SQL Data kWh'!AO41</f>
        <v>7278082.9500000002</v>
      </c>
      <c r="M46" s="480">
        <f>('Harris Data kW'!$T$40+'Harris Data kW'!$T$41)/2</f>
        <v>14386.614999999998</v>
      </c>
      <c r="N46" s="131">
        <f>+'Customer Counts'!AN41</f>
        <v>132</v>
      </c>
      <c r="O46" s="88">
        <f>+'SQL Data kWh'!AL41</f>
        <v>121945.64</v>
      </c>
      <c r="P46" s="93">
        <v>234.21999999999997</v>
      </c>
      <c r="Q46" s="131">
        <f>+'Customer Counts'!AL41</f>
        <v>2080</v>
      </c>
      <c r="R46" s="94"/>
      <c r="S46" s="93"/>
      <c r="T46" s="92"/>
      <c r="U46" s="281"/>
      <c r="V46" s="140">
        <f t="shared" si="2"/>
        <v>8678.5</v>
      </c>
      <c r="W46" s="1">
        <v>8419</v>
      </c>
      <c r="X46" s="140">
        <f t="shared" si="1"/>
        <v>259.5</v>
      </c>
      <c r="Y46" s="140"/>
    </row>
    <row r="47" spans="1:25" x14ac:dyDescent="0.2">
      <c r="A47" s="31" t="s">
        <v>329</v>
      </c>
      <c r="B47" s="20" t="s">
        <v>59</v>
      </c>
      <c r="C47" s="88">
        <f>+'SQL Data kWh'!AC42</f>
        <v>5878380.96</v>
      </c>
      <c r="D47" s="131">
        <f>+'Customer Counts'!AC42</f>
        <v>7260.5</v>
      </c>
      <c r="E47" s="94">
        <f>+'SQL Data kWh'!AD42</f>
        <v>3399226.32</v>
      </c>
      <c r="F47" s="131">
        <f>+'Customer Counts'!AD42</f>
        <v>1311.5</v>
      </c>
      <c r="G47" s="95">
        <f>+'SQL Data kWh'!AK42</f>
        <v>19167.439999999999</v>
      </c>
      <c r="H47" s="131">
        <f>+'Customer Counts'!AK42</f>
        <v>20.5</v>
      </c>
      <c r="I47" s="88">
        <f>+'SQL Data kWh'!AN42</f>
        <v>6792924.8599999994</v>
      </c>
      <c r="J47" s="480">
        <f>('Harris Data kW'!$U$40+'Harris Data kW'!$U$41)/2</f>
        <v>14459.13</v>
      </c>
      <c r="K47" s="131">
        <f>+'Customer Counts'!AN42</f>
        <v>132</v>
      </c>
      <c r="L47" s="88">
        <f>+'SQL Data kWh'!AO42</f>
        <v>6761850.2799999993</v>
      </c>
      <c r="M47" s="480">
        <f>('Harris Data kW'!$T$40+'Harris Data kW'!$T$41)/2</f>
        <v>14386.614999999998</v>
      </c>
      <c r="N47" s="131">
        <f>+'Customer Counts'!AN42</f>
        <v>132</v>
      </c>
      <c r="O47" s="88">
        <f>+'SQL Data kWh'!AL42</f>
        <v>101685.09</v>
      </c>
      <c r="P47" s="93">
        <v>243.78000000000003</v>
      </c>
      <c r="Q47" s="131">
        <f>+'Customer Counts'!AL42</f>
        <v>2080</v>
      </c>
      <c r="R47" s="94"/>
      <c r="S47" s="93"/>
      <c r="T47" s="92"/>
      <c r="U47" s="281"/>
      <c r="V47" s="140">
        <f t="shared" si="2"/>
        <v>8704</v>
      </c>
      <c r="W47" s="1">
        <v>8462</v>
      </c>
      <c r="X47" s="140">
        <f t="shared" si="1"/>
        <v>242</v>
      </c>
      <c r="Y47" s="140"/>
    </row>
    <row r="48" spans="1:25" x14ac:dyDescent="0.2">
      <c r="A48" s="31" t="s">
        <v>329</v>
      </c>
      <c r="B48" s="20" t="s">
        <v>60</v>
      </c>
      <c r="C48" s="88">
        <f>+'SQL Data kWh'!AC43</f>
        <v>5691167.1500000004</v>
      </c>
      <c r="D48" s="131">
        <f>+'Customer Counts'!AC43</f>
        <v>7286.5</v>
      </c>
      <c r="E48" s="94">
        <f>+'SQL Data kWh'!AD43</f>
        <v>3427000.83</v>
      </c>
      <c r="F48" s="131">
        <f>+'Customer Counts'!AD43</f>
        <v>1312.5</v>
      </c>
      <c r="G48" s="95">
        <f>+'SQL Data kWh'!AK43</f>
        <v>18747</v>
      </c>
      <c r="H48" s="131">
        <f>+'Customer Counts'!AK43</f>
        <v>19.5</v>
      </c>
      <c r="I48" s="88">
        <f>+'SQL Data kWh'!AN43</f>
        <v>7044092.5599999996</v>
      </c>
      <c r="J48" s="480">
        <f>+'Harris Data kW'!U42</f>
        <v>19957.999999999996</v>
      </c>
      <c r="K48" s="131">
        <f>+'Customer Counts'!AN43</f>
        <v>132</v>
      </c>
      <c r="L48" s="88">
        <f>+'SQL Data kWh'!AO43</f>
        <v>7017636.1699999999</v>
      </c>
      <c r="M48" s="480">
        <f>+'Harris Data kW'!T42</f>
        <v>19907.369999999995</v>
      </c>
      <c r="N48" s="131">
        <f>+'Customer Counts'!AN43</f>
        <v>132</v>
      </c>
      <c r="O48" s="88">
        <f>+'SQL Data kWh'!AL43</f>
        <v>100695.65</v>
      </c>
      <c r="P48" s="93">
        <v>333.6400000000001</v>
      </c>
      <c r="Q48" s="131">
        <f>+'Customer Counts'!AL43</f>
        <v>2080</v>
      </c>
      <c r="R48" s="94"/>
      <c r="S48" s="93"/>
      <c r="T48" s="92"/>
      <c r="U48" s="281"/>
      <c r="V48" s="140">
        <f t="shared" si="2"/>
        <v>8731</v>
      </c>
      <c r="W48" s="1">
        <v>8471</v>
      </c>
      <c r="X48" s="140">
        <f t="shared" si="1"/>
        <v>260</v>
      </c>
      <c r="Y48" s="140"/>
    </row>
    <row r="49" spans="1:25" x14ac:dyDescent="0.2">
      <c r="A49" s="31" t="s">
        <v>329</v>
      </c>
      <c r="B49" s="20" t="s">
        <v>61</v>
      </c>
      <c r="C49" s="88">
        <f>+'SQL Data kWh'!AC44</f>
        <v>4761388.2300000004</v>
      </c>
      <c r="D49" s="131">
        <f>+'Customer Counts'!AC44</f>
        <v>7309</v>
      </c>
      <c r="E49" s="94">
        <f>+'SQL Data kWh'!AD44</f>
        <v>2954153.91</v>
      </c>
      <c r="F49" s="131">
        <f>+'Customer Counts'!AD44</f>
        <v>1313</v>
      </c>
      <c r="G49" s="95">
        <f>+'SQL Data kWh'!AK44</f>
        <v>18378</v>
      </c>
      <c r="H49" s="131">
        <f>+'Customer Counts'!AK44</f>
        <v>18.5</v>
      </c>
      <c r="I49" s="88">
        <f>+'SQL Data kWh'!AN44</f>
        <v>6292151.7100000009</v>
      </c>
      <c r="J49" s="480">
        <f>+'Harris Data kW'!U43</f>
        <v>13772.66</v>
      </c>
      <c r="K49" s="131">
        <f>+'Customer Counts'!AN44</f>
        <v>132.5</v>
      </c>
      <c r="L49" s="88">
        <f>+'SQL Data kWh'!AO44</f>
        <v>6260461.0000000009</v>
      </c>
      <c r="M49" s="480">
        <f>+'Harris Data kW'!T43</f>
        <v>13702.95</v>
      </c>
      <c r="N49" s="131">
        <f>+'Customer Counts'!AN44</f>
        <v>132.5</v>
      </c>
      <c r="O49" s="88">
        <f>+'SQL Data kWh'!AL44</f>
        <v>85427.16</v>
      </c>
      <c r="P49" s="93">
        <v>232.27999999999997</v>
      </c>
      <c r="Q49" s="131">
        <f>+'Customer Counts'!AL44</f>
        <v>2080</v>
      </c>
      <c r="R49" s="94"/>
      <c r="S49" s="93"/>
      <c r="T49" s="92"/>
      <c r="U49" s="281"/>
      <c r="V49" s="140">
        <f t="shared" si="2"/>
        <v>8754.5</v>
      </c>
      <c r="W49" s="1">
        <v>8495.5</v>
      </c>
      <c r="X49" s="140">
        <f t="shared" si="1"/>
        <v>259</v>
      </c>
      <c r="Y49" s="140"/>
    </row>
    <row r="50" spans="1:25" x14ac:dyDescent="0.2">
      <c r="A50" s="31" t="s">
        <v>329</v>
      </c>
      <c r="B50" s="20" t="s">
        <v>62</v>
      </c>
      <c r="C50" s="88">
        <f>+'SQL Data kWh'!AC45</f>
        <v>5011526.7699999996</v>
      </c>
      <c r="D50" s="131">
        <f>+'Customer Counts'!AC45</f>
        <v>7339</v>
      </c>
      <c r="E50" s="94">
        <f>+'SQL Data kWh'!AD45</f>
        <v>3119464.9</v>
      </c>
      <c r="F50" s="131">
        <f>+'Customer Counts'!AD45</f>
        <v>1315</v>
      </c>
      <c r="G50" s="95">
        <f>+'SQL Data kWh'!AK45</f>
        <v>18378</v>
      </c>
      <c r="H50" s="131">
        <f>+'Customer Counts'!AK45</f>
        <v>18</v>
      </c>
      <c r="I50" s="88">
        <f>+'SQL Data kWh'!AN45</f>
        <v>6715531.3900000006</v>
      </c>
      <c r="J50" s="480">
        <f>+'Harris Data kW'!U44</f>
        <v>17863.199999999997</v>
      </c>
      <c r="K50" s="131">
        <f>+'Customer Counts'!AN45</f>
        <v>133</v>
      </c>
      <c r="L50" s="88">
        <f>+'SQL Data kWh'!AO45</f>
        <v>6684184.1400000006</v>
      </c>
      <c r="M50" s="480">
        <f>+'Harris Data kW'!T44</f>
        <v>17809.859999999997</v>
      </c>
      <c r="N50" s="131">
        <f>+'Customer Counts'!AN45</f>
        <v>133</v>
      </c>
      <c r="O50" s="88">
        <f>+'SQL Data kWh'!AL45</f>
        <v>70674.13</v>
      </c>
      <c r="P50" s="93">
        <v>269.61</v>
      </c>
      <c r="Q50" s="131">
        <f>+'Customer Counts'!AL45</f>
        <v>2080</v>
      </c>
      <c r="R50" s="94"/>
      <c r="S50" s="93"/>
      <c r="T50" s="92"/>
      <c r="U50" s="281"/>
      <c r="V50" s="140">
        <f t="shared" si="2"/>
        <v>8787</v>
      </c>
      <c r="W50" s="1">
        <v>8519.5</v>
      </c>
      <c r="X50" s="140">
        <f t="shared" si="1"/>
        <v>267.5</v>
      </c>
      <c r="Y50" s="140"/>
    </row>
    <row r="51" spans="1:25" x14ac:dyDescent="0.2">
      <c r="A51" s="31" t="s">
        <v>329</v>
      </c>
      <c r="B51" s="20" t="s">
        <v>63</v>
      </c>
      <c r="C51" s="88">
        <f>+'SQL Data kWh'!AC46</f>
        <v>5615306.0800000001</v>
      </c>
      <c r="D51" s="131">
        <f>+'Customer Counts'!AC46</f>
        <v>7371.5</v>
      </c>
      <c r="E51" s="94">
        <f>+'SQL Data kWh'!AD46</f>
        <v>3339587.53</v>
      </c>
      <c r="F51" s="131">
        <f>+'Customer Counts'!AD46</f>
        <v>1320.5</v>
      </c>
      <c r="G51" s="95">
        <f>+'SQL Data kWh'!AK46</f>
        <v>18378</v>
      </c>
      <c r="H51" s="131">
        <f>+'Customer Counts'!AK46</f>
        <v>17.5</v>
      </c>
      <c r="I51" s="88">
        <f>+'SQL Data kWh'!AN46</f>
        <v>6787597.8600000003</v>
      </c>
      <c r="J51" s="480">
        <f>+'Harris Data kW'!U45</f>
        <v>20078.599999999999</v>
      </c>
      <c r="K51" s="131">
        <f>+'Customer Counts'!AN46</f>
        <v>133</v>
      </c>
      <c r="L51" s="88">
        <f>+'SQL Data kWh'!AO46</f>
        <v>6755426.9800000004</v>
      </c>
      <c r="M51" s="480">
        <f>+'Harris Data kW'!T45</f>
        <v>20017.349999999999</v>
      </c>
      <c r="N51" s="131">
        <f>+'Customer Counts'!AN46</f>
        <v>133</v>
      </c>
      <c r="O51" s="88">
        <f>+'SQL Data kWh'!AL46</f>
        <v>51379.199999999997</v>
      </c>
      <c r="P51" s="93">
        <v>270.18999999999994</v>
      </c>
      <c r="Q51" s="131">
        <f>+'Customer Counts'!AL46</f>
        <v>2080</v>
      </c>
      <c r="R51" s="94"/>
      <c r="S51" s="93"/>
      <c r="T51" s="92"/>
      <c r="U51" s="281"/>
      <c r="V51" s="140">
        <f t="shared" si="2"/>
        <v>8825</v>
      </c>
      <c r="W51" s="1">
        <v>8543.5</v>
      </c>
      <c r="X51" s="140">
        <f t="shared" si="1"/>
        <v>281.5</v>
      </c>
      <c r="Y51" s="140"/>
    </row>
    <row r="52" spans="1:25" x14ac:dyDescent="0.2">
      <c r="A52" s="31" t="s">
        <v>329</v>
      </c>
      <c r="B52" s="20" t="s">
        <v>64</v>
      </c>
      <c r="C52" s="88">
        <f>+'SQL Data kWh'!AC47</f>
        <v>7147308.1699999999</v>
      </c>
      <c r="D52" s="131">
        <f>+'Customer Counts'!AC47</f>
        <v>7393.5</v>
      </c>
      <c r="E52" s="94">
        <f>+'SQL Data kWh'!AD47</f>
        <v>4095753.66</v>
      </c>
      <c r="F52" s="131">
        <f>+'Customer Counts'!AD47</f>
        <v>1328</v>
      </c>
      <c r="G52" s="95">
        <f>+'SQL Data kWh'!AK47</f>
        <v>18378</v>
      </c>
      <c r="H52" s="131">
        <f>+'Customer Counts'!AK47</f>
        <v>17</v>
      </c>
      <c r="I52" s="88">
        <f>+'SQL Data kWh'!AN47</f>
        <v>7628517.3000000007</v>
      </c>
      <c r="J52" s="480">
        <f>+'Harris Data kW'!U46</f>
        <v>16698.850000000002</v>
      </c>
      <c r="K52" s="131">
        <f>+'Customer Counts'!AN47</f>
        <v>127.5</v>
      </c>
      <c r="L52" s="88">
        <f>+'SQL Data kWh'!AO47</f>
        <v>7594747.2800000012</v>
      </c>
      <c r="M52" s="480">
        <f>+'Harris Data kW'!T46</f>
        <v>16622.590000000004</v>
      </c>
      <c r="N52" s="131">
        <f>+'Customer Counts'!AN47</f>
        <v>127.5</v>
      </c>
      <c r="O52" s="88">
        <f>+'SQL Data kWh'!AL47</f>
        <v>55171.61</v>
      </c>
      <c r="P52" s="93">
        <v>141.23000000000002</v>
      </c>
      <c r="Q52" s="131">
        <f>+'Customer Counts'!AL47</f>
        <v>2080</v>
      </c>
      <c r="R52" s="94"/>
      <c r="S52" s="93"/>
      <c r="T52" s="92"/>
      <c r="U52" s="281"/>
      <c r="V52" s="140">
        <f t="shared" si="2"/>
        <v>8849</v>
      </c>
      <c r="W52" s="1">
        <v>8567.5</v>
      </c>
      <c r="X52" s="140">
        <f t="shared" si="1"/>
        <v>281.5</v>
      </c>
      <c r="Y52" s="140"/>
    </row>
    <row r="53" spans="1:25" x14ac:dyDescent="0.2">
      <c r="A53" s="31" t="s">
        <v>329</v>
      </c>
      <c r="B53" s="20" t="s">
        <v>65</v>
      </c>
      <c r="C53" s="88">
        <f>+'SQL Data kWh'!AC48</f>
        <v>7263501.4500000002</v>
      </c>
      <c r="D53" s="131">
        <f>+'Customer Counts'!AC48</f>
        <v>7421</v>
      </c>
      <c r="E53" s="94">
        <f>+'SQL Data kWh'!AD48</f>
        <v>4275684.3</v>
      </c>
      <c r="F53" s="131">
        <f>+'Customer Counts'!AD48</f>
        <v>1330.5</v>
      </c>
      <c r="G53" s="95">
        <f>+'SQL Data kWh'!AK48</f>
        <v>18378</v>
      </c>
      <c r="H53" s="131">
        <f>+'Customer Counts'!AK48</f>
        <v>17</v>
      </c>
      <c r="I53" s="88">
        <f>+'SQL Data kWh'!AN48</f>
        <v>7830713.7599999998</v>
      </c>
      <c r="J53" s="480">
        <f>+'Harris Data kW'!U47</f>
        <v>21166.640000000003</v>
      </c>
      <c r="K53" s="131">
        <f>+'Customer Counts'!AN48</f>
        <v>120</v>
      </c>
      <c r="L53" s="88">
        <f>+'SQL Data kWh'!AO48</f>
        <v>7794912.2400000002</v>
      </c>
      <c r="M53" s="480">
        <f>+'Harris Data kW'!T47</f>
        <v>21104.540000000005</v>
      </c>
      <c r="N53" s="131">
        <f>+'Customer Counts'!AN48</f>
        <v>120</v>
      </c>
      <c r="O53" s="88">
        <f>+'SQL Data kWh'!AL48</f>
        <v>61965.01</v>
      </c>
      <c r="P53" s="93">
        <v>172.14000000000001</v>
      </c>
      <c r="Q53" s="131">
        <f>+'Customer Counts'!AL48</f>
        <v>2080</v>
      </c>
      <c r="R53" s="94"/>
      <c r="S53" s="93"/>
      <c r="T53" s="92"/>
      <c r="U53" s="281"/>
      <c r="V53" s="140">
        <f t="shared" si="2"/>
        <v>8871.5</v>
      </c>
      <c r="W53" s="1">
        <v>8593</v>
      </c>
      <c r="X53" s="140">
        <f t="shared" si="1"/>
        <v>278.5</v>
      </c>
      <c r="Y53" s="140"/>
    </row>
    <row r="54" spans="1:25" x14ac:dyDescent="0.2">
      <c r="A54" s="31" t="s">
        <v>329</v>
      </c>
      <c r="B54" s="20" t="s">
        <v>55</v>
      </c>
      <c r="C54" s="88">
        <f>+'SQL Data kWh'!AC49</f>
        <v>6137261.2599999998</v>
      </c>
      <c r="D54" s="131">
        <f>+'Customer Counts'!AC49</f>
        <v>7450</v>
      </c>
      <c r="E54" s="94">
        <f>+'SQL Data kWh'!AD49</f>
        <v>3667948.46</v>
      </c>
      <c r="F54" s="131">
        <f>+'Customer Counts'!AD49</f>
        <v>1332</v>
      </c>
      <c r="G54" s="95">
        <f>+'SQL Data kWh'!AK49</f>
        <v>18378</v>
      </c>
      <c r="H54" s="131">
        <f>+'Customer Counts'!AK49</f>
        <v>17</v>
      </c>
      <c r="I54" s="88">
        <f>+'SQL Data kWh'!AN49</f>
        <v>7223226.2999999998</v>
      </c>
      <c r="J54" s="480">
        <f>+'Harris Data kW'!U48</f>
        <v>19806.689999999991</v>
      </c>
      <c r="K54" s="131">
        <f>+'Customer Counts'!AN49</f>
        <v>118.5</v>
      </c>
      <c r="L54" s="88">
        <f>+'SQL Data kWh'!AO49</f>
        <v>7184344.5499999998</v>
      </c>
      <c r="M54" s="480">
        <f>+'Harris Data kW'!T48</f>
        <v>19743.239999999991</v>
      </c>
      <c r="N54" s="131">
        <f>+'Customer Counts'!AN49</f>
        <v>118.5</v>
      </c>
      <c r="O54" s="88">
        <f>+'SQL Data kWh'!AL49</f>
        <v>68362.67</v>
      </c>
      <c r="P54" s="93">
        <v>210.68</v>
      </c>
      <c r="Q54" s="131">
        <f>+'Customer Counts'!AL49</f>
        <v>2080</v>
      </c>
      <c r="R54" s="94"/>
      <c r="S54" s="93"/>
      <c r="T54" s="92"/>
      <c r="U54" s="281"/>
      <c r="V54" s="140">
        <f t="shared" si="2"/>
        <v>8900.5</v>
      </c>
      <c r="W54" s="1">
        <v>8611</v>
      </c>
      <c r="X54" s="140">
        <f t="shared" si="1"/>
        <v>289.5</v>
      </c>
      <c r="Y54" s="140"/>
    </row>
    <row r="55" spans="1:25" x14ac:dyDescent="0.2">
      <c r="A55" s="31" t="s">
        <v>329</v>
      </c>
      <c r="B55" s="20" t="s">
        <v>56</v>
      </c>
      <c r="C55" s="88">
        <f>+'SQL Data kWh'!AC50</f>
        <v>4988845.8499999996</v>
      </c>
      <c r="D55" s="131">
        <f>+'Customer Counts'!AC50</f>
        <v>7475</v>
      </c>
      <c r="E55" s="94">
        <f>+'SQL Data kWh'!AD50</f>
        <v>3108858.21</v>
      </c>
      <c r="F55" s="131">
        <f>+'Customer Counts'!AD50</f>
        <v>1334</v>
      </c>
      <c r="G55" s="95">
        <f>+'SQL Data kWh'!AK50</f>
        <v>18378</v>
      </c>
      <c r="H55" s="131">
        <f>+'Customer Counts'!AK50</f>
        <v>17</v>
      </c>
      <c r="I55" s="88">
        <f>+'SQL Data kWh'!AN50</f>
        <v>6594388.4299999997</v>
      </c>
      <c r="J55" s="480">
        <f>+'Harris Data kW'!U49</f>
        <v>22569.359999999997</v>
      </c>
      <c r="K55" s="131">
        <f>+'Customer Counts'!AN50</f>
        <v>119.5</v>
      </c>
      <c r="L55" s="88">
        <f>+'SQL Data kWh'!AO50</f>
        <v>6545632.6899999995</v>
      </c>
      <c r="M55" s="480">
        <f>+'Harris Data kW'!T49</f>
        <v>22460.709999999995</v>
      </c>
      <c r="N55" s="131">
        <f>+'Customer Counts'!AN50</f>
        <v>119.5</v>
      </c>
      <c r="O55" s="88">
        <f>+'SQL Data kWh'!AL50</f>
        <v>79674.009999999995</v>
      </c>
      <c r="P55" s="93">
        <v>210.88000000000002</v>
      </c>
      <c r="Q55" s="131">
        <f>+'Customer Counts'!AL50</f>
        <v>2080</v>
      </c>
      <c r="R55" s="94"/>
      <c r="S55" s="93"/>
      <c r="T55" s="92"/>
      <c r="U55" s="281"/>
      <c r="V55" s="140">
        <f t="shared" si="2"/>
        <v>8928.5</v>
      </c>
      <c r="W55" s="1">
        <v>8623</v>
      </c>
      <c r="X55" s="140">
        <f t="shared" si="1"/>
        <v>305.5</v>
      </c>
      <c r="Y55" s="140"/>
    </row>
    <row r="56" spans="1:25" x14ac:dyDescent="0.2">
      <c r="A56" s="31" t="s">
        <v>329</v>
      </c>
      <c r="B56" s="20" t="s">
        <v>57</v>
      </c>
      <c r="C56" s="88">
        <f>+'SQL Data kWh'!AC51</f>
        <v>4938972.0199999996</v>
      </c>
      <c r="D56" s="131">
        <f>+'Customer Counts'!AC51</f>
        <v>7496</v>
      </c>
      <c r="E56" s="94">
        <f>+'SQL Data kWh'!AD51</f>
        <v>3021347.66</v>
      </c>
      <c r="F56" s="131">
        <f>+'Customer Counts'!AD51</f>
        <v>1334</v>
      </c>
      <c r="G56" s="95">
        <f>+'SQL Data kWh'!AK51</f>
        <v>18405.73</v>
      </c>
      <c r="H56" s="131">
        <f>+'Customer Counts'!AK51</f>
        <v>17.5</v>
      </c>
      <c r="I56" s="88">
        <f>+'SQL Data kWh'!AN51</f>
        <v>6166721.6600000001</v>
      </c>
      <c r="J56" s="480">
        <f>+'Harris Data kW'!U50</f>
        <v>12135.14</v>
      </c>
      <c r="K56" s="131">
        <f>+'Customer Counts'!AN51</f>
        <v>120</v>
      </c>
      <c r="L56" s="88">
        <f>+'SQL Data kWh'!AO51</f>
        <v>6114539.5300000003</v>
      </c>
      <c r="M56" s="480">
        <f>+'Harris Data kW'!T50</f>
        <v>12018.93</v>
      </c>
      <c r="N56" s="131">
        <f>+'Customer Counts'!AN51</f>
        <v>120</v>
      </c>
      <c r="O56" s="88">
        <f>+'SQL Data kWh'!AL51</f>
        <v>85204.87</v>
      </c>
      <c r="P56" s="93">
        <v>184.92</v>
      </c>
      <c r="Q56" s="131">
        <f>+'Customer Counts'!AL51</f>
        <v>2080</v>
      </c>
      <c r="R56" s="94"/>
      <c r="S56" s="93"/>
      <c r="T56" s="92"/>
      <c r="U56" s="281"/>
      <c r="V56" s="140">
        <f t="shared" si="2"/>
        <v>8950</v>
      </c>
      <c r="W56" s="1">
        <v>8646.5</v>
      </c>
      <c r="X56" s="140">
        <f t="shared" si="1"/>
        <v>303.5</v>
      </c>
      <c r="Y56" s="140"/>
    </row>
    <row r="57" spans="1:25" x14ac:dyDescent="0.2">
      <c r="A57" s="31" t="s">
        <v>329</v>
      </c>
      <c r="B57" s="20" t="s">
        <v>54</v>
      </c>
      <c r="C57" s="88">
        <f>+'SQL Data kWh'!AC52</f>
        <v>5736180.4199999999</v>
      </c>
      <c r="D57" s="131">
        <f>+'Customer Counts'!AC52</f>
        <v>7529.5</v>
      </c>
      <c r="E57" s="94">
        <f>+'SQL Data kWh'!AD52</f>
        <v>3201509.63</v>
      </c>
      <c r="F57" s="131">
        <f>+'Customer Counts'!AD52</f>
        <v>1335</v>
      </c>
      <c r="G57" s="95">
        <f>+'SQL Data kWh'!AK52</f>
        <v>19865.04</v>
      </c>
      <c r="H57" s="131">
        <f>+'Customer Counts'!AK52</f>
        <v>18.5</v>
      </c>
      <c r="I57" s="88">
        <f>+'SQL Data kWh'!AN52</f>
        <v>6229533.2100000009</v>
      </c>
      <c r="J57" s="480">
        <f>+'Harris Data kW'!U51</f>
        <v>19970.650000000001</v>
      </c>
      <c r="K57" s="131">
        <f>+'Customer Counts'!AN52</f>
        <v>120</v>
      </c>
      <c r="L57" s="88">
        <f>+'SQL Data kWh'!AO52</f>
        <v>6162664.2400000012</v>
      </c>
      <c r="M57" s="480">
        <f>+'Harris Data kW'!T51</f>
        <v>19811.050000000003</v>
      </c>
      <c r="N57" s="131">
        <f>+'Customer Counts'!AN52</f>
        <v>120</v>
      </c>
      <c r="O57" s="88">
        <f>+'SQL Data kWh'!AL52</f>
        <v>92186.28</v>
      </c>
      <c r="P57" s="93">
        <v>239.42</v>
      </c>
      <c r="Q57" s="131">
        <f>+'Customer Counts'!AL52</f>
        <v>2089</v>
      </c>
      <c r="R57" s="94"/>
      <c r="S57" s="93"/>
      <c r="T57" s="92"/>
      <c r="U57" s="281"/>
      <c r="V57" s="140">
        <f t="shared" si="2"/>
        <v>8984.5</v>
      </c>
      <c r="W57" s="1">
        <v>8665.5</v>
      </c>
      <c r="X57" s="140">
        <f t="shared" si="1"/>
        <v>319</v>
      </c>
      <c r="Y57" s="140"/>
    </row>
    <row r="58" spans="1:25" x14ac:dyDescent="0.2">
      <c r="A58" s="31" t="s">
        <v>330</v>
      </c>
      <c r="B58" s="20" t="s">
        <v>58</v>
      </c>
      <c r="C58" s="88">
        <f>+'SQL Data kWh'!AC53</f>
        <v>6220643.3600000003</v>
      </c>
      <c r="D58" s="131">
        <f>+'Customer Counts'!AC53</f>
        <v>7559.5</v>
      </c>
      <c r="E58" s="94">
        <f>+'SQL Data kWh'!AD53</f>
        <v>3614481.04</v>
      </c>
      <c r="F58" s="131">
        <f>+'Customer Counts'!AD53</f>
        <v>1332.5</v>
      </c>
      <c r="G58" s="95">
        <f>+'SQL Data kWh'!AK53</f>
        <v>19684.810000000001</v>
      </c>
      <c r="H58" s="131">
        <f>+'Customer Counts'!AK53</f>
        <v>19</v>
      </c>
      <c r="I58" s="88">
        <f>+'SQL Data kWh'!AN53</f>
        <v>6753761.96</v>
      </c>
      <c r="J58" s="480">
        <f>+'Harris Data kW'!U52</f>
        <v>10647.09</v>
      </c>
      <c r="K58" s="131">
        <f>+'Customer Counts'!AN53</f>
        <v>120</v>
      </c>
      <c r="L58" s="88">
        <f>+'SQL Data kWh'!AO53</f>
        <v>6648473.79</v>
      </c>
      <c r="M58" s="480">
        <f>+'Harris Data kW'!T52</f>
        <v>10365.33</v>
      </c>
      <c r="N58" s="131">
        <f>+'Customer Counts'!AN53</f>
        <v>120</v>
      </c>
      <c r="O58" s="88">
        <f>+'SQL Data kWh'!AL53</f>
        <v>89866.31</v>
      </c>
      <c r="P58" s="93">
        <v>152.92000000000002</v>
      </c>
      <c r="Q58" s="131">
        <f>+'Customer Counts'!AL53</f>
        <v>2098</v>
      </c>
      <c r="R58" s="94"/>
      <c r="S58" s="93"/>
      <c r="T58" s="92"/>
      <c r="U58" s="281"/>
      <c r="V58" s="140">
        <f t="shared" si="2"/>
        <v>9012</v>
      </c>
      <c r="W58" s="1">
        <v>8688</v>
      </c>
      <c r="X58" s="140">
        <f t="shared" si="1"/>
        <v>324</v>
      </c>
      <c r="Y58" s="140"/>
    </row>
    <row r="59" spans="1:25" x14ac:dyDescent="0.2">
      <c r="A59" s="31" t="s">
        <v>330</v>
      </c>
      <c r="B59" s="20" t="s">
        <v>59</v>
      </c>
      <c r="C59" s="88">
        <f>+'SQL Data kWh'!AC54</f>
        <v>5534016.0599999996</v>
      </c>
      <c r="D59" s="131">
        <f>+'Customer Counts'!AC54</f>
        <v>7582</v>
      </c>
      <c r="E59" s="94">
        <f>+'SQL Data kWh'!AD54</f>
        <v>3359106.96</v>
      </c>
      <c r="F59" s="131">
        <f>+'Customer Counts'!AD54</f>
        <v>1328</v>
      </c>
      <c r="G59" s="95">
        <f>+'SQL Data kWh'!AK54</f>
        <v>18514.419999999998</v>
      </c>
      <c r="H59" s="131">
        <f>+'Customer Counts'!AK54</f>
        <v>18.5</v>
      </c>
      <c r="I59" s="88">
        <f>+'SQL Data kWh'!AN54</f>
        <v>6342616.8000000007</v>
      </c>
      <c r="J59" s="480">
        <f>+'Harris Data kW'!U53</f>
        <v>17892.099999999995</v>
      </c>
      <c r="K59" s="131">
        <f>+'Customer Counts'!AN54</f>
        <v>120</v>
      </c>
      <c r="L59" s="88">
        <f>+'SQL Data kWh'!AO54</f>
        <v>6211851.5900000008</v>
      </c>
      <c r="M59" s="480">
        <f>+'Harris Data kW'!T53</f>
        <v>17571.939999999995</v>
      </c>
      <c r="N59" s="131">
        <f>+'Customer Counts'!AN54</f>
        <v>120</v>
      </c>
      <c r="O59" s="88">
        <f>+'SQL Data kWh'!AL54</f>
        <v>77514.009999999995</v>
      </c>
      <c r="P59" s="93">
        <v>198.9</v>
      </c>
      <c r="Q59" s="131">
        <f>+'Customer Counts'!AL54</f>
        <v>2098</v>
      </c>
      <c r="R59" s="94"/>
      <c r="S59" s="93"/>
      <c r="T59" s="92"/>
      <c r="U59" s="281"/>
      <c r="V59" s="140">
        <f t="shared" si="2"/>
        <v>9030</v>
      </c>
      <c r="W59" s="1">
        <v>8715.5</v>
      </c>
      <c r="X59" s="140">
        <f t="shared" si="1"/>
        <v>314.5</v>
      </c>
      <c r="Y59" s="140"/>
    </row>
    <row r="60" spans="1:25" x14ac:dyDescent="0.2">
      <c r="A60" s="31" t="s">
        <v>330</v>
      </c>
      <c r="B60" s="20" t="s">
        <v>60</v>
      </c>
      <c r="C60" s="88">
        <f>+'SQL Data kWh'!AC55</f>
        <v>5298064.8499999996</v>
      </c>
      <c r="D60" s="131">
        <f>+'Customer Counts'!AC55</f>
        <v>7610.5</v>
      </c>
      <c r="E60" s="94">
        <f>+'SQL Data kWh'!AD55</f>
        <v>3396219.23</v>
      </c>
      <c r="F60" s="131">
        <f>+'Customer Counts'!AD55</f>
        <v>1326</v>
      </c>
      <c r="G60" s="95">
        <f>+'SQL Data kWh'!AK55</f>
        <v>18378</v>
      </c>
      <c r="H60" s="131">
        <f>+'Customer Counts'!AK55</f>
        <v>17.5</v>
      </c>
      <c r="I60" s="88">
        <f>+'SQL Data kWh'!AN55</f>
        <v>6496717.6799999997</v>
      </c>
      <c r="J60" s="480">
        <f>+'Harris Data kW'!U54</f>
        <v>18035.159999999996</v>
      </c>
      <c r="K60" s="131">
        <f>+'Customer Counts'!AN55</f>
        <v>120</v>
      </c>
      <c r="L60" s="88">
        <f>+'SQL Data kWh'!AO55</f>
        <v>6372382.0999999996</v>
      </c>
      <c r="M60" s="480">
        <f>+'Harris Data kW'!T54</f>
        <v>17714.279999999995</v>
      </c>
      <c r="N60" s="131">
        <f>+'Customer Counts'!AN55</f>
        <v>120</v>
      </c>
      <c r="O60" s="88">
        <f>+'SQL Data kWh'!AL55</f>
        <v>74685.55</v>
      </c>
      <c r="P60" s="93">
        <v>225.69000000000003</v>
      </c>
      <c r="Q60" s="131">
        <f>+'Customer Counts'!AL55</f>
        <v>2112</v>
      </c>
      <c r="R60" s="94"/>
      <c r="S60" s="93"/>
      <c r="T60" s="92"/>
      <c r="U60" s="281"/>
      <c r="V60" s="140">
        <f t="shared" si="2"/>
        <v>9056.5</v>
      </c>
      <c r="W60" s="1">
        <v>8739.5</v>
      </c>
      <c r="X60" s="140">
        <f t="shared" si="1"/>
        <v>317</v>
      </c>
      <c r="Y60" s="140"/>
    </row>
    <row r="61" spans="1:25" x14ac:dyDescent="0.2">
      <c r="A61" s="31" t="s">
        <v>330</v>
      </c>
      <c r="B61" s="20" t="s">
        <v>61</v>
      </c>
      <c r="C61" s="88">
        <f>+'SQL Data kWh'!AC56</f>
        <v>4951857.42</v>
      </c>
      <c r="D61" s="131">
        <f>+'Customer Counts'!AC56</f>
        <v>7628</v>
      </c>
      <c r="E61" s="94">
        <f>+'SQL Data kWh'!AD56</f>
        <v>3226279.97</v>
      </c>
      <c r="F61" s="131">
        <f>+'Customer Counts'!AD56</f>
        <v>1326</v>
      </c>
      <c r="G61" s="95">
        <f>+'SQL Data kWh'!AK56</f>
        <v>18378</v>
      </c>
      <c r="H61" s="131">
        <f>+'Customer Counts'!AK56</f>
        <v>17</v>
      </c>
      <c r="I61" s="88">
        <f>+'SQL Data kWh'!AN56</f>
        <v>6126222.9399999995</v>
      </c>
      <c r="J61" s="480">
        <f>+'Harris Data kW'!U55</f>
        <v>14162.83</v>
      </c>
      <c r="K61" s="131">
        <f>+'Customer Counts'!AN56</f>
        <v>120</v>
      </c>
      <c r="L61" s="88">
        <f>+'SQL Data kWh'!AO56</f>
        <v>6024505.8699999992</v>
      </c>
      <c r="M61" s="480">
        <f>+'Harris Data kW'!T55</f>
        <v>13843.39</v>
      </c>
      <c r="N61" s="131">
        <f>+'Customer Counts'!AN56</f>
        <v>120</v>
      </c>
      <c r="O61" s="88">
        <f>+'SQL Data kWh'!AL56</f>
        <v>63360.98</v>
      </c>
      <c r="P61" s="93">
        <v>181.17</v>
      </c>
      <c r="Q61" s="131">
        <f>+'Customer Counts'!AL56</f>
        <v>2126</v>
      </c>
      <c r="R61" s="94"/>
      <c r="S61" s="93"/>
      <c r="T61" s="92"/>
      <c r="U61" s="281"/>
      <c r="V61" s="140">
        <f t="shared" si="2"/>
        <v>9074</v>
      </c>
      <c r="W61" s="1">
        <v>8769</v>
      </c>
      <c r="X61" s="140">
        <f t="shared" si="1"/>
        <v>305</v>
      </c>
      <c r="Y61" s="140"/>
    </row>
    <row r="62" spans="1:25" x14ac:dyDescent="0.2">
      <c r="A62" s="31" t="s">
        <v>330</v>
      </c>
      <c r="B62" s="20" t="s">
        <v>62</v>
      </c>
      <c r="C62" s="88">
        <f>+'SQL Data kWh'!AC57</f>
        <v>5322667.1900000004</v>
      </c>
      <c r="D62" s="131">
        <f>+'Customer Counts'!AC57</f>
        <v>7633</v>
      </c>
      <c r="E62" s="94">
        <f>+'SQL Data kWh'!AD57</f>
        <v>3368298.47</v>
      </c>
      <c r="F62" s="131">
        <f>+'Customer Counts'!AD57</f>
        <v>1326.5</v>
      </c>
      <c r="G62" s="95">
        <f>+'SQL Data kWh'!AK57</f>
        <v>18125</v>
      </c>
      <c r="H62" s="131">
        <f>+'Customer Counts'!AK57</f>
        <v>16.5</v>
      </c>
      <c r="I62" s="88">
        <f>+'SQL Data kWh'!AN57</f>
        <v>6523362.6199999992</v>
      </c>
      <c r="J62" s="480">
        <f>+'Harris Data kW'!U56</f>
        <v>14933.24</v>
      </c>
      <c r="K62" s="131">
        <f>+'Customer Counts'!AN57</f>
        <v>120</v>
      </c>
      <c r="L62" s="88">
        <f>+'SQL Data kWh'!AO57</f>
        <v>6429249.6199999992</v>
      </c>
      <c r="M62" s="480">
        <f>+'Harris Data kW'!T56</f>
        <v>14731.16</v>
      </c>
      <c r="N62" s="131">
        <f>+'Customer Counts'!AN57</f>
        <v>120</v>
      </c>
      <c r="O62" s="88">
        <f>+'SQL Data kWh'!AL57</f>
        <v>57690.36</v>
      </c>
      <c r="P62" s="93">
        <v>213.33999999999997</v>
      </c>
      <c r="Q62" s="131">
        <f>+'Customer Counts'!AL57</f>
        <v>2126</v>
      </c>
      <c r="R62" s="94"/>
      <c r="S62" s="93"/>
      <c r="T62" s="92"/>
      <c r="U62" s="281"/>
      <c r="V62" s="140">
        <f t="shared" si="2"/>
        <v>9079.5</v>
      </c>
      <c r="W62" s="1">
        <v>8801</v>
      </c>
      <c r="X62" s="140">
        <f t="shared" si="1"/>
        <v>278.5</v>
      </c>
      <c r="Y62" s="140"/>
    </row>
    <row r="63" spans="1:25" x14ac:dyDescent="0.2">
      <c r="A63" s="31" t="s">
        <v>330</v>
      </c>
      <c r="B63" s="20" t="s">
        <v>63</v>
      </c>
      <c r="C63" s="88">
        <f>+'SQL Data kWh'!AC58</f>
        <v>6657306.25321618</v>
      </c>
      <c r="D63" s="131">
        <f>+'Customer Counts'!AC58</f>
        <v>7651.014924692442</v>
      </c>
      <c r="E63" s="94">
        <f>+'SQL Data kWh'!AD58</f>
        <v>3799877.5644458672</v>
      </c>
      <c r="F63" s="131">
        <f>+'Customer Counts'!AD58</f>
        <v>1257.8540356730398</v>
      </c>
      <c r="G63" s="95">
        <f>+'SQL Data kWh'!AK58</f>
        <v>18125</v>
      </c>
      <c r="H63" s="131">
        <f>+'Customer Counts'!AK58</f>
        <v>17</v>
      </c>
      <c r="I63" s="88">
        <f>+'SQL Data kWh'!AN58</f>
        <v>7353365.937772179</v>
      </c>
      <c r="J63" s="480">
        <f>+'Harris Data kW'!U57</f>
        <v>18296.11</v>
      </c>
      <c r="K63" s="131">
        <f>+'Customer Counts'!AN58</f>
        <v>108.56901878941875</v>
      </c>
      <c r="L63" s="88">
        <f>+'SQL Data kWh'!AO58</f>
        <v>7112213.937772179</v>
      </c>
      <c r="M63" s="480">
        <f>+'Harris Data kW'!T57</f>
        <v>18086.11</v>
      </c>
      <c r="N63" s="131">
        <f>+'Customer Counts'!AN58</f>
        <v>108.56901878941875</v>
      </c>
      <c r="O63" s="88">
        <f>+'SQL Data kWh'!AL58</f>
        <v>51969.826042270965</v>
      </c>
      <c r="P63" s="93">
        <v>187.05999999999997</v>
      </c>
      <c r="Q63" s="131">
        <f>+'Customer Counts'!AL58</f>
        <v>2126</v>
      </c>
      <c r="R63" s="94"/>
      <c r="S63" s="93"/>
      <c r="T63" s="92"/>
      <c r="U63" s="281"/>
      <c r="V63" s="140">
        <f t="shared" si="2"/>
        <v>9017.4379791548999</v>
      </c>
      <c r="W63" s="1">
        <v>8823.5</v>
      </c>
      <c r="X63" s="140">
        <f t="shared" si="1"/>
        <v>193.93797915489995</v>
      </c>
      <c r="Y63" s="140"/>
    </row>
    <row r="64" spans="1:25" x14ac:dyDescent="0.2">
      <c r="A64" s="31" t="s">
        <v>330</v>
      </c>
      <c r="B64" s="20" t="s">
        <v>64</v>
      </c>
      <c r="C64" s="88">
        <f>+'SQL Data kWh'!AC59</f>
        <v>8399744.126783818</v>
      </c>
      <c r="D64" s="131">
        <f>+'Customer Counts'!AC59</f>
        <v>7664.985075307558</v>
      </c>
      <c r="E64" s="94">
        <f>+'SQL Data kWh'!AD59</f>
        <v>4555031.0555541329</v>
      </c>
      <c r="F64" s="131">
        <f>+'Customer Counts'!AD59</f>
        <v>1259.14596432696</v>
      </c>
      <c r="G64" s="95">
        <f>+'SQL Data kWh'!AK59</f>
        <v>18125</v>
      </c>
      <c r="H64" s="131">
        <f>+'Customer Counts'!AK59</f>
        <v>17</v>
      </c>
      <c r="I64" s="88">
        <f>+'SQL Data kWh'!AN59</f>
        <v>8020208.5622278228</v>
      </c>
      <c r="J64" s="480">
        <f>+'Harris Data kW'!U58</f>
        <v>19752.119999999995</v>
      </c>
      <c r="K64" s="131">
        <f>+'Customer Counts'!AN59</f>
        <v>107.43098121058125</v>
      </c>
      <c r="L64" s="88">
        <f>+'SQL Data kWh'!AO59</f>
        <v>8004848.5622278228</v>
      </c>
      <c r="M64" s="480">
        <f>+'Harris Data kW'!T58</f>
        <v>19499.399999999994</v>
      </c>
      <c r="N64" s="131">
        <f>+'Customer Counts'!AN59</f>
        <v>107.43098121058125</v>
      </c>
      <c r="O64" s="88">
        <f>+'SQL Data kWh'!AL59</f>
        <v>55805.553957729033</v>
      </c>
      <c r="P64" s="676">
        <v>213.33999999999997</v>
      </c>
      <c r="Q64" s="131">
        <f>+'Customer Counts'!AL59</f>
        <v>2126</v>
      </c>
      <c r="R64" s="94"/>
      <c r="S64" s="93"/>
      <c r="T64" s="92"/>
      <c r="U64" s="281"/>
      <c r="V64" s="140">
        <f t="shared" si="2"/>
        <v>9031.5620208451001</v>
      </c>
      <c r="W64" s="1">
        <v>8848</v>
      </c>
      <c r="X64" s="140">
        <f t="shared" si="1"/>
        <v>183.56202084510005</v>
      </c>
      <c r="Y64" s="140"/>
    </row>
    <row r="65" spans="1:25" x14ac:dyDescent="0.2">
      <c r="A65" s="31" t="s">
        <v>330</v>
      </c>
      <c r="B65" s="20" t="s">
        <v>65</v>
      </c>
      <c r="C65" s="88">
        <f>+'SQL Data kWh'!AC60</f>
        <v>9164895.7100000009</v>
      </c>
      <c r="D65" s="131">
        <f>+'Customer Counts'!AC60</f>
        <v>7674</v>
      </c>
      <c r="E65" s="94">
        <f>+'SQL Data kWh'!AD60</f>
        <v>4829306.8499999996</v>
      </c>
      <c r="F65" s="131">
        <f>+'Customer Counts'!AD60</f>
        <v>1263.5</v>
      </c>
      <c r="G65" s="95">
        <f>+'SQL Data kWh'!AK60</f>
        <v>18125</v>
      </c>
      <c r="H65" s="131">
        <f>+'Customer Counts'!AK60</f>
        <v>8</v>
      </c>
      <c r="I65" s="88">
        <f>+'SQL Data kWh'!AN60</f>
        <v>8698046.0799999982</v>
      </c>
      <c r="J65" s="480">
        <f>+'Harris Data kW'!U59</f>
        <v>21626.39000000001</v>
      </c>
      <c r="K65" s="131">
        <f>+'Customer Counts'!AN60</f>
        <v>108</v>
      </c>
      <c r="L65" s="88">
        <f>+'SQL Data kWh'!AO60</f>
        <v>8539598.0799999982</v>
      </c>
      <c r="M65" s="480">
        <f>+'Harris Data kW'!T59</f>
        <v>21329.170000000009</v>
      </c>
      <c r="N65" s="131">
        <f>+'Customer Counts'!AN60</f>
        <v>108</v>
      </c>
      <c r="O65" s="88">
        <f>+'SQL Data kWh'!AL60</f>
        <v>62677.17</v>
      </c>
      <c r="P65" s="676">
        <v>193.50999999999996</v>
      </c>
      <c r="Q65" s="131">
        <f>+'Customer Counts'!AL60</f>
        <v>2126</v>
      </c>
      <c r="R65" s="94"/>
      <c r="S65" s="93"/>
      <c r="T65" s="92"/>
      <c r="U65" s="281"/>
      <c r="V65" s="140">
        <f t="shared" si="2"/>
        <v>9045.5</v>
      </c>
      <c r="W65" s="1">
        <v>8876.5</v>
      </c>
      <c r="X65" s="140">
        <f t="shared" si="1"/>
        <v>169</v>
      </c>
      <c r="Y65" s="140"/>
    </row>
    <row r="66" spans="1:25" x14ac:dyDescent="0.2">
      <c r="A66" s="31" t="s">
        <v>330</v>
      </c>
      <c r="B66" s="20" t="s">
        <v>55</v>
      </c>
      <c r="C66" s="88">
        <f>+'SQL Data kWh'!AC61</f>
        <v>6361569.4000000004</v>
      </c>
      <c r="D66" s="131">
        <f>+'Customer Counts'!AC61</f>
        <v>7688.5</v>
      </c>
      <c r="E66" s="94">
        <f>+'SQL Data kWh'!AD61</f>
        <v>3756228.82</v>
      </c>
      <c r="F66" s="131">
        <f>+'Customer Counts'!AD61</f>
        <v>1335</v>
      </c>
      <c r="G66" s="95">
        <f>+'SQL Data kWh'!AK61</f>
        <v>18125</v>
      </c>
      <c r="H66" s="131">
        <f>+'Customer Counts'!AK61</f>
        <v>16</v>
      </c>
      <c r="I66" s="88">
        <f>+'SQL Data kWh'!AN61</f>
        <v>7385630.5399999991</v>
      </c>
      <c r="J66" s="480">
        <f>+'Harris Data kW'!U60</f>
        <v>20176.760000000006</v>
      </c>
      <c r="K66" s="131">
        <f>+'Customer Counts'!AN61</f>
        <v>119.5</v>
      </c>
      <c r="L66" s="88">
        <f>+'SQL Data kWh'!AO61</f>
        <v>7240207.5699999994</v>
      </c>
      <c r="M66" s="480">
        <f>+'Harris Data kW'!T60</f>
        <v>19888.620000000006</v>
      </c>
      <c r="N66" s="131">
        <f>+'Customer Counts'!AN61</f>
        <v>119.5</v>
      </c>
      <c r="O66" s="88">
        <f>+'SQL Data kWh'!AL61</f>
        <v>69148.350000000006</v>
      </c>
      <c r="P66" s="676">
        <v>193.75</v>
      </c>
      <c r="Q66" s="131">
        <f>+'Customer Counts'!AL61</f>
        <v>2126</v>
      </c>
      <c r="R66" s="94"/>
      <c r="S66" s="93"/>
      <c r="T66" s="92"/>
      <c r="U66" s="281"/>
      <c r="V66" s="140">
        <f t="shared" si="2"/>
        <v>9143</v>
      </c>
      <c r="W66" s="1">
        <v>8906.5</v>
      </c>
      <c r="X66" s="140">
        <f t="shared" si="1"/>
        <v>236.5</v>
      </c>
      <c r="Y66" s="140"/>
    </row>
    <row r="67" spans="1:25" x14ac:dyDescent="0.2">
      <c r="A67" s="31" t="s">
        <v>330</v>
      </c>
      <c r="B67" s="20" t="s">
        <v>56</v>
      </c>
      <c r="C67" s="88">
        <f>+'SQL Data kWh'!AC62</f>
        <v>5037008.43</v>
      </c>
      <c r="D67" s="131">
        <f>+'Customer Counts'!AC62</f>
        <v>7704.5</v>
      </c>
      <c r="E67" s="94">
        <f>+'SQL Data kWh'!AD62</f>
        <v>3171988.62</v>
      </c>
      <c r="F67" s="131">
        <f>+'Customer Counts'!AD62</f>
        <v>1336.5</v>
      </c>
      <c r="G67" s="95">
        <f>+'SQL Data kWh'!AK62</f>
        <v>18125</v>
      </c>
      <c r="H67" s="131">
        <f>+'Customer Counts'!AK62</f>
        <v>16</v>
      </c>
      <c r="I67" s="88">
        <f>+'SQL Data kWh'!AN62</f>
        <v>6624741.3599999994</v>
      </c>
      <c r="J67" s="480">
        <f>+'Harris Data kW'!U61</f>
        <v>22812.27</v>
      </c>
      <c r="K67" s="131">
        <f>+'Customer Counts'!AN62</f>
        <v>120</v>
      </c>
      <c r="L67" s="88">
        <f>+'SQL Data kWh'!AO62</f>
        <v>6476244.3299999991</v>
      </c>
      <c r="M67" s="480">
        <f>+'Harris Data kW'!T61</f>
        <v>22507.71</v>
      </c>
      <c r="N67" s="131">
        <f>+'Customer Counts'!AN62</f>
        <v>120</v>
      </c>
      <c r="O67" s="88">
        <f>+'SQL Data kWh'!AL62</f>
        <v>80589.69</v>
      </c>
      <c r="P67" s="676">
        <v>213.33999999999997</v>
      </c>
      <c r="Q67" s="131">
        <f>+'Customer Counts'!AL62</f>
        <v>2126</v>
      </c>
      <c r="R67" s="94"/>
      <c r="S67" s="93"/>
      <c r="T67" s="92"/>
      <c r="U67" s="281"/>
      <c r="V67" s="140">
        <f t="shared" si="2"/>
        <v>9161</v>
      </c>
      <c r="W67" s="1">
        <v>8940</v>
      </c>
      <c r="X67" s="140">
        <f t="shared" si="1"/>
        <v>221</v>
      </c>
      <c r="Y67" s="140"/>
    </row>
    <row r="68" spans="1:25" x14ac:dyDescent="0.2">
      <c r="A68" s="31" t="s">
        <v>330</v>
      </c>
      <c r="B68" s="20" t="s">
        <v>57</v>
      </c>
      <c r="C68" s="88">
        <f>+'SQL Data kWh'!AC63</f>
        <v>4912952.9400000004</v>
      </c>
      <c r="D68" s="131">
        <f>+'Customer Counts'!AC63</f>
        <v>7724.5</v>
      </c>
      <c r="E68" s="94">
        <f>+'SQL Data kWh'!AD63</f>
        <v>2994380.61</v>
      </c>
      <c r="F68" s="131">
        <f>+'Customer Counts'!AD63</f>
        <v>1334</v>
      </c>
      <c r="G68" s="95">
        <f>+'SQL Data kWh'!AK63</f>
        <v>18837.97</v>
      </c>
      <c r="H68" s="131">
        <f>+'Customer Counts'!AK63</f>
        <v>17.5</v>
      </c>
      <c r="I68" s="88">
        <f>+'SQL Data kWh'!AN63</f>
        <v>6345448.4299999997</v>
      </c>
      <c r="J68" s="480">
        <f>+'Harris Data kW'!U62</f>
        <v>14227.620000000003</v>
      </c>
      <c r="K68" s="131">
        <f>+'Customer Counts'!AN63</f>
        <v>125</v>
      </c>
      <c r="L68" s="88">
        <f>+'SQL Data kWh'!AO63</f>
        <v>6236928.1499999994</v>
      </c>
      <c r="M68" s="480">
        <f>+'Harris Data kW'!T62</f>
        <v>13952.650000000003</v>
      </c>
      <c r="N68" s="131">
        <f>+'Customer Counts'!AN63</f>
        <v>125</v>
      </c>
      <c r="O68" s="88">
        <f>+'SQL Data kWh'!AL63</f>
        <v>85810.01</v>
      </c>
      <c r="P68" s="676">
        <v>187.05999999999997</v>
      </c>
      <c r="Q68" s="131">
        <f>+'Customer Counts'!AL63</f>
        <v>2126</v>
      </c>
      <c r="R68" s="94"/>
      <c r="S68" s="93"/>
      <c r="T68" s="92"/>
      <c r="U68" s="281"/>
      <c r="V68" s="140">
        <f t="shared" si="2"/>
        <v>9183.5</v>
      </c>
      <c r="W68" s="1">
        <v>8965.5</v>
      </c>
      <c r="X68" s="140">
        <f t="shared" si="1"/>
        <v>218</v>
      </c>
      <c r="Y68" s="140"/>
    </row>
    <row r="69" spans="1:25" x14ac:dyDescent="0.2">
      <c r="A69" s="31" t="s">
        <v>330</v>
      </c>
      <c r="B69" s="20" t="s">
        <v>54</v>
      </c>
      <c r="C69" s="88">
        <f>+'SQL Data kWh'!AC64</f>
        <v>6328935.7199999997</v>
      </c>
      <c r="D69" s="131">
        <f>+'Customer Counts'!AC64</f>
        <v>7751</v>
      </c>
      <c r="E69" s="94">
        <f>+'SQL Data kWh'!AD64</f>
        <v>3439641.76</v>
      </c>
      <c r="F69" s="131">
        <f>+'Customer Counts'!AD64</f>
        <v>1331.5</v>
      </c>
      <c r="G69" s="95">
        <f>+'SQL Data kWh'!AK64</f>
        <v>21531.97</v>
      </c>
      <c r="H69" s="131">
        <f>+'Customer Counts'!AK64</f>
        <v>22</v>
      </c>
      <c r="I69" s="88">
        <f>+'SQL Data kWh'!AN64</f>
        <v>7011500.6799999997</v>
      </c>
      <c r="J69" s="480">
        <f>+'Harris Data kW'!U63</f>
        <v>16134.020000000002</v>
      </c>
      <c r="K69" s="131">
        <f>+'Customer Counts'!AN64</f>
        <v>128.5</v>
      </c>
      <c r="L69" s="88">
        <f>+'SQL Data kWh'!AO64</f>
        <v>6844665.3199999994</v>
      </c>
      <c r="M69" s="480">
        <f>+'Harris Data kW'!T63</f>
        <v>15701.300000000003</v>
      </c>
      <c r="N69" s="131">
        <f>+'Customer Counts'!AN64</f>
        <v>128.5</v>
      </c>
      <c r="O69" s="88">
        <f>+'SQL Data kWh'!AL64</f>
        <v>92781.53</v>
      </c>
      <c r="P69" s="676">
        <v>213.33999999999997</v>
      </c>
      <c r="Q69" s="131">
        <f>+'Customer Counts'!AL64</f>
        <v>2126</v>
      </c>
      <c r="R69" s="94"/>
      <c r="S69" s="93"/>
      <c r="T69" s="92"/>
      <c r="U69" s="281"/>
      <c r="V69" s="140">
        <f t="shared" si="2"/>
        <v>9211</v>
      </c>
      <c r="W69" s="1">
        <v>8992</v>
      </c>
      <c r="X69" s="140">
        <f t="shared" si="1"/>
        <v>219</v>
      </c>
      <c r="Y69" s="140"/>
    </row>
    <row r="70" spans="1:25" x14ac:dyDescent="0.2">
      <c r="A70" s="31" t="s">
        <v>331</v>
      </c>
      <c r="B70" s="20" t="s">
        <v>58</v>
      </c>
      <c r="C70" s="88">
        <f>+'SQL Data kWh'!AC65</f>
        <v>6097026.7400000002</v>
      </c>
      <c r="D70" s="131">
        <f>+'Customer Counts'!AC65</f>
        <v>7777</v>
      </c>
      <c r="E70" s="94">
        <f>+'SQL Data kWh'!AD65</f>
        <v>3629063.29</v>
      </c>
      <c r="F70" s="131">
        <f>+'Customer Counts'!AD65</f>
        <v>1333</v>
      </c>
      <c r="G70" s="95">
        <f>+'SQL Data kWh'!AK65</f>
        <v>21821.35</v>
      </c>
      <c r="H70" s="131">
        <f>+'Customer Counts'!AK65</f>
        <v>25.5</v>
      </c>
      <c r="I70" s="88">
        <f>+'SQL Data kWh'!AN65</f>
        <v>7102729.0099999998</v>
      </c>
      <c r="J70" s="480">
        <f>+'Harris Data kW'!U64</f>
        <v>12298.97</v>
      </c>
      <c r="K70" s="131">
        <f>+'Customer Counts'!AN65</f>
        <v>128</v>
      </c>
      <c r="L70" s="88">
        <f>+'SQL Data kWh'!AO65</f>
        <v>6839119.3199999994</v>
      </c>
      <c r="M70" s="480">
        <f>+'Harris Data kW'!T64</f>
        <v>11819.449999999999</v>
      </c>
      <c r="N70" s="131">
        <f>+'Customer Counts'!AN65</f>
        <v>128</v>
      </c>
      <c r="O70" s="88">
        <f>+'SQL Data kWh'!AL65</f>
        <v>90446.57</v>
      </c>
      <c r="P70" s="676">
        <v>193.50999999999996</v>
      </c>
      <c r="Q70" s="131">
        <f>+'Customer Counts'!AL65</f>
        <v>2126</v>
      </c>
      <c r="R70" s="94"/>
      <c r="S70" s="93"/>
      <c r="T70" s="92"/>
      <c r="U70" s="281"/>
      <c r="V70" s="140">
        <f t="shared" si="2"/>
        <v>9238</v>
      </c>
      <c r="W70" s="1">
        <v>9020</v>
      </c>
      <c r="X70" s="140">
        <f t="shared" si="1"/>
        <v>218</v>
      </c>
      <c r="Y70" s="140"/>
    </row>
    <row r="71" spans="1:25" x14ac:dyDescent="0.2">
      <c r="A71" s="31" t="s">
        <v>331</v>
      </c>
      <c r="B71" s="20" t="s">
        <v>59</v>
      </c>
      <c r="C71" s="88">
        <f>+'SQL Data kWh'!AC66</f>
        <v>5129391.2</v>
      </c>
      <c r="D71" s="131">
        <f>+'Customer Counts'!AC66</f>
        <v>7790.5</v>
      </c>
      <c r="E71" s="94">
        <f>+'SQL Data kWh'!AD66</f>
        <v>3057243.67</v>
      </c>
      <c r="F71" s="131">
        <f>+'Customer Counts'!AD66</f>
        <v>1331.5</v>
      </c>
      <c r="G71" s="95">
        <f>+'SQL Data kWh'!AK66</f>
        <v>19186.560000000001</v>
      </c>
      <c r="H71" s="131">
        <f>+'Customer Counts'!AK66</f>
        <v>25</v>
      </c>
      <c r="I71" s="88">
        <f>+'SQL Data kWh'!AN66</f>
        <v>6305250.5499999998</v>
      </c>
      <c r="J71" s="480">
        <f>+'Harris Data kW'!U65</f>
        <v>13314.949999999999</v>
      </c>
      <c r="K71" s="131">
        <f>+'Customer Counts'!AN66</f>
        <v>128</v>
      </c>
      <c r="L71" s="88">
        <f>+'SQL Data kWh'!AO66</f>
        <v>6060560.6499999994</v>
      </c>
      <c r="M71" s="480">
        <f>+'Harris Data kW'!T65</f>
        <v>12808.07</v>
      </c>
      <c r="N71" s="131">
        <f>+'Customer Counts'!AN66</f>
        <v>128</v>
      </c>
      <c r="O71" s="88">
        <f>+'SQL Data kWh'!AL66</f>
        <v>75419.420000000013</v>
      </c>
      <c r="P71" s="676">
        <v>180.83000000000004</v>
      </c>
      <c r="Q71" s="131">
        <f>+'Customer Counts'!AL66</f>
        <v>2126</v>
      </c>
      <c r="R71" s="94"/>
      <c r="S71" s="93"/>
      <c r="T71" s="92"/>
      <c r="U71" s="281"/>
      <c r="V71" s="140">
        <f t="shared" si="2"/>
        <v>9250</v>
      </c>
      <c r="W71" s="1">
        <v>9043.5</v>
      </c>
      <c r="X71" s="140">
        <f t="shared" si="1"/>
        <v>206.5</v>
      </c>
      <c r="Y71" s="140"/>
    </row>
    <row r="72" spans="1:25" x14ac:dyDescent="0.2">
      <c r="A72" s="31" t="s">
        <v>331</v>
      </c>
      <c r="B72" s="20" t="s">
        <v>60</v>
      </c>
      <c r="C72" s="88">
        <f>+'SQL Data kWh'!AC67</f>
        <v>5566750.0199999996</v>
      </c>
      <c r="D72" s="131">
        <f>+'Customer Counts'!AC67</f>
        <v>7800.5</v>
      </c>
      <c r="E72" s="94">
        <f>+'SQL Data kWh'!AD67</f>
        <v>3382916.8</v>
      </c>
      <c r="F72" s="131">
        <f>+'Customer Counts'!AD67</f>
        <v>1329.5</v>
      </c>
      <c r="G72" s="95">
        <f>+'SQL Data kWh'!AK67</f>
        <v>19395.75</v>
      </c>
      <c r="H72" s="131">
        <f>+'Customer Counts'!AK67</f>
        <v>23.5</v>
      </c>
      <c r="I72" s="88">
        <f>+'SQL Data kWh'!AN67</f>
        <v>6966551.1899999995</v>
      </c>
      <c r="J72" s="480">
        <f>+'Harris Data kW'!U66</f>
        <v>19261.329999999998</v>
      </c>
      <c r="K72" s="131">
        <f>+'Customer Counts'!AN67</f>
        <v>128.5</v>
      </c>
      <c r="L72" s="88">
        <f>+'SQL Data kWh'!AO67</f>
        <v>6711488.709999999</v>
      </c>
      <c r="M72" s="480">
        <f>+'Harris Data kW'!T66</f>
        <v>18757.57</v>
      </c>
      <c r="N72" s="131">
        <f>+'Customer Counts'!AN67</f>
        <v>128.5</v>
      </c>
      <c r="O72" s="88">
        <f>+'SQL Data kWh'!AL67</f>
        <v>74685.55</v>
      </c>
      <c r="P72" s="676">
        <v>241.00999999999996</v>
      </c>
      <c r="Q72" s="131">
        <f>+'Customer Counts'!AL67</f>
        <v>2126</v>
      </c>
      <c r="R72" s="94"/>
      <c r="S72" s="93"/>
      <c r="T72" s="92"/>
      <c r="U72" s="281"/>
      <c r="V72" s="140">
        <f t="shared" si="2"/>
        <v>9258.5</v>
      </c>
      <c r="W72" s="1">
        <v>9066.5</v>
      </c>
      <c r="X72" s="140">
        <f t="shared" si="1"/>
        <v>192</v>
      </c>
      <c r="Y72" s="140"/>
    </row>
    <row r="73" spans="1:25" x14ac:dyDescent="0.2">
      <c r="A73" s="31" t="s">
        <v>331</v>
      </c>
      <c r="B73" s="20" t="s">
        <v>61</v>
      </c>
      <c r="C73" s="88">
        <f>+'SQL Data kWh'!AC68</f>
        <v>4840449.58</v>
      </c>
      <c r="D73" s="131">
        <f>+'Customer Counts'!AC68</f>
        <v>7812.5</v>
      </c>
      <c r="E73" s="94">
        <f>+'SQL Data kWh'!AD68</f>
        <v>2980919.48</v>
      </c>
      <c r="F73" s="131">
        <f>+'Customer Counts'!AD68</f>
        <v>1330</v>
      </c>
      <c r="G73" s="95">
        <f>+'SQL Data kWh'!AK68</f>
        <v>18887.28</v>
      </c>
      <c r="H73" s="131">
        <f>+'Customer Counts'!AK68</f>
        <v>22.5</v>
      </c>
      <c r="I73" s="88">
        <f>+'SQL Data kWh'!AN68</f>
        <v>6270899.0500000007</v>
      </c>
      <c r="J73" s="480">
        <f>+'Harris Data kW'!U67</f>
        <v>14626.080000000002</v>
      </c>
      <c r="K73" s="131">
        <f>+'Customer Counts'!AN68</f>
        <v>129</v>
      </c>
      <c r="L73" s="88">
        <f>+'SQL Data kWh'!AO68</f>
        <v>6057373.8500000006</v>
      </c>
      <c r="M73" s="480">
        <f>+'Harris Data kW'!T67</f>
        <v>14064.720000000001</v>
      </c>
      <c r="N73" s="131">
        <f>+'Customer Counts'!AN68</f>
        <v>129</v>
      </c>
      <c r="O73" s="88">
        <f>+'SQL Data kWh'!AL68</f>
        <v>63360.979999999996</v>
      </c>
      <c r="P73" s="676">
        <v>172.31</v>
      </c>
      <c r="Q73" s="131">
        <f>+'Customer Counts'!AL68</f>
        <v>2126</v>
      </c>
      <c r="R73" s="94"/>
      <c r="S73" s="93"/>
      <c r="T73" s="92"/>
      <c r="U73" s="281"/>
      <c r="V73" s="140">
        <f t="shared" si="2"/>
        <v>9271.5</v>
      </c>
      <c r="W73" s="1">
        <v>9081.5</v>
      </c>
      <c r="X73" s="140">
        <f t="shared" si="1"/>
        <v>190</v>
      </c>
      <c r="Y73" s="140"/>
    </row>
    <row r="74" spans="1:25" x14ac:dyDescent="0.2">
      <c r="A74" s="31" t="s">
        <v>331</v>
      </c>
      <c r="B74" s="20" t="s">
        <v>62</v>
      </c>
      <c r="C74" s="88">
        <f>+'SQL Data kWh'!AC69</f>
        <v>5114383.5999999996</v>
      </c>
      <c r="D74" s="131">
        <f>+'Customer Counts'!AC69</f>
        <v>7824.5</v>
      </c>
      <c r="E74" s="94">
        <f>+'SQL Data kWh'!AD69</f>
        <v>3094630.61</v>
      </c>
      <c r="F74" s="131">
        <f>+'Customer Counts'!AD69</f>
        <v>1327.5</v>
      </c>
      <c r="G74" s="95">
        <f>+'SQL Data kWh'!AK69</f>
        <v>18922.75</v>
      </c>
      <c r="H74" s="131">
        <f>+'Customer Counts'!AK69</f>
        <v>22</v>
      </c>
      <c r="I74" s="88">
        <f>+'SQL Data kWh'!AN69</f>
        <v>6529991.8900000006</v>
      </c>
      <c r="J74" s="480">
        <f>+'Harris Data kW'!U68</f>
        <v>18846.459999999995</v>
      </c>
      <c r="K74" s="131">
        <f>+'Customer Counts'!AN69</f>
        <v>129</v>
      </c>
      <c r="L74" s="88">
        <f>+'SQL Data kWh'!AO69</f>
        <v>6347258.8000000007</v>
      </c>
      <c r="M74" s="480">
        <f>+'Harris Data kW'!T68</f>
        <v>18325.659999999996</v>
      </c>
      <c r="N74" s="131">
        <f>+'Customer Counts'!AN69</f>
        <v>129</v>
      </c>
      <c r="O74" s="88">
        <f>+'SQL Data kWh'!AL69</f>
        <v>57690.36</v>
      </c>
      <c r="P74" s="676">
        <v>213.33999999999997</v>
      </c>
      <c r="Q74" s="131">
        <f>+'Customer Counts'!AL69</f>
        <v>2126</v>
      </c>
      <c r="R74" s="94"/>
      <c r="S74" s="93"/>
      <c r="T74" s="92"/>
      <c r="U74" s="281"/>
      <c r="V74" s="140">
        <f t="shared" ref="V74:V137" si="3">+D74+F74+K74</f>
        <v>9281</v>
      </c>
      <c r="W74" s="1">
        <v>9085.5</v>
      </c>
      <c r="X74" s="140">
        <f t="shared" si="1"/>
        <v>195.5</v>
      </c>
      <c r="Y74" s="140"/>
    </row>
    <row r="75" spans="1:25" x14ac:dyDescent="0.2">
      <c r="A75" s="31" t="s">
        <v>331</v>
      </c>
      <c r="B75" s="20" t="s">
        <v>63</v>
      </c>
      <c r="C75" s="88">
        <f>+'SQL Data kWh'!AC70</f>
        <v>6229800.46</v>
      </c>
      <c r="D75" s="131">
        <f>+'Customer Counts'!AC70</f>
        <v>7832</v>
      </c>
      <c r="E75" s="94">
        <f>+'SQL Data kWh'!AD70</f>
        <v>3399617.9400000004</v>
      </c>
      <c r="F75" s="131">
        <f>+'Customer Counts'!AD70</f>
        <v>1326</v>
      </c>
      <c r="G75" s="95">
        <f>+'SQL Data kWh'!AK70</f>
        <v>18887.28</v>
      </c>
      <c r="H75" s="131">
        <f>+'Customer Counts'!AK70</f>
        <v>22</v>
      </c>
      <c r="I75" s="88">
        <f>+'SQL Data kWh'!AN70</f>
        <v>6916518.8100000005</v>
      </c>
      <c r="J75" s="480">
        <f>+'Harris Data kW'!U69</f>
        <v>16980.400000000005</v>
      </c>
      <c r="K75" s="131">
        <f>+'Customer Counts'!AN70</f>
        <v>128.5</v>
      </c>
      <c r="L75" s="88">
        <f>+'SQL Data kWh'!AO70</f>
        <v>6743942.8100000005</v>
      </c>
      <c r="M75" s="480">
        <f>+'Harris Data kW'!T69</f>
        <v>16470.160000000003</v>
      </c>
      <c r="N75" s="131">
        <f>+'Customer Counts'!AN70</f>
        <v>128.5</v>
      </c>
      <c r="O75" s="88">
        <f>+'SQL Data kWh'!AL70</f>
        <v>51969.69</v>
      </c>
      <c r="P75" s="676">
        <v>187.05999999999997</v>
      </c>
      <c r="Q75" s="131">
        <f>+'Customer Counts'!AL70</f>
        <v>2126</v>
      </c>
      <c r="R75" s="94"/>
      <c r="S75" s="93"/>
      <c r="T75" s="92"/>
      <c r="U75" s="281"/>
      <c r="V75" s="140">
        <f t="shared" si="3"/>
        <v>9286.5</v>
      </c>
      <c r="W75" s="1">
        <v>9094.5</v>
      </c>
      <c r="X75" s="140">
        <f t="shared" ref="X75:X93" si="4">+V75-W75</f>
        <v>192</v>
      </c>
      <c r="Y75" s="140"/>
    </row>
    <row r="76" spans="1:25" x14ac:dyDescent="0.2">
      <c r="A76" s="31" t="s">
        <v>331</v>
      </c>
      <c r="B76" s="20" t="s">
        <v>64</v>
      </c>
      <c r="C76" s="88">
        <f>+'SQL Data kWh'!AC71</f>
        <v>7664295.3399999999</v>
      </c>
      <c r="D76" s="131">
        <f>+'Customer Counts'!AC71</f>
        <v>7836.5</v>
      </c>
      <c r="E76" s="94">
        <f>+'SQL Data kWh'!AD71</f>
        <v>3974218.5</v>
      </c>
      <c r="F76" s="131">
        <f>+'Customer Counts'!AD71</f>
        <v>1328</v>
      </c>
      <c r="G76" s="95">
        <f>+'SQL Data kWh'!AK71</f>
        <v>18922.75</v>
      </c>
      <c r="H76" s="131">
        <f>+'Customer Counts'!AK71</f>
        <v>22</v>
      </c>
      <c r="I76" s="88">
        <f>+'SQL Data kWh'!AN71</f>
        <v>7810186.169999999</v>
      </c>
      <c r="J76" s="480">
        <f>+'Harris Data kW'!U70</f>
        <v>20082.789999999997</v>
      </c>
      <c r="K76" s="131">
        <f>+'Customer Counts'!AN71</f>
        <v>129</v>
      </c>
      <c r="L76" s="88">
        <f>+'SQL Data kWh'!AO71</f>
        <v>7584171.6199999992</v>
      </c>
      <c r="M76" s="480">
        <f>+'Harris Data kW'!T70</f>
        <v>19578.309999999998</v>
      </c>
      <c r="N76" s="131">
        <f>+'Customer Counts'!AN71</f>
        <v>129</v>
      </c>
      <c r="O76" s="88">
        <f>+'SQL Data kWh'!AL71</f>
        <v>55805.69</v>
      </c>
      <c r="P76" s="676">
        <v>213.33999999999997</v>
      </c>
      <c r="Q76" s="131">
        <f>+'Customer Counts'!AL71</f>
        <v>2126</v>
      </c>
      <c r="R76" s="94"/>
      <c r="S76" s="93"/>
      <c r="T76" s="92"/>
      <c r="U76" s="281"/>
      <c r="V76" s="140">
        <f t="shared" si="3"/>
        <v>9293.5</v>
      </c>
      <c r="W76" s="1">
        <v>9112.5</v>
      </c>
      <c r="X76" s="140">
        <f t="shared" si="4"/>
        <v>181</v>
      </c>
      <c r="Y76" s="140"/>
    </row>
    <row r="77" spans="1:25" x14ac:dyDescent="0.2">
      <c r="A77" s="31" t="s">
        <v>331</v>
      </c>
      <c r="B77" s="20" t="s">
        <v>65</v>
      </c>
      <c r="C77" s="88">
        <f>+'SQL Data kWh'!AC72</f>
        <v>7144344.3499999996</v>
      </c>
      <c r="D77" s="131">
        <f>+'Customer Counts'!AC72</f>
        <v>7847</v>
      </c>
      <c r="E77" s="94">
        <f>+'SQL Data kWh'!AD72</f>
        <v>4055912.51</v>
      </c>
      <c r="F77" s="131">
        <f>+'Customer Counts'!AD72</f>
        <v>1329.5</v>
      </c>
      <c r="G77" s="95">
        <f>+'SQL Data kWh'!AK72</f>
        <v>19859.91</v>
      </c>
      <c r="H77" s="131">
        <f>+'Customer Counts'!AK72</f>
        <v>23.5</v>
      </c>
      <c r="I77" s="88">
        <f>+'SQL Data kWh'!AN72</f>
        <v>8070716.1500000004</v>
      </c>
      <c r="J77" s="480">
        <f>+'Harris Data kW'!U71</f>
        <v>20198.439999999999</v>
      </c>
      <c r="K77" s="131">
        <f>+'Customer Counts'!AN72</f>
        <v>128.5</v>
      </c>
      <c r="L77" s="88">
        <f>+'SQL Data kWh'!AO72</f>
        <v>7876126.5600000005</v>
      </c>
      <c r="M77" s="480">
        <f>+'Harris Data kW'!T71</f>
        <v>19668.039999999997</v>
      </c>
      <c r="N77" s="131">
        <f>+'Customer Counts'!AN72</f>
        <v>128.5</v>
      </c>
      <c r="O77" s="88">
        <f>+'SQL Data kWh'!AL72</f>
        <v>62677.170000000006</v>
      </c>
      <c r="P77" s="676">
        <v>193.50999999999996</v>
      </c>
      <c r="Q77" s="131">
        <f>+'Customer Counts'!AL72</f>
        <v>2126</v>
      </c>
      <c r="R77" s="94"/>
      <c r="S77" s="93"/>
      <c r="T77" s="92"/>
      <c r="U77" s="281"/>
      <c r="V77" s="140">
        <f t="shared" si="3"/>
        <v>9305</v>
      </c>
      <c r="W77" s="1">
        <v>9132.5</v>
      </c>
      <c r="X77" s="140">
        <f t="shared" si="4"/>
        <v>172.5</v>
      </c>
      <c r="Y77" s="140"/>
    </row>
    <row r="78" spans="1:25" x14ac:dyDescent="0.2">
      <c r="A78" s="31" t="s">
        <v>331</v>
      </c>
      <c r="B78" s="20" t="s">
        <v>55</v>
      </c>
      <c r="C78" s="88">
        <f>+'SQL Data kWh'!AC73</f>
        <v>6121039.2400000002</v>
      </c>
      <c r="D78" s="131">
        <f>+'Customer Counts'!AC73</f>
        <v>7857.5</v>
      </c>
      <c r="E78" s="94">
        <f>+'SQL Data kWh'!AD73</f>
        <v>3445298.68</v>
      </c>
      <c r="F78" s="131">
        <f>+'Customer Counts'!AD73</f>
        <v>1330.5</v>
      </c>
      <c r="G78" s="95">
        <f>+'SQL Data kWh'!AK73</f>
        <v>22411.61</v>
      </c>
      <c r="H78" s="131">
        <f>+'Customer Counts'!AK73</f>
        <v>25.5</v>
      </c>
      <c r="I78" s="88">
        <f>+'SQL Data kWh'!AN73</f>
        <v>7407428.3600000003</v>
      </c>
      <c r="J78" s="480">
        <f>+'Harris Data kW'!U72</f>
        <v>19306.769999999997</v>
      </c>
      <c r="K78" s="131">
        <f>+'Customer Counts'!AN73</f>
        <v>128</v>
      </c>
      <c r="L78" s="88">
        <f>+'SQL Data kWh'!AO73</f>
        <v>7223502.5</v>
      </c>
      <c r="M78" s="480">
        <f>+'Harris Data kW'!T72</f>
        <v>18764.609999999997</v>
      </c>
      <c r="N78" s="131">
        <f>+'Customer Counts'!AN73</f>
        <v>128</v>
      </c>
      <c r="O78" s="88">
        <f>+'SQL Data kWh'!AL73</f>
        <v>69148.349999999991</v>
      </c>
      <c r="P78" s="676">
        <v>193.75</v>
      </c>
      <c r="Q78" s="131">
        <f>+'Customer Counts'!AL73</f>
        <v>2126</v>
      </c>
      <c r="R78" s="94"/>
      <c r="S78" s="93"/>
      <c r="T78" s="92"/>
      <c r="U78" s="281"/>
      <c r="V78" s="140">
        <f t="shared" si="3"/>
        <v>9316</v>
      </c>
      <c r="W78" s="1">
        <v>9150.5</v>
      </c>
      <c r="X78" s="140">
        <f t="shared" si="4"/>
        <v>165.5</v>
      </c>
      <c r="Y78" s="140"/>
    </row>
    <row r="79" spans="1:25" x14ac:dyDescent="0.2">
      <c r="A79" s="31" t="s">
        <v>331</v>
      </c>
      <c r="B79" s="20" t="s">
        <v>56</v>
      </c>
      <c r="C79" s="88">
        <f>+'SQL Data kWh'!AC74</f>
        <v>5131805.42</v>
      </c>
      <c r="D79" s="131">
        <f>+'Customer Counts'!AC74</f>
        <v>7860</v>
      </c>
      <c r="E79" s="94">
        <f>+'SQL Data kWh'!AD74</f>
        <v>3087679.28</v>
      </c>
      <c r="F79" s="131">
        <f>+'Customer Counts'!AD74</f>
        <v>1330.5</v>
      </c>
      <c r="G79" s="95">
        <f>+'SQL Data kWh'!AK74</f>
        <v>22879.8</v>
      </c>
      <c r="H79" s="131">
        <f>+'Customer Counts'!AK74</f>
        <v>26</v>
      </c>
      <c r="I79" s="88">
        <f>+'SQL Data kWh'!AN74</f>
        <v>6889805.7800000003</v>
      </c>
      <c r="J79" s="480">
        <f>+'Harris Data kW'!U73</f>
        <v>23209.339999999997</v>
      </c>
      <c r="K79" s="131">
        <f>+'Customer Counts'!AN74</f>
        <v>128</v>
      </c>
      <c r="L79" s="88">
        <f>+'SQL Data kWh'!AO74</f>
        <v>6710367.7800000003</v>
      </c>
      <c r="M79" s="480">
        <f>+'Harris Data kW'!T73</f>
        <v>22719.979999999996</v>
      </c>
      <c r="N79" s="131">
        <f>+'Customer Counts'!AN74</f>
        <v>128</v>
      </c>
      <c r="O79" s="88">
        <f>+'SQL Data kWh'!AL74</f>
        <v>80163.640000000014</v>
      </c>
      <c r="P79" s="676">
        <v>213.33999999999997</v>
      </c>
      <c r="Q79" s="131">
        <f>+'Customer Counts'!AL74</f>
        <v>2121</v>
      </c>
      <c r="R79" s="94"/>
      <c r="S79" s="93"/>
      <c r="T79" s="92"/>
      <c r="U79" s="281"/>
      <c r="V79" s="140">
        <f t="shared" si="3"/>
        <v>9318.5</v>
      </c>
      <c r="W79" s="1">
        <v>9174</v>
      </c>
      <c r="X79" s="140">
        <f t="shared" si="4"/>
        <v>144.5</v>
      </c>
      <c r="Y79" s="140"/>
    </row>
    <row r="80" spans="1:25" x14ac:dyDescent="0.2">
      <c r="A80" s="31" t="s">
        <v>331</v>
      </c>
      <c r="B80" s="20" t="s">
        <v>57</v>
      </c>
      <c r="C80" s="88">
        <f>+'SQL Data kWh'!AC75</f>
        <v>5354811.05</v>
      </c>
      <c r="D80" s="131">
        <f>+'Customer Counts'!AC75</f>
        <v>7871</v>
      </c>
      <c r="E80" s="94">
        <f>+'SQL Data kWh'!AD75</f>
        <v>3184497.15</v>
      </c>
      <c r="F80" s="131">
        <f>+'Customer Counts'!AD75</f>
        <v>1331.5</v>
      </c>
      <c r="G80" s="95">
        <f>+'SQL Data kWh'!AK75</f>
        <v>23903.83</v>
      </c>
      <c r="H80" s="131">
        <f>+'Customer Counts'!AK75</f>
        <v>27</v>
      </c>
      <c r="I80" s="88">
        <f>+'SQL Data kWh'!AN75</f>
        <v>6682379.7699999996</v>
      </c>
      <c r="J80" s="480">
        <f>+'Harris Data kW'!U74</f>
        <v>14993.570000000003</v>
      </c>
      <c r="K80" s="131">
        <f>+'Customer Counts'!AN75</f>
        <v>129</v>
      </c>
      <c r="L80" s="88">
        <f>+'SQL Data kWh'!AO75</f>
        <v>6456091.7699999996</v>
      </c>
      <c r="M80" s="480">
        <f>+'Harris Data kW'!T74</f>
        <v>14513.810000000003</v>
      </c>
      <c r="N80" s="131">
        <f>+'Customer Counts'!AN75</f>
        <v>129</v>
      </c>
      <c r="O80" s="88">
        <f>+'SQL Data kWh'!AL75</f>
        <v>85274.069999999992</v>
      </c>
      <c r="P80" s="676">
        <v>187.87000000000003</v>
      </c>
      <c r="Q80" s="131">
        <f>+'Customer Counts'!AL75</f>
        <v>2116</v>
      </c>
      <c r="R80" s="94"/>
      <c r="S80" s="93"/>
      <c r="T80" s="92"/>
      <c r="U80" s="281"/>
      <c r="V80" s="140">
        <f t="shared" si="3"/>
        <v>9331.5</v>
      </c>
      <c r="W80" s="1">
        <v>9198.5</v>
      </c>
      <c r="X80" s="140">
        <f t="shared" si="4"/>
        <v>133</v>
      </c>
      <c r="Y80" s="140"/>
    </row>
    <row r="81" spans="1:31" x14ac:dyDescent="0.2">
      <c r="A81" s="31" t="s">
        <v>331</v>
      </c>
      <c r="B81" s="20" t="s">
        <v>54</v>
      </c>
      <c r="C81" s="88">
        <f>+'SQL Data kWh'!AC76</f>
        <v>6662461.4499999993</v>
      </c>
      <c r="D81" s="131">
        <f>+'Customer Counts'!AC76</f>
        <v>7878</v>
      </c>
      <c r="E81" s="94">
        <f>+'SQL Data kWh'!AD76</f>
        <v>3611501.9299999997</v>
      </c>
      <c r="F81" s="131">
        <f>+'Customer Counts'!AD76</f>
        <v>1328.5</v>
      </c>
      <c r="G81" s="95">
        <f>+'SQL Data kWh'!AK76</f>
        <v>25680.5</v>
      </c>
      <c r="H81" s="131">
        <f>+'Customer Counts'!AK76</f>
        <v>28.5</v>
      </c>
      <c r="I81" s="88">
        <f>+'SQL Data kWh'!AN76</f>
        <v>7255560.2800000003</v>
      </c>
      <c r="J81" s="480">
        <f>+'Harris Data kW'!U75</f>
        <v>16217.389999999998</v>
      </c>
      <c r="K81" s="131">
        <f>+'Customer Counts'!AN76</f>
        <v>128</v>
      </c>
      <c r="L81" s="88">
        <f>+'SQL Data kWh'!AO76</f>
        <v>7005391.6600000001</v>
      </c>
      <c r="M81" s="480">
        <f>+'Harris Data kW'!T75</f>
        <v>15729.469999999998</v>
      </c>
      <c r="N81" s="131">
        <f>+'Customer Counts'!AN76</f>
        <v>128</v>
      </c>
      <c r="O81" s="88">
        <f>+'SQL Data kWh'!AL76</f>
        <v>92202.06</v>
      </c>
      <c r="P81" s="676">
        <v>209.93</v>
      </c>
      <c r="Q81" s="131">
        <f>+'Customer Counts'!AL76</f>
        <v>2116</v>
      </c>
      <c r="R81" s="94"/>
      <c r="S81" s="93"/>
      <c r="T81" s="92"/>
      <c r="U81" s="281"/>
      <c r="V81" s="140">
        <f t="shared" si="3"/>
        <v>9334.5</v>
      </c>
      <c r="W81" s="1">
        <v>9220.5</v>
      </c>
      <c r="X81" s="140">
        <f t="shared" si="4"/>
        <v>114</v>
      </c>
      <c r="Y81" s="140"/>
    </row>
    <row r="82" spans="1:31" x14ac:dyDescent="0.2">
      <c r="A82" s="31" t="s">
        <v>332</v>
      </c>
      <c r="B82" s="20" t="s">
        <v>58</v>
      </c>
      <c r="C82" s="88">
        <f>+'SQL Data kWh'!AC77</f>
        <v>6643290.3000000007</v>
      </c>
      <c r="D82" s="131">
        <f>+'Customer Counts'!AC77</f>
        <v>7880</v>
      </c>
      <c r="E82" s="94">
        <f>+'SQL Data kWh'!AD77</f>
        <v>3807613.83</v>
      </c>
      <c r="F82" s="131">
        <f>+'Customer Counts'!AD77</f>
        <v>1325</v>
      </c>
      <c r="G82" s="95">
        <f>+'SQL Data kWh'!AK77</f>
        <v>26416.7</v>
      </c>
      <c r="H82" s="131">
        <f>+'Customer Counts'!AK77</f>
        <v>29.5</v>
      </c>
      <c r="I82" s="88">
        <f>+'SQL Data kWh'!AN77</f>
        <v>7500012.1600000001</v>
      </c>
      <c r="J82" s="480">
        <f>+'Harris Data kW'!U76</f>
        <v>17387.060000000005</v>
      </c>
      <c r="K82" s="131">
        <f>+'Customer Counts'!AN77</f>
        <v>125.5</v>
      </c>
      <c r="L82" s="88">
        <f>+'SQL Data kWh'!AO77</f>
        <v>7249485.9199999999</v>
      </c>
      <c r="M82" s="480">
        <f>+'Harris Data kW'!T76</f>
        <v>16896.020000000004</v>
      </c>
      <c r="N82" s="131">
        <f>+'Customer Counts'!AN77</f>
        <v>125.5</v>
      </c>
      <c r="O82" s="88">
        <f>+'SQL Data kWh'!AL77</f>
        <v>89881.66</v>
      </c>
      <c r="P82" s="481">
        <f>+'Harris Data kW'!K76</f>
        <v>198.9</v>
      </c>
      <c r="Q82" s="131">
        <f>+'Customer Counts'!AL77</f>
        <v>2116</v>
      </c>
      <c r="R82" s="94"/>
      <c r="S82" s="93"/>
      <c r="T82" s="92"/>
      <c r="U82" s="281"/>
      <c r="V82" s="140">
        <f t="shared" si="3"/>
        <v>9330.5</v>
      </c>
      <c r="W82" s="1">
        <v>9240</v>
      </c>
      <c r="X82" s="140">
        <f t="shared" si="4"/>
        <v>90.5</v>
      </c>
      <c r="Y82" s="140"/>
    </row>
    <row r="83" spans="1:31" x14ac:dyDescent="0.2">
      <c r="A83" s="31" t="s">
        <v>332</v>
      </c>
      <c r="B83" s="20" t="s">
        <v>59</v>
      </c>
      <c r="C83" s="88">
        <f>+'SQL Data kWh'!AC78</f>
        <v>5449551.9299999997</v>
      </c>
      <c r="D83" s="131">
        <f>+'Customer Counts'!AC78</f>
        <v>7888.5</v>
      </c>
      <c r="E83" s="94">
        <f>+'SQL Data kWh'!AD78</f>
        <v>3276800.65</v>
      </c>
      <c r="F83" s="131">
        <f>+'Customer Counts'!AD78</f>
        <v>1325.5</v>
      </c>
      <c r="G83" s="95">
        <f>+'SQL Data kWh'!AK78</f>
        <v>24692.99</v>
      </c>
      <c r="H83" s="131">
        <f>+'Customer Counts'!AK78</f>
        <v>29.5</v>
      </c>
      <c r="I83" s="88">
        <f>+'SQL Data kWh'!AN78</f>
        <v>6694054.1300000008</v>
      </c>
      <c r="J83" s="480">
        <f>+'Harris Data kW'!U77</f>
        <v>17617.5</v>
      </c>
      <c r="K83" s="131">
        <f>+'Customer Counts'!AN78</f>
        <v>125</v>
      </c>
      <c r="L83" s="88">
        <f>+'SQL Data kWh'!AO78</f>
        <v>6455224.9900000012</v>
      </c>
      <c r="M83" s="480">
        <f>+'Harris Data kW'!T77</f>
        <v>17018.22</v>
      </c>
      <c r="N83" s="131">
        <f>+'Customer Counts'!AN78</f>
        <v>125</v>
      </c>
      <c r="O83" s="88">
        <f>+'SQL Data kWh'!AL78</f>
        <v>74948.37000000001</v>
      </c>
      <c r="P83" s="481">
        <f>+'Harris Data kW'!K77</f>
        <v>198.9</v>
      </c>
      <c r="Q83" s="131">
        <f>+'Customer Counts'!AL78</f>
        <v>2116</v>
      </c>
      <c r="R83" s="94"/>
      <c r="S83" s="93"/>
      <c r="T83" s="92"/>
      <c r="U83" s="281"/>
      <c r="V83" s="140">
        <f t="shared" si="3"/>
        <v>9339</v>
      </c>
      <c r="W83" s="1">
        <v>9252</v>
      </c>
      <c r="X83" s="140">
        <f t="shared" si="4"/>
        <v>87</v>
      </c>
      <c r="Y83" s="140"/>
    </row>
    <row r="84" spans="1:31" x14ac:dyDescent="0.2">
      <c r="A84" s="31" t="s">
        <v>332</v>
      </c>
      <c r="B84" s="20" t="s">
        <v>60</v>
      </c>
      <c r="C84" s="88">
        <f>+'SQL Data kWh'!AC79</f>
        <v>5715841.0300000003</v>
      </c>
      <c r="D84" s="131">
        <f>+'Customer Counts'!AC79</f>
        <v>7890.5</v>
      </c>
      <c r="E84" s="94">
        <f>+'SQL Data kWh'!AD79</f>
        <v>3505189.93</v>
      </c>
      <c r="F84" s="131">
        <f>+'Customer Counts'!AD79</f>
        <v>1327.5</v>
      </c>
      <c r="G84" s="95">
        <f>+'SQL Data kWh'!AK79</f>
        <v>20959</v>
      </c>
      <c r="H84" s="131">
        <f>+'Customer Counts'!AK79</f>
        <v>27.5</v>
      </c>
      <c r="I84" s="88">
        <f>+'SQL Data kWh'!AN79</f>
        <v>7126976.7799999993</v>
      </c>
      <c r="J84" s="480">
        <f>+'Harris Data kW'!U78</f>
        <v>17451.859999999997</v>
      </c>
      <c r="K84" s="131">
        <f>+'Customer Counts'!AN79</f>
        <v>126</v>
      </c>
      <c r="L84" s="88">
        <f>+'SQL Data kWh'!AO79</f>
        <v>6891418.7399999993</v>
      </c>
      <c r="M84" s="480">
        <f>+'Harris Data kW'!T78</f>
        <v>16324.339999999997</v>
      </c>
      <c r="N84" s="131">
        <f>+'Customer Counts'!AN79</f>
        <v>126</v>
      </c>
      <c r="O84" s="88">
        <f>+'SQL Data kWh'!AL79</f>
        <v>74219.09</v>
      </c>
      <c r="P84" s="481">
        <f>+'Harris Data kW'!K78</f>
        <v>198.89</v>
      </c>
      <c r="Q84" s="131">
        <f>+'Customer Counts'!AL79</f>
        <v>2116</v>
      </c>
      <c r="R84" s="94"/>
      <c r="S84" s="93"/>
      <c r="T84" s="92"/>
      <c r="U84" s="281"/>
      <c r="V84" s="140">
        <f t="shared" si="3"/>
        <v>9344</v>
      </c>
      <c r="W84" s="1">
        <v>9264</v>
      </c>
      <c r="X84" s="140">
        <f t="shared" si="4"/>
        <v>80</v>
      </c>
      <c r="Y84" s="140"/>
    </row>
    <row r="85" spans="1:31" x14ac:dyDescent="0.2">
      <c r="A85" s="31" t="s">
        <v>332</v>
      </c>
      <c r="B85" s="20" t="s">
        <v>61</v>
      </c>
      <c r="C85" s="88">
        <f>+'SQL Data kWh'!AC80</f>
        <v>5395421.1799999997</v>
      </c>
      <c r="D85" s="131">
        <f>+'Customer Counts'!AC80</f>
        <v>7896.5</v>
      </c>
      <c r="E85" s="94">
        <f>+'SQL Data kWh'!AD80</f>
        <v>3277017.4299999997</v>
      </c>
      <c r="F85" s="131">
        <f>+'Customer Counts'!AD80</f>
        <v>1330.5</v>
      </c>
      <c r="G85" s="95">
        <f>+'SQL Data kWh'!AK80</f>
        <v>20959</v>
      </c>
      <c r="H85" s="131">
        <f>+'Customer Counts'!AK80</f>
        <v>26</v>
      </c>
      <c r="I85" s="88">
        <f>+'SQL Data kWh'!AN80</f>
        <v>6969966.7199999997</v>
      </c>
      <c r="J85" s="480">
        <f>+'Harris Data kW'!U79</f>
        <v>18766.91</v>
      </c>
      <c r="K85" s="131">
        <f>+'Customer Counts'!AN80</f>
        <v>126.5</v>
      </c>
      <c r="L85" s="88">
        <f>+'SQL Data kWh'!AO80</f>
        <v>6340463.8599999994</v>
      </c>
      <c r="M85" s="480">
        <f>+'Harris Data kW'!T79</f>
        <v>16174.43</v>
      </c>
      <c r="N85" s="131">
        <f>+'Customer Counts'!AN80</f>
        <v>126.5</v>
      </c>
      <c r="O85" s="88">
        <f>+'SQL Data kWh'!AL80</f>
        <v>62965.24</v>
      </c>
      <c r="P85" s="481">
        <f>+'Harris Data kW'!K79</f>
        <v>198.89</v>
      </c>
      <c r="Q85" s="131">
        <f>+'Customer Counts'!AL80</f>
        <v>2116</v>
      </c>
      <c r="R85" s="94"/>
      <c r="S85" s="93"/>
      <c r="T85" s="92"/>
      <c r="U85" s="281"/>
      <c r="V85" s="140">
        <f t="shared" si="3"/>
        <v>9353.5</v>
      </c>
      <c r="W85" s="1">
        <v>9278</v>
      </c>
      <c r="X85" s="140">
        <f t="shared" si="4"/>
        <v>75.5</v>
      </c>
      <c r="Y85" s="140"/>
    </row>
    <row r="86" spans="1:31" x14ac:dyDescent="0.2">
      <c r="A86" s="31" t="s">
        <v>332</v>
      </c>
      <c r="B86" s="20" t="s">
        <v>62</v>
      </c>
      <c r="C86" s="88">
        <f>+'SQL Data kWh'!AC81</f>
        <v>5412142.79</v>
      </c>
      <c r="D86" s="131">
        <f>+'Customer Counts'!AC81</f>
        <v>7907</v>
      </c>
      <c r="E86" s="94">
        <f>+'SQL Data kWh'!AD81</f>
        <v>3272430.87</v>
      </c>
      <c r="F86" s="131">
        <f>+'Customer Counts'!AD81</f>
        <v>1332.5</v>
      </c>
      <c r="G86" s="95">
        <f>+'SQL Data kWh'!AK81</f>
        <v>20959</v>
      </c>
      <c r="H86" s="131">
        <f>+'Customer Counts'!AK81</f>
        <v>26</v>
      </c>
      <c r="I86" s="88">
        <f>+'SQL Data kWh'!AN81</f>
        <v>7308399.5499999998</v>
      </c>
      <c r="J86" s="480">
        <f>+'Harris Data kW'!U80</f>
        <v>21313.149999999998</v>
      </c>
      <c r="K86" s="131">
        <f>+'Customer Counts'!AN81</f>
        <v>126.5</v>
      </c>
      <c r="L86" s="88">
        <f>+'SQL Data kWh'!AO81</f>
        <v>6751443.7999999998</v>
      </c>
      <c r="M86" s="480">
        <f>+'Harris Data kW'!T80</f>
        <v>18727.87</v>
      </c>
      <c r="N86" s="131">
        <f>+'Customer Counts'!AN81</f>
        <v>126.5</v>
      </c>
      <c r="O86" s="88">
        <f>+'SQL Data kWh'!AL81</f>
        <v>57330.03</v>
      </c>
      <c r="P86" s="481">
        <f>+'Harris Data kW'!K80</f>
        <v>198.89</v>
      </c>
      <c r="Q86" s="131">
        <f>+'Customer Counts'!AL81</f>
        <v>2116</v>
      </c>
      <c r="R86" s="94"/>
      <c r="S86" s="93"/>
      <c r="T86" s="92"/>
      <c r="U86" s="281"/>
      <c r="V86" s="140">
        <f t="shared" si="3"/>
        <v>9366</v>
      </c>
      <c r="W86" s="1">
        <v>9289</v>
      </c>
      <c r="X86" s="140">
        <f t="shared" si="4"/>
        <v>77</v>
      </c>
      <c r="Y86" s="140"/>
    </row>
    <row r="87" spans="1:31" x14ac:dyDescent="0.2">
      <c r="A87" s="31" t="s">
        <v>332</v>
      </c>
      <c r="B87" s="20" t="s">
        <v>63</v>
      </c>
      <c r="C87" s="88">
        <f>+'SQL Data kWh'!AC82</f>
        <v>6396088.75</v>
      </c>
      <c r="D87" s="131">
        <f>+'Customer Counts'!AC82</f>
        <v>7913.5</v>
      </c>
      <c r="E87" s="94">
        <f>+'SQL Data kWh'!AD82</f>
        <v>3448302.57</v>
      </c>
      <c r="F87" s="131">
        <f>+'Customer Counts'!AD82</f>
        <v>1334.5</v>
      </c>
      <c r="G87" s="95">
        <f>+'SQL Data kWh'!AK82</f>
        <v>20959</v>
      </c>
      <c r="H87" s="131">
        <f>+'Customer Counts'!AK82</f>
        <v>26</v>
      </c>
      <c r="I87" s="88">
        <f>+'SQL Data kWh'!AN82</f>
        <v>7544087.04</v>
      </c>
      <c r="J87" s="480">
        <f>+'Harris Data kW'!U81</f>
        <v>21472.510000000002</v>
      </c>
      <c r="K87" s="131">
        <f>+'Customer Counts'!AN82</f>
        <v>126.5</v>
      </c>
      <c r="L87" s="88">
        <f>+'SQL Data kWh'!AO82</f>
        <v>7170114.8899999997</v>
      </c>
      <c r="M87" s="480">
        <f>+'Harris Data kW'!T81</f>
        <v>19414.990000000002</v>
      </c>
      <c r="N87" s="131">
        <f>+'Customer Counts'!AN82</f>
        <v>126.5</v>
      </c>
      <c r="O87" s="88">
        <f>+'SQL Data kWh'!AL82</f>
        <v>51645.11</v>
      </c>
      <c r="P87" s="481">
        <f>+'Harris Data kW'!K81</f>
        <v>198.89</v>
      </c>
      <c r="Q87" s="131">
        <f>+'Customer Counts'!AL82</f>
        <v>2116</v>
      </c>
      <c r="R87" s="94"/>
      <c r="S87" s="93"/>
      <c r="T87" s="92"/>
      <c r="U87" s="281"/>
      <c r="V87" s="140">
        <f t="shared" si="3"/>
        <v>9374.5</v>
      </c>
      <c r="W87" s="1">
        <v>9295.5</v>
      </c>
      <c r="X87" s="140">
        <f t="shared" si="4"/>
        <v>79</v>
      </c>
      <c r="Y87" s="140"/>
    </row>
    <row r="88" spans="1:31" x14ac:dyDescent="0.2">
      <c r="A88" s="31" t="s">
        <v>332</v>
      </c>
      <c r="B88" s="20" t="s">
        <v>64</v>
      </c>
      <c r="C88" s="88">
        <f>+'SQL Data kWh'!AC83</f>
        <v>9133306.9499999993</v>
      </c>
      <c r="D88" s="131">
        <f>+'Customer Counts'!AC83</f>
        <v>7917.5</v>
      </c>
      <c r="E88" s="94">
        <f>+'SQL Data kWh'!AD83</f>
        <v>4327775.32</v>
      </c>
      <c r="F88" s="131">
        <f>+'Customer Counts'!AD83</f>
        <v>1335.5</v>
      </c>
      <c r="G88" s="95">
        <f>+'SQL Data kWh'!AK83</f>
        <v>20959</v>
      </c>
      <c r="H88" s="131">
        <f>+'Customer Counts'!AK83</f>
        <v>26</v>
      </c>
      <c r="I88" s="88">
        <f>+'SQL Data kWh'!AN83</f>
        <v>9216684.5999999996</v>
      </c>
      <c r="J88" s="480">
        <f>+'Harris Data kW'!U82</f>
        <v>23440.43</v>
      </c>
      <c r="K88" s="131">
        <f>+'Customer Counts'!AN83</f>
        <v>127</v>
      </c>
      <c r="L88" s="88">
        <f>+'SQL Data kWh'!AO83</f>
        <v>8538849.4000000004</v>
      </c>
      <c r="M88" s="480">
        <f>+'Harris Data kW'!T82</f>
        <v>20797.23</v>
      </c>
      <c r="N88" s="131">
        <f>+'Customer Counts'!AN83</f>
        <v>127</v>
      </c>
      <c r="O88" s="88">
        <f>+'SQL Data kWh'!AL83</f>
        <v>55457.14</v>
      </c>
      <c r="P88" s="481">
        <f>+'Harris Data kW'!K82</f>
        <v>198.89</v>
      </c>
      <c r="Q88" s="131">
        <f>+'Customer Counts'!AL83</f>
        <v>2116</v>
      </c>
      <c r="R88" s="94"/>
      <c r="S88" s="93"/>
      <c r="T88" s="92"/>
      <c r="U88" s="281"/>
      <c r="V88" s="140">
        <f t="shared" si="3"/>
        <v>9380</v>
      </c>
      <c r="W88" s="1">
        <v>9301.5</v>
      </c>
      <c r="X88" s="140">
        <f t="shared" si="4"/>
        <v>78.5</v>
      </c>
      <c r="Y88" s="140"/>
    </row>
    <row r="89" spans="1:31" x14ac:dyDescent="0.2">
      <c r="A89" s="31" t="s">
        <v>332</v>
      </c>
      <c r="B89" s="20" t="s">
        <v>65</v>
      </c>
      <c r="C89" s="88">
        <f>+'SQL Data kWh'!AC84</f>
        <v>8654649.3699999992</v>
      </c>
      <c r="D89" s="131">
        <f>+'Customer Counts'!AC84</f>
        <v>7919</v>
      </c>
      <c r="E89" s="94">
        <f>+'SQL Data kWh'!AD84</f>
        <v>4367980.45</v>
      </c>
      <c r="F89" s="131">
        <f>+'Customer Counts'!AD84</f>
        <v>1338</v>
      </c>
      <c r="G89" s="95">
        <f>+'SQL Data kWh'!AK84</f>
        <v>20959</v>
      </c>
      <c r="H89" s="131">
        <f>+'Customer Counts'!AK84</f>
        <v>26</v>
      </c>
      <c r="I89" s="88">
        <f>+'SQL Data kWh'!AN84</f>
        <v>10113660.32</v>
      </c>
      <c r="J89" s="480">
        <f>+'Harris Data kW'!U83</f>
        <v>24440.29</v>
      </c>
      <c r="K89" s="131">
        <f>+'Customer Counts'!AN84</f>
        <v>125.5</v>
      </c>
      <c r="L89" s="88">
        <f>+'SQL Data kWh'!AO84</f>
        <v>8835941.9199999999</v>
      </c>
      <c r="M89" s="480">
        <f>+'Harris Data kW'!T83</f>
        <v>20677.09</v>
      </c>
      <c r="N89" s="131">
        <f>+'Customer Counts'!AN84</f>
        <v>125.5</v>
      </c>
      <c r="O89" s="88">
        <f>+'SQL Data kWh'!AL84</f>
        <v>62285.710000000006</v>
      </c>
      <c r="P89" s="481">
        <f>+'Harris Data kW'!K83</f>
        <v>198.89</v>
      </c>
      <c r="Q89" s="131">
        <f>+'Customer Counts'!AL84</f>
        <v>2116</v>
      </c>
      <c r="R89" s="94"/>
      <c r="S89" s="93"/>
      <c r="T89" s="92"/>
      <c r="U89" s="281"/>
      <c r="V89" s="140">
        <f t="shared" si="3"/>
        <v>9382.5</v>
      </c>
      <c r="W89" s="1">
        <v>9314.5</v>
      </c>
      <c r="X89" s="140">
        <f t="shared" si="4"/>
        <v>68</v>
      </c>
      <c r="Y89" s="140"/>
    </row>
    <row r="90" spans="1:31" x14ac:dyDescent="0.2">
      <c r="A90" s="31" t="s">
        <v>332</v>
      </c>
      <c r="B90" s="20" t="s">
        <v>55</v>
      </c>
      <c r="C90" s="88">
        <f>+'SQL Data kWh'!AC85</f>
        <v>6705547.21</v>
      </c>
      <c r="D90" s="131">
        <f>+'Customer Counts'!AC85</f>
        <v>7921</v>
      </c>
      <c r="E90" s="94">
        <f>+'SQL Data kWh'!AD85</f>
        <v>3513247.41</v>
      </c>
      <c r="F90" s="131">
        <f>+'Customer Counts'!AD85</f>
        <v>1339.5</v>
      </c>
      <c r="G90" s="95">
        <f>+'SQL Data kWh'!AK85</f>
        <v>20959</v>
      </c>
      <c r="H90" s="131">
        <f>+'Customer Counts'!AK85</f>
        <v>26</v>
      </c>
      <c r="I90" s="88">
        <f>+'SQL Data kWh'!AN85</f>
        <v>8717652.9499999993</v>
      </c>
      <c r="J90" s="480">
        <f>+'Harris Data kW'!U84</f>
        <v>26128.760000000002</v>
      </c>
      <c r="K90" s="131">
        <f>+'Customer Counts'!AN85</f>
        <v>125.5</v>
      </c>
      <c r="L90" s="88">
        <f>+'SQL Data kWh'!AO85</f>
        <v>7537251.3499999996</v>
      </c>
      <c r="M90" s="480">
        <f>+'Harris Data kW'!T84</f>
        <v>22007.160000000003</v>
      </c>
      <c r="N90" s="131">
        <f>+'Customer Counts'!AN85</f>
        <v>125.5</v>
      </c>
      <c r="O90" s="88">
        <f>+'SQL Data kWh'!AL85</f>
        <v>68716.47</v>
      </c>
      <c r="P90" s="481">
        <f>+'Harris Data kW'!K84</f>
        <v>198.89</v>
      </c>
      <c r="Q90" s="131">
        <f>+'Customer Counts'!AL85</f>
        <v>2116</v>
      </c>
      <c r="R90" s="94"/>
      <c r="S90" s="93"/>
      <c r="T90" s="92"/>
      <c r="U90" s="281"/>
      <c r="V90" s="140">
        <f t="shared" si="3"/>
        <v>9386</v>
      </c>
      <c r="W90" s="1">
        <v>9325.5</v>
      </c>
      <c r="X90" s="140">
        <f t="shared" si="4"/>
        <v>60.5</v>
      </c>
      <c r="Y90" s="140"/>
    </row>
    <row r="91" spans="1:31" x14ac:dyDescent="0.2">
      <c r="A91" s="31" t="s">
        <v>332</v>
      </c>
      <c r="B91" s="20" t="s">
        <v>56</v>
      </c>
      <c r="C91" s="88">
        <f>+'SQL Data kWh'!AC86</f>
        <v>5382390.1900000004</v>
      </c>
      <c r="D91" s="131">
        <f>+'Customer Counts'!AC86</f>
        <v>7941</v>
      </c>
      <c r="E91" s="94">
        <f>+'SQL Data kWh'!AD86</f>
        <v>3130018.05</v>
      </c>
      <c r="F91" s="131">
        <f>+'Customer Counts'!AD86</f>
        <v>1342</v>
      </c>
      <c r="G91" s="95">
        <f>+'SQL Data kWh'!AK86</f>
        <v>20959</v>
      </c>
      <c r="H91" s="131">
        <f>+'Customer Counts'!AK86</f>
        <v>26</v>
      </c>
      <c r="I91" s="88">
        <f>+'SQL Data kWh'!AN86</f>
        <v>8100251.1299999999</v>
      </c>
      <c r="J91" s="480">
        <f>+'Harris Data kW'!U85</f>
        <v>22602.37</v>
      </c>
      <c r="K91" s="131">
        <f>+'Customer Counts'!AN86</f>
        <v>125</v>
      </c>
      <c r="L91" s="88">
        <f>+'SQL Data kWh'!AO86</f>
        <v>6709703.9299999997</v>
      </c>
      <c r="M91" s="480">
        <f>+'Harris Data kW'!T85</f>
        <v>18525.57</v>
      </c>
      <c r="N91" s="131">
        <f>+'Customer Counts'!AN86</f>
        <v>125</v>
      </c>
      <c r="O91" s="88">
        <f>+'SQL Data kWh'!AL86</f>
        <v>80086.350000000006</v>
      </c>
      <c r="P91" s="481">
        <f>+'Harris Data kW'!K85</f>
        <v>198.89</v>
      </c>
      <c r="Q91" s="131">
        <f>+'Customer Counts'!AL86</f>
        <v>2116</v>
      </c>
      <c r="R91" s="94"/>
      <c r="S91" s="93"/>
      <c r="T91" s="92"/>
      <c r="U91" s="281"/>
      <c r="V91" s="140">
        <f t="shared" si="3"/>
        <v>9408</v>
      </c>
      <c r="W91" s="1">
        <v>9326</v>
      </c>
      <c r="X91" s="140">
        <f t="shared" si="4"/>
        <v>82</v>
      </c>
      <c r="Y91" s="140"/>
    </row>
    <row r="92" spans="1:31" x14ac:dyDescent="0.2">
      <c r="A92" s="31" t="s">
        <v>332</v>
      </c>
      <c r="B92" s="20" t="s">
        <v>57</v>
      </c>
      <c r="C92" s="88">
        <f>+'SQL Data kWh'!AC87</f>
        <v>5672070.4900000002</v>
      </c>
      <c r="D92" s="131">
        <f>+'Customer Counts'!AC87</f>
        <v>7963</v>
      </c>
      <c r="E92" s="94">
        <f>+'SQL Data kWh'!AD87</f>
        <v>3278452.1100000003</v>
      </c>
      <c r="F92" s="131">
        <f>+'Customer Counts'!AD87</f>
        <v>1346.5</v>
      </c>
      <c r="G92" s="95">
        <f>+'SQL Data kWh'!AK87</f>
        <v>22470.13</v>
      </c>
      <c r="H92" s="131">
        <f>+'Customer Counts'!AK87</f>
        <v>27.5</v>
      </c>
      <c r="I92" s="88">
        <f>+'SQL Data kWh'!AN87</f>
        <v>8409825.2899999991</v>
      </c>
      <c r="J92" s="480">
        <f>+'Harris Data kW'!U86</f>
        <v>21547.67</v>
      </c>
      <c r="K92" s="131">
        <f>+'Customer Counts'!AN87</f>
        <v>125</v>
      </c>
      <c r="L92" s="88">
        <f>+'SQL Data kWh'!AO87</f>
        <v>6567486.8899999987</v>
      </c>
      <c r="M92" s="480">
        <f>+'Harris Data kW'!T86</f>
        <v>16485.269999999997</v>
      </c>
      <c r="N92" s="131">
        <f>+'Customer Counts'!AN87</f>
        <v>125</v>
      </c>
      <c r="O92" s="88">
        <f>+'SQL Data kWh'!AL87</f>
        <v>86193.739999999991</v>
      </c>
      <c r="P92" s="481">
        <f>+'Harris Data kW'!K86</f>
        <v>201.04</v>
      </c>
      <c r="Q92" s="131">
        <f>+'Customer Counts'!AL87</f>
        <v>2116</v>
      </c>
      <c r="R92" s="94"/>
      <c r="S92" s="93"/>
      <c r="T92" s="131">
        <f>+'Customer Counts'!AJ87</f>
        <v>0</v>
      </c>
      <c r="U92" s="281"/>
      <c r="V92" s="140">
        <f t="shared" si="3"/>
        <v>9434.5</v>
      </c>
      <c r="W92" s="1">
        <v>9338.5</v>
      </c>
      <c r="X92" s="140">
        <f t="shared" si="4"/>
        <v>96</v>
      </c>
      <c r="Y92" s="140"/>
    </row>
    <row r="93" spans="1:31" x14ac:dyDescent="0.2">
      <c r="A93" s="31" t="s">
        <v>332</v>
      </c>
      <c r="B93" s="20" t="s">
        <v>54</v>
      </c>
      <c r="C93" s="88">
        <f>+'SQL Data kWh'!AC88</f>
        <v>6437870.0099999998</v>
      </c>
      <c r="D93" s="131">
        <f>+'Customer Counts'!AC88</f>
        <v>7972</v>
      </c>
      <c r="E93" s="94">
        <f>+'SQL Data kWh'!AD88</f>
        <v>3462003.83</v>
      </c>
      <c r="F93" s="131">
        <f>+'Customer Counts'!AD88</f>
        <v>1348</v>
      </c>
      <c r="G93" s="95">
        <f>+'SQL Data kWh'!AK88</f>
        <v>23740.77</v>
      </c>
      <c r="H93" s="131">
        <f>+'Customer Counts'!AK88</f>
        <v>29</v>
      </c>
      <c r="I93" s="88">
        <f>+'SQL Data kWh'!AN88</f>
        <v>9305129.7899999991</v>
      </c>
      <c r="J93" s="480">
        <f>+'Harris Data kW'!U87</f>
        <v>22215.83</v>
      </c>
      <c r="K93" s="131">
        <f>+'Customer Counts'!AN88</f>
        <v>125</v>
      </c>
      <c r="L93" s="88">
        <f>+'SQL Data kWh'!AO88</f>
        <v>6902516.9899999993</v>
      </c>
      <c r="M93" s="480">
        <f>+'Harris Data kW'!T87</f>
        <v>15854.230000000001</v>
      </c>
      <c r="N93" s="131">
        <f>+'Customer Counts'!AN88</f>
        <v>125</v>
      </c>
      <c r="O93" s="88">
        <f>+'SQL Data kWh'!AL88</f>
        <v>93196.46</v>
      </c>
      <c r="P93" s="481">
        <f>+'Harris Data kW'!K87</f>
        <v>201.04</v>
      </c>
      <c r="Q93" s="131">
        <f>+'Customer Counts'!AL88</f>
        <v>2116</v>
      </c>
      <c r="R93" s="94"/>
      <c r="S93" s="93"/>
      <c r="T93" s="131">
        <f>+'Customer Counts'!AJ88</f>
        <v>0</v>
      </c>
      <c r="U93" s="281"/>
      <c r="V93" s="140">
        <f t="shared" si="3"/>
        <v>9445</v>
      </c>
      <c r="W93" s="1">
        <v>9363.5</v>
      </c>
      <c r="X93" s="140">
        <f t="shared" si="4"/>
        <v>81.5</v>
      </c>
      <c r="Y93" s="140"/>
      <c r="Z93" s="278"/>
      <c r="AA93" s="278"/>
      <c r="AB93" s="278"/>
      <c r="AC93" s="278"/>
      <c r="AD93" s="278"/>
      <c r="AE93" s="278"/>
    </row>
    <row r="94" spans="1:31" x14ac:dyDescent="0.2">
      <c r="A94" s="31" t="s">
        <v>145</v>
      </c>
      <c r="B94" s="20" t="s">
        <v>58</v>
      </c>
      <c r="C94" s="88">
        <f>+'SQL Data kWh'!AC89</f>
        <v>6688187.3200000003</v>
      </c>
      <c r="D94" s="131">
        <f>+'Customer Counts'!AC89</f>
        <v>7990</v>
      </c>
      <c r="E94" s="94">
        <f>+'SQL Data kWh'!AD89</f>
        <v>3770298.98</v>
      </c>
      <c r="F94" s="131">
        <f>+'Customer Counts'!AD89</f>
        <v>1351.5</v>
      </c>
      <c r="G94" s="95">
        <f>+'SQL Data kWh'!AK89</f>
        <v>23546.82</v>
      </c>
      <c r="H94" s="131">
        <f>+'Customer Counts'!AK89</f>
        <v>29</v>
      </c>
      <c r="I94" s="88">
        <f>+'SQL Data kWh'!AN89</f>
        <v>9510787.0599999987</v>
      </c>
      <c r="J94" s="480">
        <f>+'Harris Data kW'!U88</f>
        <v>23532.920000000002</v>
      </c>
      <c r="K94" s="131">
        <f>+'Customer Counts'!AN89</f>
        <v>125.5</v>
      </c>
      <c r="L94" s="88">
        <f>+'SQL Data kWh'!AO89</f>
        <v>7299912.6599999983</v>
      </c>
      <c r="M94" s="480">
        <f>+'Harris Data kW'!T88</f>
        <v>16633.72</v>
      </c>
      <c r="N94" s="131">
        <f>+'Customer Counts'!AN89</f>
        <v>125.5</v>
      </c>
      <c r="O94" s="88">
        <f>+'SQL Data kWh'!AL89</f>
        <v>90851.12000000001</v>
      </c>
      <c r="P94" s="481">
        <f>+'Harris Data kW'!K88</f>
        <v>201.1</v>
      </c>
      <c r="Q94" s="131">
        <f>+'Customer Counts'!AL89</f>
        <v>2137</v>
      </c>
      <c r="R94" s="94"/>
      <c r="S94" s="12"/>
      <c r="T94" s="131">
        <f>+'Customer Counts'!AJ89</f>
        <v>0</v>
      </c>
      <c r="U94" s="282"/>
      <c r="V94" s="140">
        <f t="shared" si="3"/>
        <v>9467</v>
      </c>
      <c r="Z94" s="278">
        <v>7892</v>
      </c>
      <c r="AA94" s="278">
        <v>1328</v>
      </c>
      <c r="AB94" s="278">
        <v>28</v>
      </c>
      <c r="AC94" s="278">
        <f>1+31+6+8+80</f>
        <v>126</v>
      </c>
      <c r="AD94" s="278">
        <v>2116</v>
      </c>
      <c r="AE94" s="278">
        <v>0</v>
      </c>
    </row>
    <row r="95" spans="1:31" x14ac:dyDescent="0.2">
      <c r="A95" s="31" t="s">
        <v>145</v>
      </c>
      <c r="B95" s="20" t="s">
        <v>59</v>
      </c>
      <c r="C95" s="88">
        <f>+'SQL Data kWh'!AC90</f>
        <v>5839206.8099999996</v>
      </c>
      <c r="D95" s="131">
        <f>+'Customer Counts'!AC90</f>
        <v>8005</v>
      </c>
      <c r="E95" s="94">
        <f>+'SQL Data kWh'!AD90</f>
        <v>3388153.7199999997</v>
      </c>
      <c r="F95" s="131">
        <f>+'Customer Counts'!AD90</f>
        <v>1358.5</v>
      </c>
      <c r="G95" s="95">
        <f>+'SQL Data kWh'!AK90</f>
        <v>21360.41</v>
      </c>
      <c r="H95" s="131">
        <f>+'Customer Counts'!AK90</f>
        <v>29</v>
      </c>
      <c r="I95" s="88">
        <f>+'SQL Data kWh'!AN90</f>
        <v>8577996.7699999996</v>
      </c>
      <c r="J95" s="480">
        <f>+'Harris Data kW'!U89</f>
        <v>22545.22</v>
      </c>
      <c r="K95" s="131">
        <f>+'Customer Counts'!AN90</f>
        <v>126</v>
      </c>
      <c r="L95" s="88">
        <f>+'SQL Data kWh'!AO90</f>
        <v>6717323.9699999997</v>
      </c>
      <c r="M95" s="480">
        <f>+'Harris Data kW'!T89</f>
        <v>16676.420000000002</v>
      </c>
      <c r="N95" s="131">
        <f>+'Customer Counts'!AN90</f>
        <v>126</v>
      </c>
      <c r="O95" s="88">
        <f>+'SQL Data kWh'!AL90</f>
        <v>75756.73</v>
      </c>
      <c r="P95" s="481">
        <f>+'Harris Data kW'!K89</f>
        <v>201.1</v>
      </c>
      <c r="Q95" s="131">
        <f>+'Customer Counts'!AL90</f>
        <v>2158</v>
      </c>
      <c r="R95" s="94"/>
      <c r="S95" s="12"/>
      <c r="T95" s="131">
        <f>+'Customer Counts'!AJ90</f>
        <v>0</v>
      </c>
      <c r="U95" s="282"/>
      <c r="V95" s="140">
        <f t="shared" si="3"/>
        <v>9489.5</v>
      </c>
      <c r="Z95" s="278">
        <v>7896</v>
      </c>
      <c r="AA95" s="278">
        <v>1329</v>
      </c>
      <c r="AB95" s="278">
        <v>29</v>
      </c>
      <c r="AC95" s="278">
        <f>1+31+6+8+80</f>
        <v>126</v>
      </c>
      <c r="AD95" s="278">
        <v>2116</v>
      </c>
      <c r="AE95" s="278">
        <v>0</v>
      </c>
    </row>
    <row r="96" spans="1:31" x14ac:dyDescent="0.2">
      <c r="A96" s="31" t="s">
        <v>145</v>
      </c>
      <c r="B96" s="20" t="s">
        <v>60</v>
      </c>
      <c r="C96" s="88">
        <f>+'SQL Data kWh'!AC91</f>
        <v>5920288.5499999998</v>
      </c>
      <c r="D96" s="131">
        <f>+'Customer Counts'!AC91</f>
        <v>8006.5</v>
      </c>
      <c r="E96" s="94">
        <f>+'SQL Data kWh'!AD91</f>
        <v>3563081.56</v>
      </c>
      <c r="F96" s="131">
        <f>+'Customer Counts'!AD91</f>
        <v>1361.5</v>
      </c>
      <c r="G96" s="95">
        <f>+'SQL Data kWh'!AK91</f>
        <v>20767.509999999998</v>
      </c>
      <c r="H96" s="131">
        <f>+'Customer Counts'!AK91</f>
        <v>29</v>
      </c>
      <c r="I96" s="88">
        <f>+'SQL Data kWh'!AN91</f>
        <v>9178797.7300000004</v>
      </c>
      <c r="J96" s="480">
        <f>+'Harris Data kW'!U90</f>
        <v>25183.15</v>
      </c>
      <c r="K96" s="131">
        <f>+'Customer Counts'!AN91</f>
        <v>126</v>
      </c>
      <c r="L96" s="88">
        <f>+'SQL Data kWh'!AO91</f>
        <v>7153608.1300000008</v>
      </c>
      <c r="M96" s="480">
        <f>+'Harris Data kW'!T90</f>
        <v>16872.75</v>
      </c>
      <c r="N96" s="131">
        <f>+'Customer Counts'!AN91</f>
        <v>126</v>
      </c>
      <c r="O96" s="88">
        <f>+'SQL Data kWh'!AL91</f>
        <v>75019.599999999991</v>
      </c>
      <c r="P96" s="481">
        <f>+'Harris Data kW'!K90</f>
        <v>201.1</v>
      </c>
      <c r="Q96" s="131">
        <f>+'Customer Counts'!AL91</f>
        <v>2158</v>
      </c>
      <c r="R96" s="94"/>
      <c r="S96" s="12"/>
      <c r="T96" s="131">
        <f>+'Customer Counts'!AJ91</f>
        <v>0</v>
      </c>
      <c r="U96" s="282"/>
      <c r="V96" s="140">
        <f t="shared" si="3"/>
        <v>9494</v>
      </c>
      <c r="Z96" s="278">
        <v>7894</v>
      </c>
      <c r="AA96" s="278">
        <v>1330</v>
      </c>
      <c r="AB96" s="278">
        <v>29</v>
      </c>
      <c r="AC96" s="278">
        <f>81+1+32+6+8</f>
        <v>128</v>
      </c>
      <c r="AD96" s="278">
        <v>2116</v>
      </c>
      <c r="AE96" s="278">
        <v>0</v>
      </c>
    </row>
    <row r="97" spans="1:31" x14ac:dyDescent="0.2">
      <c r="A97" s="31" t="s">
        <v>145</v>
      </c>
      <c r="B97" s="20" t="s">
        <v>61</v>
      </c>
      <c r="C97" s="88">
        <f>+'SQL Data kWh'!AC92</f>
        <v>5142979.59</v>
      </c>
      <c r="D97" s="131">
        <f>+'Customer Counts'!AC92</f>
        <v>8006</v>
      </c>
      <c r="E97" s="94">
        <f>+'SQL Data kWh'!AD92</f>
        <v>3085649.5300000003</v>
      </c>
      <c r="F97" s="131">
        <f>+'Customer Counts'!AD92</f>
        <v>1361.5</v>
      </c>
      <c r="G97" s="95">
        <f>+'SQL Data kWh'!AK92</f>
        <v>20550.189999999999</v>
      </c>
      <c r="H97" s="131">
        <f>+'Customer Counts'!AK92</f>
        <v>29.5</v>
      </c>
      <c r="I97" s="88">
        <f>+'SQL Data kWh'!AN92</f>
        <v>8851154.1999999993</v>
      </c>
      <c r="J97" s="480">
        <f>+'Harris Data kW'!U91</f>
        <v>24093.800000000003</v>
      </c>
      <c r="K97" s="131">
        <f>+'Customer Counts'!AN92</f>
        <v>126</v>
      </c>
      <c r="L97" s="88">
        <f>+'SQL Data kWh'!AO92</f>
        <v>6395934.9999999991</v>
      </c>
      <c r="M97" s="480">
        <f>+'Harris Data kW'!T91</f>
        <v>16433.000000000004</v>
      </c>
      <c r="N97" s="131">
        <f>+'Customer Counts'!AN92</f>
        <v>126</v>
      </c>
      <c r="O97" s="88">
        <f>+'SQL Data kWh'!AL92</f>
        <v>63644.38</v>
      </c>
      <c r="P97" s="481">
        <f>+'Harris Data kW'!K91</f>
        <v>201.1</v>
      </c>
      <c r="Q97" s="131">
        <f>+'Customer Counts'!AL92</f>
        <v>2158</v>
      </c>
      <c r="R97" s="94"/>
      <c r="S97" s="12"/>
      <c r="T97" s="131">
        <f>+'Customer Counts'!AJ92</f>
        <v>0</v>
      </c>
      <c r="U97" s="282"/>
      <c r="V97" s="140">
        <f t="shared" si="3"/>
        <v>9493.5</v>
      </c>
      <c r="Z97" s="278">
        <v>7904</v>
      </c>
      <c r="AA97" s="278">
        <v>1335</v>
      </c>
      <c r="AB97" s="278">
        <v>29</v>
      </c>
      <c r="AC97" s="278">
        <f>81+32+1+6+8</f>
        <v>128</v>
      </c>
      <c r="AD97" s="278">
        <v>2116</v>
      </c>
      <c r="AE97" s="278">
        <v>0</v>
      </c>
    </row>
    <row r="98" spans="1:31" x14ac:dyDescent="0.2">
      <c r="A98" s="31" t="s">
        <v>145</v>
      </c>
      <c r="B98" s="20" t="s">
        <v>62</v>
      </c>
      <c r="C98" s="88">
        <f>+'SQL Data kWh'!AC93</f>
        <v>5086791.24</v>
      </c>
      <c r="D98" s="131">
        <f>+'Customer Counts'!AC93</f>
        <v>8006</v>
      </c>
      <c r="E98" s="94">
        <f>+'SQL Data kWh'!AD93</f>
        <v>3155686.94</v>
      </c>
      <c r="F98" s="131">
        <f>+'Customer Counts'!AD93</f>
        <v>1361</v>
      </c>
      <c r="G98" s="95">
        <f>+'SQL Data kWh'!AK93</f>
        <v>20646.810000000001</v>
      </c>
      <c r="H98" s="131">
        <f>+'Customer Counts'!AK93</f>
        <v>30</v>
      </c>
      <c r="I98" s="88">
        <f>+'SQL Data kWh'!AN93</f>
        <v>6560914.370000001</v>
      </c>
      <c r="J98" s="480">
        <f>+'Harris Data kW'!U92</f>
        <v>17347.95</v>
      </c>
      <c r="K98" s="131">
        <f>+'Customer Counts'!AN93</f>
        <v>126.5</v>
      </c>
      <c r="L98" s="88">
        <f>+'SQL Data kWh'!AO93</f>
        <v>6560914.370000001</v>
      </c>
      <c r="M98" s="480">
        <f>+'Harris Data kW'!T92</f>
        <v>17347.95</v>
      </c>
      <c r="N98" s="131">
        <f>+'Customer Counts'!AN93</f>
        <v>126.5</v>
      </c>
      <c r="O98" s="88">
        <f>+'SQL Data kWh'!AL93</f>
        <v>57947.06</v>
      </c>
      <c r="P98" s="481">
        <f>+'Harris Data kW'!K92</f>
        <v>161.6</v>
      </c>
      <c r="Q98" s="131">
        <f>+'Customer Counts'!AL93</f>
        <v>2158</v>
      </c>
      <c r="R98" s="88">
        <f>+'SQL Data kWh'!AJ93</f>
        <v>1880748.8</v>
      </c>
      <c r="S98" s="481">
        <f>+'Harris Data kW'!S92</f>
        <v>6249.6</v>
      </c>
      <c r="T98" s="131">
        <f>+'Customer Counts'!AJ93</f>
        <v>1</v>
      </c>
      <c r="U98" s="282"/>
      <c r="V98" s="140">
        <f t="shared" si="3"/>
        <v>9493.5</v>
      </c>
      <c r="Z98" s="278">
        <v>7915</v>
      </c>
      <c r="AA98" s="278">
        <v>1336</v>
      </c>
      <c r="AB98" s="278">
        <v>29</v>
      </c>
      <c r="AC98" s="278">
        <f>81+32+1+6+8</f>
        <v>128</v>
      </c>
      <c r="AD98" s="278">
        <v>2116</v>
      </c>
      <c r="AE98" s="278">
        <v>0</v>
      </c>
    </row>
    <row r="99" spans="1:31" x14ac:dyDescent="0.2">
      <c r="A99" s="31" t="s">
        <v>145</v>
      </c>
      <c r="B99" s="20" t="s">
        <v>63</v>
      </c>
      <c r="C99" s="88">
        <f>+'SQL Data kWh'!AC94</f>
        <v>5965725.0899999999</v>
      </c>
      <c r="D99" s="131">
        <f>+'Customer Counts'!AC94</f>
        <v>8007.5</v>
      </c>
      <c r="E99" s="94">
        <f>+'SQL Data kWh'!AD94</f>
        <v>3306384.91</v>
      </c>
      <c r="F99" s="131">
        <f>+'Customer Counts'!AD94</f>
        <v>1363.5</v>
      </c>
      <c r="G99" s="95">
        <f>+'SQL Data kWh'!AK94</f>
        <v>20670</v>
      </c>
      <c r="H99" s="131">
        <f>+'Customer Counts'!AK94</f>
        <v>30</v>
      </c>
      <c r="I99" s="88">
        <f>+'SQL Data kWh'!AN94</f>
        <v>6847681.9999999991</v>
      </c>
      <c r="J99" s="480">
        <f>+'Harris Data kW'!U93</f>
        <v>19596.110000000004</v>
      </c>
      <c r="K99" s="131">
        <f>+'Customer Counts'!AN94</f>
        <v>127</v>
      </c>
      <c r="L99" s="88">
        <f>+'SQL Data kWh'!AO94</f>
        <v>6847681.9999999991</v>
      </c>
      <c r="M99" s="480">
        <f>+'Harris Data kW'!T93</f>
        <v>19596.110000000004</v>
      </c>
      <c r="N99" s="131">
        <f>+'Customer Counts'!AN94</f>
        <v>127</v>
      </c>
      <c r="O99" s="88">
        <f>+'SQL Data kWh'!AL94</f>
        <v>52200.52</v>
      </c>
      <c r="P99" s="481">
        <f>+'Harris Data kW'!K93</f>
        <v>240.46</v>
      </c>
      <c r="Q99" s="131">
        <f>+'Customer Counts'!AL94</f>
        <v>2158</v>
      </c>
      <c r="R99" s="88">
        <f>+'SQL Data kWh'!AJ94</f>
        <v>2364107.2000000002</v>
      </c>
      <c r="S99" s="481">
        <f>+'Harris Data kW'!S93</f>
        <v>7481.6</v>
      </c>
      <c r="T99" s="131">
        <f>+'Customer Counts'!AJ94</f>
        <v>1</v>
      </c>
      <c r="U99" s="282"/>
      <c r="V99" s="140">
        <f t="shared" si="3"/>
        <v>9498</v>
      </c>
      <c r="Z99" s="278">
        <v>7917</v>
      </c>
      <c r="AA99" s="278">
        <v>1338</v>
      </c>
      <c r="AB99" s="278">
        <v>29</v>
      </c>
      <c r="AC99" s="278">
        <f>81+32+1+6+8</f>
        <v>128</v>
      </c>
      <c r="AD99" s="278">
        <v>2116</v>
      </c>
      <c r="AE99" s="278">
        <v>0</v>
      </c>
    </row>
    <row r="100" spans="1:31" x14ac:dyDescent="0.2">
      <c r="A100" s="31" t="s">
        <v>145</v>
      </c>
      <c r="B100" s="20" t="s">
        <v>64</v>
      </c>
      <c r="C100" s="88">
        <f>+'SQL Data kWh'!AC95</f>
        <v>9070271.0099999998</v>
      </c>
      <c r="D100" s="131">
        <f>+'Customer Counts'!AC95</f>
        <v>8009</v>
      </c>
      <c r="E100" s="94">
        <f>+'SQL Data kWh'!AD95</f>
        <v>4221946.1500000004</v>
      </c>
      <c r="F100" s="131">
        <f>+'Customer Counts'!AD95</f>
        <v>1367.5</v>
      </c>
      <c r="G100" s="95">
        <f>+'SQL Data kWh'!AK95</f>
        <v>20670</v>
      </c>
      <c r="H100" s="131">
        <f>+'Customer Counts'!AK95</f>
        <v>30</v>
      </c>
      <c r="I100" s="88">
        <f>+'SQL Data kWh'!AN95</f>
        <v>8486097.5</v>
      </c>
      <c r="J100" s="480">
        <f>+'Harris Data kW'!U94</f>
        <v>21030.3</v>
      </c>
      <c r="K100" s="131">
        <f>+'Customer Counts'!AN95</f>
        <v>125</v>
      </c>
      <c r="L100" s="88">
        <f>+'SQL Data kWh'!AO95</f>
        <v>8486097.5</v>
      </c>
      <c r="M100" s="480">
        <f>+'Harris Data kW'!T94</f>
        <v>21030.3</v>
      </c>
      <c r="N100" s="131">
        <f>+'Customer Counts'!AN95</f>
        <v>125</v>
      </c>
      <c r="O100" s="88">
        <f>+'SQL Data kWh'!AL95</f>
        <v>56238.03</v>
      </c>
      <c r="P100" s="481">
        <f>+'Harris Data kW'!K94</f>
        <v>201.7</v>
      </c>
      <c r="Q100" s="131">
        <f>+'Customer Counts'!AL95</f>
        <v>2158</v>
      </c>
      <c r="R100" s="88">
        <f>+'SQL Data kWh'!AJ95</f>
        <v>2009408.8</v>
      </c>
      <c r="S100" s="481">
        <f>+'Harris Data kW'!S94</f>
        <v>7369.6</v>
      </c>
      <c r="T100" s="131">
        <f>+'Customer Counts'!AJ95</f>
        <v>1</v>
      </c>
      <c r="U100" s="282"/>
      <c r="V100" s="140">
        <f t="shared" si="3"/>
        <v>9501.5</v>
      </c>
      <c r="Z100" s="278">
        <v>7917</v>
      </c>
      <c r="AA100" s="278">
        <v>1341</v>
      </c>
      <c r="AB100" s="278">
        <v>29</v>
      </c>
      <c r="AC100" s="278">
        <f>81+32+1+6+7</f>
        <v>127</v>
      </c>
      <c r="AD100" s="278">
        <v>2116</v>
      </c>
      <c r="AE100" s="278">
        <v>0</v>
      </c>
    </row>
    <row r="101" spans="1:31" x14ac:dyDescent="0.2">
      <c r="A101" s="31" t="s">
        <v>145</v>
      </c>
      <c r="B101" s="20" t="s">
        <v>65</v>
      </c>
      <c r="C101" s="88">
        <f>+'SQL Data kWh'!AC96</f>
        <v>7893434.8200000003</v>
      </c>
      <c r="D101" s="131">
        <f>+'Customer Counts'!AC96</f>
        <v>8009</v>
      </c>
      <c r="E101" s="94">
        <f>+'SQL Data kWh'!AD96</f>
        <v>4161462.4</v>
      </c>
      <c r="F101" s="131">
        <f>+'Customer Counts'!AD96</f>
        <v>1367</v>
      </c>
      <c r="G101" s="95">
        <f>+'SQL Data kWh'!AK96</f>
        <v>20670</v>
      </c>
      <c r="H101" s="131">
        <f>+'Customer Counts'!AK96</f>
        <v>30</v>
      </c>
      <c r="I101" s="88">
        <f>+'SQL Data kWh'!AN96</f>
        <v>8263937.1099999994</v>
      </c>
      <c r="J101" s="480">
        <f>+'Harris Data kW'!U95</f>
        <v>20278.699999999997</v>
      </c>
      <c r="K101" s="131">
        <f>+'Customer Counts'!AN96</f>
        <v>126</v>
      </c>
      <c r="L101" s="88">
        <f>+'SQL Data kWh'!AO96</f>
        <v>8263937.1099999994</v>
      </c>
      <c r="M101" s="480">
        <f>+'Harris Data kW'!T95</f>
        <v>20278.699999999997</v>
      </c>
      <c r="N101" s="131">
        <f>+'Customer Counts'!AN96</f>
        <v>126</v>
      </c>
      <c r="O101" s="88">
        <f>+'SQL Data kWh'!AL96</f>
        <v>63162.85</v>
      </c>
      <c r="P101" s="481">
        <f>+'Harris Data kW'!K95</f>
        <v>201.7</v>
      </c>
      <c r="Q101" s="131">
        <f>+'Customer Counts'!AL96</f>
        <v>2158</v>
      </c>
      <c r="R101" s="88">
        <f>+'SQL Data kWh'!AJ96</f>
        <v>1815794.4</v>
      </c>
      <c r="S101" s="481">
        <f>+'Harris Data kW'!S95</f>
        <v>6048</v>
      </c>
      <c r="T101" s="131">
        <f>+'Customer Counts'!AJ96</f>
        <v>1</v>
      </c>
      <c r="U101" s="282"/>
      <c r="V101" s="140">
        <f t="shared" si="3"/>
        <v>9502</v>
      </c>
    </row>
    <row r="102" spans="1:31" x14ac:dyDescent="0.2">
      <c r="A102" s="31" t="s">
        <v>145</v>
      </c>
      <c r="B102" s="20" t="s">
        <v>55</v>
      </c>
      <c r="C102" s="88">
        <f>+'SQL Data kWh'!AC97</f>
        <v>5890784.4000000004</v>
      </c>
      <c r="D102" s="131">
        <f>+'Customer Counts'!AC97</f>
        <v>8010.5</v>
      </c>
      <c r="E102" s="94">
        <f>+'SQL Data kWh'!AD97</f>
        <v>3375642.0599999996</v>
      </c>
      <c r="F102" s="131">
        <f>+'Customer Counts'!AD97</f>
        <v>1364.5</v>
      </c>
      <c r="G102" s="95">
        <f>+'SQL Data kWh'!AK97</f>
        <v>20670</v>
      </c>
      <c r="H102" s="131">
        <f>+'Customer Counts'!AK97</f>
        <v>30</v>
      </c>
      <c r="I102" s="88">
        <f>+'SQL Data kWh'!AN97</f>
        <v>7283529.7199999988</v>
      </c>
      <c r="J102" s="480">
        <f>+'Harris Data kW'!U96</f>
        <v>19935.7</v>
      </c>
      <c r="K102" s="131">
        <f>+'Customer Counts'!AN97</f>
        <v>126.5</v>
      </c>
      <c r="L102" s="88">
        <f>+'SQL Data kWh'!AO97</f>
        <v>7283529.7199999988</v>
      </c>
      <c r="M102" s="480">
        <f>+'Harris Data kW'!T96</f>
        <v>19935.7</v>
      </c>
      <c r="N102" s="131">
        <f>+'Customer Counts'!AN97</f>
        <v>126.5</v>
      </c>
      <c r="O102" s="88">
        <f>+'SQL Data kWh'!AL97</f>
        <v>67324.42</v>
      </c>
      <c r="P102" s="481">
        <f>+'Harris Data kW'!K96</f>
        <v>194.9</v>
      </c>
      <c r="Q102" s="131">
        <f>+'Customer Counts'!AL97</f>
        <v>2153</v>
      </c>
      <c r="R102" s="88">
        <f>+'SQL Data kWh'!AJ97</f>
        <v>2221352</v>
      </c>
      <c r="S102" s="481">
        <f>+'Harris Data kW'!S96</f>
        <v>7302.4</v>
      </c>
      <c r="T102" s="131">
        <f>+'Customer Counts'!AJ97</f>
        <v>1</v>
      </c>
      <c r="U102" s="282"/>
      <c r="V102" s="140">
        <f t="shared" si="3"/>
        <v>9501.5</v>
      </c>
    </row>
    <row r="103" spans="1:31" x14ac:dyDescent="0.2">
      <c r="A103" s="31" t="s">
        <v>145</v>
      </c>
      <c r="B103" s="20" t="s">
        <v>56</v>
      </c>
      <c r="C103" s="88">
        <f>+'SQL Data kWh'!AC98</f>
        <v>5150472.22</v>
      </c>
      <c r="D103" s="131">
        <f>+'Customer Counts'!AC98</f>
        <v>8017</v>
      </c>
      <c r="E103" s="94">
        <f>+'SQL Data kWh'!AD98</f>
        <v>3109174.9099999997</v>
      </c>
      <c r="F103" s="131">
        <f>+'Customer Counts'!AD98</f>
        <v>1364.5</v>
      </c>
      <c r="G103" s="95">
        <f>+'SQL Data kWh'!AK98</f>
        <v>20670</v>
      </c>
      <c r="H103" s="131">
        <f>+'Customer Counts'!AK98</f>
        <v>30</v>
      </c>
      <c r="I103" s="88">
        <f>+'SQL Data kWh'!AN98</f>
        <v>6700145.1200000001</v>
      </c>
      <c r="J103" s="480">
        <f>+'Harris Data kW'!U97</f>
        <v>19265.7</v>
      </c>
      <c r="K103" s="131">
        <f>+'Customer Counts'!AN98</f>
        <v>126.5</v>
      </c>
      <c r="L103" s="88">
        <f>+'SQL Data kWh'!AO98</f>
        <v>6700145.1200000001</v>
      </c>
      <c r="M103" s="480">
        <f>+'Harris Data kW'!T97</f>
        <v>19265.7</v>
      </c>
      <c r="N103" s="131">
        <f>+'Customer Counts'!AN98</f>
        <v>126.5</v>
      </c>
      <c r="O103" s="88">
        <f>+'SQL Data kWh'!AL98</f>
        <v>78463.98000000001</v>
      </c>
      <c r="P103" s="481">
        <f>+'Harris Data kW'!K97</f>
        <v>194.9</v>
      </c>
      <c r="Q103" s="131">
        <f>+'Customer Counts'!AL98</f>
        <v>2148</v>
      </c>
      <c r="R103" s="88">
        <f>+'SQL Data kWh'!AJ98</f>
        <v>2196280.7999999998</v>
      </c>
      <c r="S103" s="481">
        <f>+'Harris Data kW'!S97</f>
        <v>7436.8</v>
      </c>
      <c r="T103" s="131">
        <f>+'Customer Counts'!AJ98</f>
        <v>1</v>
      </c>
      <c r="U103" s="282"/>
      <c r="V103" s="140">
        <f t="shared" si="3"/>
        <v>9508</v>
      </c>
    </row>
    <row r="104" spans="1:31" x14ac:dyDescent="0.2">
      <c r="A104" s="31" t="s">
        <v>145</v>
      </c>
      <c r="B104" s="20" t="s">
        <v>57</v>
      </c>
      <c r="C104" s="88">
        <f>+'SQL Data kWh'!AC99</f>
        <v>5725680.1200000001</v>
      </c>
      <c r="D104" s="131">
        <f>+'Customer Counts'!AC99</f>
        <v>8025</v>
      </c>
      <c r="E104" s="94">
        <f>+'SQL Data kWh'!AD99</f>
        <v>3387814.87</v>
      </c>
      <c r="F104" s="131">
        <f>+'Customer Counts'!AD99</f>
        <v>1367</v>
      </c>
      <c r="G104" s="95">
        <f>+'SQL Data kWh'!AK99</f>
        <v>21927.4</v>
      </c>
      <c r="H104" s="131">
        <f>+'Customer Counts'!AK99</f>
        <v>30</v>
      </c>
      <c r="I104" s="88">
        <f>+'SQL Data kWh'!AN99</f>
        <v>6753469.8499999996</v>
      </c>
      <c r="J104" s="480">
        <f>+'Harris Data kW'!U98</f>
        <v>16834.8</v>
      </c>
      <c r="K104" s="131">
        <f>+'Customer Counts'!AN99</f>
        <v>126.5</v>
      </c>
      <c r="L104" s="88">
        <f>+'SQL Data kWh'!AO99</f>
        <v>6753469.8499999996</v>
      </c>
      <c r="M104" s="480">
        <f>+'Harris Data kW'!T98</f>
        <v>16834.8</v>
      </c>
      <c r="N104" s="131">
        <f>+'Customer Counts'!AN99</f>
        <v>126.5</v>
      </c>
      <c r="O104" s="88">
        <f>+'SQL Data kWh'!AL99</f>
        <v>83546.510000000009</v>
      </c>
      <c r="P104" s="481">
        <f>+'Harris Data kW'!K98</f>
        <v>194.9</v>
      </c>
      <c r="Q104" s="131">
        <f>+'Customer Counts'!AL99</f>
        <v>2148</v>
      </c>
      <c r="R104" s="88">
        <f>+'SQL Data kWh'!AJ99</f>
        <v>2096724</v>
      </c>
      <c r="S104" s="481">
        <f>+'Harris Data kW'!S98</f>
        <v>7033.6</v>
      </c>
      <c r="T104" s="131">
        <f>+'Customer Counts'!AJ99</f>
        <v>1</v>
      </c>
      <c r="U104" s="282"/>
      <c r="V104" s="140">
        <f t="shared" si="3"/>
        <v>9518.5</v>
      </c>
    </row>
    <row r="105" spans="1:31" x14ac:dyDescent="0.2">
      <c r="A105" s="31" t="s">
        <v>145</v>
      </c>
      <c r="B105" s="20" t="s">
        <v>54</v>
      </c>
      <c r="C105" s="88">
        <f>+'SQL Data kWh'!AC100</f>
        <v>6633836.4800000004</v>
      </c>
      <c r="D105" s="131">
        <f>+'Customer Counts'!AC100</f>
        <v>8044</v>
      </c>
      <c r="E105" s="94">
        <f>+'SQL Data kWh'!AD100</f>
        <v>3648081.22</v>
      </c>
      <c r="F105" s="131">
        <f>+'Customer Counts'!AD100</f>
        <v>1369.5</v>
      </c>
      <c r="G105" s="95">
        <f>+'SQL Data kWh'!AK100</f>
        <v>22358.75</v>
      </c>
      <c r="H105" s="131">
        <f>+'Customer Counts'!AK100</f>
        <v>30</v>
      </c>
      <c r="I105" s="88">
        <f>+'SQL Data kWh'!AN100</f>
        <v>6986406.7399999993</v>
      </c>
      <c r="J105" s="480">
        <f>+'Harris Data kW'!U99</f>
        <v>16343</v>
      </c>
      <c r="K105" s="131">
        <f>+'Customer Counts'!AN100</f>
        <v>126</v>
      </c>
      <c r="L105" s="88">
        <f>+'SQL Data kWh'!AO100</f>
        <v>6986406.7399999993</v>
      </c>
      <c r="M105" s="480">
        <f>+'Harris Data kW'!T99</f>
        <v>16343</v>
      </c>
      <c r="N105" s="131">
        <f>+'Customer Counts'!AN100</f>
        <v>126</v>
      </c>
      <c r="O105" s="88">
        <f>+'SQL Data kWh'!AL100</f>
        <v>90334.16</v>
      </c>
      <c r="P105" s="481">
        <f>+'Harris Data kW'!K99</f>
        <v>194.9</v>
      </c>
      <c r="Q105" s="131">
        <f>+'Customer Counts'!AL100</f>
        <v>2148</v>
      </c>
      <c r="R105" s="88">
        <f>+'SQL Data kWh'!AJ100</f>
        <v>2683156</v>
      </c>
      <c r="S105" s="481">
        <f>+'Harris Data kW'!S99</f>
        <v>7548.8</v>
      </c>
      <c r="T105" s="131">
        <f>+'Customer Counts'!AJ100</f>
        <v>1</v>
      </c>
      <c r="U105" s="281"/>
      <c r="V105" s="140">
        <f t="shared" si="3"/>
        <v>9539.5</v>
      </c>
    </row>
    <row r="106" spans="1:31" x14ac:dyDescent="0.2">
      <c r="A106" s="31" t="s">
        <v>317</v>
      </c>
      <c r="B106" s="20" t="s">
        <v>58</v>
      </c>
      <c r="C106" s="88">
        <f>+'SQL Data kWh'!AC101</f>
        <v>6416555.8300000001</v>
      </c>
      <c r="D106" s="131">
        <f>+'Customer Counts'!AC101</f>
        <v>8058</v>
      </c>
      <c r="E106" s="94">
        <f>+'SQL Data kWh'!AD101</f>
        <v>3670977.95</v>
      </c>
      <c r="F106" s="131">
        <f>+'Customer Counts'!AD101</f>
        <v>1376</v>
      </c>
      <c r="G106" s="95">
        <f>+'SQL Data kWh'!AK101</f>
        <v>21824.98</v>
      </c>
      <c r="H106" s="131">
        <f>+'Customer Counts'!AK101</f>
        <v>30</v>
      </c>
      <c r="I106" s="88">
        <f>+'SQL Data kWh'!AN101</f>
        <v>7001267.7000000002</v>
      </c>
      <c r="J106" s="480">
        <f>+'Harris Data kW'!U100</f>
        <v>15980.500000000002</v>
      </c>
      <c r="K106" s="131">
        <f>+'Customer Counts'!AN101</f>
        <v>125.5</v>
      </c>
      <c r="L106" s="88">
        <f>+'SQL Data kWh'!AO101</f>
        <v>7001267.7000000002</v>
      </c>
      <c r="M106" s="480">
        <f>+'Harris Data kW'!T100</f>
        <v>15980.500000000002</v>
      </c>
      <c r="N106" s="131">
        <f>+'Customer Counts'!AN101</f>
        <v>125.5</v>
      </c>
      <c r="O106" s="88">
        <f>+'SQL Data kWh'!AL101</f>
        <v>88060.77</v>
      </c>
      <c r="P106" s="481">
        <f>+'Harris Data kW'!K100</f>
        <v>194.9</v>
      </c>
      <c r="Q106" s="131">
        <f>+'Customer Counts'!AL101</f>
        <v>2148</v>
      </c>
      <c r="R106" s="88">
        <f>+'SQL Data kWh'!AJ101</f>
        <v>2563948.7999999998</v>
      </c>
      <c r="S106" s="481">
        <f>+'Harris Data kW'!S100</f>
        <v>7728</v>
      </c>
      <c r="T106" s="131">
        <f>+'Customer Counts'!AJ101</f>
        <v>1</v>
      </c>
      <c r="U106" s="282"/>
      <c r="V106" s="140">
        <f t="shared" si="3"/>
        <v>9559.5</v>
      </c>
    </row>
    <row r="107" spans="1:31" x14ac:dyDescent="0.2">
      <c r="A107" s="31" t="s">
        <v>317</v>
      </c>
      <c r="B107" s="20" t="s">
        <v>59</v>
      </c>
      <c r="C107" s="88">
        <f>+'SQL Data kWh'!AC102</f>
        <v>5990726.1900000004</v>
      </c>
      <c r="D107" s="131">
        <f>+'Customer Counts'!AC102</f>
        <v>8053.5</v>
      </c>
      <c r="E107" s="94">
        <f>+'SQL Data kWh'!AD102</f>
        <v>3507593.51</v>
      </c>
      <c r="F107" s="131">
        <f>+'Customer Counts'!AD102</f>
        <v>1382</v>
      </c>
      <c r="G107" s="95">
        <f>+'SQL Data kWh'!AK102</f>
        <v>20428.22</v>
      </c>
      <c r="H107" s="131">
        <f>+'Customer Counts'!AK102</f>
        <v>30</v>
      </c>
      <c r="I107" s="88">
        <f>+'SQL Data kWh'!AN102</f>
        <v>6575738.6299999999</v>
      </c>
      <c r="J107" s="480">
        <f>+'Harris Data kW'!U101</f>
        <v>15990.8</v>
      </c>
      <c r="K107" s="131">
        <f>+'Customer Counts'!AN102</f>
        <v>125</v>
      </c>
      <c r="L107" s="88">
        <f>+'SQL Data kWh'!AO102</f>
        <v>6575738.6299999999</v>
      </c>
      <c r="M107" s="480">
        <f>+'Harris Data kW'!T101</f>
        <v>15990.8</v>
      </c>
      <c r="N107" s="131">
        <f>+'Customer Counts'!AN102</f>
        <v>125</v>
      </c>
      <c r="O107" s="88">
        <f>+'SQL Data kWh'!AL102</f>
        <v>75914.52</v>
      </c>
      <c r="P107" s="481">
        <f>+'Harris Data kW'!K101</f>
        <v>194.9</v>
      </c>
      <c r="Q107" s="131">
        <f>+'Customer Counts'!AL102</f>
        <v>2148</v>
      </c>
      <c r="R107" s="88">
        <f>+'SQL Data kWh'!AJ102</f>
        <v>2137044</v>
      </c>
      <c r="S107" s="481">
        <f>+'Harris Data kW'!S101</f>
        <v>7123.2</v>
      </c>
      <c r="T107" s="131">
        <f>+'Customer Counts'!AJ102</f>
        <v>1</v>
      </c>
      <c r="U107" s="282"/>
      <c r="V107" s="140">
        <f t="shared" si="3"/>
        <v>9560.5</v>
      </c>
    </row>
    <row r="108" spans="1:31" x14ac:dyDescent="0.2">
      <c r="A108" s="31" t="s">
        <v>317</v>
      </c>
      <c r="B108" s="20" t="s">
        <v>60</v>
      </c>
      <c r="C108" s="88">
        <f>+'SQL Data kWh'!AC103</f>
        <v>5854681.1600000001</v>
      </c>
      <c r="D108" s="131">
        <f>+'Customer Counts'!AC103</f>
        <v>8051.5</v>
      </c>
      <c r="E108" s="94">
        <f>+'SQL Data kWh'!AD103</f>
        <v>3258352.66</v>
      </c>
      <c r="F108" s="131">
        <f>+'Customer Counts'!AD103</f>
        <v>1382</v>
      </c>
      <c r="G108" s="95">
        <f>+'SQL Data kWh'!AK103</f>
        <v>20253</v>
      </c>
      <c r="H108" s="131">
        <f>+'Customer Counts'!AK103</f>
        <v>30</v>
      </c>
      <c r="I108" s="88">
        <f>+'SQL Data kWh'!AN103</f>
        <v>6111037.3699999992</v>
      </c>
      <c r="J108" s="480">
        <f>+'Harris Data kW'!U102</f>
        <v>15482.2</v>
      </c>
      <c r="K108" s="131">
        <f>+'Customer Counts'!AN103</f>
        <v>125</v>
      </c>
      <c r="L108" s="88">
        <f>+'SQL Data kWh'!AO103</f>
        <v>6111037.3699999992</v>
      </c>
      <c r="M108" s="480">
        <f>+'Harris Data kW'!T102</f>
        <v>15482.2</v>
      </c>
      <c r="N108" s="131">
        <f>+'Customer Counts'!AN103</f>
        <v>125</v>
      </c>
      <c r="O108" s="88">
        <f>+'SQL Data kWh'!AL103</f>
        <v>72715.61</v>
      </c>
      <c r="P108" s="481">
        <f>+'Harris Data kW'!K102</f>
        <v>194.9</v>
      </c>
      <c r="Q108" s="131">
        <f>+'Customer Counts'!AL103</f>
        <v>2148</v>
      </c>
      <c r="R108" s="88">
        <f>+'SQL Data kWh'!AJ103</f>
        <v>2360316</v>
      </c>
      <c r="S108" s="481">
        <f>+'Harris Data kW'!S102</f>
        <v>7683.2</v>
      </c>
      <c r="T108" s="131">
        <f>+'Customer Counts'!AJ103</f>
        <v>1</v>
      </c>
      <c r="U108" s="282"/>
      <c r="V108" s="140">
        <f t="shared" si="3"/>
        <v>9558.5</v>
      </c>
    </row>
    <row r="109" spans="1:31" x14ac:dyDescent="0.2">
      <c r="A109" s="31" t="s">
        <v>317</v>
      </c>
      <c r="B109" s="20" t="s">
        <v>61</v>
      </c>
      <c r="C109" s="88">
        <f>+'SQL Data kWh'!AC104</f>
        <v>5544604.6900000004</v>
      </c>
      <c r="D109" s="131">
        <f>+'Customer Counts'!AC104</f>
        <v>8055.5</v>
      </c>
      <c r="E109" s="94">
        <f>+'SQL Data kWh'!AD104</f>
        <v>2676961.36</v>
      </c>
      <c r="F109" s="131">
        <f>+'Customer Counts'!AD104</f>
        <v>1383</v>
      </c>
      <c r="G109" s="95">
        <f>+'SQL Data kWh'!AK104</f>
        <v>20253</v>
      </c>
      <c r="H109" s="131">
        <f>+'Customer Counts'!AK104</f>
        <v>30</v>
      </c>
      <c r="I109" s="88">
        <f>+'SQL Data kWh'!AN104</f>
        <v>4922356.79</v>
      </c>
      <c r="J109" s="480">
        <f>+'Harris Data kW'!U103</f>
        <v>12627.4</v>
      </c>
      <c r="K109" s="131">
        <f>+'Customer Counts'!AN104</f>
        <v>124.5</v>
      </c>
      <c r="L109" s="88">
        <f>+'SQL Data kWh'!AO104</f>
        <v>4922356.79</v>
      </c>
      <c r="M109" s="480">
        <f>+'Harris Data kW'!T103</f>
        <v>12627.4</v>
      </c>
      <c r="N109" s="131">
        <f>+'Customer Counts'!AN104</f>
        <v>124.5</v>
      </c>
      <c r="O109" s="88">
        <f>+'SQL Data kWh'!AL104</f>
        <v>61689.69</v>
      </c>
      <c r="P109" s="481">
        <f>+'Harris Data kW'!K103</f>
        <v>194.9</v>
      </c>
      <c r="Q109" s="131">
        <f>+'Customer Counts'!AL104</f>
        <v>2148</v>
      </c>
      <c r="R109" s="88">
        <f>+'SQL Data kWh'!AJ104</f>
        <v>2051733.6</v>
      </c>
      <c r="S109" s="481">
        <f>+'Harris Data kW'!S103</f>
        <v>7907.2</v>
      </c>
      <c r="T109" s="131">
        <f>+'Customer Counts'!AJ104</f>
        <v>1</v>
      </c>
      <c r="U109" s="282"/>
      <c r="V109" s="140">
        <f t="shared" si="3"/>
        <v>9563</v>
      </c>
    </row>
    <row r="110" spans="1:31" x14ac:dyDescent="0.2">
      <c r="A110" s="31" t="s">
        <v>317</v>
      </c>
      <c r="B110" s="20" t="s">
        <v>62</v>
      </c>
      <c r="C110" s="88">
        <f>+'SQL Data kWh'!AC105</f>
        <v>5959071.2400000002</v>
      </c>
      <c r="D110" s="131">
        <f>+'Customer Counts'!AC105</f>
        <v>8061.5</v>
      </c>
      <c r="E110" s="94">
        <f>+'SQL Data kWh'!AD105</f>
        <v>2715772.4</v>
      </c>
      <c r="F110" s="131">
        <f>+'Customer Counts'!AD105</f>
        <v>1386.5</v>
      </c>
      <c r="G110" s="95">
        <f>+'SQL Data kWh'!AK105</f>
        <v>20253</v>
      </c>
      <c r="H110" s="131">
        <f>+'Customer Counts'!AK105</f>
        <v>30</v>
      </c>
      <c r="I110" s="88">
        <f>+'SQL Data kWh'!AN105</f>
        <v>5187975.9499999993</v>
      </c>
      <c r="J110" s="480">
        <f>+'Harris Data kW'!U104</f>
        <v>14765.73</v>
      </c>
      <c r="K110" s="131">
        <f>+'Customer Counts'!AN105</f>
        <v>124</v>
      </c>
      <c r="L110" s="88">
        <f>+'SQL Data kWh'!AO105</f>
        <v>5187975.9499999993</v>
      </c>
      <c r="M110" s="480">
        <f>+'Harris Data kW'!T104</f>
        <v>14765.73</v>
      </c>
      <c r="N110" s="131">
        <f>+'Customer Counts'!AN105</f>
        <v>124</v>
      </c>
      <c r="O110" s="88">
        <f>+'SQL Data kWh'!AL105</f>
        <v>56168.700000000004</v>
      </c>
      <c r="P110" s="481">
        <f>+'Harris Data kW'!K104</f>
        <v>194.9</v>
      </c>
      <c r="Q110" s="131">
        <f>+'Customer Counts'!AL105</f>
        <v>2148</v>
      </c>
      <c r="R110" s="88">
        <f>+'SQL Data kWh'!AJ105</f>
        <v>2100823.2000000002</v>
      </c>
      <c r="S110" s="481">
        <f>+'Harris Data kW'!S104</f>
        <v>7078.4</v>
      </c>
      <c r="T110" s="131">
        <f>+'Customer Counts'!AJ105</f>
        <v>1</v>
      </c>
      <c r="U110" s="282"/>
      <c r="V110" s="140">
        <f t="shared" si="3"/>
        <v>9572</v>
      </c>
    </row>
    <row r="111" spans="1:31" x14ac:dyDescent="0.2">
      <c r="A111" s="31" t="s">
        <v>317</v>
      </c>
      <c r="B111" s="20" t="s">
        <v>63</v>
      </c>
      <c r="C111" s="88">
        <f>+'SQL Data kWh'!AC106</f>
        <v>7386930.6799999997</v>
      </c>
      <c r="D111" s="131">
        <f>+'Customer Counts'!AC106</f>
        <v>8064.5</v>
      </c>
      <c r="E111" s="94">
        <f>+'SQL Data kWh'!AD106</f>
        <v>3183215.04</v>
      </c>
      <c r="F111" s="131">
        <f>+'Customer Counts'!AD106</f>
        <v>1389.5</v>
      </c>
      <c r="G111" s="95">
        <f>+'SQL Data kWh'!AK106</f>
        <v>20253</v>
      </c>
      <c r="H111" s="131">
        <f>+'Customer Counts'!AK106</f>
        <v>30</v>
      </c>
      <c r="I111" s="88">
        <f>+'SQL Data kWh'!AN106</f>
        <v>5949408.3499999996</v>
      </c>
      <c r="J111" s="480">
        <f>+'Harris Data kW'!U105</f>
        <v>16504.399999999998</v>
      </c>
      <c r="K111" s="131">
        <f>+'Customer Counts'!AN106</f>
        <v>124</v>
      </c>
      <c r="L111" s="88">
        <f>+'SQL Data kWh'!AO106</f>
        <v>5949408.3499999996</v>
      </c>
      <c r="M111" s="480">
        <f>+'Harris Data kW'!T105</f>
        <v>16504.399999999998</v>
      </c>
      <c r="N111" s="131">
        <f>+'Customer Counts'!AN106</f>
        <v>124</v>
      </c>
      <c r="O111" s="88">
        <f>+'SQL Data kWh'!AL106</f>
        <v>50598.81</v>
      </c>
      <c r="P111" s="481">
        <f>+'Harris Data kW'!K105</f>
        <v>194.9</v>
      </c>
      <c r="Q111" s="131">
        <f>+'Customer Counts'!AL106</f>
        <v>2148</v>
      </c>
      <c r="R111" s="88">
        <f>+'SQL Data kWh'!AJ106</f>
        <v>1685751.2</v>
      </c>
      <c r="S111" s="481">
        <f>+'Harris Data kW'!S105</f>
        <v>7593.6</v>
      </c>
      <c r="T111" s="131">
        <f>+'Customer Counts'!AJ106</f>
        <v>1</v>
      </c>
      <c r="U111" s="282"/>
      <c r="V111" s="140">
        <f t="shared" si="3"/>
        <v>9578</v>
      </c>
    </row>
    <row r="112" spans="1:31" x14ac:dyDescent="0.2">
      <c r="A112" s="31" t="s">
        <v>317</v>
      </c>
      <c r="B112" s="20" t="s">
        <v>64</v>
      </c>
      <c r="C112" s="88">
        <f>+'SQL Data kWh'!AC107</f>
        <v>10303425.300000001</v>
      </c>
      <c r="D112" s="131">
        <f>+'Customer Counts'!AC107</f>
        <v>8073.5</v>
      </c>
      <c r="E112" s="94">
        <f>+'SQL Data kWh'!AD107</f>
        <v>4292561.08</v>
      </c>
      <c r="F112" s="131">
        <f>+'Customer Counts'!AD107</f>
        <v>1390.5</v>
      </c>
      <c r="G112" s="95">
        <f>+'SQL Data kWh'!AK107</f>
        <v>20253</v>
      </c>
      <c r="H112" s="131">
        <f>+'Customer Counts'!AK107</f>
        <v>30</v>
      </c>
      <c r="I112" s="88">
        <f>+'SQL Data kWh'!AN107</f>
        <v>7563128.4299999997</v>
      </c>
      <c r="J112" s="480">
        <f>+'Harris Data kW'!U106</f>
        <v>18545.7</v>
      </c>
      <c r="K112" s="131">
        <f>+'Customer Counts'!AN107</f>
        <v>124.5</v>
      </c>
      <c r="L112" s="88">
        <f>+'SQL Data kWh'!AO107</f>
        <v>7563128.4299999997</v>
      </c>
      <c r="M112" s="480">
        <f>+'Harris Data kW'!T106</f>
        <v>18545.7</v>
      </c>
      <c r="N112" s="131">
        <f>+'Customer Counts'!AN107</f>
        <v>124.5</v>
      </c>
      <c r="O112" s="88">
        <f>+'SQL Data kWh'!AL107</f>
        <v>54333.71</v>
      </c>
      <c r="P112" s="481">
        <f>+'Harris Data kW'!K106</f>
        <v>194.9</v>
      </c>
      <c r="Q112" s="131">
        <f>+'Customer Counts'!AL107</f>
        <v>2148</v>
      </c>
      <c r="R112" s="88">
        <f>+'SQL Data kWh'!AJ107</f>
        <v>1682559.2</v>
      </c>
      <c r="S112" s="481">
        <f>+'Harris Data kW'!S106</f>
        <v>6675.2</v>
      </c>
      <c r="T112" s="131">
        <f>+'Customer Counts'!AJ107</f>
        <v>1</v>
      </c>
      <c r="U112" s="282"/>
      <c r="V112" s="140">
        <f t="shared" si="3"/>
        <v>9588.5</v>
      </c>
    </row>
    <row r="113" spans="1:22" x14ac:dyDescent="0.2">
      <c r="A113" s="31" t="s">
        <v>317</v>
      </c>
      <c r="B113" s="20" t="s">
        <v>65</v>
      </c>
      <c r="C113" s="88">
        <f>+'SQL Data kWh'!AC108</f>
        <v>8642583.5899999999</v>
      </c>
      <c r="D113" s="131">
        <f>+'Customer Counts'!AC108</f>
        <v>8087</v>
      </c>
      <c r="E113" s="94">
        <f>+'SQL Data kWh'!AD108</f>
        <v>4084294.28</v>
      </c>
      <c r="F113" s="131">
        <f>+'Customer Counts'!AD108</f>
        <v>1391</v>
      </c>
      <c r="G113" s="95">
        <f>+'SQL Data kWh'!AK108</f>
        <v>20253</v>
      </c>
      <c r="H113" s="131">
        <f>+'Customer Counts'!AK108</f>
        <v>30</v>
      </c>
      <c r="I113" s="88">
        <f>+'SQL Data kWh'!AN108</f>
        <v>7567034.4499999993</v>
      </c>
      <c r="J113" s="480">
        <f>+'Harris Data kW'!U107</f>
        <v>19010.899999999998</v>
      </c>
      <c r="K113" s="131">
        <f>+'Customer Counts'!AN108</f>
        <v>124.5</v>
      </c>
      <c r="L113" s="88">
        <f>+'SQL Data kWh'!AO108</f>
        <v>7567034.4499999993</v>
      </c>
      <c r="M113" s="480">
        <f>+'Harris Data kW'!T107</f>
        <v>19010.899999999998</v>
      </c>
      <c r="N113" s="131">
        <f>+'Customer Counts'!AN108</f>
        <v>124.5</v>
      </c>
      <c r="O113" s="88">
        <f>+'SQL Data kWh'!AL108</f>
        <v>61023.979999999996</v>
      </c>
      <c r="P113" s="481">
        <f>+'Harris Data kW'!K107</f>
        <v>194.9</v>
      </c>
      <c r="Q113" s="131">
        <f>+'Customer Counts'!AL108</f>
        <v>2148</v>
      </c>
      <c r="R113" s="88">
        <f>+'SQL Data kWh'!AJ108</f>
        <v>2005130.4</v>
      </c>
      <c r="S113" s="481">
        <f>+'Harris Data kW'!S107</f>
        <v>7033.6</v>
      </c>
      <c r="T113" s="131">
        <f>+'Customer Counts'!AJ108</f>
        <v>1</v>
      </c>
      <c r="U113" s="282"/>
      <c r="V113" s="140">
        <f t="shared" si="3"/>
        <v>9602.5</v>
      </c>
    </row>
    <row r="114" spans="1:22" x14ac:dyDescent="0.2">
      <c r="A114" s="31" t="s">
        <v>317</v>
      </c>
      <c r="B114" s="20" t="s">
        <v>55</v>
      </c>
      <c r="C114" s="88">
        <f>+'SQL Data kWh'!AC109</f>
        <v>5850879.2000000002</v>
      </c>
      <c r="D114" s="131">
        <f>+'Customer Counts'!AC109</f>
        <v>8094.5</v>
      </c>
      <c r="E114" s="94">
        <f>+'SQL Data kWh'!AD109</f>
        <v>3172680.33</v>
      </c>
      <c r="F114" s="131">
        <f>+'Customer Counts'!AD109</f>
        <v>1392.5</v>
      </c>
      <c r="G114" s="95">
        <f>+'SQL Data kWh'!AK109</f>
        <v>20253</v>
      </c>
      <c r="H114" s="131">
        <f>+'Customer Counts'!AK109</f>
        <v>30</v>
      </c>
      <c r="I114" s="88">
        <f>+'SQL Data kWh'!AN109</f>
        <v>6458736.3799999999</v>
      </c>
      <c r="J114" s="480">
        <f>+'Harris Data kW'!U108</f>
        <v>17973.399999999998</v>
      </c>
      <c r="K114" s="131">
        <f>+'Customer Counts'!AN109</f>
        <v>124</v>
      </c>
      <c r="L114" s="88">
        <f>+'SQL Data kWh'!AO109</f>
        <v>6458736.3799999999</v>
      </c>
      <c r="M114" s="480">
        <f>+'Harris Data kW'!T108</f>
        <v>17973.399999999998</v>
      </c>
      <c r="N114" s="131">
        <f>+'Customer Counts'!AN109</f>
        <v>124</v>
      </c>
      <c r="O114" s="88">
        <f>+'SQL Data kWh'!AL109</f>
        <v>67324.42</v>
      </c>
      <c r="P114" s="481">
        <f>+'Harris Data kW'!K108</f>
        <v>194.9</v>
      </c>
      <c r="Q114" s="131">
        <f>+'Customer Counts'!AL109</f>
        <v>2148</v>
      </c>
      <c r="R114" s="88">
        <f>+'SQL Data kWh'!AJ109</f>
        <v>2213288</v>
      </c>
      <c r="S114" s="481">
        <f>+'Harris Data kW'!S108</f>
        <v>7414.4</v>
      </c>
      <c r="T114" s="131">
        <f>+'Customer Counts'!AJ109</f>
        <v>1</v>
      </c>
      <c r="U114" s="282"/>
      <c r="V114" s="140">
        <f t="shared" si="3"/>
        <v>9611</v>
      </c>
    </row>
    <row r="115" spans="1:22" x14ac:dyDescent="0.2">
      <c r="A115" s="31" t="s">
        <v>317</v>
      </c>
      <c r="B115" s="20" t="s">
        <v>56</v>
      </c>
      <c r="C115" s="88">
        <f>+'SQL Data kWh'!AC110</f>
        <v>5393191.1100000003</v>
      </c>
      <c r="D115" s="131">
        <f>+'Customer Counts'!AC110</f>
        <v>8098</v>
      </c>
      <c r="E115" s="94">
        <f>+'SQL Data kWh'!AD110</f>
        <v>3001261.28</v>
      </c>
      <c r="F115" s="131">
        <f>+'Customer Counts'!AD110</f>
        <v>1395</v>
      </c>
      <c r="G115" s="95">
        <f>+'SQL Data kWh'!AK110</f>
        <v>20253</v>
      </c>
      <c r="H115" s="131">
        <f>+'Customer Counts'!AK110</f>
        <v>30</v>
      </c>
      <c r="I115" s="88">
        <f>+'SQL Data kWh'!AN110</f>
        <v>5957719.2799999993</v>
      </c>
      <c r="J115" s="480">
        <f>+'Harris Data kW'!U109</f>
        <v>15792.300000000001</v>
      </c>
      <c r="K115" s="131">
        <f>+'Customer Counts'!AN110</f>
        <v>122</v>
      </c>
      <c r="L115" s="88">
        <f>+'SQL Data kWh'!AO110</f>
        <v>5957719.2799999993</v>
      </c>
      <c r="M115" s="480">
        <f>+'Harris Data kW'!T109</f>
        <v>15792.300000000001</v>
      </c>
      <c r="N115" s="131">
        <f>+'Customer Counts'!AN110</f>
        <v>122</v>
      </c>
      <c r="O115" s="88">
        <f>+'SQL Data kWh'!AL110</f>
        <v>78463.98000000001</v>
      </c>
      <c r="P115" s="481">
        <f>+'Harris Data kW'!K109</f>
        <v>194.9</v>
      </c>
      <c r="Q115" s="131">
        <f>+'Customer Counts'!AL110</f>
        <v>2148</v>
      </c>
      <c r="R115" s="88">
        <f>+'SQL Data kWh'!AJ110</f>
        <v>2195614.4</v>
      </c>
      <c r="S115" s="481">
        <f>+'Harris Data kW'!S109</f>
        <v>7616</v>
      </c>
      <c r="T115" s="131">
        <f>+'Customer Counts'!AJ110</f>
        <v>1</v>
      </c>
      <c r="U115" s="282"/>
      <c r="V115" s="140">
        <f t="shared" si="3"/>
        <v>9615</v>
      </c>
    </row>
    <row r="116" spans="1:22" x14ac:dyDescent="0.2">
      <c r="A116" s="31" t="s">
        <v>317</v>
      </c>
      <c r="B116" s="20" t="s">
        <v>57</v>
      </c>
      <c r="C116" s="88">
        <f>+'SQL Data kWh'!AC111</f>
        <v>5523802.9300000006</v>
      </c>
      <c r="D116" s="131">
        <f>+'Customer Counts'!AC111</f>
        <v>8100.5</v>
      </c>
      <c r="E116" s="94">
        <f>+'SQL Data kWh'!AD111</f>
        <v>3048919.73</v>
      </c>
      <c r="F116" s="131">
        <f>+'Customer Counts'!AD111</f>
        <v>1395</v>
      </c>
      <c r="G116" s="95">
        <f>+'SQL Data kWh'!AK111</f>
        <v>20364.46</v>
      </c>
      <c r="H116" s="131">
        <f>+'Customer Counts'!AK111</f>
        <v>30</v>
      </c>
      <c r="I116" s="88">
        <f>+'SQL Data kWh'!AN111</f>
        <v>5900284.0599999996</v>
      </c>
      <c r="J116" s="480">
        <f>+'Harris Data kW'!U110</f>
        <v>15670.6</v>
      </c>
      <c r="K116" s="131">
        <f>+'Customer Counts'!AN111</f>
        <v>121</v>
      </c>
      <c r="L116" s="88">
        <f>+'SQL Data kWh'!AO111</f>
        <v>5900284.0599999996</v>
      </c>
      <c r="M116" s="480">
        <f>+'Harris Data kW'!T110</f>
        <v>15670.6</v>
      </c>
      <c r="N116" s="131">
        <f>+'Customer Counts'!AN111</f>
        <v>121</v>
      </c>
      <c r="O116" s="88">
        <f>+'SQL Data kWh'!AL111</f>
        <v>83546.510000000009</v>
      </c>
      <c r="P116" s="481">
        <f>+'Harris Data kW'!K110</f>
        <v>194.9</v>
      </c>
      <c r="Q116" s="131">
        <f>+'Customer Counts'!AL111</f>
        <v>2148</v>
      </c>
      <c r="R116" s="88">
        <f>+'SQL Data kWh'!AJ111</f>
        <v>2411634.4</v>
      </c>
      <c r="S116" s="481">
        <f>+'Harris Data kW'!S110</f>
        <v>7033.6</v>
      </c>
      <c r="T116" s="131">
        <f>+'Customer Counts'!AJ111</f>
        <v>1</v>
      </c>
      <c r="U116" s="282"/>
      <c r="V116" s="140">
        <f t="shared" si="3"/>
        <v>9616.5</v>
      </c>
    </row>
    <row r="117" spans="1:22" x14ac:dyDescent="0.2">
      <c r="A117" s="31" t="s">
        <v>317</v>
      </c>
      <c r="B117" s="20" t="s">
        <v>54</v>
      </c>
      <c r="C117" s="88">
        <f>+'SQL Data kWh'!AC112</f>
        <v>6862060.6400000006</v>
      </c>
      <c r="D117" s="131">
        <f>+'Customer Counts'!AC112</f>
        <v>8108.5</v>
      </c>
      <c r="E117" s="94">
        <f>+'SQL Data kWh'!AD112</f>
        <v>3430905.14</v>
      </c>
      <c r="F117" s="131">
        <f>+'Customer Counts'!AD112</f>
        <v>1393</v>
      </c>
      <c r="G117" s="95">
        <f>+'SQL Data kWh'!AK112</f>
        <v>22433.51</v>
      </c>
      <c r="H117" s="131">
        <f>+'Customer Counts'!AK112</f>
        <v>30.5</v>
      </c>
      <c r="I117" s="88">
        <f>+'SQL Data kWh'!AN112</f>
        <v>6364520.2899999991</v>
      </c>
      <c r="J117" s="480">
        <f>+'Harris Data kW'!U111</f>
        <v>14407.1</v>
      </c>
      <c r="K117" s="131">
        <f>+'Customer Counts'!AN112</f>
        <v>122.5</v>
      </c>
      <c r="L117" s="88">
        <f>+'SQL Data kWh'!AO112</f>
        <v>6364520.2899999991</v>
      </c>
      <c r="M117" s="480">
        <f>+'Harris Data kW'!T111</f>
        <v>14407.1</v>
      </c>
      <c r="N117" s="131">
        <f>+'Customer Counts'!AN112</f>
        <v>122.5</v>
      </c>
      <c r="O117" s="88">
        <f>+'SQL Data kWh'!AL112</f>
        <v>90334.16</v>
      </c>
      <c r="P117" s="481">
        <f>+'Harris Data kW'!K111</f>
        <v>194.9</v>
      </c>
      <c r="Q117" s="131">
        <f>+'Customer Counts'!AL112</f>
        <v>2148</v>
      </c>
      <c r="R117" s="88">
        <f>+'SQL Data kWh'!AJ112</f>
        <v>2368990.4</v>
      </c>
      <c r="S117" s="481">
        <f>+'Harris Data kW'!S111</f>
        <v>7056</v>
      </c>
      <c r="T117" s="131">
        <f>+'Customer Counts'!AJ112</f>
        <v>1</v>
      </c>
      <c r="U117" s="282"/>
      <c r="V117" s="140">
        <f t="shared" si="3"/>
        <v>9624</v>
      </c>
    </row>
    <row r="118" spans="1:22" x14ac:dyDescent="0.2">
      <c r="A118" s="31" t="s">
        <v>349</v>
      </c>
      <c r="B118" s="20" t="s">
        <v>58</v>
      </c>
      <c r="C118" s="88">
        <f>+'SQL Data kWh'!AC113</f>
        <v>6873355.04</v>
      </c>
      <c r="D118" s="131">
        <f>+'Customer Counts'!AC113</f>
        <v>8119.5</v>
      </c>
      <c r="E118" s="94">
        <f>+'SQL Data kWh'!AD113</f>
        <v>3352992.92</v>
      </c>
      <c r="F118" s="131">
        <f>+'Customer Counts'!AD113</f>
        <v>1396.5</v>
      </c>
      <c r="G118" s="95">
        <f>+'SQL Data kWh'!AK113</f>
        <v>22952.51</v>
      </c>
      <c r="H118" s="131">
        <f>+'Customer Counts'!AK113</f>
        <v>31</v>
      </c>
      <c r="I118" s="88">
        <f>+'SQL Data kWh'!AN113</f>
        <v>6073835.9399999995</v>
      </c>
      <c r="J118" s="480">
        <f>+'Harris Data kW'!U112</f>
        <v>13725.599999999999</v>
      </c>
      <c r="K118" s="131">
        <f>+'Customer Counts'!AN113</f>
        <v>123</v>
      </c>
      <c r="L118" s="88">
        <f>+'SQL Data kWh'!AO113</f>
        <v>6073835.9399999995</v>
      </c>
      <c r="M118" s="480">
        <f>+'Harris Data kW'!T112</f>
        <v>13725.599999999999</v>
      </c>
      <c r="N118" s="131">
        <f>+'Customer Counts'!AN113</f>
        <v>123</v>
      </c>
      <c r="O118" s="88">
        <f>+'SQL Data kWh'!AL113</f>
        <v>58658.810000000005</v>
      </c>
      <c r="P118" s="481">
        <f>+'Harris Data kW'!K112</f>
        <v>129.80000000000001</v>
      </c>
      <c r="Q118" s="131">
        <f>+'Customer Counts'!AL113</f>
        <v>2192.5</v>
      </c>
      <c r="R118" s="88">
        <f>+'SQL Data kWh'!AJ113</f>
        <v>2278981.6</v>
      </c>
      <c r="S118" s="481">
        <f>+'Harris Data kW'!S112</f>
        <v>6070.4</v>
      </c>
      <c r="T118" s="131">
        <f>+'Customer Counts'!AJ113</f>
        <v>1</v>
      </c>
      <c r="U118" s="282"/>
      <c r="V118" s="140">
        <f t="shared" si="3"/>
        <v>9639</v>
      </c>
    </row>
    <row r="119" spans="1:22" x14ac:dyDescent="0.2">
      <c r="A119" s="31" t="s">
        <v>349</v>
      </c>
      <c r="B119" s="20" t="s">
        <v>59</v>
      </c>
      <c r="C119" s="88">
        <f>+'SQL Data kWh'!AC114</f>
        <v>6334276.4399999995</v>
      </c>
      <c r="D119" s="131">
        <f>+'Customer Counts'!AC114</f>
        <v>8124</v>
      </c>
      <c r="E119" s="94">
        <f>+'SQL Data kWh'!AD114</f>
        <v>3239239.87</v>
      </c>
      <c r="F119" s="131">
        <f>+'Customer Counts'!AD114</f>
        <v>1400.5</v>
      </c>
      <c r="G119" s="95">
        <f>+'SQL Data kWh'!AK114</f>
        <v>21268.6</v>
      </c>
      <c r="H119" s="131">
        <f>+'Customer Counts'!AK114</f>
        <v>30.5</v>
      </c>
      <c r="I119" s="88">
        <f>+'SQL Data kWh'!AN114</f>
        <v>5528961.2699999996</v>
      </c>
      <c r="J119" s="480">
        <f>+'Harris Data kW'!U113</f>
        <v>13750.3</v>
      </c>
      <c r="K119" s="131">
        <f>+'Customer Counts'!AN114</f>
        <v>123</v>
      </c>
      <c r="L119" s="88">
        <f>+'SQL Data kWh'!AO114</f>
        <v>5528961.2699999996</v>
      </c>
      <c r="M119" s="480">
        <f>+'Harris Data kW'!T113</f>
        <v>13750.3</v>
      </c>
      <c r="N119" s="131">
        <f>+'Customer Counts'!AN114</f>
        <v>123</v>
      </c>
      <c r="O119" s="88">
        <f>+'SQL Data kWh'!AL114</f>
        <v>48913.05</v>
      </c>
      <c r="P119" s="481">
        <f>+'Harris Data kW'!K113</f>
        <v>129.80000000000001</v>
      </c>
      <c r="Q119" s="131">
        <f>+'Customer Counts'!AL114</f>
        <v>2237</v>
      </c>
      <c r="R119" s="88">
        <f>+'SQL Data kWh'!AJ114</f>
        <v>2144486.3999999999</v>
      </c>
      <c r="S119" s="481">
        <f>+'Harris Data kW'!S113</f>
        <v>6697.6</v>
      </c>
      <c r="T119" s="131">
        <f>+'Customer Counts'!AJ114</f>
        <v>1</v>
      </c>
      <c r="U119" s="282"/>
      <c r="V119" s="140">
        <f t="shared" si="3"/>
        <v>9647.5</v>
      </c>
    </row>
    <row r="120" spans="1:22" x14ac:dyDescent="0.2">
      <c r="A120" s="31" t="s">
        <v>349</v>
      </c>
      <c r="B120" s="20" t="s">
        <v>60</v>
      </c>
      <c r="C120" s="88">
        <f>+'SQL Data kWh'!AC115</f>
        <v>5960100.7300000004</v>
      </c>
      <c r="D120" s="131">
        <f>+'Customer Counts'!AC115</f>
        <v>8128</v>
      </c>
      <c r="E120" s="94">
        <f>+'SQL Data kWh'!AD115</f>
        <v>3311003.3400000003</v>
      </c>
      <c r="F120" s="131">
        <f>+'Customer Counts'!AD115</f>
        <v>1401</v>
      </c>
      <c r="G120" s="95">
        <f>+'SQL Data kWh'!AK115</f>
        <v>21225</v>
      </c>
      <c r="H120" s="131">
        <f>+'Customer Counts'!AK115</f>
        <v>30</v>
      </c>
      <c r="I120" s="88">
        <f>+'SQL Data kWh'!AN115</f>
        <v>5964338.3399999999</v>
      </c>
      <c r="J120" s="480">
        <f>+'Harris Data kW'!U114</f>
        <v>14696.8</v>
      </c>
      <c r="K120" s="131">
        <f>+'Customer Counts'!AN115</f>
        <v>124</v>
      </c>
      <c r="L120" s="88">
        <f>+'SQL Data kWh'!AO115</f>
        <v>5964338.3399999999</v>
      </c>
      <c r="M120" s="480">
        <f>+'Harris Data kW'!T114</f>
        <v>14696.8</v>
      </c>
      <c r="N120" s="131">
        <f>+'Customer Counts'!AN115</f>
        <v>124</v>
      </c>
      <c r="O120" s="88">
        <f>+'SQL Data kWh'!AL115</f>
        <v>48620.97</v>
      </c>
      <c r="P120" s="481">
        <f>+'Harris Data kW'!K114</f>
        <v>129.80000000000001</v>
      </c>
      <c r="Q120" s="131">
        <f>+'Customer Counts'!AL115</f>
        <v>2237</v>
      </c>
      <c r="R120" s="88">
        <f>+'SQL Data kWh'!AJ115</f>
        <v>1888992</v>
      </c>
      <c r="S120" s="481">
        <f>+'Harris Data kW'!S114</f>
        <v>6697.6</v>
      </c>
      <c r="T120" s="131">
        <f>+'Customer Counts'!AJ115</f>
        <v>1</v>
      </c>
      <c r="U120" s="282"/>
      <c r="V120" s="140">
        <f t="shared" si="3"/>
        <v>9653</v>
      </c>
    </row>
    <row r="121" spans="1:22" x14ac:dyDescent="0.2">
      <c r="A121" s="31" t="s">
        <v>349</v>
      </c>
      <c r="B121" s="20" t="s">
        <v>61</v>
      </c>
      <c r="C121" s="88">
        <f>+'SQL Data kWh'!AC116</f>
        <v>5294794.58</v>
      </c>
      <c r="D121" s="131">
        <f>+'Customer Counts'!AC116</f>
        <v>8133</v>
      </c>
      <c r="E121" s="94">
        <f>+'SQL Data kWh'!AD116</f>
        <v>2801117.26</v>
      </c>
      <c r="F121" s="131">
        <f>+'Customer Counts'!AD116</f>
        <v>1399</v>
      </c>
      <c r="G121" s="95">
        <f>+'SQL Data kWh'!AK116</f>
        <v>21225</v>
      </c>
      <c r="H121" s="131">
        <f>+'Customer Counts'!AK116</f>
        <v>30</v>
      </c>
      <c r="I121" s="88">
        <f>+'SQL Data kWh'!AN116</f>
        <v>5188672.4800000004</v>
      </c>
      <c r="J121" s="480">
        <f>+'Harris Data kW'!U115</f>
        <v>13695.600000000002</v>
      </c>
      <c r="K121" s="131">
        <f>+'Customer Counts'!AN116</f>
        <v>125</v>
      </c>
      <c r="L121" s="88">
        <f>+'SQL Data kWh'!AO116</f>
        <v>5188672.4800000004</v>
      </c>
      <c r="M121" s="480">
        <f>+'Harris Data kW'!T115</f>
        <v>13695.600000000002</v>
      </c>
      <c r="N121" s="131">
        <f>+'Customer Counts'!AN116</f>
        <v>125</v>
      </c>
      <c r="O121" s="88">
        <f>+'SQL Data kWh'!AL116</f>
        <v>41472.509999999995</v>
      </c>
      <c r="P121" s="481">
        <f>+'Harris Data kW'!K115</f>
        <v>131</v>
      </c>
      <c r="Q121" s="131">
        <f>+'Customer Counts'!AL116</f>
        <v>2245.5</v>
      </c>
      <c r="R121" s="88">
        <f>+'SQL Data kWh'!AJ116</f>
        <v>1604528.8</v>
      </c>
      <c r="S121" s="481">
        <f>+'Harris Data kW'!S115</f>
        <v>5398.4</v>
      </c>
      <c r="T121" s="131">
        <f>+'Customer Counts'!AJ116</f>
        <v>1</v>
      </c>
      <c r="U121" s="282"/>
      <c r="V121" s="140">
        <f t="shared" si="3"/>
        <v>9657</v>
      </c>
    </row>
    <row r="122" spans="1:22" x14ac:dyDescent="0.2">
      <c r="A122" s="31" t="s">
        <v>349</v>
      </c>
      <c r="B122" s="20" t="s">
        <v>62</v>
      </c>
      <c r="C122" s="88">
        <f>+'SQL Data kWh'!AC117</f>
        <v>5785032.6300000008</v>
      </c>
      <c r="D122" s="131">
        <f>+'Customer Counts'!AC117</f>
        <v>8134.5</v>
      </c>
      <c r="E122" s="94">
        <f>+'SQL Data kWh'!AD117</f>
        <v>2847027.43</v>
      </c>
      <c r="F122" s="131">
        <f>+'Customer Counts'!AD117</f>
        <v>1398.5</v>
      </c>
      <c r="G122" s="95">
        <f>+'SQL Data kWh'!AK117</f>
        <v>21225</v>
      </c>
      <c r="H122" s="131">
        <f>+'Customer Counts'!AK117</f>
        <v>30</v>
      </c>
      <c r="I122" s="88">
        <f>+'SQL Data kWh'!AN117</f>
        <v>5329440.1700000009</v>
      </c>
      <c r="J122" s="480">
        <f>+'Harris Data kW'!U116</f>
        <v>14878.099999999999</v>
      </c>
      <c r="K122" s="131">
        <f>+'Customer Counts'!AN117</f>
        <v>125</v>
      </c>
      <c r="L122" s="88">
        <f>+'SQL Data kWh'!AO117</f>
        <v>5329440.1700000009</v>
      </c>
      <c r="M122" s="480">
        <f>+'Harris Data kW'!T116</f>
        <v>14878.099999999999</v>
      </c>
      <c r="N122" s="131">
        <f>+'Customer Counts'!AN117</f>
        <v>125</v>
      </c>
      <c r="O122" s="88">
        <f>+'SQL Data kWh'!AL117</f>
        <v>37760.93</v>
      </c>
      <c r="P122" s="481">
        <f>+'Harris Data kW'!K116</f>
        <v>131</v>
      </c>
      <c r="Q122" s="131">
        <f>+'Customer Counts'!AL117</f>
        <v>2254</v>
      </c>
      <c r="R122" s="88">
        <f>+'SQL Data kWh'!AJ117</f>
        <v>1456873.6</v>
      </c>
      <c r="S122" s="481">
        <f>+'Harris Data kW'!S116</f>
        <v>6160</v>
      </c>
      <c r="T122" s="131">
        <f>+'Customer Counts'!AJ117</f>
        <v>1</v>
      </c>
      <c r="U122" s="282"/>
      <c r="V122" s="140">
        <f t="shared" si="3"/>
        <v>9658</v>
      </c>
    </row>
    <row r="123" spans="1:22" x14ac:dyDescent="0.2">
      <c r="A123" s="31" t="s">
        <v>349</v>
      </c>
      <c r="B123" s="20" t="s">
        <v>63</v>
      </c>
      <c r="C123" s="88">
        <f>+'SQL Data kWh'!AC118</f>
        <v>7424178.8499999996</v>
      </c>
      <c r="D123" s="131">
        <f>+'Customer Counts'!AC118</f>
        <v>8112</v>
      </c>
      <c r="E123" s="94">
        <f>+'SQL Data kWh'!AD118</f>
        <v>3607883.2500000005</v>
      </c>
      <c r="F123" s="131">
        <f>+'Customer Counts'!AD118</f>
        <v>1429</v>
      </c>
      <c r="G123" s="95">
        <f>+'SQL Data kWh'!AK118</f>
        <v>21225</v>
      </c>
      <c r="H123" s="131">
        <f>+'Customer Counts'!AK118</f>
        <v>30</v>
      </c>
      <c r="I123" s="88">
        <f>+'SQL Data kWh'!AN118</f>
        <v>6405448.1899999995</v>
      </c>
      <c r="J123" s="480">
        <f>+'Harris Data kW'!U117</f>
        <v>17305.800000000003</v>
      </c>
      <c r="K123" s="131">
        <f>+'Customer Counts'!AN118</f>
        <v>124.5</v>
      </c>
      <c r="L123" s="88">
        <f>+'SQL Data kWh'!AO118</f>
        <v>6405448.1899999995</v>
      </c>
      <c r="M123" s="480">
        <f>+'Harris Data kW'!T117</f>
        <v>17305.800000000003</v>
      </c>
      <c r="N123" s="131">
        <f>+'Customer Counts'!AN118</f>
        <v>124.5</v>
      </c>
      <c r="O123" s="88">
        <f>+'SQL Data kWh'!AL118</f>
        <v>34016.22</v>
      </c>
      <c r="P123" s="481">
        <f>+'Harris Data kW'!K117</f>
        <v>131</v>
      </c>
      <c r="Q123" s="131">
        <f>+'Customer Counts'!AL118</f>
        <v>2254</v>
      </c>
      <c r="R123" s="88">
        <f>+'SQL Data kWh'!AJ118</f>
        <v>1443859.2</v>
      </c>
      <c r="S123" s="481">
        <f>+'Harris Data kW'!S117</f>
        <v>6204.8</v>
      </c>
      <c r="T123" s="131">
        <f>+'Customer Counts'!AJ118</f>
        <v>1</v>
      </c>
      <c r="U123" s="282"/>
      <c r="V123" s="140">
        <f t="shared" si="3"/>
        <v>9665.5</v>
      </c>
    </row>
    <row r="124" spans="1:22" x14ac:dyDescent="0.2">
      <c r="A124" s="31" t="s">
        <v>349</v>
      </c>
      <c r="B124" s="20" t="s">
        <v>64</v>
      </c>
      <c r="C124" s="88">
        <f>+'SQL Data kWh'!AC119</f>
        <v>7874575.2599999998</v>
      </c>
      <c r="D124" s="131">
        <f>+'Customer Counts'!AC119</f>
        <v>8094.5</v>
      </c>
      <c r="E124" s="94">
        <f>+'SQL Data kWh'!AD119</f>
        <v>4122851.84</v>
      </c>
      <c r="F124" s="131">
        <f>+'Customer Counts'!AD119</f>
        <v>1459</v>
      </c>
      <c r="G124" s="95">
        <f>+'SQL Data kWh'!AK119</f>
        <v>21225</v>
      </c>
      <c r="H124" s="131">
        <f>+'Customer Counts'!AK119</f>
        <v>30</v>
      </c>
      <c r="I124" s="88">
        <f>+'SQL Data kWh'!AN119</f>
        <v>7252689.5899999999</v>
      </c>
      <c r="J124" s="480">
        <f>+'Harris Data kW'!U118</f>
        <v>18631.400000000001</v>
      </c>
      <c r="K124" s="131">
        <f>+'Customer Counts'!AN119</f>
        <v>125.5</v>
      </c>
      <c r="L124" s="88">
        <f>+'SQL Data kWh'!AO119</f>
        <v>7252689.5899999999</v>
      </c>
      <c r="M124" s="480">
        <f>+'Harris Data kW'!T118</f>
        <v>18631.400000000001</v>
      </c>
      <c r="N124" s="131">
        <f>+'Customer Counts'!AN119</f>
        <v>125.5</v>
      </c>
      <c r="O124" s="88">
        <f>+'SQL Data kWh'!AL119</f>
        <v>36527.25</v>
      </c>
      <c r="P124" s="481">
        <f>+'Harris Data kW'!K118</f>
        <v>131</v>
      </c>
      <c r="Q124" s="131">
        <f>+'Customer Counts'!AL119</f>
        <v>2254</v>
      </c>
      <c r="R124" s="88">
        <f>+'SQL Data kWh'!AJ119</f>
        <v>1411771.2</v>
      </c>
      <c r="S124" s="481">
        <f>+'Harris Data kW'!S118</f>
        <v>5286.4</v>
      </c>
      <c r="T124" s="131">
        <f>+'Customer Counts'!AJ119</f>
        <v>1</v>
      </c>
      <c r="U124" s="282"/>
      <c r="V124" s="140">
        <f t="shared" si="3"/>
        <v>9679</v>
      </c>
    </row>
    <row r="125" spans="1:22" x14ac:dyDescent="0.2">
      <c r="A125" s="31" t="s">
        <v>349</v>
      </c>
      <c r="B125" s="20" t="s">
        <v>65</v>
      </c>
      <c r="C125" s="88">
        <f>+'SQL Data kWh'!AC120</f>
        <v>9421351.6199999992</v>
      </c>
      <c r="D125" s="131">
        <f>+'Customer Counts'!AC120</f>
        <v>8100.5</v>
      </c>
      <c r="E125" s="94">
        <f>+'SQL Data kWh'!AD120</f>
        <v>4830538.01</v>
      </c>
      <c r="F125" s="131">
        <f>+'Customer Counts'!AD120</f>
        <v>1464.5</v>
      </c>
      <c r="G125" s="95">
        <f>+'SQL Data kWh'!AK120</f>
        <v>21225</v>
      </c>
      <c r="H125" s="131">
        <f>+'Customer Counts'!AK120</f>
        <v>30</v>
      </c>
      <c r="I125" s="88">
        <f>+'SQL Data kWh'!AN120</f>
        <v>8467591.5600000005</v>
      </c>
      <c r="J125" s="480">
        <f>+'Harris Data kW'!U119</f>
        <v>20232.200000000004</v>
      </c>
      <c r="K125" s="131">
        <f>+'Customer Counts'!AN120</f>
        <v>125.5</v>
      </c>
      <c r="L125" s="88">
        <f>+'SQL Data kWh'!AO120</f>
        <v>8467591.5600000005</v>
      </c>
      <c r="M125" s="480">
        <f>+'Harris Data kW'!T119</f>
        <v>20232.200000000004</v>
      </c>
      <c r="N125" s="131">
        <f>+'Customer Counts'!AN120</f>
        <v>125.5</v>
      </c>
      <c r="O125" s="88">
        <f>+'SQL Data kWh'!AL120</f>
        <v>41025.020000000004</v>
      </c>
      <c r="P125" s="481">
        <f>+'Harris Data kW'!K119</f>
        <v>131</v>
      </c>
      <c r="Q125" s="131">
        <f>+'Customer Counts'!AL120</f>
        <v>2254</v>
      </c>
      <c r="R125" s="88">
        <f>+'SQL Data kWh'!AJ120</f>
        <v>1548148</v>
      </c>
      <c r="S125" s="481">
        <f>+'Harris Data kW'!S119</f>
        <v>5040</v>
      </c>
      <c r="T125" s="131">
        <f>+'Customer Counts'!AJ120</f>
        <v>1</v>
      </c>
      <c r="U125" s="282"/>
      <c r="V125" s="140">
        <f t="shared" si="3"/>
        <v>9690.5</v>
      </c>
    </row>
    <row r="126" spans="1:22" x14ac:dyDescent="0.2">
      <c r="A126" s="31" t="s">
        <v>349</v>
      </c>
      <c r="B126" s="20" t="s">
        <v>55</v>
      </c>
      <c r="C126" s="88">
        <f>+'SQL Data kWh'!AC121</f>
        <v>6169794.1200000001</v>
      </c>
      <c r="D126" s="131">
        <f>+'Customer Counts'!AC121</f>
        <v>8103</v>
      </c>
      <c r="E126" s="94">
        <f>+'SQL Data kWh'!AD121</f>
        <v>3555595.21</v>
      </c>
      <c r="F126" s="131">
        <f>+'Customer Counts'!AD121</f>
        <v>1470.5</v>
      </c>
      <c r="G126" s="95">
        <f>+'SQL Data kWh'!AK121</f>
        <v>21424.68</v>
      </c>
      <c r="H126" s="131">
        <f>+'Customer Counts'!AK121</f>
        <v>32</v>
      </c>
      <c r="I126" s="88">
        <f>+'SQL Data kWh'!AN121</f>
        <v>6915894.1299999999</v>
      </c>
      <c r="J126" s="480">
        <f>+'Harris Data kW'!U120</f>
        <v>18769.900000000001</v>
      </c>
      <c r="K126" s="131">
        <f>+'Customer Counts'!AN121</f>
        <v>125</v>
      </c>
      <c r="L126" s="88">
        <f>+'SQL Data kWh'!AO121</f>
        <v>6915894.1299999999</v>
      </c>
      <c r="M126" s="480">
        <f>+'Harris Data kW'!T120</f>
        <v>18769.900000000001</v>
      </c>
      <c r="N126" s="131">
        <f>+'Customer Counts'!AN121</f>
        <v>125</v>
      </c>
      <c r="O126" s="88">
        <f>+'SQL Data kWh'!AL121</f>
        <v>45260.630000000005</v>
      </c>
      <c r="P126" s="481">
        <f>+'Harris Data kW'!K120</f>
        <v>131</v>
      </c>
      <c r="Q126" s="131">
        <f>+'Customer Counts'!AL121</f>
        <v>2254</v>
      </c>
      <c r="R126" s="88">
        <f>+'SQL Data kWh'!AJ121</f>
        <v>1639422.4</v>
      </c>
      <c r="S126" s="481">
        <f>+'Harris Data kW'!S120</f>
        <v>6003.2</v>
      </c>
      <c r="T126" s="131">
        <f>+'Customer Counts'!AJ121</f>
        <v>1</v>
      </c>
      <c r="U126" s="282"/>
      <c r="V126" s="140">
        <f t="shared" si="3"/>
        <v>9698.5</v>
      </c>
    </row>
    <row r="127" spans="1:22" x14ac:dyDescent="0.2">
      <c r="A127" s="31" t="s">
        <v>349</v>
      </c>
      <c r="B127" s="20" t="s">
        <v>56</v>
      </c>
      <c r="C127" s="88">
        <f>+'SQL Data kWh'!AC122</f>
        <v>5477446.1399999997</v>
      </c>
      <c r="D127" s="131">
        <f>+'Customer Counts'!AC122</f>
        <v>8110</v>
      </c>
      <c r="E127" s="94">
        <f>+'SQL Data kWh'!AD122</f>
        <v>3326364.2399999998</v>
      </c>
      <c r="F127" s="131">
        <f>+'Customer Counts'!AD122</f>
        <v>1473.5</v>
      </c>
      <c r="G127" s="95">
        <f>+'SQL Data kWh'!AK122</f>
        <v>22040.13</v>
      </c>
      <c r="H127" s="131">
        <f>+'Customer Counts'!AK122</f>
        <v>34.5</v>
      </c>
      <c r="I127" s="88">
        <f>+'SQL Data kWh'!AN122</f>
        <v>6604860.4799999995</v>
      </c>
      <c r="J127" s="480">
        <f>+'Harris Data kW'!U121</f>
        <v>17466.400000000001</v>
      </c>
      <c r="K127" s="131">
        <f>+'Customer Counts'!AN122</f>
        <v>125</v>
      </c>
      <c r="L127" s="88">
        <f>+'SQL Data kWh'!AO122</f>
        <v>6604860.4799999995</v>
      </c>
      <c r="M127" s="480">
        <f>+'Harris Data kW'!T121</f>
        <v>17466.400000000001</v>
      </c>
      <c r="N127" s="131">
        <f>+'Customer Counts'!AN122</f>
        <v>125</v>
      </c>
      <c r="O127" s="88">
        <f>+'SQL Data kWh'!AL122</f>
        <v>52749.52</v>
      </c>
      <c r="P127" s="481">
        <f>+'Harris Data kW'!K121</f>
        <v>131</v>
      </c>
      <c r="Q127" s="131">
        <f>+'Customer Counts'!AL122</f>
        <v>2254</v>
      </c>
      <c r="R127" s="88">
        <f>+'SQL Data kWh'!AJ122</f>
        <v>2076334.4</v>
      </c>
      <c r="S127" s="481">
        <f>+'Harris Data kW'!S121</f>
        <v>6809.6</v>
      </c>
      <c r="T127" s="131">
        <f>+'Customer Counts'!AJ122</f>
        <v>1</v>
      </c>
      <c r="U127" s="282"/>
      <c r="V127" s="140">
        <f t="shared" si="3"/>
        <v>9708.5</v>
      </c>
    </row>
    <row r="128" spans="1:22" x14ac:dyDescent="0.2">
      <c r="A128" s="31" t="s">
        <v>349</v>
      </c>
      <c r="B128" s="20" t="s">
        <v>57</v>
      </c>
      <c r="C128" s="88">
        <f>+'SQL Data kWh'!AC123</f>
        <v>5564159.9000000004</v>
      </c>
      <c r="D128" s="131">
        <f>+'Customer Counts'!AC123</f>
        <v>8118.5</v>
      </c>
      <c r="E128" s="94">
        <f>+'SQL Data kWh'!AD123</f>
        <v>3310241.66</v>
      </c>
      <c r="F128" s="131">
        <f>+'Customer Counts'!AD123</f>
        <v>1475.5</v>
      </c>
      <c r="G128" s="95">
        <f>+'SQL Data kWh'!AK123</f>
        <v>22508.06</v>
      </c>
      <c r="H128" s="131">
        <f>+'Customer Counts'!AK123</f>
        <v>35</v>
      </c>
      <c r="I128" s="88">
        <f>+'SQL Data kWh'!AN123</f>
        <v>6397982.96</v>
      </c>
      <c r="J128" s="480">
        <f>+'Harris Data kW'!U122</f>
        <v>16079.7</v>
      </c>
      <c r="K128" s="131">
        <f>+'Customer Counts'!AN123</f>
        <v>125</v>
      </c>
      <c r="L128" s="88">
        <f>+'SQL Data kWh'!AO123</f>
        <v>6397982.96</v>
      </c>
      <c r="M128" s="480">
        <f>+'Harris Data kW'!T122</f>
        <v>16079.7</v>
      </c>
      <c r="N128" s="131">
        <f>+'Customer Counts'!AN123</f>
        <v>125</v>
      </c>
      <c r="O128" s="88">
        <f>+'SQL Data kWh'!AL123</f>
        <v>56166.42</v>
      </c>
      <c r="P128" s="481">
        <f>+'Harris Data kW'!K122</f>
        <v>131</v>
      </c>
      <c r="Q128" s="131">
        <f>+'Customer Counts'!AL123</f>
        <v>2254</v>
      </c>
      <c r="R128" s="88">
        <f>+'SQL Data kWh'!AJ123</f>
        <v>1253078.3999999999</v>
      </c>
      <c r="S128" s="481">
        <f>+'Harris Data kW'!S122</f>
        <v>4524.8</v>
      </c>
      <c r="T128" s="131">
        <f>+'Customer Counts'!AJ123</f>
        <v>1</v>
      </c>
      <c r="U128" s="282"/>
      <c r="V128" s="140">
        <f t="shared" si="3"/>
        <v>9719</v>
      </c>
    </row>
    <row r="129" spans="1:22" x14ac:dyDescent="0.2">
      <c r="A129" s="31" t="s">
        <v>349</v>
      </c>
      <c r="B129" s="20" t="s">
        <v>54</v>
      </c>
      <c r="C129" s="88">
        <f>+'SQL Data kWh'!AC124</f>
        <v>6466655.3599999994</v>
      </c>
      <c r="D129" s="131">
        <f>+'Customer Counts'!AC124</f>
        <v>8124.5</v>
      </c>
      <c r="E129" s="94">
        <f>+'SQL Data kWh'!AD124</f>
        <v>3648041.92</v>
      </c>
      <c r="F129" s="131">
        <f>+'Customer Counts'!AD124</f>
        <v>1477</v>
      </c>
      <c r="G129" s="95">
        <f>+'SQL Data kWh'!AK124</f>
        <v>25221.25</v>
      </c>
      <c r="H129" s="131">
        <f>+'Customer Counts'!AK124</f>
        <v>40</v>
      </c>
      <c r="I129" s="88">
        <f>+'SQL Data kWh'!AN124</f>
        <v>6784925.6200000001</v>
      </c>
      <c r="J129" s="480">
        <f>+'Harris Data kW'!U123</f>
        <v>16116.400000000001</v>
      </c>
      <c r="K129" s="131">
        <f>+'Customer Counts'!AN124</f>
        <v>125</v>
      </c>
      <c r="L129" s="88">
        <f>+'SQL Data kWh'!AO124</f>
        <v>6784925.6200000001</v>
      </c>
      <c r="M129" s="480">
        <f>+'Harris Data kW'!T123</f>
        <v>16116.400000000001</v>
      </c>
      <c r="N129" s="131">
        <f>+'Customer Counts'!AN124</f>
        <v>125</v>
      </c>
      <c r="O129" s="88">
        <f>+'SQL Data kWh'!AL124</f>
        <v>60729.52</v>
      </c>
      <c r="P129" s="481">
        <f>+'Harris Data kW'!K123</f>
        <v>131</v>
      </c>
      <c r="Q129" s="131">
        <f>+'Customer Counts'!AL124</f>
        <v>2254</v>
      </c>
      <c r="R129" s="88">
        <f>+'SQL Data kWh'!AJ124</f>
        <v>389317.6</v>
      </c>
      <c r="S129" s="481">
        <f>+'Harris Data kW'!S123</f>
        <v>2486.4</v>
      </c>
      <c r="T129" s="131">
        <f>+'Customer Counts'!AJ124</f>
        <v>1</v>
      </c>
      <c r="U129" s="282"/>
      <c r="V129" s="140">
        <f t="shared" si="3"/>
        <v>9726.5</v>
      </c>
    </row>
    <row r="130" spans="1:22" x14ac:dyDescent="0.2">
      <c r="A130" s="31" t="s">
        <v>350</v>
      </c>
      <c r="B130" s="20" t="s">
        <v>58</v>
      </c>
      <c r="C130" s="88">
        <f>+'SQL Data kWh'!AC125</f>
        <v>7217029.7800000003</v>
      </c>
      <c r="D130" s="131">
        <f>+'Customer Counts'!AC125</f>
        <v>8130.5</v>
      </c>
      <c r="E130" s="94">
        <f>+'SQL Data kWh'!AD125</f>
        <v>3986517.48</v>
      </c>
      <c r="F130" s="131">
        <f>+'Customer Counts'!AD125</f>
        <v>1479</v>
      </c>
      <c r="G130" s="95">
        <f>+'SQL Data kWh'!AK125</f>
        <v>25764.35</v>
      </c>
      <c r="H130" s="131">
        <f>+'Customer Counts'!AK125</f>
        <v>45</v>
      </c>
      <c r="I130" s="88">
        <f>+'SQL Data kWh'!AN125</f>
        <v>7033087.0999999996</v>
      </c>
      <c r="J130" s="480">
        <f>+'Harris Data kW'!U124</f>
        <v>15699</v>
      </c>
      <c r="K130" s="131">
        <f>+'Customer Counts'!AN125</f>
        <v>125</v>
      </c>
      <c r="L130" s="88">
        <f>+'SQL Data kWh'!AO125</f>
        <v>7033087.0999999996</v>
      </c>
      <c r="M130" s="480">
        <f>+'Harris Data kW'!T124</f>
        <v>15699</v>
      </c>
      <c r="N130" s="131">
        <f>+'Customer Counts'!AN125</f>
        <v>125</v>
      </c>
      <c r="O130" s="88">
        <f>+'SQL Data kWh'!AL125</f>
        <v>59201.16</v>
      </c>
      <c r="P130" s="481">
        <f>+'Harris Data kW'!K124</f>
        <v>131</v>
      </c>
      <c r="Q130" s="131">
        <f>+'Customer Counts'!AL125</f>
        <v>2254</v>
      </c>
      <c r="R130" s="88">
        <f>+'SQL Data kWh'!AJ125</f>
        <v>343459.2</v>
      </c>
      <c r="S130" s="481">
        <f>+'Harris Data kW'!S124</f>
        <v>6316.8</v>
      </c>
      <c r="T130" s="131">
        <f>+'Customer Counts'!AJ125</f>
        <v>1</v>
      </c>
      <c r="U130" s="282"/>
      <c r="V130" s="140">
        <f t="shared" si="3"/>
        <v>9734.5</v>
      </c>
    </row>
    <row r="131" spans="1:22" x14ac:dyDescent="0.2">
      <c r="A131" s="31" t="s">
        <v>350</v>
      </c>
      <c r="B131" s="20" t="s">
        <v>59</v>
      </c>
      <c r="C131" s="88">
        <f>+'SQL Data kWh'!AC126</f>
        <v>6236727.6600000001</v>
      </c>
      <c r="D131" s="131">
        <f>+'Customer Counts'!AC126</f>
        <v>8136</v>
      </c>
      <c r="E131" s="94">
        <f>+'SQL Data kWh'!AD126</f>
        <v>3647310.31</v>
      </c>
      <c r="F131" s="131">
        <f>+'Customer Counts'!AD126</f>
        <v>1480</v>
      </c>
      <c r="G131" s="95">
        <f>+'SQL Data kWh'!AK126</f>
        <v>24298.68</v>
      </c>
      <c r="H131" s="131">
        <f>+'Customer Counts'!AK126</f>
        <v>45</v>
      </c>
      <c r="I131" s="88">
        <f>+'SQL Data kWh'!AN126</f>
        <v>6528039.4100000001</v>
      </c>
      <c r="J131" s="480">
        <f>+'Harris Data kW'!U125</f>
        <v>16267.999999999998</v>
      </c>
      <c r="K131" s="131">
        <f>+'Customer Counts'!AN126</f>
        <v>125</v>
      </c>
      <c r="L131" s="88">
        <f>+'SQL Data kWh'!AO126</f>
        <v>6528039.4100000001</v>
      </c>
      <c r="M131" s="480">
        <f>+'Harris Data kW'!T125</f>
        <v>16267.999999999998</v>
      </c>
      <c r="N131" s="131">
        <f>+'Customer Counts'!AN126</f>
        <v>125</v>
      </c>
      <c r="O131" s="88">
        <f>+'SQL Data kWh'!AL126</f>
        <v>49365.36</v>
      </c>
      <c r="P131" s="481">
        <f>+'Harris Data kW'!K125</f>
        <v>131</v>
      </c>
      <c r="Q131" s="131">
        <f>+'Customer Counts'!AL126</f>
        <v>2254</v>
      </c>
      <c r="R131" s="88">
        <f>+'SQL Data kWh'!AJ126</f>
        <v>191245.6</v>
      </c>
      <c r="S131" s="481">
        <f>+'Harris Data kW'!S125</f>
        <v>336</v>
      </c>
      <c r="T131" s="131">
        <f>+'Customer Counts'!AJ126</f>
        <v>1</v>
      </c>
      <c r="U131" s="282"/>
      <c r="V131" s="140">
        <f t="shared" si="3"/>
        <v>9741</v>
      </c>
    </row>
    <row r="132" spans="1:22" x14ac:dyDescent="0.2">
      <c r="A132" s="31" t="s">
        <v>350</v>
      </c>
      <c r="B132" s="20" t="s">
        <v>60</v>
      </c>
      <c r="C132" s="88">
        <f>+'SQL Data kWh'!AC127</f>
        <v>6175434.1399999997</v>
      </c>
      <c r="D132" s="131">
        <f>+'Customer Counts'!AC127</f>
        <v>8142</v>
      </c>
      <c r="E132" s="94">
        <f>+'SQL Data kWh'!AD127</f>
        <v>3759199.4699999997</v>
      </c>
      <c r="F132" s="131">
        <f>+'Customer Counts'!AD127</f>
        <v>1481</v>
      </c>
      <c r="G132" s="95">
        <f>+'SQL Data kWh'!AK127</f>
        <v>24033</v>
      </c>
      <c r="H132" s="131">
        <f>+'Customer Counts'!AK127</f>
        <v>45.5</v>
      </c>
      <c r="I132" s="88">
        <f>+'SQL Data kWh'!AN127</f>
        <v>6854824.3700000001</v>
      </c>
      <c r="J132" s="480">
        <f>+'Harris Data kW'!U126</f>
        <v>16772</v>
      </c>
      <c r="K132" s="131">
        <f>+'Customer Counts'!AN127</f>
        <v>126.5</v>
      </c>
      <c r="L132" s="88">
        <f>+'SQL Data kWh'!AO127</f>
        <v>6854824.3700000001</v>
      </c>
      <c r="M132" s="480">
        <f>+'Harris Data kW'!T126</f>
        <v>16772</v>
      </c>
      <c r="N132" s="131">
        <f>+'Customer Counts'!AN127</f>
        <v>126.5</v>
      </c>
      <c r="O132" s="88">
        <f>+'SQL Data kWh'!AL127</f>
        <v>49070.590000000004</v>
      </c>
      <c r="P132" s="481">
        <f>+'Harris Data kW'!K126</f>
        <v>131</v>
      </c>
      <c r="Q132" s="131">
        <f>+'Customer Counts'!AL127</f>
        <v>2254</v>
      </c>
      <c r="R132" s="88">
        <f>+'SQL Data kWh'!AJ127</f>
        <v>195451.2</v>
      </c>
      <c r="S132" s="481">
        <f>+'Harris Data kW'!S126</f>
        <v>784</v>
      </c>
      <c r="T132" s="131">
        <f>+'Customer Counts'!AJ127</f>
        <v>1</v>
      </c>
      <c r="U132" s="282"/>
      <c r="V132" s="140">
        <f t="shared" si="3"/>
        <v>9749.5</v>
      </c>
    </row>
    <row r="133" spans="1:22" x14ac:dyDescent="0.2">
      <c r="A133" s="31" t="s">
        <v>350</v>
      </c>
      <c r="B133" s="20" t="s">
        <v>61</v>
      </c>
      <c r="C133" s="88">
        <f>+'SQL Data kWh'!AC128</f>
        <v>5268028.83</v>
      </c>
      <c r="D133" s="131">
        <f>+'Customer Counts'!AC128</f>
        <v>8155.5</v>
      </c>
      <c r="E133" s="94">
        <f>+'SQL Data kWh'!AD128</f>
        <v>3245181.23</v>
      </c>
      <c r="F133" s="131">
        <f>+'Customer Counts'!AD128</f>
        <v>1473.5</v>
      </c>
      <c r="G133" s="95">
        <f>+'SQL Data kWh'!AK128</f>
        <v>24220.2</v>
      </c>
      <c r="H133" s="131">
        <f>+'Customer Counts'!AK128</f>
        <v>46</v>
      </c>
      <c r="I133" s="88">
        <f>+'SQL Data kWh'!AN128</f>
        <v>6101762.2699999996</v>
      </c>
      <c r="J133" s="480">
        <f>+'Harris Data kW'!U127</f>
        <v>16052.6</v>
      </c>
      <c r="K133" s="131">
        <f>+'Customer Counts'!AN128</f>
        <v>128</v>
      </c>
      <c r="L133" s="88">
        <f>+'SQL Data kWh'!AO128</f>
        <v>6101762.2699999996</v>
      </c>
      <c r="M133" s="480">
        <f>+'Harris Data kW'!T127</f>
        <v>16052.6</v>
      </c>
      <c r="N133" s="131">
        <f>+'Customer Counts'!AN128</f>
        <v>128</v>
      </c>
      <c r="O133" s="88">
        <f>+'SQL Data kWh'!AL128</f>
        <v>41472.509999999995</v>
      </c>
      <c r="P133" s="481">
        <f>+'Harris Data kW'!K127</f>
        <v>131</v>
      </c>
      <c r="Q133" s="131">
        <f>+'Customer Counts'!AL128</f>
        <v>2254</v>
      </c>
      <c r="R133" s="88">
        <f>+'SQL Data kWh'!AJ128</f>
        <v>186037.6</v>
      </c>
      <c r="S133" s="481">
        <f>+'Harris Data kW'!S127</f>
        <v>383</v>
      </c>
      <c r="T133" s="131">
        <f>+'Customer Counts'!AJ128</f>
        <v>1</v>
      </c>
      <c r="U133" s="282"/>
      <c r="V133" s="140">
        <f t="shared" si="3"/>
        <v>9757</v>
      </c>
    </row>
    <row r="134" spans="1:22" x14ac:dyDescent="0.2">
      <c r="A134" s="31" t="s">
        <v>350</v>
      </c>
      <c r="B134" s="20" t="s">
        <v>62</v>
      </c>
      <c r="C134" s="88">
        <f>+'SQL Data kWh'!AC129</f>
        <v>5721257.8700000001</v>
      </c>
      <c r="D134" s="131">
        <f>+'Customer Counts'!AC129</f>
        <v>8168.5</v>
      </c>
      <c r="E134" s="94">
        <f>+'SQL Data kWh'!AD129</f>
        <v>3391716.03</v>
      </c>
      <c r="F134" s="131">
        <f>+'Customer Counts'!AD129</f>
        <v>1464</v>
      </c>
      <c r="G134" s="95">
        <f>+'SQL Data kWh'!AK129</f>
        <v>24650.7</v>
      </c>
      <c r="H134" s="131">
        <f>+'Customer Counts'!AK129</f>
        <v>47.5</v>
      </c>
      <c r="I134" s="88">
        <f>+'SQL Data kWh'!AN129</f>
        <v>6731714.0100000007</v>
      </c>
      <c r="J134" s="480">
        <f>+'Harris Data kW'!U128</f>
        <v>19438.100000000002</v>
      </c>
      <c r="K134" s="131">
        <f>+'Customer Counts'!AN129</f>
        <v>128</v>
      </c>
      <c r="L134" s="88">
        <f>+'SQL Data kWh'!AO129</f>
        <v>6731714.0100000007</v>
      </c>
      <c r="M134" s="480">
        <f>+'Harris Data kW'!T128</f>
        <v>19438.100000000002</v>
      </c>
      <c r="N134" s="131">
        <f>+'Customer Counts'!AN129</f>
        <v>128</v>
      </c>
      <c r="O134" s="88">
        <f>+'SQL Data kWh'!AL129</f>
        <v>37760.93</v>
      </c>
      <c r="P134" s="481">
        <f>+'Harris Data kW'!K128</f>
        <v>131</v>
      </c>
      <c r="Q134" s="131">
        <f>+'Customer Counts'!AL129</f>
        <v>2254</v>
      </c>
      <c r="R134" s="88">
        <f>+'SQL Data kWh'!AJ129</f>
        <v>173056.8</v>
      </c>
      <c r="S134" s="481">
        <f>+'Harris Data kW'!S128</f>
        <v>322.60000000000002</v>
      </c>
      <c r="T134" s="131">
        <f>+'Customer Counts'!AJ129</f>
        <v>1</v>
      </c>
      <c r="U134" s="282"/>
      <c r="V134" s="140">
        <f t="shared" si="3"/>
        <v>9760.5</v>
      </c>
    </row>
    <row r="135" spans="1:22" x14ac:dyDescent="0.2">
      <c r="A135" s="31" t="s">
        <v>350</v>
      </c>
      <c r="B135" s="20" t="s">
        <v>63</v>
      </c>
      <c r="C135" s="88">
        <f>+'SQL Data kWh'!AC130</f>
        <v>6783394.3500000006</v>
      </c>
      <c r="D135" s="131">
        <f>+'Customer Counts'!AC130</f>
        <v>8174</v>
      </c>
      <c r="E135" s="94">
        <f>+'SQL Data kWh'!AD130</f>
        <v>3710954.0500000003</v>
      </c>
      <c r="F135" s="131">
        <f>+'Customer Counts'!AD130</f>
        <v>1464</v>
      </c>
      <c r="G135" s="95">
        <f>+'SQL Data kWh'!AK130</f>
        <v>24990.9</v>
      </c>
      <c r="H135" s="131">
        <f>+'Customer Counts'!AK130</f>
        <v>50</v>
      </c>
      <c r="I135" s="88">
        <f>+'SQL Data kWh'!AN130</f>
        <v>7286421.1999999993</v>
      </c>
      <c r="J135" s="480">
        <f>+'Harris Data kW'!U129</f>
        <v>20287.900000000001</v>
      </c>
      <c r="K135" s="131">
        <f>+'Customer Counts'!AN130</f>
        <v>128</v>
      </c>
      <c r="L135" s="88">
        <f>+'SQL Data kWh'!AO130</f>
        <v>7286421.1999999993</v>
      </c>
      <c r="M135" s="480">
        <f>+'Harris Data kW'!T129</f>
        <v>20287.900000000001</v>
      </c>
      <c r="N135" s="131">
        <f>+'Customer Counts'!AN130</f>
        <v>128</v>
      </c>
      <c r="O135" s="88">
        <f>+'SQL Data kWh'!AL130</f>
        <v>34016.22</v>
      </c>
      <c r="P135" s="481">
        <f>+'Harris Data kW'!K129</f>
        <v>131</v>
      </c>
      <c r="Q135" s="131">
        <f>+'Customer Counts'!AL130</f>
        <v>2254</v>
      </c>
      <c r="R135" s="88">
        <f>+'SQL Data kWh'!AJ130</f>
        <v>161610.4</v>
      </c>
      <c r="S135" s="481">
        <f>+'Harris Data kW'!S129</f>
        <v>383</v>
      </c>
      <c r="T135" s="131">
        <f>+'Customer Counts'!AJ130</f>
        <v>1</v>
      </c>
      <c r="U135" s="282"/>
      <c r="V135" s="140">
        <f t="shared" si="3"/>
        <v>9766</v>
      </c>
    </row>
    <row r="136" spans="1:22" x14ac:dyDescent="0.2">
      <c r="A136" s="31" t="s">
        <v>350</v>
      </c>
      <c r="B136" s="20" t="s">
        <v>64</v>
      </c>
      <c r="C136" s="88">
        <f>+'SQL Data kWh'!AC131</f>
        <v>8603845.1899999995</v>
      </c>
      <c r="D136" s="131">
        <f>+'Customer Counts'!AC131</f>
        <v>8182</v>
      </c>
      <c r="E136" s="94">
        <f>+'SQL Data kWh'!AD131</f>
        <v>4421359.7</v>
      </c>
      <c r="F136" s="131">
        <f>+'Customer Counts'!AD131</f>
        <v>1465.5</v>
      </c>
      <c r="G136" s="95">
        <f>+'SQL Data kWh'!AK131</f>
        <v>27354.9</v>
      </c>
      <c r="H136" s="131">
        <f>+'Customer Counts'!AK131</f>
        <v>51.5</v>
      </c>
      <c r="I136" s="88">
        <f>+'SQL Data kWh'!AN131</f>
        <v>8543384.9600000009</v>
      </c>
      <c r="J136" s="480">
        <f>+'Harris Data kW'!U130</f>
        <v>21442.5</v>
      </c>
      <c r="K136" s="131">
        <f>+'Customer Counts'!AN131</f>
        <v>126.5</v>
      </c>
      <c r="L136" s="88">
        <f>+'SQL Data kWh'!AO131</f>
        <v>8543384.9600000009</v>
      </c>
      <c r="M136" s="480">
        <f>+'Harris Data kW'!T130</f>
        <v>21442.5</v>
      </c>
      <c r="N136" s="131">
        <f>+'Customer Counts'!AN131</f>
        <v>126.5</v>
      </c>
      <c r="O136" s="88">
        <f>+'SQL Data kWh'!AL131</f>
        <v>36527.25</v>
      </c>
      <c r="P136" s="481">
        <f>+'Harris Data kW'!K130</f>
        <v>131</v>
      </c>
      <c r="Q136" s="131">
        <f>+'Customer Counts'!AL131</f>
        <v>2254</v>
      </c>
      <c r="R136" s="88">
        <f>+'SQL Data kWh'!AJ131</f>
        <v>0</v>
      </c>
      <c r="S136" s="481">
        <f>+'Harris Data kW'!S130</f>
        <v>0</v>
      </c>
      <c r="T136" s="131">
        <f>+'Customer Counts'!AJ131</f>
        <v>0</v>
      </c>
      <c r="U136" s="282"/>
      <c r="V136" s="140">
        <f t="shared" si="3"/>
        <v>9774</v>
      </c>
    </row>
    <row r="137" spans="1:22" x14ac:dyDescent="0.2">
      <c r="A137" s="31" t="s">
        <v>350</v>
      </c>
      <c r="B137" s="20" t="s">
        <v>65</v>
      </c>
      <c r="C137" s="88">
        <f>+'SQL Data kWh'!AC132</f>
        <v>8565411.1600000001</v>
      </c>
      <c r="D137" s="131">
        <f>+'Customer Counts'!AC132</f>
        <v>8189.5</v>
      </c>
      <c r="E137" s="94">
        <f>+'SQL Data kWh'!AD132</f>
        <v>4558890.95</v>
      </c>
      <c r="F137" s="131">
        <f>+'Customer Counts'!AD132</f>
        <v>1465</v>
      </c>
      <c r="G137" s="95">
        <f>+'SQL Data kWh'!AK132</f>
        <v>27964.2</v>
      </c>
      <c r="H137" s="131">
        <f>+'Customer Counts'!AK132</f>
        <v>52</v>
      </c>
      <c r="I137" s="88">
        <f>+'SQL Data kWh'!AN132</f>
        <v>8815603.790000001</v>
      </c>
      <c r="J137" s="480">
        <f>+'Harris Data kW'!U131</f>
        <v>21658.3</v>
      </c>
      <c r="K137" s="131">
        <f>+'Customer Counts'!AN132</f>
        <v>125</v>
      </c>
      <c r="L137" s="88">
        <f>+'SQL Data kWh'!AO132</f>
        <v>8815603.790000001</v>
      </c>
      <c r="M137" s="480">
        <f>+'Harris Data kW'!T131</f>
        <v>21658.3</v>
      </c>
      <c r="N137" s="131">
        <f>+'Customer Counts'!AN132</f>
        <v>125</v>
      </c>
      <c r="O137" s="88">
        <f>+'SQL Data kWh'!AL132</f>
        <v>41025.020000000004</v>
      </c>
      <c r="P137" s="481">
        <f>+'Harris Data kW'!K131</f>
        <v>131</v>
      </c>
      <c r="Q137" s="131">
        <f>+'Customer Counts'!AL132</f>
        <v>2254</v>
      </c>
      <c r="R137" s="88">
        <f>+'SQL Data kWh'!AJ132</f>
        <v>0</v>
      </c>
      <c r="S137" s="481">
        <f>+'Harris Data kW'!S131</f>
        <v>0</v>
      </c>
      <c r="T137" s="131">
        <f>+'Customer Counts'!AJ132</f>
        <v>0</v>
      </c>
      <c r="U137" s="282"/>
      <c r="V137" s="140">
        <f t="shared" si="3"/>
        <v>9779.5</v>
      </c>
    </row>
    <row r="138" spans="1:22" x14ac:dyDescent="0.2">
      <c r="A138" s="31" t="s">
        <v>350</v>
      </c>
      <c r="B138" s="20" t="s">
        <v>55</v>
      </c>
      <c r="C138" s="88">
        <f>+'SQL Data kWh'!AC133</f>
        <v>6127698.5099999998</v>
      </c>
      <c r="D138" s="131">
        <f>+'Customer Counts'!AC133</f>
        <v>8191</v>
      </c>
      <c r="E138" s="94">
        <f>+'SQL Data kWh'!AD133</f>
        <v>3505352.71</v>
      </c>
      <c r="F138" s="131">
        <f>+'Customer Counts'!AD133</f>
        <v>1466.5</v>
      </c>
      <c r="G138" s="95">
        <f>+'SQL Data kWh'!AK133</f>
        <v>27964.2</v>
      </c>
      <c r="H138" s="131">
        <f>+'Customer Counts'!AK133</f>
        <v>52</v>
      </c>
      <c r="I138" s="88">
        <f>+'SQL Data kWh'!AN133</f>
        <v>7496913.2300000004</v>
      </c>
      <c r="J138" s="480">
        <f>+'Harris Data kW'!U132</f>
        <v>20651.3</v>
      </c>
      <c r="K138" s="131">
        <f>+'Customer Counts'!AN133</f>
        <v>125</v>
      </c>
      <c r="L138" s="88">
        <f>+'SQL Data kWh'!AO133</f>
        <v>7496913.2300000004</v>
      </c>
      <c r="M138" s="480">
        <f>+'Harris Data kW'!T132</f>
        <v>20651.3</v>
      </c>
      <c r="N138" s="131">
        <f>+'Customer Counts'!AN133</f>
        <v>125</v>
      </c>
      <c r="O138" s="88">
        <f>+'SQL Data kWh'!AL133</f>
        <v>45260.630000000005</v>
      </c>
      <c r="P138" s="481">
        <f>+'Harris Data kW'!K132</f>
        <v>131</v>
      </c>
      <c r="Q138" s="131">
        <f>+'Customer Counts'!AL133</f>
        <v>2254</v>
      </c>
      <c r="R138" s="88">
        <f>+'SQL Data kWh'!AJ133</f>
        <v>0</v>
      </c>
      <c r="S138" s="481">
        <f>+'Harris Data kW'!S132</f>
        <v>0</v>
      </c>
      <c r="T138" s="131">
        <f>+'Customer Counts'!AJ133</f>
        <v>0</v>
      </c>
      <c r="U138" s="282"/>
      <c r="V138" s="140">
        <f t="shared" ref="V138:V141" si="5">+D138+F138+K138</f>
        <v>9782.5</v>
      </c>
    </row>
    <row r="139" spans="1:22" x14ac:dyDescent="0.2">
      <c r="A139" s="31" t="s">
        <v>350</v>
      </c>
      <c r="B139" s="20" t="s">
        <v>56</v>
      </c>
      <c r="C139" s="88">
        <f>+'SQL Data kWh'!AC134</f>
        <v>5208168.8899999997</v>
      </c>
      <c r="D139" s="131">
        <f>+'Customer Counts'!AC134</f>
        <v>8192.5</v>
      </c>
      <c r="E139" s="94">
        <f>+'SQL Data kWh'!AD134</f>
        <v>3170849.9600000004</v>
      </c>
      <c r="F139" s="131">
        <f>+'Customer Counts'!AD134</f>
        <v>1468.5</v>
      </c>
      <c r="G139" s="95">
        <f>+'SQL Data kWh'!AK134</f>
        <v>27964.2</v>
      </c>
      <c r="H139" s="131">
        <f>+'Customer Counts'!AK134</f>
        <v>52</v>
      </c>
      <c r="I139" s="88">
        <f>+'SQL Data kWh'!AN134</f>
        <v>6776614.2999999989</v>
      </c>
      <c r="J139" s="480">
        <f>+'Harris Data kW'!U133</f>
        <v>17888.599999999999</v>
      </c>
      <c r="K139" s="131">
        <f>+'Customer Counts'!AN134</f>
        <v>125</v>
      </c>
      <c r="L139" s="88">
        <f>+'SQL Data kWh'!AO134</f>
        <v>6776614.2999999989</v>
      </c>
      <c r="M139" s="480">
        <f>+'Harris Data kW'!T133</f>
        <v>17888.599999999999</v>
      </c>
      <c r="N139" s="131">
        <f>+'Customer Counts'!AN134</f>
        <v>125</v>
      </c>
      <c r="O139" s="88">
        <f>+'SQL Data kWh'!AL134</f>
        <v>52749.52</v>
      </c>
      <c r="P139" s="481">
        <f>+'Harris Data kW'!K133</f>
        <v>131</v>
      </c>
      <c r="Q139" s="131">
        <f>+'Customer Counts'!AL134</f>
        <v>2254</v>
      </c>
      <c r="R139" s="88">
        <f>+'SQL Data kWh'!AJ134</f>
        <v>0</v>
      </c>
      <c r="S139" s="481">
        <f>+'Harris Data kW'!S133</f>
        <v>0</v>
      </c>
      <c r="T139" s="131">
        <f>+'Customer Counts'!AJ134</f>
        <v>0</v>
      </c>
      <c r="U139" s="282"/>
      <c r="V139" s="140">
        <f t="shared" si="5"/>
        <v>9786</v>
      </c>
    </row>
    <row r="140" spans="1:22" x14ac:dyDescent="0.2">
      <c r="A140" s="31" t="s">
        <v>350</v>
      </c>
      <c r="B140" s="20" t="s">
        <v>57</v>
      </c>
      <c r="C140" s="88">
        <f>+'SQL Data kWh'!AC135</f>
        <v>5459416.3799999999</v>
      </c>
      <c r="D140" s="131">
        <f>+'Customer Counts'!AC135</f>
        <v>8199.5</v>
      </c>
      <c r="E140" s="94">
        <f>+'SQL Data kWh'!AD135</f>
        <v>3244269.92</v>
      </c>
      <c r="F140" s="131">
        <f>+'Customer Counts'!AD135</f>
        <v>1468</v>
      </c>
      <c r="G140" s="95">
        <f>+'SQL Data kWh'!AK135</f>
        <v>28019.55</v>
      </c>
      <c r="H140" s="131">
        <f>+'Customer Counts'!AK135</f>
        <v>52.5</v>
      </c>
      <c r="I140" s="88">
        <f>+'SQL Data kWh'!AN135</f>
        <v>6840721.8000000007</v>
      </c>
      <c r="J140" s="480">
        <f>+'Harris Data kW'!U134</f>
        <v>17812</v>
      </c>
      <c r="K140" s="131">
        <f>+'Customer Counts'!AN135</f>
        <v>125</v>
      </c>
      <c r="L140" s="88">
        <f>+'SQL Data kWh'!AO135</f>
        <v>6840721.8000000007</v>
      </c>
      <c r="M140" s="480">
        <f>+'Harris Data kW'!T134</f>
        <v>17812</v>
      </c>
      <c r="N140" s="131">
        <f>+'Customer Counts'!AN135</f>
        <v>125</v>
      </c>
      <c r="O140" s="88">
        <f>+'SQL Data kWh'!AL135</f>
        <v>56166.42</v>
      </c>
      <c r="P140" s="481">
        <f>+'Harris Data kW'!K134</f>
        <v>131</v>
      </c>
      <c r="Q140" s="131">
        <f>+'Customer Counts'!AL135</f>
        <v>2254</v>
      </c>
      <c r="R140" s="88">
        <f>+'SQL Data kWh'!AJ135</f>
        <v>0</v>
      </c>
      <c r="S140" s="481">
        <f>+'Harris Data kW'!S134</f>
        <v>0</v>
      </c>
      <c r="T140" s="131">
        <f>+'Customer Counts'!AJ135</f>
        <v>0</v>
      </c>
      <c r="U140" s="282"/>
      <c r="V140" s="140">
        <f t="shared" si="5"/>
        <v>9792.5</v>
      </c>
    </row>
    <row r="141" spans="1:22" x14ac:dyDescent="0.2">
      <c r="A141" s="31" t="s">
        <v>350</v>
      </c>
      <c r="B141" s="20" t="s">
        <v>54</v>
      </c>
      <c r="C141" s="88">
        <f>+'SQL Data kWh'!AC136</f>
        <v>6691915.5700000003</v>
      </c>
      <c r="D141" s="131">
        <f>+'Customer Counts'!AC136</f>
        <v>8212.5</v>
      </c>
      <c r="E141" s="94">
        <f>+'SQL Data kWh'!AD136</f>
        <v>3766568.8</v>
      </c>
      <c r="F141" s="131">
        <f>+'Customer Counts'!AD136</f>
        <v>1467</v>
      </c>
      <c r="G141" s="95">
        <f>+'SQL Data kWh'!AK136</f>
        <v>28151.4</v>
      </c>
      <c r="H141" s="131">
        <f>+'Customer Counts'!AK136</f>
        <v>60</v>
      </c>
      <c r="I141" s="88">
        <f>+'SQL Data kWh'!AN136</f>
        <v>7305795.4700000007</v>
      </c>
      <c r="J141" s="480">
        <f>+'Harris Data kW'!U135</f>
        <v>17388.399999999998</v>
      </c>
      <c r="K141" s="131">
        <f>+'Customer Counts'!AN136</f>
        <v>125</v>
      </c>
      <c r="L141" s="88">
        <f>+'SQL Data kWh'!AO136</f>
        <v>7305795.4700000007</v>
      </c>
      <c r="M141" s="480">
        <f>+'Harris Data kW'!T135</f>
        <v>17388.399999999998</v>
      </c>
      <c r="N141" s="131">
        <f>+'Customer Counts'!AN136</f>
        <v>125</v>
      </c>
      <c r="O141" s="88">
        <f>+'SQL Data kWh'!AL136</f>
        <v>60729.52</v>
      </c>
      <c r="P141" s="481">
        <f>+'Harris Data kW'!K135</f>
        <v>131</v>
      </c>
      <c r="Q141" s="131">
        <f>+'Customer Counts'!AL136</f>
        <v>2254</v>
      </c>
      <c r="R141" s="88">
        <f>+'SQL Data kWh'!AJ136</f>
        <v>0</v>
      </c>
      <c r="S141" s="481">
        <f>+'Harris Data kW'!S135</f>
        <v>0</v>
      </c>
      <c r="T141" s="131">
        <f>+'Customer Counts'!AJ136</f>
        <v>0</v>
      </c>
      <c r="V141" s="140">
        <f t="shared" si="5"/>
        <v>9804.5</v>
      </c>
    </row>
    <row r="142" spans="1:22" hidden="1" x14ac:dyDescent="0.2">
      <c r="A142" s="31" t="s">
        <v>351</v>
      </c>
      <c r="B142" s="20" t="s">
        <v>58</v>
      </c>
      <c r="C142" s="88"/>
      <c r="D142" s="131"/>
      <c r="E142" s="94"/>
      <c r="F142" s="131"/>
      <c r="G142" s="95"/>
      <c r="H142" s="131"/>
      <c r="I142" s="88"/>
      <c r="J142" s="480"/>
      <c r="K142" s="131"/>
      <c r="L142" s="88"/>
      <c r="M142" s="480"/>
      <c r="N142" s="131"/>
      <c r="O142" s="88"/>
      <c r="P142" s="481"/>
      <c r="Q142" s="131"/>
      <c r="R142" s="88"/>
      <c r="S142" s="481"/>
      <c r="T142" s="131"/>
    </row>
    <row r="143" spans="1:22" hidden="1" x14ac:dyDescent="0.2">
      <c r="A143" s="31" t="s">
        <v>351</v>
      </c>
      <c r="B143" s="20" t="s">
        <v>59</v>
      </c>
      <c r="C143" s="88"/>
      <c r="D143" s="131"/>
      <c r="E143" s="94"/>
      <c r="F143" s="131"/>
      <c r="G143" s="95"/>
      <c r="H143" s="131"/>
      <c r="I143" s="88"/>
      <c r="J143" s="480"/>
      <c r="K143" s="131"/>
      <c r="L143" s="88"/>
      <c r="M143" s="480"/>
      <c r="N143" s="131"/>
      <c r="O143" s="88"/>
      <c r="P143" s="481"/>
      <c r="Q143" s="131"/>
      <c r="R143" s="88"/>
      <c r="S143" s="481"/>
      <c r="T143" s="131"/>
    </row>
    <row r="144" spans="1:22" hidden="1" x14ac:dyDescent="0.2">
      <c r="A144" s="31" t="s">
        <v>351</v>
      </c>
      <c r="B144" s="20" t="s">
        <v>60</v>
      </c>
      <c r="C144" s="88"/>
      <c r="D144" s="131"/>
      <c r="E144" s="94"/>
      <c r="F144" s="131"/>
      <c r="G144" s="95"/>
      <c r="H144" s="131"/>
      <c r="I144" s="88"/>
      <c r="J144" s="480"/>
      <c r="K144" s="131"/>
      <c r="L144" s="88"/>
      <c r="M144" s="480"/>
      <c r="N144" s="131"/>
      <c r="O144" s="88"/>
      <c r="P144" s="481"/>
      <c r="Q144" s="131"/>
      <c r="R144" s="88"/>
      <c r="S144" s="481"/>
      <c r="T144" s="131"/>
    </row>
    <row r="145" spans="1:20" hidden="1" x14ac:dyDescent="0.2">
      <c r="A145" s="31" t="s">
        <v>351</v>
      </c>
      <c r="B145" s="20" t="s">
        <v>61</v>
      </c>
      <c r="C145" s="88"/>
      <c r="D145" s="131"/>
      <c r="E145" s="94"/>
      <c r="F145" s="131"/>
      <c r="G145" s="95"/>
      <c r="H145" s="131"/>
      <c r="I145" s="88"/>
      <c r="J145" s="480"/>
      <c r="K145" s="131"/>
      <c r="L145" s="88"/>
      <c r="M145" s="480"/>
      <c r="N145" s="131"/>
      <c r="O145" s="88"/>
      <c r="P145" s="481"/>
      <c r="Q145" s="131"/>
      <c r="R145" s="88"/>
      <c r="S145" s="481"/>
      <c r="T145" s="131"/>
    </row>
    <row r="146" spans="1:20" hidden="1" x14ac:dyDescent="0.2">
      <c r="A146" s="31" t="s">
        <v>351</v>
      </c>
      <c r="B146" s="20" t="s">
        <v>62</v>
      </c>
      <c r="C146" s="88"/>
      <c r="D146" s="131"/>
      <c r="E146" s="94"/>
      <c r="F146" s="131"/>
      <c r="G146" s="95"/>
      <c r="H146" s="131"/>
      <c r="I146" s="88"/>
      <c r="J146" s="480"/>
      <c r="K146" s="131"/>
      <c r="L146" s="88"/>
      <c r="M146" s="480"/>
      <c r="N146" s="131"/>
      <c r="O146" s="88"/>
      <c r="P146" s="481"/>
      <c r="Q146" s="131"/>
      <c r="R146" s="88"/>
      <c r="S146" s="481"/>
      <c r="T146" s="131"/>
    </row>
    <row r="147" spans="1:20" hidden="1" x14ac:dyDescent="0.2">
      <c r="A147" s="31" t="s">
        <v>351</v>
      </c>
      <c r="B147" s="20" t="s">
        <v>63</v>
      </c>
      <c r="C147" s="88"/>
      <c r="D147" s="131"/>
      <c r="E147" s="94"/>
      <c r="F147" s="131"/>
      <c r="G147" s="95"/>
      <c r="H147" s="131"/>
      <c r="I147" s="88"/>
      <c r="J147" s="480"/>
      <c r="K147" s="131"/>
      <c r="L147" s="88"/>
      <c r="M147" s="480"/>
      <c r="N147" s="131"/>
      <c r="O147" s="88"/>
      <c r="P147" s="481"/>
      <c r="Q147" s="131"/>
      <c r="R147" s="88"/>
      <c r="S147" s="481"/>
      <c r="T147" s="131"/>
    </row>
    <row r="148" spans="1:20" hidden="1" x14ac:dyDescent="0.2">
      <c r="A148" s="31" t="s">
        <v>351</v>
      </c>
      <c r="B148" s="20" t="s">
        <v>64</v>
      </c>
      <c r="C148" s="88"/>
      <c r="D148" s="131"/>
      <c r="E148" s="94"/>
      <c r="F148" s="131"/>
      <c r="G148" s="95"/>
      <c r="H148" s="131"/>
      <c r="I148" s="88"/>
      <c r="J148" s="480"/>
      <c r="K148" s="131"/>
      <c r="L148" s="88"/>
      <c r="M148" s="480"/>
      <c r="N148" s="131"/>
      <c r="O148" s="88"/>
      <c r="P148" s="481"/>
      <c r="Q148" s="131"/>
      <c r="R148" s="88"/>
      <c r="S148" s="481"/>
      <c r="T148" s="131"/>
    </row>
    <row r="149" spans="1:20" hidden="1" x14ac:dyDescent="0.2">
      <c r="A149" s="31" t="s">
        <v>351</v>
      </c>
      <c r="B149" s="20" t="s">
        <v>65</v>
      </c>
      <c r="C149" s="88"/>
      <c r="D149" s="131"/>
      <c r="E149" s="94"/>
      <c r="F149" s="131"/>
      <c r="G149" s="95"/>
      <c r="H149" s="131"/>
      <c r="I149" s="88"/>
      <c r="J149" s="480"/>
      <c r="K149" s="131"/>
      <c r="L149" s="88"/>
      <c r="M149" s="480"/>
      <c r="N149" s="131"/>
      <c r="O149" s="88"/>
      <c r="P149" s="481"/>
      <c r="Q149" s="131"/>
      <c r="R149" s="88"/>
      <c r="S149" s="481"/>
      <c r="T149" s="131"/>
    </row>
    <row r="150" spans="1:20" hidden="1" x14ac:dyDescent="0.2">
      <c r="A150" s="31" t="s">
        <v>351</v>
      </c>
      <c r="B150" s="20" t="s">
        <v>55</v>
      </c>
      <c r="C150" s="88"/>
      <c r="D150" s="131"/>
      <c r="E150" s="94"/>
      <c r="F150" s="131"/>
      <c r="G150" s="95"/>
      <c r="H150" s="131"/>
      <c r="I150" s="88"/>
      <c r="J150" s="480"/>
      <c r="K150" s="131"/>
      <c r="L150" s="88"/>
      <c r="M150" s="480"/>
      <c r="N150" s="131"/>
      <c r="O150" s="88"/>
      <c r="P150" s="481"/>
      <c r="Q150" s="131"/>
      <c r="R150" s="88"/>
      <c r="S150" s="481"/>
      <c r="T150" s="131"/>
    </row>
    <row r="151" spans="1:20" hidden="1" x14ac:dyDescent="0.2">
      <c r="A151" s="31" t="s">
        <v>351</v>
      </c>
      <c r="B151" s="20" t="s">
        <v>56</v>
      </c>
      <c r="C151" s="88"/>
      <c r="D151" s="131"/>
      <c r="E151" s="94"/>
      <c r="F151" s="131"/>
      <c r="G151" s="95"/>
      <c r="H151" s="131"/>
      <c r="I151" s="88"/>
      <c r="J151" s="480"/>
      <c r="K151" s="131"/>
      <c r="L151" s="88"/>
      <c r="M151" s="480"/>
      <c r="N151" s="131"/>
      <c r="O151" s="88"/>
      <c r="P151" s="481"/>
      <c r="Q151" s="131"/>
      <c r="R151" s="88"/>
      <c r="S151" s="481"/>
      <c r="T151" s="131"/>
    </row>
    <row r="152" spans="1:20" hidden="1" x14ac:dyDescent="0.2">
      <c r="A152" s="31" t="s">
        <v>351</v>
      </c>
      <c r="B152" s="20" t="s">
        <v>57</v>
      </c>
      <c r="C152" s="88"/>
      <c r="D152" s="131"/>
      <c r="E152" s="94"/>
      <c r="F152" s="131"/>
      <c r="G152" s="95"/>
      <c r="H152" s="131"/>
      <c r="I152" s="88"/>
      <c r="J152" s="480"/>
      <c r="K152" s="131"/>
      <c r="L152" s="88"/>
      <c r="M152" s="480"/>
      <c r="N152" s="131"/>
      <c r="O152" s="88"/>
      <c r="P152" s="481"/>
      <c r="Q152" s="131"/>
      <c r="R152" s="88"/>
      <c r="S152" s="481"/>
      <c r="T152" s="131"/>
    </row>
    <row r="153" spans="1:20" hidden="1" x14ac:dyDescent="0.2">
      <c r="A153" s="31" t="s">
        <v>351</v>
      </c>
      <c r="B153" s="20" t="s">
        <v>54</v>
      </c>
      <c r="C153" s="88"/>
      <c r="D153" s="131"/>
      <c r="E153" s="94"/>
      <c r="F153" s="131"/>
      <c r="G153" s="95"/>
      <c r="H153" s="131"/>
      <c r="I153" s="88"/>
      <c r="J153" s="480"/>
      <c r="K153" s="131"/>
      <c r="L153" s="88"/>
      <c r="M153" s="480"/>
      <c r="N153" s="131"/>
      <c r="O153" s="88"/>
      <c r="P153" s="481"/>
      <c r="Q153" s="131"/>
      <c r="R153" s="88"/>
      <c r="S153" s="481"/>
      <c r="T153" s="131"/>
    </row>
    <row r="154" spans="1:20" hidden="1" x14ac:dyDescent="0.2">
      <c r="A154" s="31" t="s">
        <v>394</v>
      </c>
      <c r="B154" s="20" t="s">
        <v>58</v>
      </c>
      <c r="C154" s="88"/>
      <c r="D154" s="131"/>
      <c r="E154" s="94"/>
      <c r="F154" s="131"/>
      <c r="G154" s="95"/>
      <c r="H154" s="131"/>
      <c r="I154" s="88"/>
      <c r="J154" s="480"/>
      <c r="K154" s="131"/>
      <c r="L154" s="88"/>
      <c r="M154" s="480"/>
      <c r="N154" s="131"/>
      <c r="O154" s="88"/>
      <c r="P154" s="481"/>
      <c r="Q154" s="131"/>
      <c r="R154" s="88"/>
      <c r="S154" s="481"/>
      <c r="T154" s="131"/>
    </row>
    <row r="155" spans="1:20" hidden="1" x14ac:dyDescent="0.2">
      <c r="A155" s="31" t="s">
        <v>394</v>
      </c>
      <c r="B155" s="20" t="s">
        <v>59</v>
      </c>
      <c r="C155" s="88"/>
      <c r="D155" s="131"/>
      <c r="E155" s="94"/>
      <c r="F155" s="131"/>
      <c r="G155" s="95"/>
      <c r="H155" s="131"/>
      <c r="I155" s="88"/>
      <c r="J155" s="480"/>
      <c r="K155" s="131"/>
      <c r="L155" s="88"/>
      <c r="M155" s="480"/>
      <c r="N155" s="131"/>
      <c r="O155" s="88"/>
      <c r="P155" s="481"/>
      <c r="Q155" s="131"/>
      <c r="R155" s="88"/>
      <c r="S155" s="481"/>
      <c r="T155" s="131"/>
    </row>
    <row r="156" spans="1:20" hidden="1" x14ac:dyDescent="0.2">
      <c r="A156" s="31" t="s">
        <v>394</v>
      </c>
      <c r="B156" s="20" t="s">
        <v>60</v>
      </c>
      <c r="C156" s="88"/>
      <c r="D156" s="131"/>
      <c r="E156" s="94"/>
      <c r="F156" s="131"/>
      <c r="G156" s="95"/>
      <c r="H156" s="131"/>
      <c r="I156" s="88"/>
      <c r="J156" s="480"/>
      <c r="K156" s="131"/>
      <c r="L156" s="88"/>
      <c r="M156" s="480"/>
      <c r="N156" s="131"/>
      <c r="O156" s="88"/>
      <c r="P156" s="481"/>
      <c r="Q156" s="131"/>
      <c r="R156" s="88"/>
      <c r="S156" s="481"/>
      <c r="T156" s="131"/>
    </row>
    <row r="157" spans="1:20" hidden="1" x14ac:dyDescent="0.2">
      <c r="A157" s="31" t="s">
        <v>394</v>
      </c>
      <c r="B157" s="20" t="s">
        <v>61</v>
      </c>
      <c r="C157" s="88"/>
      <c r="D157" s="131"/>
      <c r="E157" s="94"/>
      <c r="F157" s="131"/>
      <c r="G157" s="95"/>
      <c r="H157" s="131"/>
      <c r="I157" s="88"/>
      <c r="J157" s="480"/>
      <c r="K157" s="131"/>
      <c r="L157" s="88"/>
      <c r="M157" s="480"/>
      <c r="N157" s="131"/>
      <c r="O157" s="88"/>
      <c r="P157" s="481"/>
      <c r="Q157" s="131"/>
      <c r="R157" s="88"/>
      <c r="S157" s="481"/>
      <c r="T157" s="131"/>
    </row>
    <row r="158" spans="1:20" hidden="1" x14ac:dyDescent="0.2">
      <c r="A158" s="31" t="s">
        <v>394</v>
      </c>
      <c r="B158" s="20" t="s">
        <v>62</v>
      </c>
      <c r="C158" s="88"/>
      <c r="D158" s="131"/>
      <c r="E158" s="94"/>
      <c r="F158" s="131"/>
      <c r="G158" s="95"/>
      <c r="H158" s="131"/>
      <c r="I158" s="88"/>
      <c r="J158" s="480"/>
      <c r="K158" s="131"/>
      <c r="L158" s="88"/>
      <c r="M158" s="480"/>
      <c r="N158" s="131"/>
      <c r="O158" s="88"/>
      <c r="P158" s="481"/>
      <c r="Q158" s="131"/>
      <c r="R158" s="88"/>
      <c r="S158" s="481"/>
      <c r="T158" s="131"/>
    </row>
    <row r="159" spans="1:20" hidden="1" x14ac:dyDescent="0.2">
      <c r="A159" s="31" t="s">
        <v>394</v>
      </c>
      <c r="B159" s="20" t="s">
        <v>63</v>
      </c>
      <c r="C159" s="88"/>
      <c r="D159" s="131"/>
      <c r="E159" s="94"/>
      <c r="F159" s="131"/>
      <c r="G159" s="95"/>
      <c r="H159" s="131"/>
      <c r="I159" s="88"/>
      <c r="J159" s="480"/>
      <c r="K159" s="131"/>
      <c r="L159" s="88"/>
      <c r="M159" s="480"/>
      <c r="N159" s="131"/>
      <c r="O159" s="88"/>
      <c r="P159" s="481"/>
      <c r="Q159" s="131"/>
      <c r="R159" s="88"/>
      <c r="S159" s="481"/>
      <c r="T159" s="131"/>
    </row>
    <row r="160" spans="1:20" hidden="1" x14ac:dyDescent="0.2">
      <c r="A160" s="31" t="s">
        <v>394</v>
      </c>
      <c r="B160" s="20" t="s">
        <v>64</v>
      </c>
      <c r="C160" s="88"/>
      <c r="D160" s="131"/>
      <c r="E160" s="94"/>
      <c r="F160" s="131"/>
      <c r="G160" s="95"/>
      <c r="H160" s="131"/>
      <c r="I160" s="88"/>
      <c r="J160" s="480"/>
      <c r="K160" s="131"/>
      <c r="L160" s="88"/>
      <c r="M160" s="480"/>
      <c r="N160" s="131"/>
      <c r="O160" s="88"/>
      <c r="P160" s="481"/>
      <c r="Q160" s="131"/>
      <c r="R160" s="88"/>
      <c r="S160" s="481"/>
      <c r="T160" s="131"/>
    </row>
    <row r="161" spans="1:22" hidden="1" x14ac:dyDescent="0.2">
      <c r="A161" s="31" t="s">
        <v>394</v>
      </c>
      <c r="B161" s="20" t="s">
        <v>65</v>
      </c>
      <c r="C161" s="88"/>
      <c r="D161" s="131"/>
      <c r="E161" s="94"/>
      <c r="F161" s="131"/>
      <c r="G161" s="95"/>
      <c r="H161" s="131"/>
      <c r="I161" s="88"/>
      <c r="J161" s="480"/>
      <c r="K161" s="131"/>
      <c r="L161" s="88"/>
      <c r="M161" s="480"/>
      <c r="N161" s="131"/>
      <c r="O161" s="88"/>
      <c r="P161" s="481"/>
      <c r="Q161" s="131"/>
      <c r="R161" s="88"/>
      <c r="S161" s="481"/>
      <c r="T161" s="131"/>
    </row>
    <row r="162" spans="1:22" hidden="1" x14ac:dyDescent="0.2">
      <c r="A162" s="31" t="s">
        <v>394</v>
      </c>
      <c r="B162" s="20" t="s">
        <v>55</v>
      </c>
      <c r="C162" s="88"/>
      <c r="D162" s="131"/>
      <c r="E162" s="94"/>
      <c r="F162" s="131"/>
      <c r="G162" s="95"/>
      <c r="H162" s="131"/>
      <c r="I162" s="88"/>
      <c r="J162" s="480"/>
      <c r="K162" s="131"/>
      <c r="L162" s="88"/>
      <c r="M162" s="480"/>
      <c r="N162" s="131"/>
      <c r="O162" s="88"/>
      <c r="P162" s="481"/>
      <c r="Q162" s="131"/>
      <c r="R162" s="88"/>
      <c r="S162" s="481"/>
      <c r="T162" s="131"/>
    </row>
    <row r="163" spans="1:22" hidden="1" x14ac:dyDescent="0.2">
      <c r="A163" s="31" t="s">
        <v>394</v>
      </c>
      <c r="B163" s="20" t="s">
        <v>56</v>
      </c>
      <c r="C163" s="88"/>
      <c r="D163" s="131"/>
      <c r="E163" s="94"/>
      <c r="F163" s="131"/>
      <c r="G163" s="95"/>
      <c r="H163" s="131"/>
      <c r="I163" s="88"/>
      <c r="J163" s="480"/>
      <c r="K163" s="131"/>
      <c r="L163" s="88"/>
      <c r="M163" s="480"/>
      <c r="N163" s="131"/>
      <c r="O163" s="88"/>
      <c r="P163" s="481"/>
      <c r="Q163" s="131"/>
      <c r="R163" s="88"/>
      <c r="S163" s="481"/>
      <c r="T163" s="131"/>
    </row>
    <row r="164" spans="1:22" hidden="1" x14ac:dyDescent="0.2">
      <c r="A164" s="31" t="s">
        <v>394</v>
      </c>
      <c r="B164" s="20" t="s">
        <v>57</v>
      </c>
      <c r="C164" s="88"/>
      <c r="D164" s="131"/>
      <c r="E164" s="94"/>
      <c r="F164" s="131"/>
      <c r="G164" s="95"/>
      <c r="H164" s="131"/>
      <c r="I164" s="88"/>
      <c r="J164" s="480"/>
      <c r="K164" s="131"/>
      <c r="L164" s="88"/>
      <c r="M164" s="480"/>
      <c r="N164" s="131"/>
      <c r="O164" s="88"/>
      <c r="P164" s="481"/>
      <c r="Q164" s="131"/>
      <c r="R164" s="88"/>
      <c r="S164" s="481"/>
      <c r="T164" s="131"/>
    </row>
    <row r="165" spans="1:22" hidden="1" x14ac:dyDescent="0.2">
      <c r="A165" s="31" t="s">
        <v>394</v>
      </c>
      <c r="B165" s="20" t="s">
        <v>54</v>
      </c>
      <c r="C165" s="88"/>
      <c r="D165" s="131"/>
      <c r="E165" s="94"/>
      <c r="F165" s="131"/>
      <c r="G165" s="95"/>
      <c r="H165" s="131"/>
      <c r="I165" s="88"/>
      <c r="J165" s="480"/>
      <c r="K165" s="131"/>
      <c r="L165" s="88"/>
      <c r="M165" s="480"/>
      <c r="N165" s="131"/>
      <c r="O165" s="88"/>
      <c r="P165" s="481"/>
      <c r="Q165" s="131"/>
      <c r="R165" s="88"/>
      <c r="S165" s="481"/>
      <c r="T165" s="131"/>
    </row>
    <row r="166" spans="1:22" x14ac:dyDescent="0.2">
      <c r="A166" s="537"/>
      <c r="B166" s="538"/>
      <c r="O166" s="21"/>
      <c r="P166" s="21"/>
      <c r="R166" s="21"/>
      <c r="S166" s="21"/>
    </row>
    <row r="167" spans="1:22" x14ac:dyDescent="0.2">
      <c r="A167" s="31" t="s">
        <v>318</v>
      </c>
      <c r="B167" s="20" t="s">
        <v>15</v>
      </c>
      <c r="C167" s="170">
        <f>SUM(C10:C21)</f>
        <v>67086975.060000002</v>
      </c>
      <c r="D167" s="75">
        <f>IF(ISERROR(AVERAGE(D10:D21)),0,AVERAGE(D10:D21))</f>
        <v>6715.833333333333</v>
      </c>
      <c r="E167" s="170">
        <f>SUM(E10:E21)</f>
        <v>35374878.009999998</v>
      </c>
      <c r="F167" s="75">
        <f>IF(ISERROR(AVERAGE(F10:F21)),0,AVERAGE(F10:F21))</f>
        <v>1270.5416666666667</v>
      </c>
      <c r="G167" s="170">
        <f>SUM(G10:G21)</f>
        <v>226393.8</v>
      </c>
      <c r="H167" s="75">
        <f>IF(ISERROR(AVERAGE(H10:H21)),0,AVERAGE(H10:H21))</f>
        <v>20.791666666666668</v>
      </c>
      <c r="I167" s="170">
        <f>SUM(I10:I21)</f>
        <v>79052380.799999997</v>
      </c>
      <c r="J167" s="74">
        <f>SUM(J10:J21)</f>
        <v>202737.81</v>
      </c>
      <c r="K167" s="75">
        <f>IF(ISERROR(AVERAGE(K10:K21)),0,AVERAGE(K10:K21))</f>
        <v>118.04166666666667</v>
      </c>
      <c r="L167" s="170">
        <f>SUM(L10:L21)</f>
        <v>79052380.799999997</v>
      </c>
      <c r="M167" s="74">
        <f>SUM(M10:M21)</f>
        <v>202737.81</v>
      </c>
      <c r="N167" s="75">
        <f>IF(ISERROR(AVERAGE(N10:N21)),0,AVERAGE(N10:N21))</f>
        <v>118.04166666666667</v>
      </c>
      <c r="O167" s="170">
        <f>SUM(O10:O21)</f>
        <v>1163464.3800000001</v>
      </c>
      <c r="P167" s="74">
        <f>SUM(P10:P21)</f>
        <v>3238.8</v>
      </c>
      <c r="Q167" s="75">
        <f>IF(ISERROR(AVERAGE(Q10:Q21)),0,AVERAGE(Q10:Q21))</f>
        <v>1946.75</v>
      </c>
      <c r="R167" s="170">
        <f>SUM(R10:R21)</f>
        <v>0</v>
      </c>
      <c r="S167" s="74">
        <f>SUM(S10:S21)</f>
        <v>0</v>
      </c>
      <c r="T167" s="75">
        <f>IF(ISERROR(AVERAGE(T10:T21)),0,AVERAGE(T10:T21))</f>
        <v>0</v>
      </c>
      <c r="U167" s="173"/>
      <c r="V167" s="60">
        <f>+C167+E167+G167+I167++O167+R167</f>
        <v>182904092.04999998</v>
      </c>
    </row>
    <row r="168" spans="1:22" x14ac:dyDescent="0.2">
      <c r="A168" s="492">
        <f t="shared" ref="A168:A182" si="6">+A167+1</f>
        <v>2013</v>
      </c>
      <c r="B168" s="20" t="s">
        <v>15</v>
      </c>
      <c r="C168" s="170">
        <f>SUM(C22:C33)</f>
        <v>68126808.569999993</v>
      </c>
      <c r="D168" s="75">
        <f>IF(ISERROR(AVERAGE(D22:D33)),0,AVERAGE(D22:D33))</f>
        <v>6912.208333333333</v>
      </c>
      <c r="E168" s="170">
        <f>SUM(E22:E33)</f>
        <v>35291130.910000004</v>
      </c>
      <c r="F168" s="75">
        <f>IF(ISERROR(AVERAGE(F22:F33)),0,AVERAGE(F22:F33))</f>
        <v>1219.5416666666667</v>
      </c>
      <c r="G168" s="170">
        <f>SUM(G22:G33)</f>
        <v>234467.23</v>
      </c>
      <c r="H168" s="75">
        <f>IF(ISERROR(AVERAGE(H22:H33)),0,AVERAGE(H22:H33))</f>
        <v>20.125</v>
      </c>
      <c r="I168" s="170">
        <f>SUM(I22:I33)</f>
        <v>79002498.220000014</v>
      </c>
      <c r="J168" s="74">
        <f>SUM(J22:J33)</f>
        <v>204592.81999999998</v>
      </c>
      <c r="K168" s="75">
        <f>IF(ISERROR(AVERAGE(K22:K33)),0,AVERAGE(K22:K33))</f>
        <v>117.41666666666667</v>
      </c>
      <c r="L168" s="170">
        <f>SUM(L22:L33)</f>
        <v>79002498.220000014</v>
      </c>
      <c r="M168" s="74">
        <f>SUM(M22:M33)</f>
        <v>204592.81999999998</v>
      </c>
      <c r="N168" s="75">
        <f>IF(ISERROR(AVERAGE(N22:N33)),0,AVERAGE(N22:N33))</f>
        <v>117.41666666666667</v>
      </c>
      <c r="O168" s="170">
        <f>SUM(O22:O33)</f>
        <v>1160023.9100000001</v>
      </c>
      <c r="P168" s="74">
        <f>SUM(P22:P33)</f>
        <v>3256.79</v>
      </c>
      <c r="Q168" s="75">
        <f>IF(ISERROR(AVERAGE(Q22:Q33)),0,AVERAGE(Q22:Q33))</f>
        <v>1948.75</v>
      </c>
      <c r="R168" s="170">
        <f>SUM(R22:R33)</f>
        <v>0</v>
      </c>
      <c r="S168" s="74">
        <f>SUM(S22:S33)</f>
        <v>0</v>
      </c>
      <c r="T168" s="75">
        <f>IF(ISERROR(AVERAGE(T22:T33)),0,AVERAGE(T22:T33))</f>
        <v>0</v>
      </c>
      <c r="U168" s="173"/>
      <c r="V168" s="60">
        <f t="shared" ref="V168:V179" si="7">+C168+E168+G168+I168++O168+R168</f>
        <v>183814928.84</v>
      </c>
    </row>
    <row r="169" spans="1:22" x14ac:dyDescent="0.2">
      <c r="A169" s="492">
        <f t="shared" si="6"/>
        <v>2014</v>
      </c>
      <c r="B169" s="20" t="s">
        <v>15</v>
      </c>
      <c r="C169" s="170">
        <f>SUM(C34:C45)</f>
        <v>68599527.920000017</v>
      </c>
      <c r="D169" s="75">
        <f>IF(ISERROR(AVERAGE(D34:D45)),0,AVERAGE(D34:D45))</f>
        <v>7105.125</v>
      </c>
      <c r="E169" s="170">
        <f>SUM(E34:E45)</f>
        <v>39288460.370000005</v>
      </c>
      <c r="F169" s="75">
        <f>IF(ISERROR(AVERAGE(F34:F45)),0,AVERAGE(F34:F45))</f>
        <v>1303.4166666666667</v>
      </c>
      <c r="G169" s="170">
        <f>SUM(G34:G45)</f>
        <v>230816.74</v>
      </c>
      <c r="H169" s="75">
        <f>IF(ISERROR(AVERAGE(H34:H45)),0,AVERAGE(H34:H45))</f>
        <v>19.541666666666668</v>
      </c>
      <c r="I169" s="170">
        <f>SUM(I34:I45)</f>
        <v>81212452.609999999</v>
      </c>
      <c r="J169" s="74">
        <f>SUM(J34:J45)</f>
        <v>208042.52000000002</v>
      </c>
      <c r="K169" s="75">
        <f>IF(ISERROR(AVERAGE(K34:K45)),0,AVERAGE(K34:K45))</f>
        <v>128.41666666666666</v>
      </c>
      <c r="L169" s="170">
        <f>SUM(L34:L45)</f>
        <v>81059408.360000014</v>
      </c>
      <c r="M169" s="74">
        <f>SUM(M34:M45)</f>
        <v>207725.21000000002</v>
      </c>
      <c r="N169" s="75">
        <f>IF(ISERROR(AVERAGE(N34:N45)),0,AVERAGE(N34:N45))</f>
        <v>128.41666666666666</v>
      </c>
      <c r="O169" s="170">
        <f>SUM(O34:O45)</f>
        <v>1160025.06</v>
      </c>
      <c r="P169" s="74">
        <f>SUM(P34:P45)</f>
        <v>3238.8</v>
      </c>
      <c r="Q169" s="75">
        <f>IF(ISERROR(AVERAGE(Q34:Q45)),0,AVERAGE(Q34:Q45))</f>
        <v>2051.3333333333335</v>
      </c>
      <c r="R169" s="170">
        <f>SUM(R34:R45)</f>
        <v>0</v>
      </c>
      <c r="S169" s="74">
        <f>SUM(S34:S45)</f>
        <v>0</v>
      </c>
      <c r="T169" s="75">
        <f>IF(ISERROR(AVERAGE(T34:T45)),0,AVERAGE(T34:T45))</f>
        <v>0</v>
      </c>
      <c r="U169" s="173"/>
      <c r="V169" s="60">
        <f t="shared" si="7"/>
        <v>190491282.70000002</v>
      </c>
    </row>
    <row r="170" spans="1:22" x14ac:dyDescent="0.2">
      <c r="A170" s="492">
        <f t="shared" si="6"/>
        <v>2015</v>
      </c>
      <c r="B170" s="20" t="s">
        <v>15</v>
      </c>
      <c r="C170" s="170">
        <f>SUM(C46:C57)</f>
        <v>69624978.280000001</v>
      </c>
      <c r="D170" s="75">
        <f>IF(ISERROR(AVERAGE(D46:D57)),0,AVERAGE(D46:D57))</f>
        <v>7380.791666666667</v>
      </c>
      <c r="E170" s="170">
        <f>SUM(E46:E57)</f>
        <v>41172287.869999997</v>
      </c>
      <c r="F170" s="75">
        <f>IF(ISERROR(AVERAGE(F46:F57)),0,AVERAGE(F46:F57))</f>
        <v>1322.875</v>
      </c>
      <c r="G170" s="170">
        <f>SUM(G46:G57)</f>
        <v>224901.2</v>
      </c>
      <c r="H170" s="75">
        <f>IF(ISERROR(AVERAGE(H46:H57)),0,AVERAGE(H46:H57))</f>
        <v>18.25</v>
      </c>
      <c r="I170" s="170">
        <f>SUM(I46:I57)</f>
        <v>82616767.769999981</v>
      </c>
      <c r="J170" s="74">
        <f>SUM(J46:J57)</f>
        <v>212938.05000000002</v>
      </c>
      <c r="K170" s="75">
        <f>IF(ISERROR(AVERAGE(K46:K57)),0,AVERAGE(K46:K57))</f>
        <v>126.66666666666667</v>
      </c>
      <c r="L170" s="170">
        <f>SUM(L46:L57)</f>
        <v>82154482.049999997</v>
      </c>
      <c r="M170" s="74">
        <f>SUM(M46:M57)</f>
        <v>211971.81999999995</v>
      </c>
      <c r="N170" s="75">
        <f>IF(ISERROR(AVERAGE(N46:N57)),0,AVERAGE(N46:N57))</f>
        <v>126.66666666666667</v>
      </c>
      <c r="O170" s="170">
        <f>SUM(O46:O57)</f>
        <v>974371.32000000007</v>
      </c>
      <c r="P170" s="74">
        <f>SUM(P46:P57)</f>
        <v>2742.9900000000007</v>
      </c>
      <c r="Q170" s="75">
        <f>IF(ISERROR(AVERAGE(Q46:Q57)),0,AVERAGE(Q46:Q57))</f>
        <v>2080.75</v>
      </c>
      <c r="R170" s="170">
        <f>SUM(R46:R57)</f>
        <v>0</v>
      </c>
      <c r="S170" s="74">
        <f>SUM(S46:S57)</f>
        <v>0</v>
      </c>
      <c r="T170" s="75">
        <f>IF(ISERROR(AVERAGE(T46:T57)),0,AVERAGE(T46:T57))</f>
        <v>0</v>
      </c>
      <c r="U170" s="173"/>
      <c r="V170" s="60">
        <f t="shared" si="7"/>
        <v>194613306.44</v>
      </c>
    </row>
    <row r="171" spans="1:22" x14ac:dyDescent="0.2">
      <c r="A171" s="492">
        <f t="shared" si="6"/>
        <v>2016</v>
      </c>
      <c r="B171" s="20" t="s">
        <v>15</v>
      </c>
      <c r="C171" s="170">
        <f>SUM(C58:C69)</f>
        <v>74189661.459999993</v>
      </c>
      <c r="D171" s="75">
        <f>IF(ISERROR(AVERAGE(D58:D69)),0,AVERAGE(D58:D69))</f>
        <v>7655.958333333333</v>
      </c>
      <c r="E171" s="170">
        <f>SUM(E58:E69)</f>
        <v>43510840.949999996</v>
      </c>
      <c r="F171" s="75">
        <f>IF(ISERROR(AVERAGE(F58:F69)),0,AVERAGE(F58:F69))</f>
        <v>1313.0416666666667</v>
      </c>
      <c r="G171" s="170">
        <f>SUM(G58:G69)</f>
        <v>224075.16999999998</v>
      </c>
      <c r="H171" s="75">
        <f>IF(ISERROR(AVERAGE(H58:H69)),0,AVERAGE(H58:H69))</f>
        <v>16.833333333333332</v>
      </c>
      <c r="I171" s="170">
        <f>SUM(I58:I69)</f>
        <v>83681623.590000004</v>
      </c>
      <c r="J171" s="74">
        <f>SUM(J58:J69)</f>
        <v>208695.71</v>
      </c>
      <c r="K171" s="75">
        <f>IF(ISERROR(AVERAGE(K58:K69)),0,AVERAGE(K58:K69))</f>
        <v>118.08333333333333</v>
      </c>
      <c r="L171" s="170">
        <f>SUM(L58:L69)</f>
        <v>82141168.920000002</v>
      </c>
      <c r="M171" s="74">
        <f>SUM(M58:M69)</f>
        <v>205191.06</v>
      </c>
      <c r="N171" s="75">
        <f>IF(ISERROR(AVERAGE(N58:N69)),0,AVERAGE(N58:N69))</f>
        <v>118.08333333333333</v>
      </c>
      <c r="O171" s="170">
        <f>SUM(O58:O69)</f>
        <v>861899.34000000008</v>
      </c>
      <c r="P171" s="74">
        <f>SUM(P58:P69)</f>
        <v>2373.42</v>
      </c>
      <c r="Q171" s="75">
        <f>IF(ISERROR(AVERAGE(Q58:Q69)),0,AVERAGE(Q58:Q69))</f>
        <v>2120.1666666666665</v>
      </c>
      <c r="R171" s="170">
        <f>SUM(R58:R69)</f>
        <v>0</v>
      </c>
      <c r="S171" s="74">
        <f>SUM(S58:S69)</f>
        <v>0</v>
      </c>
      <c r="T171" s="75">
        <f>IF(ISERROR(AVERAGE(T58:T69)),0,AVERAGE(T58:T69))</f>
        <v>0</v>
      </c>
      <c r="U171" s="173"/>
      <c r="V171" s="60">
        <f t="shared" si="7"/>
        <v>202468100.51000002</v>
      </c>
    </row>
    <row r="172" spans="1:22" ht="14.25" customHeight="1" x14ac:dyDescent="0.2">
      <c r="A172" s="492">
        <f t="shared" si="6"/>
        <v>2017</v>
      </c>
      <c r="B172" s="20" t="s">
        <v>15</v>
      </c>
      <c r="C172" s="170">
        <f>SUM(C70:C81)</f>
        <v>71056558.450000003</v>
      </c>
      <c r="D172" s="75">
        <f>IF(ISERROR(AVERAGE(D70:D81)),0,AVERAGE(D70:D81))</f>
        <v>7832.25</v>
      </c>
      <c r="E172" s="170">
        <f>SUM(E70:E81)</f>
        <v>40903499.839999996</v>
      </c>
      <c r="F172" s="75">
        <f>IF(ISERROR(AVERAGE(F70:F81)),0,AVERAGE(F70:F81))</f>
        <v>1329.6666666666667</v>
      </c>
      <c r="G172" s="170">
        <f>SUM(G70:G81)</f>
        <v>250759.37</v>
      </c>
      <c r="H172" s="75">
        <f>IF(ISERROR(AVERAGE(H70:H81)),0,AVERAGE(H70:H81))</f>
        <v>24.416666666666668</v>
      </c>
      <c r="I172" s="170">
        <f>SUM(I70:I81)</f>
        <v>84208017.00999999</v>
      </c>
      <c r="J172" s="74">
        <f>SUM(J70:J81)</f>
        <v>209336.48999999996</v>
      </c>
      <c r="K172" s="75">
        <f>IF(ISERROR(AVERAGE(K70:K81)),0,AVERAGE(K70:K81))</f>
        <v>128.45833333333334</v>
      </c>
      <c r="L172" s="170">
        <f>SUM(L70:L81)</f>
        <v>81615396.029999986</v>
      </c>
      <c r="M172" s="74">
        <f>SUM(M70:M81)</f>
        <v>203219.85</v>
      </c>
      <c r="N172" s="75">
        <f>IF(ISERROR(AVERAGE(N70:N81)),0,AVERAGE(N70:N81))</f>
        <v>128.45833333333334</v>
      </c>
      <c r="O172" s="170">
        <f>SUM(O70:O81)</f>
        <v>858843.55</v>
      </c>
      <c r="P172" s="74">
        <f>SUM(P70:P81)</f>
        <v>2399.7999999999997</v>
      </c>
      <c r="Q172" s="75">
        <f>IF(ISERROR(AVERAGE(Q70:Q81)),0,AVERAGE(Q70:Q81))</f>
        <v>2123.9166666666665</v>
      </c>
      <c r="R172" s="170">
        <f>SUM(R70:R81)</f>
        <v>0</v>
      </c>
      <c r="S172" s="74">
        <f>SUM(S70:S81)</f>
        <v>0</v>
      </c>
      <c r="T172" s="75">
        <f>IF(ISERROR(AVERAGE(T70:T81)),0,AVERAGE(T70:T81))</f>
        <v>0</v>
      </c>
      <c r="U172" s="173"/>
      <c r="V172" s="60">
        <f t="shared" si="7"/>
        <v>197277678.22</v>
      </c>
    </row>
    <row r="173" spans="1:22" x14ac:dyDescent="0.2">
      <c r="A173" s="492">
        <f t="shared" si="6"/>
        <v>2018</v>
      </c>
      <c r="B173" s="20" t="s">
        <v>15</v>
      </c>
      <c r="C173" s="170">
        <f>SUM(C82:C93)</f>
        <v>76998170.200000003</v>
      </c>
      <c r="D173" s="75">
        <f>IF(ISERROR(AVERAGE(D82:D93)),0,AVERAGE(D82:D93))</f>
        <v>7917.458333333333</v>
      </c>
      <c r="E173" s="170">
        <f>SUM(E82:E93)</f>
        <v>42666832.449999996</v>
      </c>
      <c r="F173" s="75">
        <f>IF(ISERROR(AVERAGE(F82:F93)),0,AVERAGE(F82:F93))</f>
        <v>1335.4166666666667</v>
      </c>
      <c r="G173" s="170">
        <f>SUM(G82:G93)</f>
        <v>264992.59000000003</v>
      </c>
      <c r="H173" s="75">
        <f>IF(ISERROR(AVERAGE(H82:H93)),0,AVERAGE(H82:H93))</f>
        <v>27.083333333333332</v>
      </c>
      <c r="I173" s="170">
        <f>SUM(I82:I93)</f>
        <v>97006700.459999979</v>
      </c>
      <c r="J173" s="74">
        <f>SUM(J82:J93)</f>
        <v>254384.34000000003</v>
      </c>
      <c r="K173" s="75">
        <f>IF(ISERROR(AVERAGE(K82:K93)),0,AVERAGE(K82:K93))</f>
        <v>125.75</v>
      </c>
      <c r="L173" s="170">
        <f>SUM(L82:L93)</f>
        <v>85949902.679999992</v>
      </c>
      <c r="M173" s="74">
        <f>SUM(M82:M93)</f>
        <v>218902.42</v>
      </c>
      <c r="N173" s="75">
        <f>IF(ISERROR(AVERAGE(N82:N93)),0,AVERAGE(N82:N93))</f>
        <v>125.75</v>
      </c>
      <c r="O173" s="170">
        <f>SUM(O82:O93)</f>
        <v>856925.36999999988</v>
      </c>
      <c r="P173" s="74">
        <f>SUM(P82:P93)</f>
        <v>2390.9999999999995</v>
      </c>
      <c r="Q173" s="75">
        <f>IF(ISERROR(AVERAGE(Q82:Q93)),0,AVERAGE(Q82:Q93))</f>
        <v>2116</v>
      </c>
      <c r="R173" s="170">
        <f>SUM(R82:R93)</f>
        <v>0</v>
      </c>
      <c r="S173" s="74">
        <f>SUM(S82:S93)</f>
        <v>0</v>
      </c>
      <c r="T173" s="75">
        <f>IF(ISERROR(AVERAGE(T82:T93)),0,AVERAGE(T82:T93))</f>
        <v>0</v>
      </c>
      <c r="U173" s="173"/>
      <c r="V173" s="60">
        <f t="shared" si="7"/>
        <v>217793621.06999999</v>
      </c>
    </row>
    <row r="174" spans="1:22" x14ac:dyDescent="0.2">
      <c r="A174" s="492">
        <f t="shared" si="6"/>
        <v>2019</v>
      </c>
      <c r="B174" s="20" t="s">
        <v>15</v>
      </c>
      <c r="C174" s="170">
        <f>SUM(C94:C105)</f>
        <v>75007657.649999991</v>
      </c>
      <c r="D174" s="75">
        <f>IF(ISERROR(AVERAGE(D94:D105)),0,AVERAGE(D94:D105))</f>
        <v>8011.291666666667</v>
      </c>
      <c r="E174" s="170">
        <f>SUM(E94:E105)</f>
        <v>42173377.249999993</v>
      </c>
      <c r="F174" s="75">
        <f>IF(ISERROR(AVERAGE(F94:F105)),0,AVERAGE(F94:F105))</f>
        <v>1363.125</v>
      </c>
      <c r="G174" s="170">
        <f>SUM(G94:G105)</f>
        <v>254507.88999999998</v>
      </c>
      <c r="H174" s="75">
        <f>IF(ISERROR(AVERAGE(H94:H105)),0,AVERAGE(H94:H105))</f>
        <v>29.708333333333332</v>
      </c>
      <c r="I174" s="170">
        <f>SUM(I94:I105)</f>
        <v>94000918.169999987</v>
      </c>
      <c r="J174" s="74">
        <f>SUM(J94:J105)</f>
        <v>245987.35000000003</v>
      </c>
      <c r="K174" s="75">
        <f>IF(ISERROR(AVERAGE(K94:K105)),0,AVERAGE(K94:K105))</f>
        <v>126.125</v>
      </c>
      <c r="L174" s="170">
        <f>SUM(L94:L105)</f>
        <v>85448962.169999987</v>
      </c>
      <c r="M174" s="74">
        <f>SUM(M94:M105)</f>
        <v>217248.15000000002</v>
      </c>
      <c r="N174" s="75">
        <f>IF(ISERROR(AVERAGE(N94:N105)),0,AVERAGE(N94:N105))</f>
        <v>126.125</v>
      </c>
      <c r="O174" s="170">
        <f>SUM(O94:O105)</f>
        <v>854489.3600000001</v>
      </c>
      <c r="P174" s="74">
        <f>SUM(P94:P105)</f>
        <v>2389.4600000000005</v>
      </c>
      <c r="Q174" s="75">
        <f>IF(ISERROR(AVERAGE(Q94:Q105)),0,AVERAGE(Q94:Q105))</f>
        <v>2153.3333333333335</v>
      </c>
      <c r="R174" s="170">
        <f>SUM(R94:R105)</f>
        <v>17267572</v>
      </c>
      <c r="S174" s="74">
        <f>SUM(S94:S105)</f>
        <v>56470.400000000009</v>
      </c>
      <c r="T174" s="75">
        <f>IF(ISERROR(AVERAGE(T94:T105)),0,AVERAGE(T94:T105))</f>
        <v>0.66666666666666663</v>
      </c>
      <c r="U174" s="173"/>
      <c r="V174" s="60">
        <f t="shared" si="7"/>
        <v>229558522.31999999</v>
      </c>
    </row>
    <row r="175" spans="1:22" x14ac:dyDescent="0.2">
      <c r="A175" s="492">
        <f t="shared" si="6"/>
        <v>2020</v>
      </c>
      <c r="B175" s="20" t="s">
        <v>15</v>
      </c>
      <c r="C175" s="170">
        <f>SUM(C106:C117)</f>
        <v>79728512.560000017</v>
      </c>
      <c r="D175" s="75">
        <f>IF(ISERROR(AVERAGE(D106:D117)),0,AVERAGE(D106:D117))</f>
        <v>8075.541666666667</v>
      </c>
      <c r="E175" s="170">
        <f>SUM(E106:E117)</f>
        <v>40043494.759999998</v>
      </c>
      <c r="F175" s="75">
        <f>IF(ISERROR(AVERAGE(F106:F117)),0,AVERAGE(F106:F117))</f>
        <v>1388</v>
      </c>
      <c r="G175" s="170">
        <f>SUM(G106:G117)</f>
        <v>247075.17</v>
      </c>
      <c r="H175" s="75">
        <f>IF(ISERROR(AVERAGE(H106:H117)),0,AVERAGE(H106:H117))</f>
        <v>30.041666666666668</v>
      </c>
      <c r="I175" s="170">
        <f>SUM(I106:I117)</f>
        <v>75559207.680000007</v>
      </c>
      <c r="J175" s="74">
        <f>SUM(J106:J117)</f>
        <v>192751.03</v>
      </c>
      <c r="K175" s="75">
        <f>IF(ISERROR(AVERAGE(K106:K117)),0,AVERAGE(K106:K117))</f>
        <v>123.875</v>
      </c>
      <c r="L175" s="170">
        <f>SUM(L106:L117)</f>
        <v>75559207.680000007</v>
      </c>
      <c r="M175" s="74">
        <f>SUM(M106:M117)</f>
        <v>192751.03</v>
      </c>
      <c r="N175" s="75">
        <f>IF(ISERROR(AVERAGE(N106:N117)),0,AVERAGE(N106:N117))</f>
        <v>123.875</v>
      </c>
      <c r="O175" s="170">
        <f>SUM(O106:O117)</f>
        <v>840174.8600000001</v>
      </c>
      <c r="P175" s="74">
        <f>SUM(P106:P117)</f>
        <v>2338.8000000000006</v>
      </c>
      <c r="Q175" s="75">
        <f>IF(ISERROR(AVERAGE(Q106:Q117)),0,AVERAGE(Q106:Q117))</f>
        <v>2148</v>
      </c>
      <c r="R175" s="170">
        <f>SUM(R106:R117)</f>
        <v>25776833.599999994</v>
      </c>
      <c r="S175" s="74">
        <f>SUM(S106:S117)</f>
        <v>87942.399999999994</v>
      </c>
      <c r="T175" s="75">
        <f>IF(ISERROR(AVERAGE(T106:T117)),0,AVERAGE(T106:T117))</f>
        <v>1</v>
      </c>
      <c r="U175" s="173"/>
      <c r="V175" s="60">
        <f t="shared" si="7"/>
        <v>222195298.63000003</v>
      </c>
    </row>
    <row r="176" spans="1:22" x14ac:dyDescent="0.2">
      <c r="A176" s="492">
        <f t="shared" si="6"/>
        <v>2021</v>
      </c>
      <c r="B176" s="20" t="s">
        <v>15</v>
      </c>
      <c r="C176" s="170">
        <f>SUM(C118:C129)</f>
        <v>78645720.670000002</v>
      </c>
      <c r="D176" s="75">
        <f>IF(ISERROR(AVERAGE(D118:D129)),0,AVERAGE(D118:D129))</f>
        <v>8116.833333333333</v>
      </c>
      <c r="E176" s="170">
        <f>SUM(E118:E129)</f>
        <v>41952896.950000003</v>
      </c>
      <c r="F176" s="75">
        <f>IF(ISERROR(AVERAGE(F118:F129)),0,AVERAGE(F118:F129))</f>
        <v>1437.0416666666667</v>
      </c>
      <c r="G176" s="170">
        <f>SUM(G118:G129)</f>
        <v>262765.23</v>
      </c>
      <c r="H176" s="75">
        <f>IF(ISERROR(AVERAGE(H118:H129)),0,AVERAGE(H118:H129))</f>
        <v>31.916666666666668</v>
      </c>
      <c r="I176" s="170">
        <f>SUM(I118:I129)</f>
        <v>76914640.730000004</v>
      </c>
      <c r="J176" s="74">
        <f>SUM(J118:J129)</f>
        <v>195348.2</v>
      </c>
      <c r="K176" s="75">
        <f>IF(ISERROR(AVERAGE(K118:K129)),0,AVERAGE(K118:K129))</f>
        <v>124.625</v>
      </c>
      <c r="L176" s="170">
        <f>SUM(L118:L129)</f>
        <v>76914640.730000004</v>
      </c>
      <c r="M176" s="74">
        <f>SUM(M118:M129)</f>
        <v>195348.2</v>
      </c>
      <c r="N176" s="75">
        <f>IF(ISERROR(AVERAGE(N118:N129)),0,AVERAGE(N118:N129))</f>
        <v>124.625</v>
      </c>
      <c r="O176" s="170">
        <f>SUM(O118:O129)</f>
        <v>561900.85</v>
      </c>
      <c r="P176" s="74">
        <f>SUM(P118:P129)</f>
        <v>1568.4</v>
      </c>
      <c r="Q176" s="75">
        <f>IF(ISERROR(AVERAGE(Q118:Q129)),0,AVERAGE(Q118:Q129))</f>
        <v>2245.3333333333335</v>
      </c>
      <c r="R176" s="170">
        <f>SUM(R118:R129)</f>
        <v>19135793.599999998</v>
      </c>
      <c r="S176" s="74">
        <f>SUM(S118:S129)</f>
        <v>67379.199999999997</v>
      </c>
      <c r="T176" s="75">
        <f>IF(ISERROR(AVERAGE(T118:T129)),0,AVERAGE(T118:T129))</f>
        <v>1</v>
      </c>
      <c r="U176" s="173"/>
      <c r="V176" s="60">
        <f t="shared" si="7"/>
        <v>217473718.03</v>
      </c>
    </row>
    <row r="177" spans="1:22" x14ac:dyDescent="0.2">
      <c r="A177" s="492">
        <f t="shared" si="6"/>
        <v>2022</v>
      </c>
      <c r="B177" s="20" t="s">
        <v>15</v>
      </c>
      <c r="C177" s="170">
        <f>SUM(C130:C141)</f>
        <v>78058328.330000013</v>
      </c>
      <c r="D177" s="75">
        <f>IF(ISERROR(AVERAGE(D130:D141)),0,AVERAGE(D130:D141))</f>
        <v>8172.791666666667</v>
      </c>
      <c r="E177" s="170">
        <f>SUM(E130:E141)</f>
        <v>44408170.609999999</v>
      </c>
      <c r="F177" s="75">
        <f>IF(ISERROR(AVERAGE(F130:F141)),0,AVERAGE(F130:F141))</f>
        <v>1470.1666666666667</v>
      </c>
      <c r="G177" s="170">
        <f>SUM(G130:G141)</f>
        <v>315376.28000000003</v>
      </c>
      <c r="H177" s="75">
        <f>IF(ISERROR(AVERAGE(H130:H141)),0,AVERAGE(H130:H141))</f>
        <v>49.916666666666664</v>
      </c>
      <c r="I177" s="170">
        <f>SUM(I130:I141)</f>
        <v>86314881.909999996</v>
      </c>
      <c r="J177" s="74">
        <f>SUM(J130:J141)</f>
        <v>221358.69999999998</v>
      </c>
      <c r="K177" s="75">
        <f>IF(ISERROR(AVERAGE(K130:K141)),0,AVERAGE(K130:K141))</f>
        <v>126</v>
      </c>
      <c r="L177" s="170">
        <f>SUM(L130:L141)</f>
        <v>86314881.909999996</v>
      </c>
      <c r="M177" s="74">
        <f>SUM(M130:M141)</f>
        <v>221358.69999999998</v>
      </c>
      <c r="N177" s="75">
        <f>IF(ISERROR(AVERAGE(N130:N141)),0,AVERAGE(N130:N141))</f>
        <v>126</v>
      </c>
      <c r="O177" s="170">
        <f>SUM(O130:O141)</f>
        <v>563345.13</v>
      </c>
      <c r="P177" s="74">
        <f>SUM(P130:P141)</f>
        <v>1572</v>
      </c>
      <c r="Q177" s="75">
        <f>IF(ISERROR(AVERAGE(Q130:Q141)),0,AVERAGE(Q130:Q141))</f>
        <v>2254</v>
      </c>
      <c r="R177" s="170">
        <f>SUM(R130:R141)</f>
        <v>1250860.7999999998</v>
      </c>
      <c r="S177" s="74">
        <f>SUM(S130:S141)</f>
        <v>8525.4000000000015</v>
      </c>
      <c r="T177" s="75">
        <f>IF(ISERROR(AVERAGE(T130:T141)),0,AVERAGE(T130:T141))</f>
        <v>0.5</v>
      </c>
      <c r="U177" s="173"/>
      <c r="V177" s="60">
        <f t="shared" si="7"/>
        <v>210910963.06</v>
      </c>
    </row>
    <row r="178" spans="1:22" hidden="1" x14ac:dyDescent="0.2">
      <c r="A178" s="492">
        <f t="shared" si="6"/>
        <v>2023</v>
      </c>
      <c r="B178" s="20" t="s">
        <v>15</v>
      </c>
      <c r="C178" s="170">
        <f>SUM(C142:C153)</f>
        <v>0</v>
      </c>
      <c r="D178" s="75">
        <f>IF(ISERROR(AVERAGE(D142:D153)),0,AVERAGE(D142:D153))</f>
        <v>0</v>
      </c>
      <c r="E178" s="170">
        <f>SUM(E142:E153)</f>
        <v>0</v>
      </c>
      <c r="F178" s="75">
        <f>IF(ISERROR(AVERAGE(F142:F153)),0,AVERAGE(F142:F153))</f>
        <v>0</v>
      </c>
      <c r="G178" s="170">
        <f>SUM(G142:G153)</f>
        <v>0</v>
      </c>
      <c r="H178" s="75">
        <f>IF(ISERROR(AVERAGE(H142:H153)),0,AVERAGE(H142:H153))</f>
        <v>0</v>
      </c>
      <c r="I178" s="170">
        <f>SUM(I142:I153)</f>
        <v>0</v>
      </c>
      <c r="J178" s="74">
        <f>SUM(J142:J153)</f>
        <v>0</v>
      </c>
      <c r="K178" s="75">
        <f>IF(ISERROR(AVERAGE(K142:K153)),0,AVERAGE(K142:K153))</f>
        <v>0</v>
      </c>
      <c r="L178" s="170">
        <f>SUM(L142:L153)</f>
        <v>0</v>
      </c>
      <c r="M178" s="74">
        <f>SUM(M142:M153)</f>
        <v>0</v>
      </c>
      <c r="N178" s="75">
        <f>IF(ISERROR(AVERAGE(N142:N153)),0,AVERAGE(N142:N153))</f>
        <v>0</v>
      </c>
      <c r="O178" s="170">
        <f>SUM(O142:O153)</f>
        <v>0</v>
      </c>
      <c r="P178" s="74">
        <f t="shared" ref="P178" si="8">SUM(P131:P142)</f>
        <v>1441</v>
      </c>
      <c r="Q178" s="75">
        <f>IF(ISERROR(AVERAGE(Q142:Q153)),0,AVERAGE(Q142:Q153))</f>
        <v>0</v>
      </c>
      <c r="R178" s="170">
        <f>SUM(R142:R153)</f>
        <v>0</v>
      </c>
      <c r="S178" s="74">
        <f>SUM(S142:S153)</f>
        <v>0</v>
      </c>
      <c r="T178" s="75">
        <f>IF(ISERROR(AVERAGE(T142:T153)),0,AVERAGE(T142:T153))</f>
        <v>0</v>
      </c>
      <c r="U178" s="173"/>
      <c r="V178" s="60">
        <f t="shared" si="7"/>
        <v>0</v>
      </c>
    </row>
    <row r="179" spans="1:22" hidden="1" x14ac:dyDescent="0.2">
      <c r="A179" s="492">
        <f t="shared" si="6"/>
        <v>2024</v>
      </c>
      <c r="B179" s="20" t="s">
        <v>15</v>
      </c>
      <c r="C179" s="170">
        <f>SUM(C154:C165)</f>
        <v>0</v>
      </c>
      <c r="D179" s="75">
        <f>IF(ISERROR(AVERAGE(D154:D165)),0,AVERAGE(D154:D165))</f>
        <v>0</v>
      </c>
      <c r="E179" s="170">
        <f>SUM(E154:E165)</f>
        <v>0</v>
      </c>
      <c r="F179" s="75">
        <f>IF(ISERROR(AVERAGE(F154:F165)),0,AVERAGE(F154:F165))</f>
        <v>0</v>
      </c>
      <c r="G179" s="170">
        <f>SUM(G154:G165)</f>
        <v>0</v>
      </c>
      <c r="H179" s="75">
        <f>IF(ISERROR(AVERAGE(H154:H165)),0,AVERAGE(H154:H165))</f>
        <v>0</v>
      </c>
      <c r="I179" s="170">
        <f>SUM(I154:I165)</f>
        <v>0</v>
      </c>
      <c r="J179" s="74">
        <f>SUM(J154:J165)</f>
        <v>0</v>
      </c>
      <c r="K179" s="75">
        <f>IF(ISERROR(AVERAGE(K154:K165)),0,AVERAGE(K154:K165))</f>
        <v>0</v>
      </c>
      <c r="L179" s="170">
        <f>SUM(L154:L165)</f>
        <v>0</v>
      </c>
      <c r="M179" s="74">
        <f>SUM(M154:M165)</f>
        <v>0</v>
      </c>
      <c r="N179" s="75">
        <f>IF(ISERROR(AVERAGE(N154:N165)),0,AVERAGE(N154:N165))</f>
        <v>0</v>
      </c>
      <c r="O179" s="170">
        <f>SUM(O154:O165)</f>
        <v>0</v>
      </c>
      <c r="P179" s="74">
        <f t="shared" ref="P179" si="9">SUM(P132:P143)</f>
        <v>1310</v>
      </c>
      <c r="Q179" s="75">
        <f>IF(ISERROR(AVERAGE(Q154:Q165)),0,AVERAGE(Q154:Q165))</f>
        <v>0</v>
      </c>
      <c r="R179" s="170">
        <f>SUM(R154:R165)</f>
        <v>0</v>
      </c>
      <c r="S179" s="74">
        <f>SUM(S154:S165)</f>
        <v>0</v>
      </c>
      <c r="T179" s="75">
        <f>IF(ISERROR(AVERAGE(T154:T165)),0,AVERAGE(T154:T165))</f>
        <v>0</v>
      </c>
      <c r="U179" s="173"/>
      <c r="V179" s="60">
        <f t="shared" si="7"/>
        <v>0</v>
      </c>
    </row>
    <row r="180" spans="1:22" hidden="1" x14ac:dyDescent="0.2">
      <c r="A180" s="492">
        <f t="shared" si="6"/>
        <v>2025</v>
      </c>
      <c r="B180" s="20" t="s">
        <v>15</v>
      </c>
      <c r="C180" s="170"/>
      <c r="D180" s="75"/>
      <c r="E180" s="170"/>
      <c r="F180" s="75"/>
      <c r="G180" s="170"/>
      <c r="H180" s="75"/>
      <c r="I180" s="170"/>
      <c r="J180" s="74"/>
      <c r="K180" s="75"/>
      <c r="L180" s="170"/>
      <c r="M180" s="74"/>
      <c r="N180" s="75"/>
      <c r="O180" s="170"/>
      <c r="P180" s="74"/>
      <c r="Q180" s="75"/>
      <c r="R180" s="170"/>
      <c r="S180" s="74"/>
      <c r="T180" s="75"/>
      <c r="U180" s="173"/>
    </row>
    <row r="181" spans="1:22" hidden="1" x14ac:dyDescent="0.2">
      <c r="A181" s="492">
        <f t="shared" si="6"/>
        <v>2026</v>
      </c>
      <c r="B181" s="20" t="s">
        <v>15</v>
      </c>
      <c r="C181" s="170"/>
      <c r="D181" s="75"/>
      <c r="E181" s="170"/>
      <c r="F181" s="75"/>
      <c r="G181" s="170"/>
      <c r="H181" s="75"/>
      <c r="I181" s="170"/>
      <c r="J181" s="74"/>
      <c r="K181" s="75"/>
      <c r="L181" s="170"/>
      <c r="M181" s="74"/>
      <c r="N181" s="75"/>
      <c r="O181" s="170"/>
      <c r="P181" s="74"/>
      <c r="Q181" s="75"/>
      <c r="R181" s="170"/>
      <c r="S181" s="74"/>
      <c r="T181" s="75"/>
      <c r="U181" s="173"/>
    </row>
    <row r="182" spans="1:22" hidden="1" x14ac:dyDescent="0.2">
      <c r="A182" s="492">
        <f t="shared" si="6"/>
        <v>2027</v>
      </c>
      <c r="B182" s="20" t="s">
        <v>15</v>
      </c>
      <c r="C182" s="170"/>
      <c r="D182" s="75"/>
      <c r="E182" s="170"/>
      <c r="F182" s="75"/>
      <c r="G182" s="170"/>
      <c r="H182" s="75"/>
      <c r="I182" s="170"/>
      <c r="J182" s="74"/>
      <c r="K182" s="75"/>
      <c r="L182" s="170"/>
      <c r="M182" s="74"/>
      <c r="N182" s="75"/>
      <c r="O182" s="170"/>
      <c r="P182" s="74"/>
      <c r="Q182" s="75"/>
      <c r="R182" s="170"/>
      <c r="S182" s="74"/>
      <c r="T182" s="75"/>
      <c r="U182" s="173"/>
    </row>
  </sheetData>
  <mergeCells count="16">
    <mergeCell ref="Z7:AE7"/>
    <mergeCell ref="V7:X7"/>
    <mergeCell ref="C5:D5"/>
    <mergeCell ref="E5:F5"/>
    <mergeCell ref="I5:K5"/>
    <mergeCell ref="G5:H5"/>
    <mergeCell ref="R5:T5"/>
    <mergeCell ref="O5:Q5"/>
    <mergeCell ref="G6:H6"/>
    <mergeCell ref="C6:D6"/>
    <mergeCell ref="E6:F6"/>
    <mergeCell ref="R6:T6"/>
    <mergeCell ref="O6:Q6"/>
    <mergeCell ref="I6:K6"/>
    <mergeCell ref="L5:N5"/>
    <mergeCell ref="L6:N6"/>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79998168889431442"/>
  </sheetPr>
  <dimension ref="A1:P41"/>
  <sheetViews>
    <sheetView showGridLines="0" zoomScaleNormal="100" workbookViewId="0"/>
  </sheetViews>
  <sheetFormatPr defaultRowHeight="12.75" x14ac:dyDescent="0.2"/>
  <cols>
    <col min="1" max="1" width="20" style="1" bestFit="1" customWidth="1"/>
    <col min="2" max="7" width="13.33203125" style="1" bestFit="1" customWidth="1"/>
    <col min="8" max="8" width="14.33203125" style="1" bestFit="1" customWidth="1"/>
    <col min="9" max="9" width="13.33203125" style="1" bestFit="1" customWidth="1"/>
    <col min="10" max="11" width="14" style="1" customWidth="1"/>
    <col min="12" max="13" width="13.33203125" style="1" bestFit="1" customWidth="1"/>
    <col min="14" max="14" width="9.33203125" style="1"/>
    <col min="15" max="15" width="20.33203125" style="1" customWidth="1"/>
    <col min="16" max="16" width="13.33203125" style="1" bestFit="1" customWidth="1"/>
    <col min="17" max="16384" width="9.33203125" style="1"/>
  </cols>
  <sheetData>
    <row r="1" spans="1:16" x14ac:dyDescent="0.2">
      <c r="A1" s="1" t="str">
        <f>+'1. Assumptions'!A1</f>
        <v>Niagara-on-the-Lake Hydro Inc.</v>
      </c>
    </row>
    <row r="2" spans="1:16" x14ac:dyDescent="0.2">
      <c r="A2" s="33" t="s">
        <v>159</v>
      </c>
    </row>
    <row r="3" spans="1:16" x14ac:dyDescent="0.2">
      <c r="A3" s="1" t="str">
        <f>+'1. Assumptions'!A3</f>
        <v>2024 Test &amp; 2023 Bridge</v>
      </c>
    </row>
    <row r="5" spans="1:16" ht="13.5" thickBot="1" x14ac:dyDescent="0.25"/>
    <row r="6" spans="1:16" ht="24.75" customHeight="1" thickBot="1" x14ac:dyDescent="0.25">
      <c r="A6" s="283"/>
      <c r="B6" s="610" t="str">
        <f>'2. Customer Classes'!A6</f>
        <v>Residential</v>
      </c>
      <c r="C6" s="611"/>
      <c r="D6" s="610" t="str">
        <f>'2. Customer Classes'!A7</f>
        <v>General Service &lt; 50 kW</v>
      </c>
      <c r="E6" s="611"/>
      <c r="F6" s="610" t="str">
        <f>'2. Customer Classes'!A8</f>
        <v>Unmetered Scattered Load</v>
      </c>
      <c r="G6" s="611"/>
      <c r="H6" s="610" t="str">
        <f>'2. Customer Classes'!A9</f>
        <v>General Service &gt; 50 kW - 4999 kW</v>
      </c>
      <c r="I6" s="611"/>
      <c r="J6" s="610" t="str">
        <f>'2. Customer Classes'!A10</f>
        <v>Streetlighting</v>
      </c>
      <c r="K6" s="611"/>
      <c r="L6" s="616" t="str">
        <f>'2. Customer Classes'!A11</f>
        <v>Large User</v>
      </c>
      <c r="M6" s="611"/>
      <c r="O6" s="614" t="s">
        <v>98</v>
      </c>
      <c r="P6" s="615"/>
    </row>
    <row r="7" spans="1:16" ht="26.25" thickBot="1" x14ac:dyDescent="0.25">
      <c r="A7" s="182" t="s">
        <v>2</v>
      </c>
      <c r="B7" s="183" t="s">
        <v>256</v>
      </c>
      <c r="C7" s="184" t="s">
        <v>4</v>
      </c>
      <c r="D7" s="183" t="s">
        <v>256</v>
      </c>
      <c r="E7" s="184" t="s">
        <v>4</v>
      </c>
      <c r="F7" s="183" t="s">
        <v>256</v>
      </c>
      <c r="G7" s="184" t="s">
        <v>4</v>
      </c>
      <c r="H7" s="183" t="s">
        <v>256</v>
      </c>
      <c r="I7" s="182" t="s">
        <v>4</v>
      </c>
      <c r="J7" s="183" t="s">
        <v>301</v>
      </c>
      <c r="K7" s="182" t="s">
        <v>4</v>
      </c>
      <c r="L7" s="183" t="s">
        <v>256</v>
      </c>
      <c r="M7" s="185" t="s">
        <v>4</v>
      </c>
      <c r="O7" s="183" t="s">
        <v>104</v>
      </c>
      <c r="P7" s="185" t="s">
        <v>4</v>
      </c>
    </row>
    <row r="8" spans="1:16" x14ac:dyDescent="0.2">
      <c r="A8" s="186" t="s">
        <v>318</v>
      </c>
      <c r="B8" s="74">
        <f>+'3. Consumption by Rate Class'!D167</f>
        <v>6715.833333333333</v>
      </c>
      <c r="C8" s="3"/>
      <c r="D8" s="74">
        <f>+'3. Consumption by Rate Class'!F167</f>
        <v>1270.5416666666667</v>
      </c>
      <c r="E8" s="3"/>
      <c r="F8" s="74">
        <f>+'3. Consumption by Rate Class'!H167</f>
        <v>20.791666666666668</v>
      </c>
      <c r="G8" s="3"/>
      <c r="H8" s="74">
        <f>+'3. Consumption by Rate Class'!K167</f>
        <v>118.04166666666667</v>
      </c>
      <c r="I8" s="3"/>
      <c r="J8" s="74">
        <f>+'3. Consumption by Rate Class'!Q167</f>
        <v>1946.75</v>
      </c>
      <c r="K8" s="3"/>
      <c r="L8" s="74">
        <f>+'3. Consumption by Rate Class'!T167</f>
        <v>0</v>
      </c>
      <c r="M8" s="4"/>
      <c r="O8" s="187">
        <f t="shared" ref="O8:O15" si="0">+B8+D8+F8+H8+J8+L8</f>
        <v>10071.958333333334</v>
      </c>
      <c r="P8" s="38"/>
    </row>
    <row r="9" spans="1:16" x14ac:dyDescent="0.2">
      <c r="A9" s="186" t="s">
        <v>327</v>
      </c>
      <c r="B9" s="74">
        <f>+'3. Consumption by Rate Class'!D168</f>
        <v>6912.208333333333</v>
      </c>
      <c r="C9" s="3">
        <f t="shared" ref="C9:C18" si="1">IF(B8=0,0,B9/B8)</f>
        <v>1.0292406005707904</v>
      </c>
      <c r="D9" s="74">
        <f>+'3. Consumption by Rate Class'!F168</f>
        <v>1219.5416666666667</v>
      </c>
      <c r="E9" s="3">
        <f t="shared" ref="E9:E18" si="2">IF(D8=0,0,D9/D8)</f>
        <v>0.95985963991735812</v>
      </c>
      <c r="F9" s="74">
        <f>+'3. Consumption by Rate Class'!H168</f>
        <v>20.125</v>
      </c>
      <c r="G9" s="3">
        <f t="shared" ref="G9:G18" si="3">IF(F8=0,0,F9/F8)</f>
        <v>0.96793587174348694</v>
      </c>
      <c r="H9" s="74">
        <f>+'3. Consumption by Rate Class'!K168</f>
        <v>117.41666666666667</v>
      </c>
      <c r="I9" s="3">
        <f t="shared" ref="I9:I18" si="4">IF(H8=0,0,H9/H8)</f>
        <v>0.99470525944228738</v>
      </c>
      <c r="J9" s="74">
        <f>+'3. Consumption by Rate Class'!Q168</f>
        <v>1948.75</v>
      </c>
      <c r="K9" s="3">
        <f t="shared" ref="K9:K18" si="5">IF(J8=0,0,J9/J8)</f>
        <v>1.0010273532811096</v>
      </c>
      <c r="L9" s="74">
        <f>+'3. Consumption by Rate Class'!T168</f>
        <v>0</v>
      </c>
      <c r="M9" s="3">
        <f t="shared" ref="M9:M18" si="6">IF(L8=0,0,L9/L8)</f>
        <v>0</v>
      </c>
      <c r="O9" s="187">
        <f t="shared" si="0"/>
        <v>10218.041666666666</v>
      </c>
      <c r="P9" s="38">
        <f t="shared" ref="P9:P15" si="7">O9/O8</f>
        <v>1.0145039652169594</v>
      </c>
    </row>
    <row r="10" spans="1:16" x14ac:dyDescent="0.2">
      <c r="A10" s="186" t="s">
        <v>328</v>
      </c>
      <c r="B10" s="74">
        <f>+'3. Consumption by Rate Class'!D169</f>
        <v>7105.125</v>
      </c>
      <c r="C10" s="3">
        <f t="shared" si="1"/>
        <v>1.0279095561596934</v>
      </c>
      <c r="D10" s="74">
        <f>+'3. Consumption by Rate Class'!F169</f>
        <v>1303.4166666666667</v>
      </c>
      <c r="E10" s="3">
        <f t="shared" si="2"/>
        <v>1.0687758379172503</v>
      </c>
      <c r="F10" s="74">
        <f>+'3. Consumption by Rate Class'!H169</f>
        <v>19.541666666666668</v>
      </c>
      <c r="G10" s="3">
        <f t="shared" si="3"/>
        <v>0.97101449275362328</v>
      </c>
      <c r="H10" s="74">
        <f>+'3. Consumption by Rate Class'!K169</f>
        <v>128.41666666666666</v>
      </c>
      <c r="I10" s="3">
        <f t="shared" si="4"/>
        <v>1.0936834634492547</v>
      </c>
      <c r="J10" s="74">
        <f>+'3. Consumption by Rate Class'!Q169</f>
        <v>2051.3333333333335</v>
      </c>
      <c r="K10" s="3">
        <f t="shared" si="5"/>
        <v>1.0526405815693822</v>
      </c>
      <c r="L10" s="74">
        <f>+'3. Consumption by Rate Class'!T169</f>
        <v>0</v>
      </c>
      <c r="M10" s="3">
        <f t="shared" si="6"/>
        <v>0</v>
      </c>
      <c r="O10" s="187">
        <f t="shared" si="0"/>
        <v>10607.833333333332</v>
      </c>
      <c r="P10" s="38">
        <f t="shared" si="7"/>
        <v>1.0381473945186821</v>
      </c>
    </row>
    <row r="11" spans="1:16" x14ac:dyDescent="0.2">
      <c r="A11" s="186" t="s">
        <v>329</v>
      </c>
      <c r="B11" s="74">
        <f>+'3. Consumption by Rate Class'!D170</f>
        <v>7380.791666666667</v>
      </c>
      <c r="C11" s="3">
        <f t="shared" si="1"/>
        <v>1.0387982852753002</v>
      </c>
      <c r="D11" s="74">
        <f>+'3. Consumption by Rate Class'!F170</f>
        <v>1322.875</v>
      </c>
      <c r="E11" s="3">
        <f t="shared" si="2"/>
        <v>1.0149287129978901</v>
      </c>
      <c r="F11" s="74">
        <f>+'3. Consumption by Rate Class'!H170</f>
        <v>18.25</v>
      </c>
      <c r="G11" s="3">
        <f t="shared" si="3"/>
        <v>0.93390191897654573</v>
      </c>
      <c r="H11" s="74">
        <f>+'3. Consumption by Rate Class'!K170</f>
        <v>126.66666666666667</v>
      </c>
      <c r="I11" s="3">
        <f t="shared" si="4"/>
        <v>0.98637248539909161</v>
      </c>
      <c r="J11" s="74">
        <f>+'3. Consumption by Rate Class'!Q170</f>
        <v>2080.75</v>
      </c>
      <c r="K11" s="3">
        <f t="shared" si="5"/>
        <v>1.0143402664933376</v>
      </c>
      <c r="L11" s="74">
        <f>+'3. Consumption by Rate Class'!T170</f>
        <v>0</v>
      </c>
      <c r="M11" s="3">
        <f t="shared" si="6"/>
        <v>0</v>
      </c>
      <c r="O11" s="187">
        <f t="shared" si="0"/>
        <v>10929.333333333334</v>
      </c>
      <c r="P11" s="38">
        <f t="shared" si="7"/>
        <v>1.0303077914120071</v>
      </c>
    </row>
    <row r="12" spans="1:16" x14ac:dyDescent="0.2">
      <c r="A12" s="186" t="s">
        <v>330</v>
      </c>
      <c r="B12" s="74">
        <f>+'3. Consumption by Rate Class'!D171</f>
        <v>7655.958333333333</v>
      </c>
      <c r="C12" s="3">
        <f t="shared" si="1"/>
        <v>1.0372814569349493</v>
      </c>
      <c r="D12" s="74">
        <f>+'3. Consumption by Rate Class'!F171</f>
        <v>1313.0416666666667</v>
      </c>
      <c r="E12" s="3">
        <f t="shared" si="2"/>
        <v>0.99256669501401629</v>
      </c>
      <c r="F12" s="74">
        <f>+'3. Consumption by Rate Class'!H171</f>
        <v>16.833333333333332</v>
      </c>
      <c r="G12" s="3">
        <f t="shared" si="3"/>
        <v>0.92237442922374424</v>
      </c>
      <c r="H12" s="74">
        <f>+'3. Consumption by Rate Class'!K171</f>
        <v>118.08333333333333</v>
      </c>
      <c r="I12" s="3">
        <f t="shared" si="4"/>
        <v>0.93223684210526303</v>
      </c>
      <c r="J12" s="74">
        <f>+'3. Consumption by Rate Class'!Q171</f>
        <v>2120.1666666666665</v>
      </c>
      <c r="K12" s="3">
        <f t="shared" si="5"/>
        <v>1.01894348992751</v>
      </c>
      <c r="L12" s="74">
        <f>+'3. Consumption by Rate Class'!T171</f>
        <v>0</v>
      </c>
      <c r="M12" s="3">
        <f t="shared" si="6"/>
        <v>0</v>
      </c>
      <c r="O12" s="187">
        <f t="shared" si="0"/>
        <v>11224.083333333334</v>
      </c>
      <c r="P12" s="38">
        <f t="shared" si="7"/>
        <v>1.0269687080639258</v>
      </c>
    </row>
    <row r="13" spans="1:16" x14ac:dyDescent="0.2">
      <c r="A13" s="186" t="s">
        <v>331</v>
      </c>
      <c r="B13" s="74">
        <f>+'3. Consumption by Rate Class'!D172</f>
        <v>7832.25</v>
      </c>
      <c r="C13" s="3">
        <f t="shared" si="1"/>
        <v>1.0230267275488045</v>
      </c>
      <c r="D13" s="74">
        <f>+'3. Consumption by Rate Class'!F172</f>
        <v>1329.6666666666667</v>
      </c>
      <c r="E13" s="3">
        <f t="shared" si="2"/>
        <v>1.0126614413099355</v>
      </c>
      <c r="F13" s="74">
        <f>+'3. Consumption by Rate Class'!H172</f>
        <v>24.416666666666668</v>
      </c>
      <c r="G13" s="3">
        <f t="shared" si="3"/>
        <v>1.4504950495049507</v>
      </c>
      <c r="H13" s="74">
        <f>+'3. Consumption by Rate Class'!K172</f>
        <v>128.45833333333334</v>
      </c>
      <c r="I13" s="3">
        <f t="shared" si="4"/>
        <v>1.0878616796047991</v>
      </c>
      <c r="J13" s="74">
        <f>+'3. Consumption by Rate Class'!Q172</f>
        <v>2123.9166666666665</v>
      </c>
      <c r="K13" s="3">
        <f t="shared" si="5"/>
        <v>1.0017687288735162</v>
      </c>
      <c r="L13" s="74">
        <f>+'3. Consumption by Rate Class'!T172</f>
        <v>0</v>
      </c>
      <c r="M13" s="3">
        <f t="shared" si="6"/>
        <v>0</v>
      </c>
      <c r="O13" s="187">
        <f t="shared" si="0"/>
        <v>11438.708333333332</v>
      </c>
      <c r="P13" s="38">
        <f t="shared" si="7"/>
        <v>1.0191218288056187</v>
      </c>
    </row>
    <row r="14" spans="1:16" x14ac:dyDescent="0.2">
      <c r="A14" s="186" t="s">
        <v>332</v>
      </c>
      <c r="B14" s="74">
        <f>+'3. Consumption by Rate Class'!D173</f>
        <v>7917.458333333333</v>
      </c>
      <c r="C14" s="3">
        <f t="shared" si="1"/>
        <v>1.0108791641397215</v>
      </c>
      <c r="D14" s="74">
        <f>+'3. Consumption by Rate Class'!F173</f>
        <v>1335.4166666666667</v>
      </c>
      <c r="E14" s="3">
        <f t="shared" si="2"/>
        <v>1.004324392078215</v>
      </c>
      <c r="F14" s="74">
        <f>+'3. Consumption by Rate Class'!H173</f>
        <v>27.083333333333332</v>
      </c>
      <c r="G14" s="3">
        <f t="shared" si="3"/>
        <v>1.1092150170648463</v>
      </c>
      <c r="H14" s="74">
        <f>+'3. Consumption by Rate Class'!K173</f>
        <v>125.75</v>
      </c>
      <c r="I14" s="3">
        <f t="shared" si="4"/>
        <v>0.97891663963671738</v>
      </c>
      <c r="J14" s="74">
        <f>+'3. Consumption by Rate Class'!Q173</f>
        <v>2116</v>
      </c>
      <c r="K14" s="3">
        <f t="shared" si="5"/>
        <v>0.99627260956566099</v>
      </c>
      <c r="L14" s="74">
        <f>+'3. Consumption by Rate Class'!T173</f>
        <v>0</v>
      </c>
      <c r="M14" s="3">
        <f t="shared" si="6"/>
        <v>0</v>
      </c>
      <c r="O14" s="187">
        <f t="shared" si="0"/>
        <v>11521.708333333334</v>
      </c>
      <c r="P14" s="38">
        <f t="shared" si="7"/>
        <v>1.0072560640223802</v>
      </c>
    </row>
    <row r="15" spans="1:16" x14ac:dyDescent="0.2">
      <c r="A15" s="186" t="s">
        <v>145</v>
      </c>
      <c r="B15" s="74">
        <f>+'3. Consumption by Rate Class'!D174</f>
        <v>8011.291666666667</v>
      </c>
      <c r="C15" s="3">
        <f t="shared" si="1"/>
        <v>1.011851446434304</v>
      </c>
      <c r="D15" s="74">
        <f>+'3. Consumption by Rate Class'!F174</f>
        <v>1363.125</v>
      </c>
      <c r="E15" s="3">
        <f t="shared" si="2"/>
        <v>1.0207488299531982</v>
      </c>
      <c r="F15" s="74">
        <f>+'3. Consumption by Rate Class'!H174</f>
        <v>29.708333333333332</v>
      </c>
      <c r="G15" s="3">
        <f t="shared" si="3"/>
        <v>1.0969230769230769</v>
      </c>
      <c r="H15" s="74">
        <f>+'3. Consumption by Rate Class'!K174</f>
        <v>126.125</v>
      </c>
      <c r="I15" s="3">
        <f t="shared" si="4"/>
        <v>1.0029821073558649</v>
      </c>
      <c r="J15" s="74">
        <f>+'3. Consumption by Rate Class'!Q174</f>
        <v>2153.3333333333335</v>
      </c>
      <c r="K15" s="3">
        <f t="shared" si="5"/>
        <v>1.017643352236925</v>
      </c>
      <c r="L15" s="74">
        <f>+'3. Consumption by Rate Class'!T174</f>
        <v>0.66666666666666663</v>
      </c>
      <c r="M15" s="3">
        <f t="shared" si="6"/>
        <v>0</v>
      </c>
      <c r="O15" s="187">
        <f t="shared" si="0"/>
        <v>11684.250000000002</v>
      </c>
      <c r="P15" s="38">
        <f t="shared" si="7"/>
        <v>1.0141074276456401</v>
      </c>
    </row>
    <row r="16" spans="1:16" x14ac:dyDescent="0.2">
      <c r="A16" s="186" t="s">
        <v>317</v>
      </c>
      <c r="B16" s="74">
        <f>+'3. Consumption by Rate Class'!D175</f>
        <v>8075.541666666667</v>
      </c>
      <c r="C16" s="3">
        <f t="shared" si="1"/>
        <v>1.0080199302026827</v>
      </c>
      <c r="D16" s="74">
        <f>+'3. Consumption by Rate Class'!F175</f>
        <v>1388</v>
      </c>
      <c r="E16" s="3">
        <f t="shared" si="2"/>
        <v>1.0182485098578633</v>
      </c>
      <c r="F16" s="74">
        <f>+'3. Consumption by Rate Class'!H175</f>
        <v>30.041666666666668</v>
      </c>
      <c r="G16" s="3">
        <f t="shared" si="3"/>
        <v>1.0112201963534362</v>
      </c>
      <c r="H16" s="74">
        <f>+'3. Consumption by Rate Class'!K175</f>
        <v>123.875</v>
      </c>
      <c r="I16" s="3">
        <f t="shared" si="4"/>
        <v>0.98216055500495536</v>
      </c>
      <c r="J16" s="74">
        <f>+'3. Consumption by Rate Class'!Q175</f>
        <v>2148</v>
      </c>
      <c r="K16" s="3">
        <f t="shared" si="5"/>
        <v>0.99752321981424141</v>
      </c>
      <c r="L16" s="74">
        <f>+'3. Consumption by Rate Class'!T175</f>
        <v>1</v>
      </c>
      <c r="M16" s="3">
        <f t="shared" si="6"/>
        <v>1.5</v>
      </c>
      <c r="O16" s="187">
        <f t="shared" ref="O16:O17" si="8">+B16+D16+F16+H16+J16+L16</f>
        <v>11766.458333333334</v>
      </c>
      <c r="P16" s="38">
        <f t="shared" ref="P16:P17" si="9">O16/O15</f>
        <v>1.0070358245786706</v>
      </c>
    </row>
    <row r="17" spans="1:16" x14ac:dyDescent="0.2">
      <c r="A17" s="186" t="s">
        <v>349</v>
      </c>
      <c r="B17" s="74">
        <f>+'3. Consumption by Rate Class'!D176</f>
        <v>8116.833333333333</v>
      </c>
      <c r="C17" s="3">
        <f t="shared" si="1"/>
        <v>1.0051131761027381</v>
      </c>
      <c r="D17" s="74">
        <f>+'3. Consumption by Rate Class'!F176</f>
        <v>1437.0416666666667</v>
      </c>
      <c r="E17" s="3">
        <f t="shared" si="2"/>
        <v>1.0353326128722382</v>
      </c>
      <c r="F17" s="74">
        <f>+'3. Consumption by Rate Class'!H176</f>
        <v>31.916666666666668</v>
      </c>
      <c r="G17" s="3">
        <f t="shared" si="3"/>
        <v>1.0624133148404993</v>
      </c>
      <c r="H17" s="74">
        <f>+'3. Consumption by Rate Class'!K176</f>
        <v>124.625</v>
      </c>
      <c r="I17" s="3">
        <f t="shared" si="4"/>
        <v>1.0060544904137234</v>
      </c>
      <c r="J17" s="74">
        <f>+'3. Consumption by Rate Class'!Q176</f>
        <v>2245.3333333333335</v>
      </c>
      <c r="K17" s="3">
        <f t="shared" si="5"/>
        <v>1.0453134698944755</v>
      </c>
      <c r="L17" s="74">
        <f>+'3. Consumption by Rate Class'!T176</f>
        <v>1</v>
      </c>
      <c r="M17" s="3">
        <f t="shared" si="6"/>
        <v>1</v>
      </c>
      <c r="O17" s="187">
        <f t="shared" si="8"/>
        <v>11956.75</v>
      </c>
      <c r="P17" s="38">
        <f t="shared" si="9"/>
        <v>1.0161723826555003</v>
      </c>
    </row>
    <row r="18" spans="1:16" x14ac:dyDescent="0.2">
      <c r="A18" s="186" t="s">
        <v>350</v>
      </c>
      <c r="B18" s="133">
        <f>+'12c. Monthly Customer Forecast'!O9</f>
        <v>8172.791666666667</v>
      </c>
      <c r="C18" s="3">
        <f t="shared" si="1"/>
        <v>1.006894108950535</v>
      </c>
      <c r="D18" s="133">
        <f>+'12c. Monthly Customer Forecast'!O10</f>
        <v>1470.1666666666667</v>
      </c>
      <c r="E18" s="3">
        <f t="shared" si="2"/>
        <v>1.0230508278001682</v>
      </c>
      <c r="F18" s="133">
        <f>+'12c. Monthly Customer Forecast'!O12</f>
        <v>49.916666666666664</v>
      </c>
      <c r="G18" s="3">
        <f t="shared" si="3"/>
        <v>1.5639686684073106</v>
      </c>
      <c r="H18" s="133">
        <f>+'12c. Monthly Customer Forecast'!O11</f>
        <v>126</v>
      </c>
      <c r="I18" s="3">
        <f t="shared" si="4"/>
        <v>1.0110330992978938</v>
      </c>
      <c r="J18" s="133">
        <f>+'12c. Monthly Customer Forecast'!O13</f>
        <v>2254</v>
      </c>
      <c r="K18" s="3">
        <f t="shared" si="5"/>
        <v>1.0038598574821853</v>
      </c>
      <c r="L18" s="133">
        <f>+'3. Consumption by Rate Class'!T177</f>
        <v>0.5</v>
      </c>
      <c r="M18" s="3">
        <f t="shared" si="6"/>
        <v>0.5</v>
      </c>
      <c r="O18" s="187"/>
      <c r="P18" s="38"/>
    </row>
    <row r="19" spans="1:16" x14ac:dyDescent="0.2">
      <c r="A19" s="188"/>
      <c r="B19" s="74"/>
      <c r="C19" s="3"/>
      <c r="D19" s="74"/>
      <c r="E19" s="3"/>
      <c r="F19" s="5"/>
      <c r="G19" s="3"/>
      <c r="H19" s="5"/>
      <c r="I19" s="3"/>
      <c r="J19" s="74"/>
      <c r="K19" s="3"/>
      <c r="L19" s="74"/>
      <c r="M19" s="3"/>
      <c r="O19" s="187"/>
      <c r="P19" s="39"/>
    </row>
    <row r="20" spans="1:16" x14ac:dyDescent="0.2">
      <c r="A20" s="188" t="s">
        <v>3</v>
      </c>
      <c r="B20" s="74"/>
      <c r="C20" s="3">
        <f>IF(ISERROR(GEOMEAN(C9:C19)),0,GEOMEAN(C9:C19))</f>
        <v>1.0198282823868201</v>
      </c>
      <c r="D20" s="74"/>
      <c r="E20" s="3">
        <f>IF(ISERROR(GEOMEAN(E9:E19)),0,GEOMEAN(E9:E19))</f>
        <v>1.0147002467032202</v>
      </c>
      <c r="F20" s="5"/>
      <c r="G20" s="3">
        <f>IF(ISERROR(GEOMEAN(G9:G19)),0,GEOMEAN(G9:G19))</f>
        <v>1.0915298761659329</v>
      </c>
      <c r="H20" s="5"/>
      <c r="I20" s="3">
        <f>IF(ISERROR(GEOMEAN(I9:I19)),0,GEOMEAN(I9:I19))</f>
        <v>1.0065457541638316</v>
      </c>
      <c r="J20" s="74"/>
      <c r="K20" s="3">
        <f>IF(ISERROR(GEOMEAN(K9:K19)),0,GEOMEAN(K9:K19))</f>
        <v>1.0147624137941647</v>
      </c>
      <c r="L20" s="74"/>
      <c r="M20" s="3">
        <f>IF(ISERROR(GEOMEAN(M9:M19)),0,GEOMEAN(M9:M19))</f>
        <v>0</v>
      </c>
      <c r="O20" s="187"/>
      <c r="P20" s="3">
        <f>IF(ISERROR(GEOMEAN(P9:P19)),0,GEOMEAN(P9:P19))</f>
        <v>1.0192428933785425</v>
      </c>
    </row>
    <row r="21" spans="1:16" x14ac:dyDescent="0.2">
      <c r="A21" s="188"/>
      <c r="B21" s="74"/>
      <c r="C21" s="3"/>
      <c r="D21" s="74"/>
      <c r="E21" s="3"/>
      <c r="F21" s="5"/>
      <c r="G21" s="3"/>
      <c r="H21" s="5"/>
      <c r="I21" s="3"/>
      <c r="J21" s="74"/>
      <c r="K21" s="3"/>
      <c r="L21" s="74"/>
      <c r="M21" s="4"/>
      <c r="O21" s="187"/>
      <c r="P21" s="39"/>
    </row>
    <row r="22" spans="1:16" x14ac:dyDescent="0.2">
      <c r="A22" s="2">
        <f>'1. Assumptions'!B8</f>
        <v>2023</v>
      </c>
      <c r="B22" s="133">
        <f>B18*C20</f>
        <v>8334.8440877219837</v>
      </c>
      <c r="C22" s="3" t="s">
        <v>28</v>
      </c>
      <c r="D22" s="133">
        <f>D18*E20</f>
        <v>1491.7784793615176</v>
      </c>
      <c r="E22" s="5"/>
      <c r="F22" s="312">
        <f>F18*G20</f>
        <v>54.485532985282816</v>
      </c>
      <c r="G22" s="5"/>
      <c r="H22" s="312">
        <f>H18*I20</f>
        <v>126.82476502464279</v>
      </c>
      <c r="I22" s="5"/>
      <c r="J22" s="133">
        <f>J18*K20</f>
        <v>2287.2744806920473</v>
      </c>
      <c r="K22" s="5"/>
      <c r="L22" s="133">
        <f>L17*M20</f>
        <v>0</v>
      </c>
      <c r="M22" s="6"/>
      <c r="O22" s="187">
        <f>+B22+D22+F22+H22+J22+L22</f>
        <v>12295.207345785475</v>
      </c>
      <c r="P22" s="39"/>
    </row>
    <row r="23" spans="1:16" ht="13.5" thickBot="1" x14ac:dyDescent="0.25">
      <c r="A23" s="7">
        <f>'1. Assumptions'!B11</f>
        <v>2024</v>
      </c>
      <c r="B23" s="59">
        <f>B22*C20</f>
        <v>8500.1097299434532</v>
      </c>
      <c r="C23" s="58" t="s">
        <v>28</v>
      </c>
      <c r="D23" s="59">
        <f>D22*E20</f>
        <v>1513.7079910346868</v>
      </c>
      <c r="E23" s="8"/>
      <c r="F23" s="132">
        <f>F22*G20</f>
        <v>59.472587072260602</v>
      </c>
      <c r="G23" s="8"/>
      <c r="H23" s="132">
        <f>H22*I20</f>
        <v>127.65492875837981</v>
      </c>
      <c r="I23" s="8"/>
      <c r="J23" s="59">
        <f>J22*K20</f>
        <v>2321.0401730368562</v>
      </c>
      <c r="K23" s="8"/>
      <c r="L23" s="59">
        <f>L22*M20</f>
        <v>0</v>
      </c>
      <c r="M23" s="9"/>
      <c r="O23" s="187">
        <f>+B23+D23+F23+H23+J23+L23</f>
        <v>12521.985409845638</v>
      </c>
      <c r="P23" s="35"/>
    </row>
    <row r="24" spans="1:16" x14ac:dyDescent="0.2">
      <c r="O24" s="37"/>
    </row>
    <row r="25" spans="1:16" ht="13.5" thickBot="1" x14ac:dyDescent="0.25">
      <c r="O25" s="37"/>
    </row>
    <row r="26" spans="1:16" x14ac:dyDescent="0.2">
      <c r="A26" s="264" t="s">
        <v>29</v>
      </c>
      <c r="B26" s="10"/>
      <c r="C26" s="10"/>
      <c r="D26" s="10"/>
      <c r="E26" s="10"/>
      <c r="F26" s="10"/>
      <c r="G26" s="10"/>
      <c r="H26" s="10"/>
      <c r="I26" s="10"/>
      <c r="J26" s="10"/>
      <c r="K26" s="10"/>
      <c r="L26" s="10"/>
      <c r="M26" s="11"/>
      <c r="O26" s="608" t="s">
        <v>29</v>
      </c>
      <c r="P26" s="609"/>
    </row>
    <row r="27" spans="1:16" x14ac:dyDescent="0.2">
      <c r="A27" s="265">
        <f>'1. Assumptions'!B8</f>
        <v>2023</v>
      </c>
      <c r="B27" s="133">
        <f>+'12c. Monthly Customer Forecast'!O43</f>
        <v>8282.375</v>
      </c>
      <c r="C27" s="3">
        <f>B27/B18</f>
        <v>1.0134083111136036</v>
      </c>
      <c r="D27" s="133">
        <f>+'12c. Monthly Customer Forecast'!O44</f>
        <v>1486.5</v>
      </c>
      <c r="E27" s="3">
        <f>D27/D18</f>
        <v>1.0111098514907606</v>
      </c>
      <c r="F27" s="133">
        <f>+'12c. Monthly Customer Forecast'!O46</f>
        <v>60</v>
      </c>
      <c r="G27" s="3">
        <f>F27/F18</f>
        <v>1.2020033388981637</v>
      </c>
      <c r="H27" s="133">
        <f>+'12c. Monthly Customer Forecast'!O45</f>
        <v>125</v>
      </c>
      <c r="I27" s="3">
        <f>H27/H18</f>
        <v>0.99206349206349209</v>
      </c>
      <c r="J27" s="133">
        <f>+'12c. Monthly Customer Forecast'!O47</f>
        <v>2254</v>
      </c>
      <c r="K27" s="3">
        <f>IF(J27&gt;0,+J27/J18,0)</f>
        <v>1</v>
      </c>
      <c r="L27" s="133">
        <f>+'12c. Monthly Customer Forecast'!O48</f>
        <v>0.5</v>
      </c>
      <c r="M27" s="4">
        <f>IF(L14=0,0,L27/L14)</f>
        <v>0</v>
      </c>
      <c r="O27" s="76">
        <f>+B27+D27+F27+H27+J27+L27</f>
        <v>12208.375</v>
      </c>
      <c r="P27" s="4">
        <f>O27/O14</f>
        <v>1.059597643578607</v>
      </c>
    </row>
    <row r="28" spans="1:16" ht="13.5" thickBot="1" x14ac:dyDescent="0.25">
      <c r="A28" s="266">
        <f>'1. Assumptions'!B11</f>
        <v>2024</v>
      </c>
      <c r="B28" s="134">
        <f>+'12c. Monthly Customer Forecast'!O55</f>
        <v>8403.7916666666715</v>
      </c>
      <c r="C28" s="58">
        <f>IF(B28&gt;0,+B28/B27,0)</f>
        <v>1.0146596437213566</v>
      </c>
      <c r="D28" s="134">
        <f>+'12c. Monthly Customer Forecast'!O56</f>
        <v>1522.5</v>
      </c>
      <c r="E28" s="58">
        <f>IF(D28&gt;0,+D28/D27,0)</f>
        <v>1.0242179616548941</v>
      </c>
      <c r="F28" s="133">
        <f>+'12c. Monthly Customer Forecast'!O58</f>
        <v>60</v>
      </c>
      <c r="G28" s="58">
        <f>IF(F28&gt;0,+F28/F27,0)</f>
        <v>1</v>
      </c>
      <c r="H28" s="134">
        <f>+'12c. Monthly Customer Forecast'!O57</f>
        <v>126.625</v>
      </c>
      <c r="I28" s="58">
        <f>IF(H28&gt;0,+H28/H27,0)</f>
        <v>1.0129999999999999</v>
      </c>
      <c r="J28" s="134">
        <f>+'12c. Monthly Customer Forecast'!O59</f>
        <v>2254</v>
      </c>
      <c r="K28" s="58">
        <f>IF(J28&gt;0,+J28/J27,0)</f>
        <v>1</v>
      </c>
      <c r="L28" s="134">
        <f>+'12c. Monthly Customer Forecast'!O60</f>
        <v>1</v>
      </c>
      <c r="M28" s="40">
        <f>IF(L27=0,0,L28/L27)</f>
        <v>2</v>
      </c>
      <c r="O28" s="77">
        <f>+B28+D28+F28+H28+J28+L28</f>
        <v>12367.916666666672</v>
      </c>
      <c r="P28" s="40">
        <f>IF(O28&gt;0,+O28/O27,0)</f>
        <v>1.0130682147842502</v>
      </c>
    </row>
    <row r="29" spans="1:16" x14ac:dyDescent="0.2">
      <c r="B29" s="34" t="s">
        <v>28</v>
      </c>
      <c r="O29" s="37"/>
    </row>
    <row r="30" spans="1:16" ht="13.5" thickBot="1" x14ac:dyDescent="0.25">
      <c r="O30" s="37"/>
    </row>
    <row r="31" spans="1:16" x14ac:dyDescent="0.2">
      <c r="A31" s="612" t="s">
        <v>95</v>
      </c>
      <c r="B31" s="613"/>
      <c r="C31" s="613"/>
      <c r="D31" s="613"/>
      <c r="E31" s="613"/>
      <c r="F31" s="613"/>
      <c r="G31" s="613"/>
      <c r="H31" s="613"/>
      <c r="I31" s="613"/>
      <c r="J31" s="613"/>
      <c r="K31" s="613"/>
      <c r="L31" s="613"/>
      <c r="M31" s="613"/>
      <c r="O31" s="608" t="s">
        <v>29</v>
      </c>
      <c r="P31" s="609"/>
    </row>
    <row r="32" spans="1:16" ht="13.5" thickBot="1" x14ac:dyDescent="0.25">
      <c r="A32" s="267">
        <f>+A27</f>
        <v>2023</v>
      </c>
      <c r="B32" s="135">
        <f>IF(B27&gt;0,+B27,B22)</f>
        <v>8282.375</v>
      </c>
      <c r="C32" s="136">
        <f>IF(C27&gt;0,+C27,C20)</f>
        <v>1.0134083111136036</v>
      </c>
      <c r="D32" s="135">
        <f>IF(D27&gt;0,+D27,D22)</f>
        <v>1486.5</v>
      </c>
      <c r="E32" s="136">
        <f>IF(E27&gt;0,+E27,E20)</f>
        <v>1.0111098514907606</v>
      </c>
      <c r="F32" s="135">
        <f>IF(F27&gt;0,+F27,F22)</f>
        <v>60</v>
      </c>
      <c r="G32" s="136">
        <f>IF(G27&gt;0,+G27,G20)</f>
        <v>1.2020033388981637</v>
      </c>
      <c r="H32" s="135">
        <f>IF(H27&gt;0,+H27,H22)</f>
        <v>125</v>
      </c>
      <c r="I32" s="136">
        <f>IF(I27&gt;0,+I27,I20)</f>
        <v>0.99206349206349209</v>
      </c>
      <c r="J32" s="135">
        <f>IF(J27&gt;0,+J27,J22)</f>
        <v>2254</v>
      </c>
      <c r="K32" s="136">
        <f>IF(K27&gt;0,+K27,K20)</f>
        <v>1</v>
      </c>
      <c r="L32" s="135">
        <f>IF(L27&gt;0,+L27,L22)</f>
        <v>0.5</v>
      </c>
      <c r="M32" s="136">
        <f>IF(M27&gt;0,+M27,M20)</f>
        <v>0</v>
      </c>
      <c r="O32" s="76">
        <f>+B32+D32+F32+H32+J32+L32</f>
        <v>12208.375</v>
      </c>
      <c r="P32" s="48">
        <f>IF(O27&gt;1,+P27,P20)</f>
        <v>1.059597643578607</v>
      </c>
    </row>
    <row r="33" spans="1:16" ht="13.5" thickBot="1" x14ac:dyDescent="0.25">
      <c r="A33" s="268">
        <f>+A28</f>
        <v>2024</v>
      </c>
      <c r="B33" s="137">
        <f>IF(B28&gt;0,+B28,B23)</f>
        <v>8403.7916666666715</v>
      </c>
      <c r="C33" s="138">
        <f>IF(C28&gt;0,+C28,C20)</f>
        <v>1.0146596437213566</v>
      </c>
      <c r="D33" s="137">
        <f>IF(D28&gt;0,+D28,D23)</f>
        <v>1522.5</v>
      </c>
      <c r="E33" s="138">
        <f>IF(E28&gt;0,+E28,E20)</f>
        <v>1.0242179616548941</v>
      </c>
      <c r="F33" s="137">
        <f>IF(F28&gt;0,+F28,F23)</f>
        <v>60</v>
      </c>
      <c r="G33" s="138">
        <f>IF(G28&gt;0,+G28,G20)</f>
        <v>1</v>
      </c>
      <c r="H33" s="137">
        <f>IF(H28&gt;0,+H28,H23)</f>
        <v>126.625</v>
      </c>
      <c r="I33" s="138">
        <f>IF(I28&gt;0,+I28,I20)</f>
        <v>1.0129999999999999</v>
      </c>
      <c r="J33" s="137">
        <f>IF(J28&gt;0,+J28,J23)</f>
        <v>2254</v>
      </c>
      <c r="K33" s="138">
        <f>IF(K28&gt;0,+K28,K20)</f>
        <v>1</v>
      </c>
      <c r="L33" s="137">
        <f>IF(L28&gt;0,+L28,L23)</f>
        <v>1</v>
      </c>
      <c r="M33" s="138">
        <f>IF(M28&gt;0,+M28,M20)</f>
        <v>2</v>
      </c>
      <c r="O33" s="77">
        <f>+B33+D33+F33+H33+J33+L33</f>
        <v>12367.916666666672</v>
      </c>
      <c r="P33" s="49">
        <f>IF(P28&gt;1,+P28,P20)</f>
        <v>1.0130682147842502</v>
      </c>
    </row>
    <row r="35" spans="1:16" hidden="1" x14ac:dyDescent="0.2">
      <c r="A35" s="1" t="s">
        <v>407</v>
      </c>
      <c r="B35" s="60">
        <f>+B15-B14</f>
        <v>93.83333333333394</v>
      </c>
      <c r="D35" s="60">
        <f>+D15-D14</f>
        <v>27.708333333333258</v>
      </c>
      <c r="E35" s="60"/>
      <c r="F35" s="60">
        <f>+F15-F14</f>
        <v>2.625</v>
      </c>
      <c r="H35" s="60">
        <f>+H15-H14</f>
        <v>0.375</v>
      </c>
      <c r="J35" s="60">
        <f>+J15-J14</f>
        <v>37.333333333333485</v>
      </c>
      <c r="L35" s="60">
        <f>+L15-L14</f>
        <v>0.66666666666666663</v>
      </c>
    </row>
    <row r="36" spans="1:16" hidden="1" x14ac:dyDescent="0.2">
      <c r="A36" s="1" t="s">
        <v>408</v>
      </c>
      <c r="B36" s="60">
        <f t="shared" ref="B36:D38" si="10">+B16-B15</f>
        <v>64.25</v>
      </c>
      <c r="D36" s="60">
        <f t="shared" si="10"/>
        <v>24.875</v>
      </c>
      <c r="E36" s="60"/>
      <c r="F36" s="60">
        <f t="shared" ref="F36:F38" si="11">+F16-F15</f>
        <v>0.3333333333333357</v>
      </c>
      <c r="H36" s="60">
        <f t="shared" ref="H36" si="12">+H16-H15</f>
        <v>-2.25</v>
      </c>
      <c r="J36" s="60">
        <f t="shared" ref="J36" si="13">+J16-J15</f>
        <v>-5.3333333333334849</v>
      </c>
      <c r="L36" s="60">
        <f t="shared" ref="L36" si="14">+L16-L15</f>
        <v>0.33333333333333337</v>
      </c>
    </row>
    <row r="37" spans="1:16" hidden="1" x14ac:dyDescent="0.2">
      <c r="A37" s="1" t="s">
        <v>409</v>
      </c>
      <c r="B37" s="60">
        <f t="shared" si="10"/>
        <v>41.29166666666606</v>
      </c>
      <c r="D37" s="60">
        <f t="shared" si="10"/>
        <v>49.041666666666742</v>
      </c>
      <c r="E37" s="60"/>
      <c r="F37" s="60">
        <f t="shared" si="11"/>
        <v>1.875</v>
      </c>
      <c r="H37" s="60">
        <f t="shared" ref="H37" si="15">+H17-H16</f>
        <v>0.75</v>
      </c>
      <c r="J37" s="60">
        <f t="shared" ref="J37" si="16">+J17-J16</f>
        <v>97.333333333333485</v>
      </c>
      <c r="L37" s="60">
        <f t="shared" ref="L37" si="17">+L17-L16</f>
        <v>0</v>
      </c>
    </row>
    <row r="38" spans="1:16" hidden="1" x14ac:dyDescent="0.2">
      <c r="A38" s="1" t="s">
        <v>410</v>
      </c>
      <c r="B38" s="60">
        <f t="shared" si="10"/>
        <v>55.95833333333394</v>
      </c>
      <c r="D38" s="60">
        <f t="shared" si="10"/>
        <v>33.125</v>
      </c>
      <c r="E38" s="60"/>
      <c r="F38" s="60">
        <f t="shared" si="11"/>
        <v>17.999999999999996</v>
      </c>
      <c r="H38" s="60">
        <f t="shared" ref="H38" si="18">+H18-H17</f>
        <v>1.375</v>
      </c>
      <c r="J38" s="60">
        <f t="shared" ref="J38" si="19">+J18-J17</f>
        <v>8.6666666666665151</v>
      </c>
      <c r="L38" s="60">
        <f t="shared" ref="L38" si="20">+L18-L17</f>
        <v>-0.5</v>
      </c>
    </row>
    <row r="39" spans="1:16" hidden="1" x14ac:dyDescent="0.2">
      <c r="A39" s="1" t="s">
        <v>411</v>
      </c>
      <c r="B39" s="60">
        <f>+B32-B18</f>
        <v>109.58333333333303</v>
      </c>
      <c r="D39" s="60">
        <f>+D32-D18</f>
        <v>16.333333333333258</v>
      </c>
      <c r="F39" s="60">
        <f>+F32-F18</f>
        <v>10.083333333333336</v>
      </c>
      <c r="H39" s="60">
        <f>+H32-H18</f>
        <v>-1</v>
      </c>
      <c r="J39" s="60">
        <f>+J32-J18</f>
        <v>0</v>
      </c>
      <c r="L39" s="60">
        <f>+L32-L18</f>
        <v>0</v>
      </c>
    </row>
    <row r="40" spans="1:16" hidden="1" x14ac:dyDescent="0.2">
      <c r="A40" s="1" t="s">
        <v>412</v>
      </c>
      <c r="B40" s="60">
        <f>+B33-B32</f>
        <v>121.41666666667152</v>
      </c>
      <c r="D40" s="60">
        <f>+D33-D32</f>
        <v>36</v>
      </c>
      <c r="F40" s="60">
        <f>+F33-F32</f>
        <v>0</v>
      </c>
      <c r="H40" s="60">
        <f>+H33-H32</f>
        <v>1.625</v>
      </c>
      <c r="J40" s="60">
        <f>+J33-J32</f>
        <v>0</v>
      </c>
      <c r="L40" s="60">
        <f>+L33-L32</f>
        <v>0.5</v>
      </c>
    </row>
    <row r="41" spans="1:16" hidden="1" x14ac:dyDescent="0.2"/>
  </sheetData>
  <mergeCells count="10">
    <mergeCell ref="O31:P31"/>
    <mergeCell ref="J6:K6"/>
    <mergeCell ref="A31:M31"/>
    <mergeCell ref="B6:C6"/>
    <mergeCell ref="D6:E6"/>
    <mergeCell ref="F6:G6"/>
    <mergeCell ref="H6:I6"/>
    <mergeCell ref="O6:P6"/>
    <mergeCell ref="O26:P26"/>
    <mergeCell ref="L6:M6"/>
  </mergeCells>
  <phoneticPr fontId="0" type="noConversion"/>
  <pageMargins left="0.7" right="0.7" top="0.75" bottom="0.75" header="0.3" footer="0.3"/>
  <pageSetup orientation="portrait" r:id="rId1"/>
  <ignoredErrors>
    <ignoredError sqref="A8:M8 A29:M34 A9:C28" numberStoredAsText="1"/>
    <ignoredError sqref="D9:M28" numberStoredAsText="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79998168889431442"/>
    <pageSetUpPr fitToPage="1"/>
  </sheetPr>
  <dimension ref="A1:Y108"/>
  <sheetViews>
    <sheetView showGridLines="0" zoomScaleNormal="100" zoomScaleSheetLayoutView="100" workbookViewId="0"/>
  </sheetViews>
  <sheetFormatPr defaultRowHeight="12.75" x14ac:dyDescent="0.2"/>
  <cols>
    <col min="1" max="1" width="14.83203125" style="22" customWidth="1"/>
    <col min="2" max="13" width="10.33203125" style="22" customWidth="1"/>
    <col min="14" max="14" width="16.6640625" style="1" customWidth="1"/>
    <col min="15" max="24" width="9.33203125" style="1"/>
    <col min="25" max="25" width="19.33203125" style="1" customWidth="1"/>
    <col min="26" max="16384" width="9.33203125" style="1"/>
  </cols>
  <sheetData>
    <row r="1" spans="1:25" x14ac:dyDescent="0.2">
      <c r="A1" s="24" t="str">
        <f>'4. Customer Growth'!A1</f>
        <v>Niagara-on-the-Lake Hydro Inc.</v>
      </c>
    </row>
    <row r="2" spans="1:25" x14ac:dyDescent="0.2">
      <c r="A2" s="580" t="s">
        <v>444</v>
      </c>
    </row>
    <row r="3" spans="1:25" x14ac:dyDescent="0.2">
      <c r="A3" s="24" t="str">
        <f>'4. Customer Growth'!A3</f>
        <v>2024 Test &amp; 2023 Bridge</v>
      </c>
    </row>
    <row r="6" spans="1:25" x14ac:dyDescent="0.2">
      <c r="A6" s="41" t="s">
        <v>0</v>
      </c>
      <c r="B6" s="44" t="s">
        <v>76</v>
      </c>
      <c r="C6" s="44" t="s">
        <v>77</v>
      </c>
      <c r="D6" s="44" t="s">
        <v>78</v>
      </c>
      <c r="E6" s="44" t="s">
        <v>79</v>
      </c>
      <c r="F6" s="44" t="s">
        <v>62</v>
      </c>
      <c r="G6" s="44" t="s">
        <v>80</v>
      </c>
      <c r="H6" s="44" t="s">
        <v>81</v>
      </c>
      <c r="I6" s="44" t="s">
        <v>82</v>
      </c>
      <c r="J6" s="44" t="s">
        <v>83</v>
      </c>
      <c r="K6" s="44" t="s">
        <v>86</v>
      </c>
      <c r="L6" s="44" t="s">
        <v>84</v>
      </c>
      <c r="M6" s="44" t="s">
        <v>85</v>
      </c>
      <c r="N6" s="42"/>
    </row>
    <row r="7" spans="1:25" x14ac:dyDescent="0.2">
      <c r="A7" s="45" t="s">
        <v>318</v>
      </c>
      <c r="B7" s="139">
        <v>554.40000000000009</v>
      </c>
      <c r="C7" s="139">
        <v>482.39999999999992</v>
      </c>
      <c r="D7" s="139">
        <v>366.69999999999993</v>
      </c>
      <c r="E7" s="139">
        <v>296.29999999999995</v>
      </c>
      <c r="F7" s="139">
        <v>99.499999999999957</v>
      </c>
      <c r="G7" s="139">
        <v>18.899999999999999</v>
      </c>
      <c r="H7" s="139">
        <v>0</v>
      </c>
      <c r="I7" s="139">
        <v>0</v>
      </c>
      <c r="J7" s="139">
        <v>37.9</v>
      </c>
      <c r="K7" s="139">
        <v>191.9</v>
      </c>
      <c r="L7" s="139">
        <v>381.9</v>
      </c>
      <c r="M7" s="139">
        <v>462.50000000000006</v>
      </c>
      <c r="N7" s="42"/>
      <c r="Y7" s="36" t="str">
        <f>+A51</f>
        <v># Customers (Res+&lt;50+&gt;50+LU)</v>
      </c>
    </row>
    <row r="8" spans="1:25" x14ac:dyDescent="0.2">
      <c r="A8" s="45" t="s">
        <v>327</v>
      </c>
      <c r="B8" s="139">
        <v>556.39999999999986</v>
      </c>
      <c r="C8" s="139">
        <v>565.9</v>
      </c>
      <c r="D8" s="139">
        <v>508.7000000000001</v>
      </c>
      <c r="E8" s="139">
        <v>341.29999999999995</v>
      </c>
      <c r="F8" s="139">
        <v>150.35</v>
      </c>
      <c r="G8" s="139">
        <v>44.300000000000011</v>
      </c>
      <c r="H8" s="139">
        <v>3.2</v>
      </c>
      <c r="I8" s="139">
        <v>0</v>
      </c>
      <c r="J8" s="139">
        <v>51.6</v>
      </c>
      <c r="K8" s="139">
        <v>159.94999999999999</v>
      </c>
      <c r="L8" s="139">
        <v>416.30000000000007</v>
      </c>
      <c r="M8" s="139">
        <v>608.49999999999989</v>
      </c>
      <c r="N8" s="42"/>
      <c r="Y8" s="36" t="str">
        <f>+A66</f>
        <v>Days per Month</v>
      </c>
    </row>
    <row r="9" spans="1:25" x14ac:dyDescent="0.2">
      <c r="A9" s="45" t="s">
        <v>328</v>
      </c>
      <c r="B9" s="139">
        <v>727.8</v>
      </c>
      <c r="C9" s="139">
        <v>648.10000000000014</v>
      </c>
      <c r="D9" s="139">
        <v>636.19999999999993</v>
      </c>
      <c r="E9" s="139">
        <v>356.6</v>
      </c>
      <c r="F9" s="139">
        <v>174.7</v>
      </c>
      <c r="G9" s="139">
        <v>26.999999999999996</v>
      </c>
      <c r="H9" s="139">
        <v>0.6</v>
      </c>
      <c r="I9" s="139">
        <v>0.89999999999999991</v>
      </c>
      <c r="J9" s="139">
        <v>46.400000000000006</v>
      </c>
      <c r="K9" s="139">
        <v>173.7</v>
      </c>
      <c r="L9" s="139">
        <v>416</v>
      </c>
      <c r="M9" s="139">
        <v>509.75000000000011</v>
      </c>
      <c r="N9" s="42"/>
    </row>
    <row r="10" spans="1:25" x14ac:dyDescent="0.2">
      <c r="A10" s="45" t="s">
        <v>329</v>
      </c>
      <c r="B10" s="139">
        <v>696.24999999999989</v>
      </c>
      <c r="C10" s="139">
        <v>776.40000000000009</v>
      </c>
      <c r="D10" s="139">
        <v>596.9</v>
      </c>
      <c r="E10" s="139">
        <v>325.89999999999998</v>
      </c>
      <c r="F10" s="139">
        <v>131.80000000000004</v>
      </c>
      <c r="G10" s="139">
        <v>61.199999999999996</v>
      </c>
      <c r="H10" s="139">
        <v>2.6</v>
      </c>
      <c r="I10" s="139">
        <v>2.2000000000000002</v>
      </c>
      <c r="J10" s="139">
        <v>17.099999999999998</v>
      </c>
      <c r="K10" s="139">
        <v>186.04999999999998</v>
      </c>
      <c r="L10" s="139">
        <v>284.45</v>
      </c>
      <c r="M10" s="139">
        <v>372.95000000000005</v>
      </c>
      <c r="N10" s="42"/>
    </row>
    <row r="11" spans="1:25" x14ac:dyDescent="0.2">
      <c r="A11" s="45" t="s">
        <v>330</v>
      </c>
      <c r="B11" s="139">
        <v>597.25000000000011</v>
      </c>
      <c r="C11" s="139">
        <v>537.4</v>
      </c>
      <c r="D11" s="139">
        <v>444.59999999999997</v>
      </c>
      <c r="E11" s="139">
        <v>373.25000000000006</v>
      </c>
      <c r="F11" s="139">
        <v>157.94999999999996</v>
      </c>
      <c r="G11" s="139">
        <v>19.100000000000001</v>
      </c>
      <c r="H11" s="139">
        <v>0</v>
      </c>
      <c r="I11" s="139">
        <v>0</v>
      </c>
      <c r="J11" s="139">
        <v>14.400000000000002</v>
      </c>
      <c r="K11" s="139">
        <v>141.90000000000003</v>
      </c>
      <c r="L11" s="139">
        <v>270.5</v>
      </c>
      <c r="M11" s="139">
        <v>540.9</v>
      </c>
      <c r="N11" s="42"/>
    </row>
    <row r="12" spans="1:25" x14ac:dyDescent="0.2">
      <c r="A12" s="45" t="s">
        <v>331</v>
      </c>
      <c r="B12" s="139">
        <v>556.5</v>
      </c>
      <c r="C12" s="139">
        <v>468.50000000000006</v>
      </c>
      <c r="D12" s="139">
        <v>528.4</v>
      </c>
      <c r="E12" s="139">
        <v>273.05</v>
      </c>
      <c r="F12" s="139">
        <v>181.8</v>
      </c>
      <c r="G12" s="139">
        <v>27.000000000000004</v>
      </c>
      <c r="H12" s="139">
        <v>0</v>
      </c>
      <c r="I12" s="139">
        <v>0.3</v>
      </c>
      <c r="J12" s="139">
        <v>25.099999999999994</v>
      </c>
      <c r="K12" s="139">
        <v>94.7</v>
      </c>
      <c r="L12" s="139">
        <v>383.84999999999991</v>
      </c>
      <c r="M12" s="139">
        <v>617.19999999999993</v>
      </c>
      <c r="N12" s="42"/>
    </row>
    <row r="13" spans="1:25" x14ac:dyDescent="0.2">
      <c r="A13" s="45" t="s">
        <v>332</v>
      </c>
      <c r="B13" s="139">
        <v>647.4</v>
      </c>
      <c r="C13" s="139">
        <v>498.7</v>
      </c>
      <c r="D13" s="139">
        <v>518.79999999999995</v>
      </c>
      <c r="E13" s="139">
        <v>437.7</v>
      </c>
      <c r="F13" s="139">
        <v>124.9</v>
      </c>
      <c r="G13" s="139">
        <v>31.900000000000002</v>
      </c>
      <c r="H13" s="139">
        <v>0</v>
      </c>
      <c r="I13" s="139">
        <v>0</v>
      </c>
      <c r="J13" s="139">
        <v>25.15</v>
      </c>
      <c r="K13" s="139">
        <v>204.65</v>
      </c>
      <c r="L13" s="139">
        <v>434.3</v>
      </c>
      <c r="M13" s="139">
        <v>500.8</v>
      </c>
      <c r="N13" s="42"/>
    </row>
    <row r="14" spans="1:25" x14ac:dyDescent="0.2">
      <c r="A14" s="45" t="s">
        <v>145</v>
      </c>
      <c r="B14" s="139">
        <v>663.40000000000009</v>
      </c>
      <c r="C14" s="139">
        <v>548.29999999999995</v>
      </c>
      <c r="D14" s="139">
        <v>536.40000000000009</v>
      </c>
      <c r="E14" s="139">
        <v>356</v>
      </c>
      <c r="F14" s="139">
        <v>226.5</v>
      </c>
      <c r="G14" s="139">
        <v>53.099999999999994</v>
      </c>
      <c r="H14" s="139">
        <v>0</v>
      </c>
      <c r="I14" s="139">
        <v>0.9</v>
      </c>
      <c r="J14" s="139">
        <v>12.7</v>
      </c>
      <c r="K14" s="139">
        <v>163.09999999999997</v>
      </c>
      <c r="L14" s="139">
        <v>439.1</v>
      </c>
      <c r="M14" s="139">
        <v>514.30000000000007</v>
      </c>
      <c r="N14" s="42"/>
    </row>
    <row r="15" spans="1:25" x14ac:dyDescent="0.2">
      <c r="A15" s="45" t="s">
        <v>317</v>
      </c>
      <c r="B15" s="139">
        <v>536.29999999999995</v>
      </c>
      <c r="C15" s="139">
        <v>545.79999999999995</v>
      </c>
      <c r="D15" s="139">
        <v>436.9</v>
      </c>
      <c r="E15" s="139">
        <v>338.99999999999994</v>
      </c>
      <c r="F15" s="139">
        <v>216.54999999999998</v>
      </c>
      <c r="G15" s="139">
        <v>24.3</v>
      </c>
      <c r="H15" s="139">
        <v>0</v>
      </c>
      <c r="I15" s="139">
        <v>0</v>
      </c>
      <c r="J15" s="139">
        <v>41.199999999999996</v>
      </c>
      <c r="K15" s="139">
        <v>194.9</v>
      </c>
      <c r="L15" s="139">
        <v>288.5</v>
      </c>
      <c r="M15" s="139">
        <v>477.5</v>
      </c>
      <c r="N15" s="42"/>
    </row>
    <row r="16" spans="1:25" x14ac:dyDescent="0.2">
      <c r="A16" s="45" t="s">
        <v>349</v>
      </c>
      <c r="B16" s="139">
        <v>567.79999999999995</v>
      </c>
      <c r="C16" s="139">
        <v>574.79999999999995</v>
      </c>
      <c r="D16" s="139">
        <v>432.5</v>
      </c>
      <c r="E16" s="139">
        <v>318.69999999999993</v>
      </c>
      <c r="F16" s="139">
        <v>160.05000000000001</v>
      </c>
      <c r="G16" s="139">
        <v>9.1999999999999993</v>
      </c>
      <c r="H16" s="139">
        <v>0.1</v>
      </c>
      <c r="I16" s="139">
        <v>0</v>
      </c>
      <c r="J16" s="139">
        <v>10.7</v>
      </c>
      <c r="K16" s="139">
        <v>110.19999999999999</v>
      </c>
      <c r="L16" s="139">
        <v>334.2</v>
      </c>
      <c r="M16" s="139">
        <v>451.90000000000003</v>
      </c>
      <c r="N16" s="42"/>
    </row>
    <row r="17" spans="1:14" x14ac:dyDescent="0.2">
      <c r="A17" s="45" t="s">
        <v>350</v>
      </c>
      <c r="B17" s="139">
        <v>700.19999999999993</v>
      </c>
      <c r="C17" s="139">
        <v>557.40000000000009</v>
      </c>
      <c r="D17" s="139">
        <v>486.20000000000005</v>
      </c>
      <c r="E17" s="139">
        <v>332.90000000000009</v>
      </c>
      <c r="F17" s="139">
        <v>145.1</v>
      </c>
      <c r="G17" s="139">
        <v>9.1000000000000014</v>
      </c>
      <c r="H17" s="139">
        <v>0</v>
      </c>
      <c r="I17" s="139">
        <v>0</v>
      </c>
      <c r="J17" s="139">
        <v>38.299999999999997</v>
      </c>
      <c r="K17" s="139">
        <v>200.99999999999997</v>
      </c>
      <c r="L17" s="139">
        <v>328.5</v>
      </c>
      <c r="M17" s="139">
        <v>506.5</v>
      </c>
      <c r="N17" s="42"/>
    </row>
    <row r="18" spans="1:14" hidden="1" x14ac:dyDescent="0.2">
      <c r="A18" s="45" t="s">
        <v>351</v>
      </c>
      <c r="B18" s="591"/>
      <c r="C18" s="591"/>
      <c r="D18" s="591"/>
      <c r="E18" s="591"/>
      <c r="F18" s="591"/>
      <c r="G18" s="591"/>
      <c r="H18" s="591"/>
      <c r="I18" s="591"/>
      <c r="J18" s="591"/>
      <c r="K18" s="591"/>
      <c r="L18" s="591"/>
      <c r="M18" s="591"/>
      <c r="N18" s="42"/>
    </row>
    <row r="19" spans="1:14" hidden="1" x14ac:dyDescent="0.2">
      <c r="A19" s="45" t="s">
        <v>394</v>
      </c>
      <c r="B19" s="591"/>
      <c r="C19" s="591"/>
      <c r="D19" s="591"/>
      <c r="E19" s="591"/>
      <c r="F19" s="591"/>
      <c r="G19" s="591"/>
      <c r="H19" s="591"/>
      <c r="I19" s="591"/>
      <c r="J19" s="591"/>
      <c r="K19" s="591"/>
      <c r="L19" s="591"/>
      <c r="M19" s="591"/>
      <c r="N19" s="42"/>
    </row>
    <row r="20" spans="1:14" x14ac:dyDescent="0.2">
      <c r="A20" s="46"/>
      <c r="B20" s="43"/>
      <c r="C20" s="43"/>
      <c r="D20" s="43"/>
      <c r="E20" s="43"/>
      <c r="F20" s="43"/>
      <c r="G20" s="43"/>
      <c r="H20" s="43"/>
      <c r="I20" s="43"/>
      <c r="J20" s="43"/>
      <c r="K20" s="43"/>
      <c r="L20" s="43"/>
      <c r="M20" s="43"/>
      <c r="N20" s="42"/>
    </row>
    <row r="21" spans="1:14" x14ac:dyDescent="0.2">
      <c r="A21" s="41" t="s">
        <v>1</v>
      </c>
      <c r="B21" s="44" t="s">
        <v>76</v>
      </c>
      <c r="C21" s="44" t="s">
        <v>77</v>
      </c>
      <c r="D21" s="44" t="s">
        <v>78</v>
      </c>
      <c r="E21" s="44" t="s">
        <v>79</v>
      </c>
      <c r="F21" s="44" t="s">
        <v>62</v>
      </c>
      <c r="G21" s="44" t="s">
        <v>80</v>
      </c>
      <c r="H21" s="44" t="s">
        <v>81</v>
      </c>
      <c r="I21" s="44" t="s">
        <v>82</v>
      </c>
      <c r="J21" s="44" t="s">
        <v>83</v>
      </c>
      <c r="K21" s="44" t="s">
        <v>86</v>
      </c>
      <c r="L21" s="44" t="s">
        <v>84</v>
      </c>
      <c r="M21" s="44" t="s">
        <v>85</v>
      </c>
      <c r="N21" s="42"/>
    </row>
    <row r="22" spans="1:14" x14ac:dyDescent="0.2">
      <c r="A22" s="507" t="str">
        <f t="shared" ref="A22:A34" si="0">+A7</f>
        <v>2012</v>
      </c>
      <c r="B22" s="139">
        <v>0</v>
      </c>
      <c r="C22" s="139">
        <v>0</v>
      </c>
      <c r="D22" s="139">
        <v>0</v>
      </c>
      <c r="E22" s="139">
        <v>0</v>
      </c>
      <c r="F22" s="139">
        <v>22.400000000000002</v>
      </c>
      <c r="G22" s="139">
        <v>105.60000000000001</v>
      </c>
      <c r="H22" s="139">
        <v>203.49999999999997</v>
      </c>
      <c r="I22" s="139">
        <v>148.69999999999999</v>
      </c>
      <c r="J22" s="139">
        <v>50.29999999999999</v>
      </c>
      <c r="K22" s="139">
        <v>2.6</v>
      </c>
      <c r="L22" s="139">
        <v>0</v>
      </c>
      <c r="M22" s="139">
        <v>0</v>
      </c>
      <c r="N22" s="42"/>
    </row>
    <row r="23" spans="1:14" x14ac:dyDescent="0.2">
      <c r="A23" s="507" t="str">
        <f t="shared" si="0"/>
        <v>2013</v>
      </c>
      <c r="B23" s="139">
        <v>0</v>
      </c>
      <c r="C23" s="139">
        <v>0</v>
      </c>
      <c r="D23" s="139">
        <v>0</v>
      </c>
      <c r="E23" s="139">
        <v>0</v>
      </c>
      <c r="F23" s="139">
        <v>12.15</v>
      </c>
      <c r="G23" s="139">
        <v>47.499999999999993</v>
      </c>
      <c r="H23" s="139">
        <v>139.5</v>
      </c>
      <c r="I23" s="139">
        <v>106.4</v>
      </c>
      <c r="J23" s="139">
        <v>34.399999999999991</v>
      </c>
      <c r="K23" s="139">
        <v>4.8</v>
      </c>
      <c r="L23" s="139">
        <v>0</v>
      </c>
      <c r="M23" s="139">
        <v>0</v>
      </c>
      <c r="N23" s="42"/>
    </row>
    <row r="24" spans="1:14" x14ac:dyDescent="0.2">
      <c r="A24" s="507" t="str">
        <f t="shared" si="0"/>
        <v>2014</v>
      </c>
      <c r="B24" s="139">
        <v>0</v>
      </c>
      <c r="C24" s="139">
        <v>0</v>
      </c>
      <c r="D24" s="139">
        <v>0</v>
      </c>
      <c r="E24" s="139">
        <v>0</v>
      </c>
      <c r="F24" s="139">
        <v>3</v>
      </c>
      <c r="G24" s="139">
        <v>39.099999999999994</v>
      </c>
      <c r="H24" s="139">
        <v>78.399999999999991</v>
      </c>
      <c r="I24" s="139">
        <v>88.100000000000023</v>
      </c>
      <c r="J24" s="139">
        <v>42.300000000000004</v>
      </c>
      <c r="K24" s="139">
        <v>5.6999999999999993</v>
      </c>
      <c r="L24" s="139">
        <v>0</v>
      </c>
      <c r="M24" s="139">
        <v>0</v>
      </c>
      <c r="N24" s="42"/>
    </row>
    <row r="25" spans="1:14" x14ac:dyDescent="0.2">
      <c r="A25" s="507" t="str">
        <f t="shared" si="0"/>
        <v>2015</v>
      </c>
      <c r="B25" s="139">
        <v>0</v>
      </c>
      <c r="C25" s="139">
        <v>0</v>
      </c>
      <c r="D25" s="139">
        <v>0</v>
      </c>
      <c r="E25" s="139">
        <v>0</v>
      </c>
      <c r="F25" s="139">
        <v>9.75</v>
      </c>
      <c r="G25" s="139">
        <v>19.499999999999996</v>
      </c>
      <c r="H25" s="139">
        <v>121.2</v>
      </c>
      <c r="I25" s="139">
        <v>104.30000000000001</v>
      </c>
      <c r="J25" s="139">
        <v>83.999999999999986</v>
      </c>
      <c r="K25" s="139">
        <v>1.8</v>
      </c>
      <c r="L25" s="139">
        <v>0</v>
      </c>
      <c r="M25" s="139">
        <v>0</v>
      </c>
      <c r="N25" s="42"/>
    </row>
    <row r="26" spans="1:14" x14ac:dyDescent="0.2">
      <c r="A26" s="507" t="str">
        <f t="shared" si="0"/>
        <v>2016</v>
      </c>
      <c r="B26" s="139">
        <v>0</v>
      </c>
      <c r="C26" s="139">
        <v>0</v>
      </c>
      <c r="D26" s="139">
        <v>0</v>
      </c>
      <c r="E26" s="139">
        <v>0</v>
      </c>
      <c r="F26" s="139">
        <v>31</v>
      </c>
      <c r="G26" s="139">
        <v>67.100000000000009</v>
      </c>
      <c r="H26" s="139">
        <v>166.6</v>
      </c>
      <c r="I26" s="139">
        <v>198.84999999999997</v>
      </c>
      <c r="J26" s="139">
        <v>88.799999999999983</v>
      </c>
      <c r="K26" s="139">
        <v>12.350000000000001</v>
      </c>
      <c r="L26" s="139">
        <v>0</v>
      </c>
      <c r="M26" s="139">
        <v>0</v>
      </c>
      <c r="N26" s="42"/>
    </row>
    <row r="27" spans="1:14" x14ac:dyDescent="0.2">
      <c r="A27" s="507" t="str">
        <f t="shared" si="0"/>
        <v>2017</v>
      </c>
      <c r="B27" s="139">
        <v>0</v>
      </c>
      <c r="C27" s="139">
        <v>0</v>
      </c>
      <c r="D27" s="139">
        <v>0</v>
      </c>
      <c r="E27" s="139">
        <v>0</v>
      </c>
      <c r="F27" s="139">
        <v>2.8000000000000003</v>
      </c>
      <c r="G27" s="139">
        <v>62.800000000000004</v>
      </c>
      <c r="H27" s="139">
        <v>111.60000000000002</v>
      </c>
      <c r="I27" s="139">
        <v>102</v>
      </c>
      <c r="J27" s="139">
        <v>59.5</v>
      </c>
      <c r="K27" s="139">
        <v>14.9</v>
      </c>
      <c r="L27" s="139">
        <v>0</v>
      </c>
      <c r="M27" s="139">
        <v>0</v>
      </c>
      <c r="N27" s="42"/>
    </row>
    <row r="28" spans="1:14" x14ac:dyDescent="0.2">
      <c r="A28" s="507" t="str">
        <f t="shared" si="0"/>
        <v>2018</v>
      </c>
      <c r="B28" s="139">
        <v>0</v>
      </c>
      <c r="C28" s="139">
        <v>0</v>
      </c>
      <c r="D28" s="139">
        <v>0</v>
      </c>
      <c r="E28" s="139">
        <v>0</v>
      </c>
      <c r="F28" s="139">
        <v>15.35</v>
      </c>
      <c r="G28" s="139">
        <v>47.6</v>
      </c>
      <c r="H28" s="139">
        <v>183.99999999999997</v>
      </c>
      <c r="I28" s="139">
        <v>183.7</v>
      </c>
      <c r="J28" s="139">
        <v>77.700000000000017</v>
      </c>
      <c r="K28" s="139">
        <v>9.7999999999999989</v>
      </c>
      <c r="L28" s="139">
        <v>0</v>
      </c>
      <c r="M28" s="139">
        <v>0</v>
      </c>
      <c r="N28" s="42"/>
    </row>
    <row r="29" spans="1:14" x14ac:dyDescent="0.2">
      <c r="A29" s="507" t="str">
        <f t="shared" si="0"/>
        <v>2019</v>
      </c>
      <c r="B29" s="139">
        <v>0</v>
      </c>
      <c r="C29" s="139">
        <v>0</v>
      </c>
      <c r="D29" s="139">
        <v>0</v>
      </c>
      <c r="E29" s="139">
        <v>0</v>
      </c>
      <c r="F29" s="139">
        <v>0</v>
      </c>
      <c r="G29" s="139">
        <v>30.3</v>
      </c>
      <c r="H29" s="139">
        <v>161.14999999999998</v>
      </c>
      <c r="I29" s="139">
        <v>112.59999999999998</v>
      </c>
      <c r="J29" s="139">
        <v>47.6</v>
      </c>
      <c r="K29" s="139">
        <v>3.1</v>
      </c>
      <c r="L29" s="139">
        <v>0</v>
      </c>
      <c r="M29" s="139">
        <v>0</v>
      </c>
      <c r="N29" s="42"/>
    </row>
    <row r="30" spans="1:14" x14ac:dyDescent="0.2">
      <c r="A30" s="507" t="str">
        <f t="shared" si="0"/>
        <v>2020</v>
      </c>
      <c r="B30" s="139">
        <v>0</v>
      </c>
      <c r="C30" s="139">
        <v>0</v>
      </c>
      <c r="D30" s="139">
        <v>0</v>
      </c>
      <c r="E30" s="139">
        <v>0</v>
      </c>
      <c r="F30" s="139">
        <v>8.6</v>
      </c>
      <c r="G30" s="139">
        <v>80.300000000000026</v>
      </c>
      <c r="H30" s="139">
        <v>223.29999999999995</v>
      </c>
      <c r="I30" s="139">
        <v>144.15</v>
      </c>
      <c r="J30" s="139">
        <v>43.8</v>
      </c>
      <c r="K30" s="139">
        <v>0</v>
      </c>
      <c r="L30" s="139">
        <v>0</v>
      </c>
      <c r="M30" s="139">
        <v>0</v>
      </c>
      <c r="N30" s="42"/>
    </row>
    <row r="31" spans="1:14" x14ac:dyDescent="0.2">
      <c r="A31" s="507" t="str">
        <f t="shared" si="0"/>
        <v>2021</v>
      </c>
      <c r="B31" s="139">
        <v>0</v>
      </c>
      <c r="C31" s="139">
        <v>0</v>
      </c>
      <c r="D31" s="139">
        <v>0</v>
      </c>
      <c r="E31" s="139">
        <v>0</v>
      </c>
      <c r="F31" s="139">
        <v>8.8000000000000007</v>
      </c>
      <c r="G31" s="139">
        <v>93.600000000000009</v>
      </c>
      <c r="H31" s="139">
        <v>116.75</v>
      </c>
      <c r="I31" s="139">
        <v>198.39999999999998</v>
      </c>
      <c r="J31" s="139">
        <v>59.79999999999999</v>
      </c>
      <c r="K31" s="139">
        <v>15.4</v>
      </c>
      <c r="L31" s="139">
        <v>0</v>
      </c>
      <c r="M31" s="139">
        <v>0</v>
      </c>
      <c r="N31" s="42"/>
    </row>
    <row r="32" spans="1:14" x14ac:dyDescent="0.2">
      <c r="A32" s="507" t="str">
        <f t="shared" si="0"/>
        <v>2022</v>
      </c>
      <c r="B32" s="139">
        <v>0</v>
      </c>
      <c r="C32" s="139">
        <v>0</v>
      </c>
      <c r="D32" s="139">
        <v>0</v>
      </c>
      <c r="E32" s="139">
        <v>0</v>
      </c>
      <c r="F32" s="139">
        <v>14.9</v>
      </c>
      <c r="G32" s="139">
        <v>56.4</v>
      </c>
      <c r="H32" s="139">
        <v>143.49999999999997</v>
      </c>
      <c r="I32" s="139">
        <v>159.25000000000003</v>
      </c>
      <c r="J32" s="139">
        <v>58.5</v>
      </c>
      <c r="K32" s="139">
        <v>0.4</v>
      </c>
      <c r="L32" s="139">
        <v>2.6</v>
      </c>
      <c r="M32" s="139">
        <v>0</v>
      </c>
      <c r="N32" s="42"/>
    </row>
    <row r="33" spans="1:14" hidden="1" x14ac:dyDescent="0.2">
      <c r="A33" s="507" t="str">
        <f t="shared" si="0"/>
        <v>2023</v>
      </c>
      <c r="B33" s="89"/>
      <c r="C33" s="89"/>
      <c r="D33" s="89"/>
      <c r="E33" s="89"/>
      <c r="F33" s="89"/>
      <c r="G33" s="89"/>
      <c r="H33" s="89"/>
      <c r="I33" s="89"/>
      <c r="J33" s="89"/>
      <c r="K33" s="89"/>
      <c r="L33" s="89"/>
      <c r="M33" s="89"/>
      <c r="N33" s="42"/>
    </row>
    <row r="34" spans="1:14" hidden="1" x14ac:dyDescent="0.2">
      <c r="A34" s="507" t="str">
        <f t="shared" si="0"/>
        <v>2024</v>
      </c>
      <c r="B34" s="89"/>
      <c r="C34" s="89"/>
      <c r="D34" s="89"/>
      <c r="E34" s="89"/>
      <c r="F34" s="89"/>
      <c r="G34" s="89"/>
      <c r="H34" s="89"/>
      <c r="I34" s="89"/>
      <c r="J34" s="89"/>
      <c r="K34" s="89"/>
      <c r="L34" s="89"/>
      <c r="M34" s="89"/>
      <c r="N34" s="42"/>
    </row>
    <row r="35" spans="1:14" x14ac:dyDescent="0.2">
      <c r="A35" s="43"/>
      <c r="B35" s="43"/>
      <c r="C35" s="43"/>
      <c r="D35" s="43"/>
      <c r="E35" s="43"/>
      <c r="F35" s="43"/>
      <c r="G35" s="43"/>
      <c r="H35" s="43"/>
      <c r="I35" s="43"/>
      <c r="J35" s="43"/>
      <c r="K35" s="43"/>
      <c r="L35" s="43"/>
      <c r="M35" s="43"/>
      <c r="N35" s="42"/>
    </row>
    <row r="36" spans="1:14" ht="25.5" hidden="1" x14ac:dyDescent="0.2">
      <c r="A36" s="47" t="s">
        <v>148</v>
      </c>
      <c r="B36" s="44" t="s">
        <v>76</v>
      </c>
      <c r="C36" s="44" t="s">
        <v>77</v>
      </c>
      <c r="D36" s="44" t="s">
        <v>78</v>
      </c>
      <c r="E36" s="44" t="s">
        <v>79</v>
      </c>
      <c r="F36" s="44" t="s">
        <v>62</v>
      </c>
      <c r="G36" s="44" t="s">
        <v>80</v>
      </c>
      <c r="H36" s="44" t="s">
        <v>81</v>
      </c>
      <c r="I36" s="44" t="s">
        <v>82</v>
      </c>
      <c r="J36" s="44" t="s">
        <v>83</v>
      </c>
      <c r="K36" s="44" t="s">
        <v>86</v>
      </c>
      <c r="L36" s="44" t="s">
        <v>84</v>
      </c>
      <c r="M36" s="44" t="s">
        <v>85</v>
      </c>
      <c r="N36" s="42"/>
    </row>
    <row r="37" spans="1:14" hidden="1" x14ac:dyDescent="0.2">
      <c r="A37" s="507" t="str">
        <f t="shared" ref="A37:A48" si="1">+A22</f>
        <v>2012</v>
      </c>
      <c r="B37" s="139">
        <v>9.1199999999999992</v>
      </c>
      <c r="C37" s="139">
        <v>10.199999999999999</v>
      </c>
      <c r="D37" s="139">
        <v>11.5</v>
      </c>
      <c r="E37" s="139">
        <v>13.26</v>
      </c>
      <c r="F37" s="139">
        <v>14.47</v>
      </c>
      <c r="G37" s="139">
        <v>15.3</v>
      </c>
      <c r="H37" s="139">
        <v>15.11</v>
      </c>
      <c r="I37" s="139">
        <v>14</v>
      </c>
      <c r="J37" s="139">
        <v>12.27</v>
      </c>
      <c r="K37" s="139">
        <v>10.52</v>
      </c>
      <c r="L37" s="139">
        <v>9.31</v>
      </c>
      <c r="M37" s="139">
        <v>8.5</v>
      </c>
      <c r="N37" s="42"/>
    </row>
    <row r="38" spans="1:14" hidden="1" x14ac:dyDescent="0.2">
      <c r="A38" s="507" t="str">
        <f t="shared" si="1"/>
        <v>2013</v>
      </c>
      <c r="B38" s="139">
        <v>9.1199999999999992</v>
      </c>
      <c r="C38" s="139">
        <v>10.199999999999999</v>
      </c>
      <c r="D38" s="139">
        <v>11.5</v>
      </c>
      <c r="E38" s="139">
        <v>13.26</v>
      </c>
      <c r="F38" s="139">
        <v>14.47</v>
      </c>
      <c r="G38" s="139">
        <v>15.3</v>
      </c>
      <c r="H38" s="139">
        <v>15.11</v>
      </c>
      <c r="I38" s="139">
        <v>14</v>
      </c>
      <c r="J38" s="139">
        <v>12.27</v>
      </c>
      <c r="K38" s="139">
        <v>10.52</v>
      </c>
      <c r="L38" s="139">
        <v>9.31</v>
      </c>
      <c r="M38" s="139">
        <v>8.5</v>
      </c>
      <c r="N38" s="42"/>
    </row>
    <row r="39" spans="1:14" hidden="1" x14ac:dyDescent="0.2">
      <c r="A39" s="507" t="str">
        <f t="shared" si="1"/>
        <v>2014</v>
      </c>
      <c r="B39" s="139">
        <v>9.1199999999999992</v>
      </c>
      <c r="C39" s="139">
        <v>10.199999999999999</v>
      </c>
      <c r="D39" s="139">
        <v>11.5</v>
      </c>
      <c r="E39" s="139">
        <v>13.26</v>
      </c>
      <c r="F39" s="139">
        <v>14.47</v>
      </c>
      <c r="G39" s="139">
        <v>15.3</v>
      </c>
      <c r="H39" s="139">
        <v>15.11</v>
      </c>
      <c r="I39" s="139">
        <v>14</v>
      </c>
      <c r="J39" s="139">
        <v>12.27</v>
      </c>
      <c r="K39" s="139">
        <v>10.52</v>
      </c>
      <c r="L39" s="139">
        <v>9.31</v>
      </c>
      <c r="M39" s="139">
        <v>8.5</v>
      </c>
      <c r="N39" s="42"/>
    </row>
    <row r="40" spans="1:14" hidden="1" x14ac:dyDescent="0.2">
      <c r="A40" s="507" t="str">
        <f t="shared" si="1"/>
        <v>2015</v>
      </c>
      <c r="B40" s="139">
        <v>9.1199999999999992</v>
      </c>
      <c r="C40" s="139">
        <v>10.199999999999999</v>
      </c>
      <c r="D40" s="139">
        <v>11.5</v>
      </c>
      <c r="E40" s="139">
        <v>13.26</v>
      </c>
      <c r="F40" s="139">
        <v>14.47</v>
      </c>
      <c r="G40" s="139">
        <v>15.3</v>
      </c>
      <c r="H40" s="139">
        <v>15.11</v>
      </c>
      <c r="I40" s="139">
        <v>14</v>
      </c>
      <c r="J40" s="139">
        <v>12.27</v>
      </c>
      <c r="K40" s="139">
        <v>10.52</v>
      </c>
      <c r="L40" s="139">
        <v>9.31</v>
      </c>
      <c r="M40" s="139">
        <v>8.5</v>
      </c>
      <c r="N40" s="42"/>
    </row>
    <row r="41" spans="1:14" hidden="1" x14ac:dyDescent="0.2">
      <c r="A41" s="507" t="str">
        <f t="shared" si="1"/>
        <v>2016</v>
      </c>
      <c r="B41" s="139">
        <v>9.1199999999999992</v>
      </c>
      <c r="C41" s="139">
        <v>10.199999999999999</v>
      </c>
      <c r="D41" s="139">
        <v>11.5</v>
      </c>
      <c r="E41" s="139">
        <v>13.26</v>
      </c>
      <c r="F41" s="139">
        <v>14.47</v>
      </c>
      <c r="G41" s="139">
        <v>15.3</v>
      </c>
      <c r="H41" s="139">
        <v>15.11</v>
      </c>
      <c r="I41" s="139">
        <v>14</v>
      </c>
      <c r="J41" s="139">
        <v>12.27</v>
      </c>
      <c r="K41" s="139">
        <v>10.52</v>
      </c>
      <c r="L41" s="139">
        <v>9.31</v>
      </c>
      <c r="M41" s="139">
        <v>8.5</v>
      </c>
      <c r="N41" s="42"/>
    </row>
    <row r="42" spans="1:14" hidden="1" x14ac:dyDescent="0.2">
      <c r="A42" s="507" t="str">
        <f t="shared" si="1"/>
        <v>2017</v>
      </c>
      <c r="B42" s="139">
        <v>9.1199999999999992</v>
      </c>
      <c r="C42" s="139">
        <v>10.199999999999999</v>
      </c>
      <c r="D42" s="139">
        <v>11.5</v>
      </c>
      <c r="E42" s="139">
        <v>13.26</v>
      </c>
      <c r="F42" s="139">
        <v>14.47</v>
      </c>
      <c r="G42" s="139">
        <v>15.3</v>
      </c>
      <c r="H42" s="139">
        <v>15.11</v>
      </c>
      <c r="I42" s="139">
        <v>14</v>
      </c>
      <c r="J42" s="139">
        <v>12.27</v>
      </c>
      <c r="K42" s="139">
        <v>10.52</v>
      </c>
      <c r="L42" s="139">
        <v>9.31</v>
      </c>
      <c r="M42" s="139">
        <v>8.5</v>
      </c>
      <c r="N42" s="42"/>
    </row>
    <row r="43" spans="1:14" hidden="1" x14ac:dyDescent="0.2">
      <c r="A43" s="507" t="str">
        <f t="shared" si="1"/>
        <v>2018</v>
      </c>
      <c r="B43" s="139">
        <v>9.1199999999999992</v>
      </c>
      <c r="C43" s="139">
        <v>10.199999999999999</v>
      </c>
      <c r="D43" s="139">
        <v>11.5</v>
      </c>
      <c r="E43" s="139">
        <v>13.26</v>
      </c>
      <c r="F43" s="139">
        <v>14.47</v>
      </c>
      <c r="G43" s="139">
        <v>15.3</v>
      </c>
      <c r="H43" s="139">
        <v>15.11</v>
      </c>
      <c r="I43" s="139">
        <v>14</v>
      </c>
      <c r="J43" s="139">
        <v>12.27</v>
      </c>
      <c r="K43" s="139">
        <v>10.52</v>
      </c>
      <c r="L43" s="139">
        <v>9.31</v>
      </c>
      <c r="M43" s="139">
        <v>8.5</v>
      </c>
      <c r="N43" s="42"/>
    </row>
    <row r="44" spans="1:14" hidden="1" x14ac:dyDescent="0.2">
      <c r="A44" s="507" t="str">
        <f t="shared" si="1"/>
        <v>2019</v>
      </c>
      <c r="B44" s="139">
        <v>9.1199999999999992</v>
      </c>
      <c r="C44" s="139">
        <v>10.199999999999999</v>
      </c>
      <c r="D44" s="139">
        <v>11.5</v>
      </c>
      <c r="E44" s="139">
        <v>13.26</v>
      </c>
      <c r="F44" s="139">
        <v>14.47</v>
      </c>
      <c r="G44" s="139">
        <v>15.3</v>
      </c>
      <c r="H44" s="139">
        <v>15.11</v>
      </c>
      <c r="I44" s="139">
        <v>14</v>
      </c>
      <c r="J44" s="139">
        <v>12.27</v>
      </c>
      <c r="K44" s="139">
        <v>10.52</v>
      </c>
      <c r="L44" s="139">
        <v>9.31</v>
      </c>
      <c r="M44" s="139">
        <v>8.5</v>
      </c>
      <c r="N44" s="42"/>
    </row>
    <row r="45" spans="1:14" hidden="1" x14ac:dyDescent="0.2">
      <c r="A45" s="507" t="str">
        <f t="shared" si="1"/>
        <v>2020</v>
      </c>
      <c r="B45" s="139">
        <v>9.1199999999999992</v>
      </c>
      <c r="C45" s="139">
        <v>10.199999999999999</v>
      </c>
      <c r="D45" s="139">
        <v>11.5</v>
      </c>
      <c r="E45" s="139">
        <v>13.26</v>
      </c>
      <c r="F45" s="139">
        <v>14.47</v>
      </c>
      <c r="G45" s="139">
        <v>15.3</v>
      </c>
      <c r="H45" s="139">
        <v>15.11</v>
      </c>
      <c r="I45" s="139">
        <v>14</v>
      </c>
      <c r="J45" s="139">
        <v>12.27</v>
      </c>
      <c r="K45" s="139">
        <v>10.52</v>
      </c>
      <c r="L45" s="139">
        <v>9.31</v>
      </c>
      <c r="M45" s="139">
        <v>8.5</v>
      </c>
      <c r="N45" s="42"/>
    </row>
    <row r="46" spans="1:14" hidden="1" x14ac:dyDescent="0.2">
      <c r="A46" s="507" t="str">
        <f t="shared" si="1"/>
        <v>2021</v>
      </c>
      <c r="B46" s="139">
        <v>9.1199999999999992</v>
      </c>
      <c r="C46" s="139">
        <v>10.199999999999999</v>
      </c>
      <c r="D46" s="139">
        <v>11.5</v>
      </c>
      <c r="E46" s="139">
        <v>13.26</v>
      </c>
      <c r="F46" s="139">
        <v>14.47</v>
      </c>
      <c r="G46" s="139">
        <v>15.3</v>
      </c>
      <c r="H46" s="139">
        <v>15.11</v>
      </c>
      <c r="I46" s="139">
        <v>14</v>
      </c>
      <c r="J46" s="139">
        <v>12.27</v>
      </c>
      <c r="K46" s="139">
        <v>10.52</v>
      </c>
      <c r="L46" s="139">
        <v>9.31</v>
      </c>
      <c r="M46" s="139">
        <v>8.5</v>
      </c>
      <c r="N46" s="42"/>
    </row>
    <row r="47" spans="1:14" hidden="1" x14ac:dyDescent="0.2">
      <c r="A47" s="507" t="str">
        <f t="shared" si="1"/>
        <v>2022</v>
      </c>
      <c r="B47" s="139">
        <v>9.1199999999999992</v>
      </c>
      <c r="C47" s="139">
        <v>10.199999999999999</v>
      </c>
      <c r="D47" s="139">
        <v>11.5</v>
      </c>
      <c r="E47" s="139">
        <v>13.26</v>
      </c>
      <c r="F47" s="139">
        <v>14.47</v>
      </c>
      <c r="G47" s="139">
        <v>15.3</v>
      </c>
      <c r="H47" s="139">
        <v>15.11</v>
      </c>
      <c r="I47" s="139">
        <v>14</v>
      </c>
      <c r="J47" s="139">
        <v>12.27</v>
      </c>
      <c r="K47" s="139">
        <v>10.52</v>
      </c>
      <c r="L47" s="139">
        <v>9.31</v>
      </c>
      <c r="M47" s="139">
        <v>8.5</v>
      </c>
      <c r="N47" s="42"/>
    </row>
    <row r="48" spans="1:14" hidden="1" x14ac:dyDescent="0.2">
      <c r="A48" s="507" t="str">
        <f t="shared" si="1"/>
        <v>2023</v>
      </c>
      <c r="B48" s="139">
        <v>9.1199999999999992</v>
      </c>
      <c r="C48" s="139">
        <v>10.199999999999999</v>
      </c>
      <c r="D48" s="139">
        <v>11.5</v>
      </c>
      <c r="E48" s="139">
        <v>13.26</v>
      </c>
      <c r="F48" s="139">
        <v>14.47</v>
      </c>
      <c r="G48" s="139">
        <v>15.3</v>
      </c>
      <c r="H48" s="139">
        <v>15.11</v>
      </c>
      <c r="I48" s="139">
        <v>14</v>
      </c>
      <c r="J48" s="139">
        <v>12.27</v>
      </c>
      <c r="K48" s="139">
        <v>10.52</v>
      </c>
      <c r="L48" s="139">
        <v>9.31</v>
      </c>
      <c r="M48" s="139">
        <v>8.5</v>
      </c>
      <c r="N48" s="42"/>
    </row>
    <row r="49" spans="1:14" hidden="1" x14ac:dyDescent="0.2">
      <c r="A49" s="45" t="s">
        <v>351</v>
      </c>
      <c r="B49" s="89"/>
      <c r="C49" s="89"/>
      <c r="D49" s="89"/>
      <c r="E49" s="89"/>
      <c r="F49" s="89"/>
      <c r="G49" s="89"/>
      <c r="H49" s="89"/>
      <c r="I49" s="89"/>
      <c r="J49" s="89"/>
      <c r="K49" s="89"/>
      <c r="L49" s="89"/>
      <c r="M49" s="89"/>
      <c r="N49" s="42"/>
    </row>
    <row r="50" spans="1:14" x14ac:dyDescent="0.2">
      <c r="A50" s="43"/>
      <c r="B50" s="43"/>
      <c r="C50" s="43"/>
      <c r="D50" s="43"/>
      <c r="E50" s="43"/>
      <c r="F50" s="43"/>
      <c r="G50" s="43"/>
      <c r="H50" s="43"/>
      <c r="I50" s="43"/>
      <c r="J50" s="43"/>
      <c r="K50" s="43"/>
      <c r="L50" s="43"/>
      <c r="M50" s="43"/>
      <c r="N50" s="42"/>
    </row>
    <row r="51" spans="1:14" ht="38.25" x14ac:dyDescent="0.2">
      <c r="A51" s="47" t="s">
        <v>246</v>
      </c>
      <c r="B51" s="44" t="s">
        <v>76</v>
      </c>
      <c r="C51" s="44" t="s">
        <v>77</v>
      </c>
      <c r="D51" s="44" t="s">
        <v>78</v>
      </c>
      <c r="E51" s="44" t="s">
        <v>79</v>
      </c>
      <c r="F51" s="44" t="s">
        <v>62</v>
      </c>
      <c r="G51" s="44" t="s">
        <v>80</v>
      </c>
      <c r="H51" s="44" t="s">
        <v>81</v>
      </c>
      <c r="I51" s="44" t="s">
        <v>82</v>
      </c>
      <c r="J51" s="44" t="s">
        <v>83</v>
      </c>
      <c r="K51" s="44" t="s">
        <v>86</v>
      </c>
      <c r="L51" s="44" t="s">
        <v>84</v>
      </c>
      <c r="M51" s="44" t="s">
        <v>85</v>
      </c>
      <c r="N51" s="42"/>
    </row>
    <row r="52" spans="1:14" x14ac:dyDescent="0.2">
      <c r="A52" s="507" t="str">
        <f t="shared" ref="A52:A63" si="2">+A37</f>
        <v>2012</v>
      </c>
      <c r="B52" s="91">
        <f>+'3. Consumption by Rate Class'!$V$10</f>
        <v>8036</v>
      </c>
      <c r="C52" s="91">
        <f>+'3. Consumption by Rate Class'!$V$11</f>
        <v>8050.5</v>
      </c>
      <c r="D52" s="91">
        <f>+'3. Consumption by Rate Class'!$V$12</f>
        <v>8066</v>
      </c>
      <c r="E52" s="91">
        <f>+'3. Consumption by Rate Class'!$V$13</f>
        <v>8077.5</v>
      </c>
      <c r="F52" s="91">
        <f>+'3. Consumption by Rate Class'!$V$14</f>
        <v>8088</v>
      </c>
      <c r="G52" s="91">
        <f>+'3. Consumption by Rate Class'!$V$15</f>
        <v>8096</v>
      </c>
      <c r="H52" s="91">
        <f>+'3. Consumption by Rate Class'!$V$16</f>
        <v>8103.5</v>
      </c>
      <c r="I52" s="91">
        <f>+'3. Consumption by Rate Class'!$V$17</f>
        <v>8119</v>
      </c>
      <c r="J52" s="91">
        <f>+'3. Consumption by Rate Class'!$V$18</f>
        <v>8132.5</v>
      </c>
      <c r="K52" s="91">
        <f>+'3. Consumption by Rate Class'!$V$19</f>
        <v>8138</v>
      </c>
      <c r="L52" s="91">
        <f>+'3. Consumption by Rate Class'!$V$20</f>
        <v>8161.5</v>
      </c>
      <c r="M52" s="91">
        <f>+'3. Consumption by Rate Class'!$V$21</f>
        <v>8184.5</v>
      </c>
      <c r="N52" s="42"/>
    </row>
    <row r="53" spans="1:14" x14ac:dyDescent="0.2">
      <c r="A53" s="507" t="str">
        <f t="shared" si="2"/>
        <v>2013</v>
      </c>
      <c r="B53" s="91">
        <f>+'3. Consumption by Rate Class'!$V$22</f>
        <v>8200</v>
      </c>
      <c r="C53" s="91">
        <f>+'3. Consumption by Rate Class'!$V$23</f>
        <v>8204.5</v>
      </c>
      <c r="D53" s="91">
        <f>+'3. Consumption by Rate Class'!$V$24</f>
        <v>8202</v>
      </c>
      <c r="E53" s="91">
        <f>+'3. Consumption by Rate Class'!$V$25</f>
        <v>8208.5</v>
      </c>
      <c r="F53" s="91">
        <f>+'3. Consumption by Rate Class'!$V$26</f>
        <v>8219</v>
      </c>
      <c r="G53" s="91">
        <f>+'3. Consumption by Rate Class'!$V$27</f>
        <v>8236</v>
      </c>
      <c r="H53" s="91">
        <f>+'3. Consumption by Rate Class'!$V$28</f>
        <v>8248.5</v>
      </c>
      <c r="I53" s="91">
        <f>+'3. Consumption by Rate Class'!$V$29</f>
        <v>8261.5</v>
      </c>
      <c r="J53" s="91">
        <f>+'3. Consumption by Rate Class'!$V$30</f>
        <v>8272.5</v>
      </c>
      <c r="K53" s="91">
        <f>+'3. Consumption by Rate Class'!$V$31</f>
        <v>8288.5</v>
      </c>
      <c r="L53" s="91">
        <f>+'3. Consumption by Rate Class'!$V$32</f>
        <v>8309.5</v>
      </c>
      <c r="M53" s="91">
        <f>+'3. Consumption by Rate Class'!$V$33</f>
        <v>8339.5</v>
      </c>
      <c r="N53" s="42"/>
    </row>
    <row r="54" spans="1:14" x14ac:dyDescent="0.2">
      <c r="A54" s="507" t="str">
        <f t="shared" si="2"/>
        <v>2014</v>
      </c>
      <c r="B54" s="91">
        <f>+'3. Consumption by Rate Class'!$V$34</f>
        <v>8378</v>
      </c>
      <c r="C54" s="91">
        <f>+'3. Consumption by Rate Class'!$V$35</f>
        <v>8418.5</v>
      </c>
      <c r="D54" s="91">
        <f>+'3. Consumption by Rate Class'!$V$36</f>
        <v>8459.5</v>
      </c>
      <c r="E54" s="91">
        <f>+'3. Consumption by Rate Class'!$V$37</f>
        <v>8486</v>
      </c>
      <c r="F54" s="91">
        <f>+'3. Consumption by Rate Class'!$V$38</f>
        <v>8506.5</v>
      </c>
      <c r="G54" s="91">
        <f>+'3. Consumption by Rate Class'!$V$39</f>
        <v>8536</v>
      </c>
      <c r="H54" s="91">
        <f>+'3. Consumption by Rate Class'!$V$40</f>
        <v>8563</v>
      </c>
      <c r="I54" s="91">
        <f>+'3. Consumption by Rate Class'!$V$41</f>
        <v>8587.5</v>
      </c>
      <c r="J54" s="91">
        <f>+'3. Consumption by Rate Class'!$V$42</f>
        <v>8608</v>
      </c>
      <c r="K54" s="91">
        <f>+'3. Consumption by Rate Class'!$V$43</f>
        <v>8617.5</v>
      </c>
      <c r="L54" s="91">
        <f>+'3. Consumption by Rate Class'!$V$44</f>
        <v>8632</v>
      </c>
      <c r="M54" s="91">
        <f>+'3. Consumption by Rate Class'!$V$45</f>
        <v>8651</v>
      </c>
      <c r="N54" s="42"/>
    </row>
    <row r="55" spans="1:14" x14ac:dyDescent="0.2">
      <c r="A55" s="507" t="str">
        <f t="shared" si="2"/>
        <v>2015</v>
      </c>
      <c r="B55" s="91">
        <f>+'3. Consumption by Rate Class'!$V$46</f>
        <v>8678.5</v>
      </c>
      <c r="C55" s="91">
        <f>+'3. Consumption by Rate Class'!$V$47</f>
        <v>8704</v>
      </c>
      <c r="D55" s="91">
        <f>+'3. Consumption by Rate Class'!$V$48</f>
        <v>8731</v>
      </c>
      <c r="E55" s="91">
        <f>+'3. Consumption by Rate Class'!$V$49</f>
        <v>8754.5</v>
      </c>
      <c r="F55" s="91">
        <f>+'3. Consumption by Rate Class'!$V$50</f>
        <v>8787</v>
      </c>
      <c r="G55" s="91">
        <f>+'3. Consumption by Rate Class'!$V$51</f>
        <v>8825</v>
      </c>
      <c r="H55" s="91">
        <f>+'3. Consumption by Rate Class'!$V$52</f>
        <v>8849</v>
      </c>
      <c r="I55" s="91">
        <f>+'3. Consumption by Rate Class'!$V$53</f>
        <v>8871.5</v>
      </c>
      <c r="J55" s="91">
        <f>+'3. Consumption by Rate Class'!$V$54</f>
        <v>8900.5</v>
      </c>
      <c r="K55" s="91">
        <f>+'3. Consumption by Rate Class'!$V$55</f>
        <v>8928.5</v>
      </c>
      <c r="L55" s="91">
        <f>+'3. Consumption by Rate Class'!$V$56</f>
        <v>8950</v>
      </c>
      <c r="M55" s="91">
        <f>+'3. Consumption by Rate Class'!$V$57</f>
        <v>8984.5</v>
      </c>
      <c r="N55" s="42"/>
    </row>
    <row r="56" spans="1:14" x14ac:dyDescent="0.2">
      <c r="A56" s="507" t="str">
        <f t="shared" si="2"/>
        <v>2016</v>
      </c>
      <c r="B56" s="91">
        <f>+'3. Consumption by Rate Class'!$V$58</f>
        <v>9012</v>
      </c>
      <c r="C56" s="91">
        <f>+'3. Consumption by Rate Class'!$V$59</f>
        <v>9030</v>
      </c>
      <c r="D56" s="91">
        <f>+'3. Consumption by Rate Class'!$V$60</f>
        <v>9056.5</v>
      </c>
      <c r="E56" s="91">
        <f>+'3. Consumption by Rate Class'!$V$61</f>
        <v>9074</v>
      </c>
      <c r="F56" s="91">
        <f>+'3. Consumption by Rate Class'!$V$62</f>
        <v>9079.5</v>
      </c>
      <c r="G56" s="91">
        <f>+'3. Consumption by Rate Class'!$V$63</f>
        <v>9017.4379791548999</v>
      </c>
      <c r="H56" s="91">
        <f>+'3. Consumption by Rate Class'!$V$64</f>
        <v>9031.5620208451001</v>
      </c>
      <c r="I56" s="91">
        <f>+'3. Consumption by Rate Class'!$V$65</f>
        <v>9045.5</v>
      </c>
      <c r="J56" s="91">
        <f>+'3. Consumption by Rate Class'!$V$66</f>
        <v>9143</v>
      </c>
      <c r="K56" s="91">
        <f>+'3. Consumption by Rate Class'!$V$67</f>
        <v>9161</v>
      </c>
      <c r="L56" s="91">
        <f>+'3. Consumption by Rate Class'!$V$68</f>
        <v>9183.5</v>
      </c>
      <c r="M56" s="91">
        <f>+'3. Consumption by Rate Class'!$V$69</f>
        <v>9211</v>
      </c>
      <c r="N56" s="42"/>
    </row>
    <row r="57" spans="1:14" x14ac:dyDescent="0.2">
      <c r="A57" s="507" t="str">
        <f t="shared" si="2"/>
        <v>2017</v>
      </c>
      <c r="B57" s="91">
        <f>+'3. Consumption by Rate Class'!$V$70</f>
        <v>9238</v>
      </c>
      <c r="C57" s="91">
        <f>+'3. Consumption by Rate Class'!$V$71</f>
        <v>9250</v>
      </c>
      <c r="D57" s="91">
        <f>+'3. Consumption by Rate Class'!$V$72</f>
        <v>9258.5</v>
      </c>
      <c r="E57" s="91">
        <f>+'3. Consumption by Rate Class'!$V$73</f>
        <v>9271.5</v>
      </c>
      <c r="F57" s="91">
        <f>+'3. Consumption by Rate Class'!$V$74</f>
        <v>9281</v>
      </c>
      <c r="G57" s="91">
        <f>+'3. Consumption by Rate Class'!$V$75</f>
        <v>9286.5</v>
      </c>
      <c r="H57" s="91">
        <f>+'3. Consumption by Rate Class'!$V$76</f>
        <v>9293.5</v>
      </c>
      <c r="I57" s="91">
        <f>+'3. Consumption by Rate Class'!$V$77</f>
        <v>9305</v>
      </c>
      <c r="J57" s="91">
        <f>+'3. Consumption by Rate Class'!$V$78</f>
        <v>9316</v>
      </c>
      <c r="K57" s="91">
        <f>+'3. Consumption by Rate Class'!$V$79</f>
        <v>9318.5</v>
      </c>
      <c r="L57" s="91">
        <f>+'3. Consumption by Rate Class'!$V$80</f>
        <v>9331.5</v>
      </c>
      <c r="M57" s="91">
        <f>+'3. Consumption by Rate Class'!$V$81</f>
        <v>9334.5</v>
      </c>
      <c r="N57" s="42"/>
    </row>
    <row r="58" spans="1:14" x14ac:dyDescent="0.2">
      <c r="A58" s="507" t="str">
        <f t="shared" si="2"/>
        <v>2018</v>
      </c>
      <c r="B58" s="91">
        <f>+'3. Consumption by Rate Class'!$V$82</f>
        <v>9330.5</v>
      </c>
      <c r="C58" s="91">
        <f>+'3. Consumption by Rate Class'!$V$83</f>
        <v>9339</v>
      </c>
      <c r="D58" s="91">
        <f>+'3. Consumption by Rate Class'!$V$84</f>
        <v>9344</v>
      </c>
      <c r="E58" s="91">
        <f>+'3. Consumption by Rate Class'!$V$85</f>
        <v>9353.5</v>
      </c>
      <c r="F58" s="91">
        <f>+'3. Consumption by Rate Class'!$V$86</f>
        <v>9366</v>
      </c>
      <c r="G58" s="91">
        <f>+'3. Consumption by Rate Class'!$V$87</f>
        <v>9374.5</v>
      </c>
      <c r="H58" s="91">
        <f>+'3. Consumption by Rate Class'!$V$88</f>
        <v>9380</v>
      </c>
      <c r="I58" s="91">
        <f>+'3. Consumption by Rate Class'!$V$89</f>
        <v>9382.5</v>
      </c>
      <c r="J58" s="91">
        <f>+'3. Consumption by Rate Class'!$V$90</f>
        <v>9386</v>
      </c>
      <c r="K58" s="91">
        <f>+'3. Consumption by Rate Class'!$V$91</f>
        <v>9408</v>
      </c>
      <c r="L58" s="91">
        <f>+'3. Consumption by Rate Class'!$V$92</f>
        <v>9434.5</v>
      </c>
      <c r="M58" s="91">
        <f>+'3. Consumption by Rate Class'!$V$93</f>
        <v>9445</v>
      </c>
      <c r="N58" s="42"/>
    </row>
    <row r="59" spans="1:14" x14ac:dyDescent="0.2">
      <c r="A59" s="507" t="str">
        <f t="shared" si="2"/>
        <v>2019</v>
      </c>
      <c r="B59" s="91">
        <f>+'3. Consumption by Rate Class'!$V$94</f>
        <v>9467</v>
      </c>
      <c r="C59" s="91">
        <f>+'3. Consumption by Rate Class'!$V$95</f>
        <v>9489.5</v>
      </c>
      <c r="D59" s="91">
        <f>+'3. Consumption by Rate Class'!$V$96</f>
        <v>9494</v>
      </c>
      <c r="E59" s="91">
        <f>+'3. Consumption by Rate Class'!$V$97</f>
        <v>9493.5</v>
      </c>
      <c r="F59" s="91">
        <f>+'3. Consumption by Rate Class'!$V$98</f>
        <v>9493.5</v>
      </c>
      <c r="G59" s="91">
        <f>+'3. Consumption by Rate Class'!$V$99</f>
        <v>9498</v>
      </c>
      <c r="H59" s="91">
        <f>+'3. Consumption by Rate Class'!$V$100</f>
        <v>9501.5</v>
      </c>
      <c r="I59" s="91">
        <f>+'3. Consumption by Rate Class'!$V$101</f>
        <v>9502</v>
      </c>
      <c r="J59" s="91">
        <f>+'3. Consumption by Rate Class'!$V$102</f>
        <v>9501.5</v>
      </c>
      <c r="K59" s="91">
        <f>+'3. Consumption by Rate Class'!$V$103</f>
        <v>9508</v>
      </c>
      <c r="L59" s="91">
        <f>+'3. Consumption by Rate Class'!$V$104</f>
        <v>9518.5</v>
      </c>
      <c r="M59" s="91">
        <f>+'3. Consumption by Rate Class'!$V$105</f>
        <v>9539.5</v>
      </c>
      <c r="N59" s="42"/>
    </row>
    <row r="60" spans="1:14" x14ac:dyDescent="0.2">
      <c r="A60" s="507" t="str">
        <f t="shared" si="2"/>
        <v>2020</v>
      </c>
      <c r="B60" s="91">
        <f>+'3. Consumption by Rate Class'!$V$106</f>
        <v>9559.5</v>
      </c>
      <c r="C60" s="91">
        <f>+'3. Consumption by Rate Class'!$V$107</f>
        <v>9560.5</v>
      </c>
      <c r="D60" s="91">
        <f>+'3. Consumption by Rate Class'!$V$108</f>
        <v>9558.5</v>
      </c>
      <c r="E60" s="91">
        <f>+'3. Consumption by Rate Class'!$V$109</f>
        <v>9563</v>
      </c>
      <c r="F60" s="91">
        <f>+'3. Consumption by Rate Class'!$V$110</f>
        <v>9572</v>
      </c>
      <c r="G60" s="91">
        <f>+'3. Consumption by Rate Class'!$V$111</f>
        <v>9578</v>
      </c>
      <c r="H60" s="91">
        <f>+'3. Consumption by Rate Class'!$V$112</f>
        <v>9588.5</v>
      </c>
      <c r="I60" s="91">
        <f>+'3. Consumption by Rate Class'!$V$113</f>
        <v>9602.5</v>
      </c>
      <c r="J60" s="91">
        <f>+'3. Consumption by Rate Class'!$V$114</f>
        <v>9611</v>
      </c>
      <c r="K60" s="91">
        <f>+'3. Consumption by Rate Class'!$V$115</f>
        <v>9615</v>
      </c>
      <c r="L60" s="91">
        <f>+'3. Consumption by Rate Class'!$V$116</f>
        <v>9616.5</v>
      </c>
      <c r="M60" s="91">
        <f>+'3. Consumption by Rate Class'!$V$117</f>
        <v>9624</v>
      </c>
      <c r="N60" s="42"/>
    </row>
    <row r="61" spans="1:14" x14ac:dyDescent="0.2">
      <c r="A61" s="507" t="str">
        <f t="shared" si="2"/>
        <v>2021</v>
      </c>
      <c r="B61" s="91">
        <f>+'3. Consumption by Rate Class'!$V$118</f>
        <v>9639</v>
      </c>
      <c r="C61" s="91">
        <f>+'3. Consumption by Rate Class'!$V$119</f>
        <v>9647.5</v>
      </c>
      <c r="D61" s="91">
        <f>+'3. Consumption by Rate Class'!$V$120</f>
        <v>9653</v>
      </c>
      <c r="E61" s="91">
        <f>+'3. Consumption by Rate Class'!$V$121</f>
        <v>9657</v>
      </c>
      <c r="F61" s="91">
        <f>+'3. Consumption by Rate Class'!$V$122</f>
        <v>9658</v>
      </c>
      <c r="G61" s="91">
        <f>+'3. Consumption by Rate Class'!$V$123</f>
        <v>9665.5</v>
      </c>
      <c r="H61" s="91">
        <f>+'3. Consumption by Rate Class'!$V$124</f>
        <v>9679</v>
      </c>
      <c r="I61" s="91">
        <f>+'3. Consumption by Rate Class'!$V$125</f>
        <v>9690.5</v>
      </c>
      <c r="J61" s="91">
        <f>+'3. Consumption by Rate Class'!$V$126</f>
        <v>9698.5</v>
      </c>
      <c r="K61" s="91">
        <f>+'3. Consumption by Rate Class'!$V$127</f>
        <v>9708.5</v>
      </c>
      <c r="L61" s="91">
        <f>+'3. Consumption by Rate Class'!$V$128</f>
        <v>9719</v>
      </c>
      <c r="M61" s="91">
        <f>+'3. Consumption by Rate Class'!$V$129</f>
        <v>9726.5</v>
      </c>
      <c r="N61" s="42"/>
    </row>
    <row r="62" spans="1:14" x14ac:dyDescent="0.2">
      <c r="A62" s="507" t="str">
        <f t="shared" si="2"/>
        <v>2022</v>
      </c>
      <c r="B62" s="91">
        <f>+'3. Consumption by Rate Class'!$V$130</f>
        <v>9734.5</v>
      </c>
      <c r="C62" s="91">
        <f>+'3. Consumption by Rate Class'!$V$131</f>
        <v>9741</v>
      </c>
      <c r="D62" s="91">
        <f>+'3. Consumption by Rate Class'!$V$132</f>
        <v>9749.5</v>
      </c>
      <c r="E62" s="91">
        <f>+'3. Consumption by Rate Class'!$V$133</f>
        <v>9757</v>
      </c>
      <c r="F62" s="91">
        <f>+'3. Consumption by Rate Class'!$V$134</f>
        <v>9760.5</v>
      </c>
      <c r="G62" s="91">
        <f>+'3. Consumption by Rate Class'!$V$135</f>
        <v>9766</v>
      </c>
      <c r="H62" s="91">
        <f>+'3. Consumption by Rate Class'!$V$136</f>
        <v>9774</v>
      </c>
      <c r="I62" s="91">
        <f>+'3. Consumption by Rate Class'!$V$137</f>
        <v>9779.5</v>
      </c>
      <c r="J62" s="91">
        <f>+'3. Consumption by Rate Class'!$V$138</f>
        <v>9782.5</v>
      </c>
      <c r="K62" s="91">
        <f>+'3. Consumption by Rate Class'!$V$139</f>
        <v>9786</v>
      </c>
      <c r="L62" s="91">
        <f>+'3. Consumption by Rate Class'!$V$140</f>
        <v>9792.5</v>
      </c>
      <c r="M62" s="91">
        <f>+'3. Consumption by Rate Class'!$V$141</f>
        <v>9804.5</v>
      </c>
      <c r="N62" s="42"/>
    </row>
    <row r="63" spans="1:14" hidden="1" x14ac:dyDescent="0.2">
      <c r="A63" s="507" t="str">
        <f t="shared" si="2"/>
        <v>2023</v>
      </c>
      <c r="B63" s="91"/>
      <c r="C63" s="91"/>
      <c r="D63" s="91"/>
      <c r="E63" s="91"/>
      <c r="F63" s="91"/>
      <c r="G63" s="91"/>
      <c r="H63" s="91"/>
      <c r="I63" s="91"/>
      <c r="J63" s="91"/>
      <c r="K63" s="91"/>
      <c r="L63" s="91"/>
      <c r="M63" s="91"/>
      <c r="N63" s="42"/>
    </row>
    <row r="64" spans="1:14" hidden="1" x14ac:dyDescent="0.2">
      <c r="A64" s="45" t="s">
        <v>351</v>
      </c>
      <c r="B64" s="89"/>
      <c r="C64" s="89"/>
      <c r="D64" s="89"/>
      <c r="E64" s="89"/>
      <c r="F64" s="89"/>
      <c r="G64" s="89"/>
      <c r="H64" s="89"/>
      <c r="I64" s="89"/>
      <c r="J64" s="89"/>
      <c r="K64" s="89"/>
      <c r="L64" s="89"/>
      <c r="M64" s="89"/>
      <c r="N64" s="42"/>
    </row>
    <row r="65" spans="1:14" x14ac:dyDescent="0.2">
      <c r="A65" s="1"/>
      <c r="B65" s="43"/>
      <c r="C65" s="43"/>
      <c r="D65" s="43"/>
      <c r="E65" s="43"/>
      <c r="F65" s="43"/>
      <c r="G65" s="43"/>
      <c r="H65" s="43"/>
      <c r="I65" s="43"/>
      <c r="J65" s="43"/>
      <c r="K65" s="43"/>
      <c r="L65" s="43"/>
      <c r="M65" s="43"/>
      <c r="N65" s="42"/>
    </row>
    <row r="66" spans="1:14" ht="25.5" x14ac:dyDescent="0.2">
      <c r="A66" s="47" t="s">
        <v>454</v>
      </c>
      <c r="B66" s="44" t="s">
        <v>76</v>
      </c>
      <c r="C66" s="44" t="s">
        <v>77</v>
      </c>
      <c r="D66" s="44" t="s">
        <v>78</v>
      </c>
      <c r="E66" s="44" t="s">
        <v>79</v>
      </c>
      <c r="F66" s="44" t="s">
        <v>62</v>
      </c>
      <c r="G66" s="44" t="s">
        <v>80</v>
      </c>
      <c r="H66" s="44" t="s">
        <v>81</v>
      </c>
      <c r="I66" s="44" t="s">
        <v>82</v>
      </c>
      <c r="J66" s="44" t="s">
        <v>83</v>
      </c>
      <c r="K66" s="44" t="s">
        <v>86</v>
      </c>
      <c r="L66" s="44" t="s">
        <v>84</v>
      </c>
      <c r="M66" s="44" t="s">
        <v>85</v>
      </c>
      <c r="N66" s="42"/>
    </row>
    <row r="67" spans="1:14" x14ac:dyDescent="0.2">
      <c r="A67" s="507" t="str">
        <f t="shared" ref="A67:A78" si="3">+A52</f>
        <v>2012</v>
      </c>
      <c r="B67" s="90">
        <v>31</v>
      </c>
      <c r="C67" s="90">
        <v>29</v>
      </c>
      <c r="D67" s="90">
        <v>31</v>
      </c>
      <c r="E67" s="90">
        <v>30</v>
      </c>
      <c r="F67" s="90">
        <v>31</v>
      </c>
      <c r="G67" s="90">
        <v>30</v>
      </c>
      <c r="H67" s="90">
        <v>31</v>
      </c>
      <c r="I67" s="90">
        <v>31</v>
      </c>
      <c r="J67" s="90">
        <v>30</v>
      </c>
      <c r="K67" s="90">
        <v>31</v>
      </c>
      <c r="L67" s="90">
        <v>30</v>
      </c>
      <c r="M67" s="90">
        <v>31</v>
      </c>
      <c r="N67" s="42"/>
    </row>
    <row r="68" spans="1:14" x14ac:dyDescent="0.2">
      <c r="A68" s="507" t="str">
        <f t="shared" si="3"/>
        <v>2013</v>
      </c>
      <c r="B68" s="90">
        <v>31</v>
      </c>
      <c r="C68" s="90">
        <v>28</v>
      </c>
      <c r="D68" s="90">
        <v>31</v>
      </c>
      <c r="E68" s="90">
        <v>30</v>
      </c>
      <c r="F68" s="90">
        <v>31</v>
      </c>
      <c r="G68" s="90">
        <v>30</v>
      </c>
      <c r="H68" s="90">
        <v>31</v>
      </c>
      <c r="I68" s="90">
        <v>31</v>
      </c>
      <c r="J68" s="90">
        <v>30</v>
      </c>
      <c r="K68" s="90">
        <v>31</v>
      </c>
      <c r="L68" s="90">
        <v>30</v>
      </c>
      <c r="M68" s="90">
        <v>31</v>
      </c>
      <c r="N68" s="42"/>
    </row>
    <row r="69" spans="1:14" x14ac:dyDescent="0.2">
      <c r="A69" s="507" t="str">
        <f t="shared" si="3"/>
        <v>2014</v>
      </c>
      <c r="B69" s="90">
        <v>31</v>
      </c>
      <c r="C69" s="90">
        <v>28</v>
      </c>
      <c r="D69" s="90">
        <v>31</v>
      </c>
      <c r="E69" s="90">
        <v>30</v>
      </c>
      <c r="F69" s="90">
        <v>31</v>
      </c>
      <c r="G69" s="90">
        <v>30</v>
      </c>
      <c r="H69" s="90">
        <v>31</v>
      </c>
      <c r="I69" s="90">
        <v>31</v>
      </c>
      <c r="J69" s="90">
        <v>30</v>
      </c>
      <c r="K69" s="90">
        <v>31</v>
      </c>
      <c r="L69" s="90">
        <v>30</v>
      </c>
      <c r="M69" s="90">
        <v>31</v>
      </c>
      <c r="N69" s="42"/>
    </row>
    <row r="70" spans="1:14" x14ac:dyDescent="0.2">
      <c r="A70" s="507" t="str">
        <f t="shared" si="3"/>
        <v>2015</v>
      </c>
      <c r="B70" s="90">
        <v>31</v>
      </c>
      <c r="C70" s="90">
        <v>28</v>
      </c>
      <c r="D70" s="90">
        <v>31</v>
      </c>
      <c r="E70" s="90">
        <v>30</v>
      </c>
      <c r="F70" s="90">
        <v>31</v>
      </c>
      <c r="G70" s="90">
        <v>30</v>
      </c>
      <c r="H70" s="90">
        <v>31</v>
      </c>
      <c r="I70" s="90">
        <v>31</v>
      </c>
      <c r="J70" s="90">
        <v>30</v>
      </c>
      <c r="K70" s="90">
        <v>31</v>
      </c>
      <c r="L70" s="90">
        <v>30</v>
      </c>
      <c r="M70" s="90">
        <v>31</v>
      </c>
      <c r="N70" s="42"/>
    </row>
    <row r="71" spans="1:14" x14ac:dyDescent="0.2">
      <c r="A71" s="507" t="str">
        <f t="shared" si="3"/>
        <v>2016</v>
      </c>
      <c r="B71" s="90">
        <v>31</v>
      </c>
      <c r="C71" s="90">
        <v>29</v>
      </c>
      <c r="D71" s="90">
        <v>31</v>
      </c>
      <c r="E71" s="90">
        <v>30</v>
      </c>
      <c r="F71" s="90">
        <v>31</v>
      </c>
      <c r="G71" s="90">
        <v>30</v>
      </c>
      <c r="H71" s="90">
        <v>31</v>
      </c>
      <c r="I71" s="90">
        <v>31</v>
      </c>
      <c r="J71" s="90">
        <v>30</v>
      </c>
      <c r="K71" s="90">
        <v>31</v>
      </c>
      <c r="L71" s="90">
        <v>30</v>
      </c>
      <c r="M71" s="90">
        <v>31</v>
      </c>
      <c r="N71" s="42"/>
    </row>
    <row r="72" spans="1:14" x14ac:dyDescent="0.2">
      <c r="A72" s="507" t="str">
        <f t="shared" si="3"/>
        <v>2017</v>
      </c>
      <c r="B72" s="90">
        <v>31</v>
      </c>
      <c r="C72" s="90">
        <v>28</v>
      </c>
      <c r="D72" s="90">
        <v>31</v>
      </c>
      <c r="E72" s="90">
        <v>30</v>
      </c>
      <c r="F72" s="90">
        <v>31</v>
      </c>
      <c r="G72" s="90">
        <v>30</v>
      </c>
      <c r="H72" s="90">
        <v>31</v>
      </c>
      <c r="I72" s="90">
        <v>31</v>
      </c>
      <c r="J72" s="90">
        <v>30</v>
      </c>
      <c r="K72" s="90">
        <v>31</v>
      </c>
      <c r="L72" s="90">
        <v>30</v>
      </c>
      <c r="M72" s="90">
        <v>31</v>
      </c>
      <c r="N72" s="42"/>
    </row>
    <row r="73" spans="1:14" x14ac:dyDescent="0.2">
      <c r="A73" s="507" t="str">
        <f t="shared" si="3"/>
        <v>2018</v>
      </c>
      <c r="B73" s="90">
        <v>31</v>
      </c>
      <c r="C73" s="90">
        <v>28</v>
      </c>
      <c r="D73" s="90">
        <v>31</v>
      </c>
      <c r="E73" s="90">
        <v>30</v>
      </c>
      <c r="F73" s="90">
        <v>31</v>
      </c>
      <c r="G73" s="90">
        <v>30</v>
      </c>
      <c r="H73" s="90">
        <v>31</v>
      </c>
      <c r="I73" s="90">
        <v>31</v>
      </c>
      <c r="J73" s="90">
        <v>30</v>
      </c>
      <c r="K73" s="90">
        <v>31</v>
      </c>
      <c r="L73" s="90">
        <v>30</v>
      </c>
      <c r="M73" s="90">
        <v>31</v>
      </c>
      <c r="N73" s="42"/>
    </row>
    <row r="74" spans="1:14" x14ac:dyDescent="0.2">
      <c r="A74" s="507" t="str">
        <f t="shared" si="3"/>
        <v>2019</v>
      </c>
      <c r="B74" s="90">
        <v>31</v>
      </c>
      <c r="C74" s="90">
        <v>28</v>
      </c>
      <c r="D74" s="90">
        <v>31</v>
      </c>
      <c r="E74" s="90">
        <v>30</v>
      </c>
      <c r="F74" s="90">
        <v>31</v>
      </c>
      <c r="G74" s="90">
        <v>30</v>
      </c>
      <c r="H74" s="90">
        <v>31</v>
      </c>
      <c r="I74" s="90">
        <v>31</v>
      </c>
      <c r="J74" s="90">
        <v>30</v>
      </c>
      <c r="K74" s="90">
        <v>31</v>
      </c>
      <c r="L74" s="90">
        <v>30</v>
      </c>
      <c r="M74" s="90">
        <v>31</v>
      </c>
      <c r="N74" s="42"/>
    </row>
    <row r="75" spans="1:14" x14ac:dyDescent="0.2">
      <c r="A75" s="507" t="str">
        <f t="shared" si="3"/>
        <v>2020</v>
      </c>
      <c r="B75" s="90">
        <v>31</v>
      </c>
      <c r="C75" s="90">
        <v>29</v>
      </c>
      <c r="D75" s="90">
        <v>31</v>
      </c>
      <c r="E75" s="90">
        <v>30</v>
      </c>
      <c r="F75" s="90">
        <v>31</v>
      </c>
      <c r="G75" s="90">
        <v>30</v>
      </c>
      <c r="H75" s="90">
        <v>31</v>
      </c>
      <c r="I75" s="90">
        <v>31</v>
      </c>
      <c r="J75" s="90">
        <v>30</v>
      </c>
      <c r="K75" s="90">
        <v>31</v>
      </c>
      <c r="L75" s="90">
        <v>30</v>
      </c>
      <c r="M75" s="90">
        <v>31</v>
      </c>
      <c r="N75" s="42"/>
    </row>
    <row r="76" spans="1:14" x14ac:dyDescent="0.2">
      <c r="A76" s="507" t="str">
        <f t="shared" si="3"/>
        <v>2021</v>
      </c>
      <c r="B76" s="90">
        <v>31</v>
      </c>
      <c r="C76" s="90">
        <v>28</v>
      </c>
      <c r="D76" s="90">
        <v>31</v>
      </c>
      <c r="E76" s="90">
        <v>30</v>
      </c>
      <c r="F76" s="90">
        <v>31</v>
      </c>
      <c r="G76" s="90">
        <v>30</v>
      </c>
      <c r="H76" s="90">
        <v>31</v>
      </c>
      <c r="I76" s="90">
        <v>31</v>
      </c>
      <c r="J76" s="90">
        <v>30</v>
      </c>
      <c r="K76" s="90">
        <v>31</v>
      </c>
      <c r="L76" s="90">
        <v>30</v>
      </c>
      <c r="M76" s="90">
        <v>31</v>
      </c>
      <c r="N76" s="42"/>
    </row>
    <row r="77" spans="1:14" x14ac:dyDescent="0.2">
      <c r="A77" s="507" t="str">
        <f t="shared" si="3"/>
        <v>2022</v>
      </c>
      <c r="B77" s="90">
        <v>31</v>
      </c>
      <c r="C77" s="90">
        <v>28</v>
      </c>
      <c r="D77" s="90">
        <v>31</v>
      </c>
      <c r="E77" s="90">
        <v>30</v>
      </c>
      <c r="F77" s="90">
        <v>31</v>
      </c>
      <c r="G77" s="90">
        <v>30</v>
      </c>
      <c r="H77" s="90">
        <v>31</v>
      </c>
      <c r="I77" s="90">
        <v>31</v>
      </c>
      <c r="J77" s="90">
        <v>30</v>
      </c>
      <c r="K77" s="90">
        <v>31</v>
      </c>
      <c r="L77" s="90">
        <v>30</v>
      </c>
      <c r="M77" s="90">
        <v>31</v>
      </c>
      <c r="N77" s="42"/>
    </row>
    <row r="78" spans="1:14" hidden="1" x14ac:dyDescent="0.2">
      <c r="A78" s="507" t="str">
        <f t="shared" si="3"/>
        <v>2023</v>
      </c>
      <c r="B78" s="90">
        <v>31</v>
      </c>
      <c r="C78" s="90">
        <v>28</v>
      </c>
      <c r="D78" s="90">
        <v>31</v>
      </c>
      <c r="E78" s="90">
        <v>30</v>
      </c>
      <c r="F78" s="90">
        <v>31</v>
      </c>
      <c r="G78" s="90">
        <v>30</v>
      </c>
      <c r="H78" s="90">
        <v>31</v>
      </c>
      <c r="I78" s="90">
        <v>31</v>
      </c>
      <c r="J78" s="90">
        <v>30</v>
      </c>
      <c r="K78" s="90">
        <v>31</v>
      </c>
      <c r="L78" s="90">
        <v>30</v>
      </c>
      <c r="M78" s="90">
        <v>31</v>
      </c>
      <c r="N78" s="42"/>
    </row>
    <row r="79" spans="1:14" hidden="1" x14ac:dyDescent="0.2">
      <c r="A79" s="45" t="s">
        <v>351</v>
      </c>
      <c r="B79" s="90">
        <v>31</v>
      </c>
      <c r="C79" s="90">
        <v>29</v>
      </c>
      <c r="D79" s="90">
        <v>31</v>
      </c>
      <c r="E79" s="90">
        <v>30</v>
      </c>
      <c r="F79" s="90">
        <v>31</v>
      </c>
      <c r="G79" s="90">
        <v>30</v>
      </c>
      <c r="H79" s="90">
        <v>31</v>
      </c>
      <c r="I79" s="90">
        <v>31</v>
      </c>
      <c r="J79" s="90">
        <v>30</v>
      </c>
      <c r="K79" s="90">
        <v>31</v>
      </c>
      <c r="L79" s="90">
        <v>30</v>
      </c>
      <c r="M79" s="90">
        <v>31</v>
      </c>
      <c r="N79" s="42"/>
    </row>
    <row r="80" spans="1:14" x14ac:dyDescent="0.2">
      <c r="A80" s="1"/>
      <c r="B80" s="43"/>
      <c r="C80" s="43"/>
      <c r="D80" s="43"/>
      <c r="E80" s="43"/>
      <c r="F80" s="43"/>
      <c r="G80" s="43"/>
      <c r="H80" s="43"/>
      <c r="I80" s="43"/>
      <c r="J80" s="43"/>
      <c r="K80" s="43"/>
      <c r="L80" s="43"/>
      <c r="M80" s="43"/>
      <c r="N80" s="42"/>
    </row>
    <row r="81" spans="1:14" ht="25.5" x14ac:dyDescent="0.2">
      <c r="A81" s="47" t="s">
        <v>150</v>
      </c>
      <c r="B81" s="44" t="s">
        <v>76</v>
      </c>
      <c r="C81" s="44" t="s">
        <v>77</v>
      </c>
      <c r="D81" s="44" t="s">
        <v>78</v>
      </c>
      <c r="E81" s="44" t="s">
        <v>79</v>
      </c>
      <c r="F81" s="44" t="s">
        <v>62</v>
      </c>
      <c r="G81" s="44" t="s">
        <v>80</v>
      </c>
      <c r="H81" s="44" t="s">
        <v>81</v>
      </c>
      <c r="I81" s="44" t="s">
        <v>82</v>
      </c>
      <c r="J81" s="44" t="s">
        <v>83</v>
      </c>
      <c r="K81" s="44" t="s">
        <v>86</v>
      </c>
      <c r="L81" s="44" t="s">
        <v>84</v>
      </c>
      <c r="M81" s="44" t="s">
        <v>85</v>
      </c>
      <c r="N81" s="42"/>
    </row>
    <row r="82" spans="1:14" x14ac:dyDescent="0.2">
      <c r="A82" s="507" t="str">
        <f t="shared" ref="A82:A94" si="4">+A67</f>
        <v>2012</v>
      </c>
      <c r="B82" s="104">
        <v>1</v>
      </c>
      <c r="C82" s="104">
        <v>1</v>
      </c>
      <c r="D82" s="104">
        <v>0</v>
      </c>
      <c r="E82" s="104">
        <v>0</v>
      </c>
      <c r="F82" s="104">
        <v>0</v>
      </c>
      <c r="G82" s="104">
        <v>1</v>
      </c>
      <c r="H82" s="104">
        <v>1</v>
      </c>
      <c r="I82" s="104">
        <v>1</v>
      </c>
      <c r="J82" s="104">
        <v>0</v>
      </c>
      <c r="K82" s="104">
        <v>0</v>
      </c>
      <c r="L82" s="104">
        <v>0</v>
      </c>
      <c r="M82" s="104">
        <v>1</v>
      </c>
      <c r="N82" s="42"/>
    </row>
    <row r="83" spans="1:14" x14ac:dyDescent="0.2">
      <c r="A83" s="507" t="str">
        <f t="shared" si="4"/>
        <v>2013</v>
      </c>
      <c r="B83" s="104">
        <v>1</v>
      </c>
      <c r="C83" s="104">
        <v>1</v>
      </c>
      <c r="D83" s="104">
        <v>0</v>
      </c>
      <c r="E83" s="104">
        <v>0</v>
      </c>
      <c r="F83" s="104">
        <v>0</v>
      </c>
      <c r="G83" s="104">
        <v>1</v>
      </c>
      <c r="H83" s="104">
        <v>1</v>
      </c>
      <c r="I83" s="104">
        <v>1</v>
      </c>
      <c r="J83" s="104">
        <v>0</v>
      </c>
      <c r="K83" s="104">
        <v>0</v>
      </c>
      <c r="L83" s="104">
        <v>0</v>
      </c>
      <c r="M83" s="104">
        <v>1</v>
      </c>
      <c r="N83" s="42"/>
    </row>
    <row r="84" spans="1:14" x14ac:dyDescent="0.2">
      <c r="A84" s="507" t="str">
        <f t="shared" si="4"/>
        <v>2014</v>
      </c>
      <c r="B84" s="104">
        <v>1</v>
      </c>
      <c r="C84" s="104">
        <v>1</v>
      </c>
      <c r="D84" s="104">
        <v>0</v>
      </c>
      <c r="E84" s="104">
        <v>0</v>
      </c>
      <c r="F84" s="104">
        <v>0</v>
      </c>
      <c r="G84" s="104">
        <v>1</v>
      </c>
      <c r="H84" s="104">
        <v>1</v>
      </c>
      <c r="I84" s="104">
        <v>1</v>
      </c>
      <c r="J84" s="104">
        <v>0</v>
      </c>
      <c r="K84" s="104">
        <v>0</v>
      </c>
      <c r="L84" s="104">
        <v>0</v>
      </c>
      <c r="M84" s="104">
        <v>1</v>
      </c>
      <c r="N84" s="42"/>
    </row>
    <row r="85" spans="1:14" x14ac:dyDescent="0.2">
      <c r="A85" s="507" t="str">
        <f t="shared" si="4"/>
        <v>2015</v>
      </c>
      <c r="B85" s="104">
        <v>1</v>
      </c>
      <c r="C85" s="104">
        <v>1</v>
      </c>
      <c r="D85" s="104">
        <v>0</v>
      </c>
      <c r="E85" s="104">
        <v>0</v>
      </c>
      <c r="F85" s="104">
        <v>0</v>
      </c>
      <c r="G85" s="104">
        <v>1</v>
      </c>
      <c r="H85" s="104">
        <v>1</v>
      </c>
      <c r="I85" s="104">
        <v>1</v>
      </c>
      <c r="J85" s="104">
        <v>0</v>
      </c>
      <c r="K85" s="104">
        <v>0</v>
      </c>
      <c r="L85" s="104">
        <v>0</v>
      </c>
      <c r="M85" s="104">
        <v>1</v>
      </c>
      <c r="N85" s="42"/>
    </row>
    <row r="86" spans="1:14" x14ac:dyDescent="0.2">
      <c r="A86" s="507" t="str">
        <f t="shared" si="4"/>
        <v>2016</v>
      </c>
      <c r="B86" s="104">
        <v>1</v>
      </c>
      <c r="C86" s="104">
        <v>1</v>
      </c>
      <c r="D86" s="104">
        <v>0</v>
      </c>
      <c r="E86" s="104">
        <v>0</v>
      </c>
      <c r="F86" s="104">
        <v>0</v>
      </c>
      <c r="G86" s="104">
        <v>1</v>
      </c>
      <c r="H86" s="104">
        <v>1</v>
      </c>
      <c r="I86" s="104">
        <v>1</v>
      </c>
      <c r="J86" s="104">
        <v>0</v>
      </c>
      <c r="K86" s="104">
        <v>0</v>
      </c>
      <c r="L86" s="104">
        <v>0</v>
      </c>
      <c r="M86" s="104">
        <v>1</v>
      </c>
      <c r="N86" s="42"/>
    </row>
    <row r="87" spans="1:14" x14ac:dyDescent="0.2">
      <c r="A87" s="507" t="str">
        <f t="shared" si="4"/>
        <v>2017</v>
      </c>
      <c r="B87" s="104">
        <v>1</v>
      </c>
      <c r="C87" s="104">
        <v>1</v>
      </c>
      <c r="D87" s="104">
        <v>0</v>
      </c>
      <c r="E87" s="104">
        <v>0</v>
      </c>
      <c r="F87" s="104">
        <v>0</v>
      </c>
      <c r="G87" s="104">
        <v>1</v>
      </c>
      <c r="H87" s="104">
        <v>1</v>
      </c>
      <c r="I87" s="104">
        <v>1</v>
      </c>
      <c r="J87" s="104">
        <v>0</v>
      </c>
      <c r="K87" s="104">
        <v>0</v>
      </c>
      <c r="L87" s="104">
        <v>0</v>
      </c>
      <c r="M87" s="104">
        <v>1</v>
      </c>
      <c r="N87" s="42"/>
    </row>
    <row r="88" spans="1:14" x14ac:dyDescent="0.2">
      <c r="A88" s="507" t="str">
        <f t="shared" si="4"/>
        <v>2018</v>
      </c>
      <c r="B88" s="104">
        <v>1</v>
      </c>
      <c r="C88" s="104">
        <v>1</v>
      </c>
      <c r="D88" s="104">
        <v>0</v>
      </c>
      <c r="E88" s="104">
        <v>0</v>
      </c>
      <c r="F88" s="104">
        <v>0</v>
      </c>
      <c r="G88" s="104">
        <v>1</v>
      </c>
      <c r="H88" s="104">
        <v>1</v>
      </c>
      <c r="I88" s="104">
        <v>1</v>
      </c>
      <c r="J88" s="104">
        <v>0</v>
      </c>
      <c r="K88" s="104">
        <v>0</v>
      </c>
      <c r="L88" s="104">
        <v>0</v>
      </c>
      <c r="M88" s="104">
        <v>1</v>
      </c>
      <c r="N88" s="42"/>
    </row>
    <row r="89" spans="1:14" x14ac:dyDescent="0.2">
      <c r="A89" s="507" t="str">
        <f t="shared" si="4"/>
        <v>2019</v>
      </c>
      <c r="B89" s="104">
        <v>1</v>
      </c>
      <c r="C89" s="104">
        <v>1</v>
      </c>
      <c r="D89" s="104">
        <v>0</v>
      </c>
      <c r="E89" s="104">
        <v>0</v>
      </c>
      <c r="F89" s="104">
        <v>0</v>
      </c>
      <c r="G89" s="104">
        <v>1</v>
      </c>
      <c r="H89" s="104">
        <v>1</v>
      </c>
      <c r="I89" s="104">
        <v>1</v>
      </c>
      <c r="J89" s="104">
        <v>0</v>
      </c>
      <c r="K89" s="104">
        <v>0</v>
      </c>
      <c r="L89" s="104">
        <v>0</v>
      </c>
      <c r="M89" s="104">
        <v>1</v>
      </c>
      <c r="N89" s="42"/>
    </row>
    <row r="90" spans="1:14" x14ac:dyDescent="0.2">
      <c r="A90" s="507" t="str">
        <f t="shared" si="4"/>
        <v>2020</v>
      </c>
      <c r="B90" s="104">
        <v>1</v>
      </c>
      <c r="C90" s="104">
        <v>1</v>
      </c>
      <c r="D90" s="104">
        <v>0</v>
      </c>
      <c r="E90" s="104">
        <v>0</v>
      </c>
      <c r="F90" s="104">
        <v>0</v>
      </c>
      <c r="G90" s="104">
        <v>1</v>
      </c>
      <c r="H90" s="104">
        <v>1</v>
      </c>
      <c r="I90" s="104">
        <v>1</v>
      </c>
      <c r="J90" s="104">
        <v>0</v>
      </c>
      <c r="K90" s="104">
        <v>0</v>
      </c>
      <c r="L90" s="104">
        <v>0</v>
      </c>
      <c r="M90" s="104">
        <v>1</v>
      </c>
      <c r="N90" s="42"/>
    </row>
    <row r="91" spans="1:14" x14ac:dyDescent="0.2">
      <c r="A91" s="507" t="str">
        <f t="shared" si="4"/>
        <v>2021</v>
      </c>
      <c r="B91" s="104">
        <v>1</v>
      </c>
      <c r="C91" s="104">
        <v>1</v>
      </c>
      <c r="D91" s="104">
        <v>0</v>
      </c>
      <c r="E91" s="104">
        <v>0</v>
      </c>
      <c r="F91" s="104">
        <v>0</v>
      </c>
      <c r="G91" s="104">
        <v>1</v>
      </c>
      <c r="H91" s="104">
        <v>1</v>
      </c>
      <c r="I91" s="104">
        <v>1</v>
      </c>
      <c r="J91" s="104">
        <v>0</v>
      </c>
      <c r="K91" s="104">
        <v>0</v>
      </c>
      <c r="L91" s="104">
        <v>0</v>
      </c>
      <c r="M91" s="104">
        <v>1</v>
      </c>
      <c r="N91" s="42"/>
    </row>
    <row r="92" spans="1:14" x14ac:dyDescent="0.2">
      <c r="A92" s="507" t="str">
        <f t="shared" si="4"/>
        <v>2022</v>
      </c>
      <c r="B92" s="104">
        <v>1</v>
      </c>
      <c r="C92" s="104">
        <v>1</v>
      </c>
      <c r="D92" s="104">
        <v>0</v>
      </c>
      <c r="E92" s="104">
        <v>0</v>
      </c>
      <c r="F92" s="104">
        <v>0</v>
      </c>
      <c r="G92" s="104">
        <v>1</v>
      </c>
      <c r="H92" s="104">
        <v>1</v>
      </c>
      <c r="I92" s="104">
        <v>1</v>
      </c>
      <c r="J92" s="104">
        <v>0</v>
      </c>
      <c r="K92" s="104">
        <v>0</v>
      </c>
      <c r="L92" s="104">
        <v>0</v>
      </c>
      <c r="M92" s="104">
        <v>1</v>
      </c>
      <c r="N92" s="42"/>
    </row>
    <row r="93" spans="1:14" hidden="1" x14ac:dyDescent="0.2">
      <c r="A93" s="507" t="str">
        <f t="shared" si="4"/>
        <v>2023</v>
      </c>
      <c r="B93" s="104">
        <v>1</v>
      </c>
      <c r="C93" s="104">
        <v>1</v>
      </c>
      <c r="D93" s="104">
        <v>0</v>
      </c>
      <c r="E93" s="104">
        <v>0</v>
      </c>
      <c r="F93" s="104">
        <v>0</v>
      </c>
      <c r="G93" s="104">
        <v>1</v>
      </c>
      <c r="H93" s="104">
        <v>1</v>
      </c>
      <c r="I93" s="104">
        <v>1</v>
      </c>
      <c r="J93" s="104">
        <v>0</v>
      </c>
      <c r="K93" s="104">
        <v>0</v>
      </c>
      <c r="L93" s="104">
        <v>0</v>
      </c>
      <c r="M93" s="104">
        <v>1</v>
      </c>
      <c r="N93" s="42"/>
    </row>
    <row r="94" spans="1:14" hidden="1" x14ac:dyDescent="0.2">
      <c r="A94" s="507" t="str">
        <f t="shared" si="4"/>
        <v>2023</v>
      </c>
      <c r="B94" s="104">
        <v>1</v>
      </c>
      <c r="C94" s="104">
        <v>1</v>
      </c>
      <c r="D94" s="104">
        <v>0</v>
      </c>
      <c r="E94" s="104">
        <v>0</v>
      </c>
      <c r="F94" s="104">
        <v>0</v>
      </c>
      <c r="G94" s="104">
        <v>1</v>
      </c>
      <c r="H94" s="104">
        <v>1</v>
      </c>
      <c r="I94" s="104">
        <v>1</v>
      </c>
      <c r="J94" s="104">
        <v>0</v>
      </c>
      <c r="K94" s="104">
        <v>0</v>
      </c>
      <c r="L94" s="104">
        <v>0</v>
      </c>
      <c r="M94" s="104">
        <v>1</v>
      </c>
      <c r="N94" s="42"/>
    </row>
    <row r="95" spans="1:14" x14ac:dyDescent="0.2">
      <c r="A95" s="1"/>
      <c r="B95" s="43"/>
      <c r="C95" s="43"/>
      <c r="D95" s="43"/>
      <c r="E95" s="43"/>
      <c r="F95" s="43"/>
      <c r="G95" s="43"/>
      <c r="H95" s="43"/>
      <c r="I95" s="43"/>
      <c r="J95" s="43"/>
      <c r="K95" s="43"/>
      <c r="L95" s="43"/>
      <c r="M95" s="43"/>
      <c r="N95" s="42"/>
    </row>
    <row r="96" spans="1:14" ht="25.5" hidden="1" x14ac:dyDescent="0.2">
      <c r="A96" s="47" t="s">
        <v>151</v>
      </c>
      <c r="B96" s="44" t="s">
        <v>76</v>
      </c>
      <c r="C96" s="44" t="s">
        <v>77</v>
      </c>
      <c r="D96" s="44" t="s">
        <v>78</v>
      </c>
      <c r="E96" s="44" t="s">
        <v>79</v>
      </c>
      <c r="F96" s="44" t="s">
        <v>62</v>
      </c>
      <c r="G96" s="44" t="s">
        <v>80</v>
      </c>
      <c r="H96" s="44" t="s">
        <v>81</v>
      </c>
      <c r="I96" s="44" t="s">
        <v>82</v>
      </c>
      <c r="J96" s="44" t="s">
        <v>83</v>
      </c>
      <c r="K96" s="44" t="s">
        <v>86</v>
      </c>
      <c r="L96" s="44" t="s">
        <v>84</v>
      </c>
      <c r="M96" s="44" t="s">
        <v>85</v>
      </c>
      <c r="N96" s="42"/>
    </row>
    <row r="97" spans="1:14" hidden="1" x14ac:dyDescent="0.2">
      <c r="A97" s="507" t="str">
        <f>+A82</f>
        <v>2012</v>
      </c>
      <c r="B97" s="141">
        <v>6.5039999999999996</v>
      </c>
      <c r="C97" s="141">
        <v>6.5039999999999996</v>
      </c>
      <c r="D97" s="141">
        <v>6.5039999999999996</v>
      </c>
      <c r="E97" s="141">
        <v>6.5039999999999996</v>
      </c>
      <c r="F97" s="141">
        <v>7.3040000000000003</v>
      </c>
      <c r="G97" s="141">
        <v>7.3040000000000003</v>
      </c>
      <c r="H97" s="141">
        <v>7.3040000000000003</v>
      </c>
      <c r="I97" s="141">
        <v>7.3040000000000003</v>
      </c>
      <c r="J97" s="141">
        <v>7.3040000000000003</v>
      </c>
      <c r="K97" s="141">
        <v>7.3040000000000003</v>
      </c>
      <c r="L97" s="141">
        <v>7.5679999999999996</v>
      </c>
      <c r="M97" s="141">
        <v>7.5679999999999996</v>
      </c>
      <c r="N97" s="42"/>
    </row>
    <row r="98" spans="1:14" hidden="1" x14ac:dyDescent="0.2">
      <c r="A98" s="507" t="str">
        <f t="shared" ref="A98:A108" si="5">+A83</f>
        <v>2013</v>
      </c>
      <c r="B98" s="141">
        <v>7.5679999999999996</v>
      </c>
      <c r="C98" s="141">
        <v>7.5679999999999996</v>
      </c>
      <c r="D98" s="141">
        <v>7.5679999999999996</v>
      </c>
      <c r="E98" s="141">
        <v>7.5679999999999996</v>
      </c>
      <c r="F98" s="141">
        <v>8.0660000000000007</v>
      </c>
      <c r="G98" s="141">
        <v>8.0660000000000007</v>
      </c>
      <c r="H98" s="141">
        <v>8.0660000000000007</v>
      </c>
      <c r="I98" s="141">
        <v>8.0660000000000007</v>
      </c>
      <c r="J98" s="141">
        <v>8.0660000000000007</v>
      </c>
      <c r="K98" s="141">
        <v>8.0660000000000007</v>
      </c>
      <c r="L98" s="141">
        <v>7.9379999999999997</v>
      </c>
      <c r="M98" s="141">
        <v>7.9379999999999997</v>
      </c>
      <c r="N98" s="42"/>
    </row>
    <row r="99" spans="1:14" hidden="1" x14ac:dyDescent="0.2">
      <c r="A99" s="507" t="str">
        <f t="shared" si="5"/>
        <v>2014</v>
      </c>
      <c r="B99" s="141">
        <v>7.9379999999999997</v>
      </c>
      <c r="C99" s="141">
        <v>7.9379999999999997</v>
      </c>
      <c r="D99" s="141">
        <v>7.9379999999999997</v>
      </c>
      <c r="E99" s="141">
        <v>7.9379999999999997</v>
      </c>
      <c r="F99" s="141">
        <v>9.0960000000000001</v>
      </c>
      <c r="G99" s="141">
        <v>9.0960000000000001</v>
      </c>
      <c r="H99" s="141">
        <v>9.0960000000000001</v>
      </c>
      <c r="I99" s="141">
        <v>9.0960000000000001</v>
      </c>
      <c r="J99" s="141">
        <v>9.0960000000000001</v>
      </c>
      <c r="K99" s="141">
        <v>9.0960000000000001</v>
      </c>
      <c r="L99" s="141">
        <v>8.8919999999999995</v>
      </c>
      <c r="M99" s="141">
        <v>8.8919999999999995</v>
      </c>
      <c r="N99" s="42"/>
    </row>
    <row r="100" spans="1:14" hidden="1" x14ac:dyDescent="0.2">
      <c r="A100" s="507" t="str">
        <f t="shared" si="5"/>
        <v>2015</v>
      </c>
      <c r="B100" s="141">
        <v>8.8919999999999995</v>
      </c>
      <c r="C100" s="141">
        <v>8.8919999999999995</v>
      </c>
      <c r="D100" s="141">
        <v>8.8919999999999995</v>
      </c>
      <c r="E100" s="141">
        <v>8.8919999999999995</v>
      </c>
      <c r="F100" s="141">
        <v>9.2460000000000004</v>
      </c>
      <c r="G100" s="141">
        <v>9.2460000000000004</v>
      </c>
      <c r="H100" s="141">
        <v>9.2460000000000004</v>
      </c>
      <c r="I100" s="141">
        <v>9.2460000000000004</v>
      </c>
      <c r="J100" s="141">
        <v>9.2460000000000004</v>
      </c>
      <c r="K100" s="141">
        <v>9.2460000000000004</v>
      </c>
      <c r="L100" s="141">
        <v>9.5</v>
      </c>
      <c r="M100" s="141">
        <v>9.5</v>
      </c>
      <c r="N100" s="42"/>
    </row>
    <row r="101" spans="1:14" hidden="1" x14ac:dyDescent="0.2">
      <c r="A101" s="507" t="str">
        <f t="shared" si="5"/>
        <v>2016</v>
      </c>
      <c r="B101" s="141">
        <v>9.5</v>
      </c>
      <c r="C101" s="141">
        <v>9.5</v>
      </c>
      <c r="D101" s="141">
        <v>9.5</v>
      </c>
      <c r="E101" s="141">
        <v>9.5</v>
      </c>
      <c r="F101" s="141">
        <v>10.214</v>
      </c>
      <c r="G101" s="141">
        <v>10.214</v>
      </c>
      <c r="H101" s="141">
        <v>10.214</v>
      </c>
      <c r="I101" s="141">
        <v>10.214</v>
      </c>
      <c r="J101" s="141">
        <v>10.214</v>
      </c>
      <c r="K101" s="141">
        <v>10.214</v>
      </c>
      <c r="L101" s="141">
        <v>10.59</v>
      </c>
      <c r="M101" s="141">
        <v>10.59</v>
      </c>
      <c r="N101" s="42"/>
    </row>
    <row r="102" spans="1:14" hidden="1" x14ac:dyDescent="0.2">
      <c r="A102" s="507" t="str">
        <f t="shared" si="5"/>
        <v>2017</v>
      </c>
      <c r="B102" s="141">
        <v>10.59</v>
      </c>
      <c r="C102" s="141">
        <v>10.59</v>
      </c>
      <c r="D102" s="141">
        <v>10.59</v>
      </c>
      <c r="E102" s="141">
        <v>11</v>
      </c>
      <c r="F102" s="141">
        <v>11</v>
      </c>
      <c r="G102" s="141">
        <v>11</v>
      </c>
      <c r="H102" s="141">
        <v>11</v>
      </c>
      <c r="I102" s="141">
        <v>11</v>
      </c>
      <c r="J102" s="141">
        <v>11</v>
      </c>
      <c r="K102" s="141">
        <v>11</v>
      </c>
      <c r="L102" s="141">
        <v>11</v>
      </c>
      <c r="M102" s="141">
        <v>11</v>
      </c>
      <c r="N102" s="42"/>
    </row>
    <row r="103" spans="1:14" hidden="1" x14ac:dyDescent="0.2">
      <c r="A103" s="507" t="str">
        <f t="shared" si="5"/>
        <v>2018</v>
      </c>
      <c r="B103" s="141">
        <v>11</v>
      </c>
      <c r="C103" s="141">
        <v>11</v>
      </c>
      <c r="D103" s="141">
        <v>11</v>
      </c>
      <c r="E103" s="141">
        <v>10.59</v>
      </c>
      <c r="F103" s="141">
        <v>9.8000000000000007</v>
      </c>
      <c r="G103" s="141">
        <v>9.8000000000000007</v>
      </c>
      <c r="H103" s="141">
        <v>9.8000000000000007</v>
      </c>
      <c r="I103" s="141">
        <v>9.8000000000000007</v>
      </c>
      <c r="J103" s="141">
        <v>9.8000000000000007</v>
      </c>
      <c r="K103" s="141">
        <v>9.8000000000000007</v>
      </c>
      <c r="L103" s="141">
        <v>8</v>
      </c>
      <c r="M103" s="141">
        <v>8</v>
      </c>
    </row>
    <row r="104" spans="1:14" hidden="1" x14ac:dyDescent="0.2">
      <c r="A104" s="507" t="str">
        <f t="shared" si="5"/>
        <v>2019</v>
      </c>
    </row>
    <row r="105" spans="1:14" hidden="1" x14ac:dyDescent="0.2">
      <c r="A105" s="507" t="str">
        <f t="shared" si="5"/>
        <v>2020</v>
      </c>
    </row>
    <row r="106" spans="1:14" hidden="1" x14ac:dyDescent="0.2">
      <c r="A106" s="507" t="str">
        <f t="shared" si="5"/>
        <v>2021</v>
      </c>
    </row>
    <row r="107" spans="1:14" hidden="1" x14ac:dyDescent="0.2">
      <c r="A107" s="507" t="str">
        <f t="shared" si="5"/>
        <v>2022</v>
      </c>
    </row>
    <row r="108" spans="1:14" hidden="1" x14ac:dyDescent="0.2">
      <c r="A108" s="507" t="str">
        <f t="shared" si="5"/>
        <v>2023</v>
      </c>
    </row>
  </sheetData>
  <pageMargins left="0.7" right="0.7" top="0.75" bottom="0.75" header="0.3" footer="0.3"/>
  <pageSetup scale="60" fitToWidth="0" orientation="portrait" r:id="rId1"/>
  <ignoredErrors>
    <ignoredError sqref="A18:M18 A104:M108 A19:M21 A7 A8 A9 A10 A11 A12 A13 A14 A15 A16 A17" numberStoredAsText="1"/>
    <ignoredError sqref="A33:M33 A67:M103 B66:M66 A35:M65 B34:M34 A22 A23 A24 A25 A26 A27 A28 A29 A30 A31 A32" numberStoredAsText="1" unlockedFormula="1"/>
    <ignoredError sqref="A34"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6" tint="0.79998168889431442"/>
  </sheetPr>
  <dimension ref="A1:AS202"/>
  <sheetViews>
    <sheetView showGridLines="0" zoomScale="84" zoomScaleNormal="84" workbookViewId="0">
      <pane xSplit="2" ySplit="21" topLeftCell="C22" activePane="bottomRight" state="frozen"/>
      <selection pane="topRight" activeCell="C1" sqref="C1"/>
      <selection pane="bottomLeft" activeCell="A20" sqref="A20"/>
      <selection pane="bottomRight" activeCell="C22" sqref="C22"/>
    </sheetView>
  </sheetViews>
  <sheetFormatPr defaultRowHeight="12.75" outlineLevelRow="1" x14ac:dyDescent="0.2"/>
  <cols>
    <col min="1" max="1" width="13.6640625" style="1" customWidth="1"/>
    <col min="2" max="2" width="25.33203125" style="22" customWidth="1"/>
    <col min="3" max="4" width="20.33203125" style="22" customWidth="1"/>
    <col min="5" max="5" width="16.83203125" style="111" customWidth="1"/>
    <col min="6" max="11" width="16.83203125" style="22" customWidth="1"/>
    <col min="12" max="12" width="18.6640625" style="22" customWidth="1"/>
    <col min="13" max="19" width="16.83203125" style="1" customWidth="1"/>
    <col min="20" max="20" width="4.1640625" style="1" customWidth="1"/>
    <col min="21" max="21" width="20.33203125" style="22" bestFit="1" customWidth="1"/>
    <col min="22" max="25" width="21.6640625" style="1" customWidth="1"/>
    <col min="26" max="26" width="19.1640625" style="1" customWidth="1"/>
    <col min="27" max="27" width="21.5" style="1" customWidth="1"/>
    <col min="28" max="28" width="33.6640625" style="1" bestFit="1" customWidth="1"/>
    <col min="29" max="30" width="21" style="1" bestFit="1" customWidth="1"/>
    <col min="31" max="31" width="14.83203125" style="1" bestFit="1" customWidth="1"/>
    <col min="32" max="32" width="15.83203125" style="1" bestFit="1" customWidth="1"/>
    <col min="33" max="33" width="12.83203125" style="1" bestFit="1" customWidth="1"/>
    <col min="34" max="35" width="14" style="1" bestFit="1" customWidth="1"/>
    <col min="36" max="16384" width="9.33203125" style="1"/>
  </cols>
  <sheetData>
    <row r="1" spans="1:45" x14ac:dyDescent="0.2">
      <c r="A1" s="24" t="str">
        <f>'4. Customer Growth'!A1</f>
        <v>Niagara-on-the-Lake Hydro Inc.</v>
      </c>
      <c r="E1" s="22"/>
      <c r="M1" s="22"/>
    </row>
    <row r="2" spans="1:45" x14ac:dyDescent="0.2">
      <c r="A2" s="580" t="s">
        <v>445</v>
      </c>
    </row>
    <row r="3" spans="1:45" x14ac:dyDescent="0.2">
      <c r="A3" s="24" t="str">
        <f>'4. Customer Growth'!A3</f>
        <v>2024 Test &amp; 2023 Bridge</v>
      </c>
    </row>
    <row r="4" spans="1:45" x14ac:dyDescent="0.2">
      <c r="O4" s="22"/>
      <c r="P4" s="678" t="s">
        <v>370</v>
      </c>
      <c r="Q4" s="679">
        <v>0</v>
      </c>
      <c r="R4" s="680"/>
      <c r="S4" s="679">
        <v>0</v>
      </c>
    </row>
    <row r="5" spans="1:45" ht="51" x14ac:dyDescent="0.2">
      <c r="B5" s="587" t="s">
        <v>31</v>
      </c>
      <c r="C5" s="41" t="s">
        <v>451</v>
      </c>
      <c r="D5" s="41" t="s">
        <v>452</v>
      </c>
      <c r="E5" s="524" t="s">
        <v>67</v>
      </c>
      <c r="F5" s="588" t="s">
        <v>152</v>
      </c>
      <c r="G5" s="588" t="s">
        <v>153</v>
      </c>
      <c r="H5" s="588" t="s">
        <v>154</v>
      </c>
      <c r="I5" s="588" t="s">
        <v>453</v>
      </c>
      <c r="J5" s="588" t="s">
        <v>443</v>
      </c>
      <c r="K5" s="588" t="s">
        <v>131</v>
      </c>
      <c r="L5" s="41" t="s">
        <v>68</v>
      </c>
      <c r="O5" s="22"/>
      <c r="P5" s="22"/>
      <c r="Q5" s="1" t="s">
        <v>200</v>
      </c>
      <c r="S5" s="1" t="s">
        <v>199</v>
      </c>
      <c r="U5" s="592" t="s">
        <v>87</v>
      </c>
      <c r="V5" s="593" t="s">
        <v>230</v>
      </c>
      <c r="W5" s="593" t="s">
        <v>455</v>
      </c>
    </row>
    <row r="6" spans="1:45" x14ac:dyDescent="0.2">
      <c r="B6" s="5">
        <v>2012</v>
      </c>
      <c r="C6" s="589">
        <f>SUM(C23:C34)</f>
        <v>104954341</v>
      </c>
      <c r="D6" s="589">
        <f t="shared" ref="D6:K6" si="0">SUM(D23:D34)</f>
        <v>70060937</v>
      </c>
      <c r="E6" s="589">
        <f t="shared" si="0"/>
        <v>175015278</v>
      </c>
      <c r="F6" s="589">
        <f t="shared" si="0"/>
        <v>886451.47999999986</v>
      </c>
      <c r="G6" s="589">
        <f t="shared" si="0"/>
        <v>598435.04</v>
      </c>
      <c r="H6" s="589">
        <f t="shared" si="0"/>
        <v>12668908.4124</v>
      </c>
      <c r="I6" s="589">
        <f t="shared" si="0"/>
        <v>0</v>
      </c>
      <c r="J6" s="589">
        <f t="shared" si="0"/>
        <v>0</v>
      </c>
      <c r="K6" s="589">
        <f t="shared" si="0"/>
        <v>0</v>
      </c>
      <c r="L6" s="589">
        <f>SUM(E6:K6)</f>
        <v>189169072.93239999</v>
      </c>
      <c r="O6" s="22" t="s">
        <v>58</v>
      </c>
      <c r="P6" s="97" t="str">
        <f>'1. Assumptions'!$B$8&amp;"-"&amp;'6. WS Regression Analysis'!$O6</f>
        <v>2023-January</v>
      </c>
      <c r="Q6" s="415">
        <f>SUMIF($B$23:$B$187,$P6,$U$23:$U$187)*(1+$Q$4)</f>
        <v>19161200.319739059</v>
      </c>
      <c r="R6" s="97" t="str">
        <f>'1. Assumptions'!$B$11&amp;"-"&amp;'6. WS Regression Analysis'!$O6</f>
        <v>2024-January</v>
      </c>
      <c r="S6" s="415">
        <f t="shared" ref="S6:S17" si="1">SUMIF($B$23:$B$187,$R6,$U$23:$U$187)*(1+$S$4)</f>
        <v>19330955.945356783</v>
      </c>
      <c r="U6" s="589">
        <f t="shared" ref="U6" si="2">SUM(U23:U34)</f>
        <v>199851515.10739517</v>
      </c>
      <c r="V6" s="589">
        <f>+L6-U6</f>
        <v>-10682442.174995184</v>
      </c>
      <c r="W6" s="594">
        <f>V6/L6</f>
        <v>-5.647034163355328E-2</v>
      </c>
    </row>
    <row r="7" spans="1:45" x14ac:dyDescent="0.2">
      <c r="B7" s="5">
        <v>2013</v>
      </c>
      <c r="C7" s="589">
        <f>SUM(C35:C46)</f>
        <v>84754267</v>
      </c>
      <c r="D7" s="589">
        <f t="shared" ref="D7:K7" si="3">SUM(D35:D46)</f>
        <v>89698912</v>
      </c>
      <c r="E7" s="589">
        <f t="shared" si="3"/>
        <v>174453179</v>
      </c>
      <c r="F7" s="589">
        <f t="shared" si="3"/>
        <v>1152871.3199999998</v>
      </c>
      <c r="G7" s="589">
        <f t="shared" si="3"/>
        <v>650443.99665024632</v>
      </c>
      <c r="H7" s="589">
        <f t="shared" si="3"/>
        <v>13566558.821999999</v>
      </c>
      <c r="I7" s="589">
        <f t="shared" si="3"/>
        <v>0</v>
      </c>
      <c r="J7" s="589">
        <f t="shared" si="3"/>
        <v>0</v>
      </c>
      <c r="K7" s="589">
        <f t="shared" si="3"/>
        <v>0</v>
      </c>
      <c r="L7" s="589">
        <f t="shared" ref="L7:L17" si="4">SUM(E7:K7)</f>
        <v>189823053.13865024</v>
      </c>
      <c r="O7" s="22" t="s">
        <v>59</v>
      </c>
      <c r="P7" s="50" t="str">
        <f>'1. Assumptions'!$B$8&amp;"-"&amp;'6. WS Regression Analysis'!$O7</f>
        <v>2023-February</v>
      </c>
      <c r="Q7" s="415">
        <f t="shared" ref="Q7:Q17" si="5">SUMIF($B$23:$B$187,$P7,$U$23:$U$187)*(1+$Q$4)</f>
        <v>17547775.560860857</v>
      </c>
      <c r="R7" s="50" t="str">
        <f>'1. Assumptions'!$B$11&amp;"-"&amp;'6. WS Regression Analysis'!$O7</f>
        <v>2024-February</v>
      </c>
      <c r="S7" s="415">
        <f t="shared" si="1"/>
        <v>18197876.630132355</v>
      </c>
      <c r="U7" s="589">
        <f t="shared" ref="U7" si="6">SUM(U35:U46)</f>
        <v>195558511.30286601</v>
      </c>
      <c r="V7" s="589">
        <f t="shared" ref="V7:V16" si="7">+L7-U7</f>
        <v>-5735458.1642157733</v>
      </c>
      <c r="W7" s="594">
        <f t="shared" ref="W7:W16" si="8">V7/L7</f>
        <v>-3.0214760901704017E-2</v>
      </c>
    </row>
    <row r="8" spans="1:45" x14ac:dyDescent="0.2">
      <c r="B8" s="5">
        <v>2014</v>
      </c>
      <c r="C8" s="589">
        <f>SUM(C47:C58)</f>
        <v>80657885</v>
      </c>
      <c r="D8" s="589">
        <f t="shared" ref="D8:K8" si="9">SUM(D47:D58)</f>
        <v>101609350</v>
      </c>
      <c r="E8" s="589">
        <f t="shared" si="9"/>
        <v>182267235</v>
      </c>
      <c r="F8" s="589">
        <f t="shared" si="9"/>
        <v>1453817.37</v>
      </c>
      <c r="G8" s="589">
        <f t="shared" si="9"/>
        <v>851260.10819354851</v>
      </c>
      <c r="H8" s="589">
        <f t="shared" si="9"/>
        <v>12179334.913999999</v>
      </c>
      <c r="I8" s="589">
        <f t="shared" si="9"/>
        <v>-153044.25</v>
      </c>
      <c r="J8" s="589">
        <f t="shared" si="9"/>
        <v>0</v>
      </c>
      <c r="K8" s="589">
        <f t="shared" si="9"/>
        <v>0</v>
      </c>
      <c r="L8" s="589">
        <f t="shared" si="4"/>
        <v>196598603.14219356</v>
      </c>
      <c r="O8" s="22" t="s">
        <v>60</v>
      </c>
      <c r="P8" s="50" t="str">
        <f>'1. Assumptions'!$B$8&amp;"-"&amp;'6. WS Regression Analysis'!$O8</f>
        <v>2023-March</v>
      </c>
      <c r="Q8" s="415">
        <f t="shared" si="5"/>
        <v>16994593.381331138</v>
      </c>
      <c r="R8" s="50" t="str">
        <f>'1. Assumptions'!$B$11&amp;"-"&amp;'6. WS Regression Analysis'!$O8</f>
        <v>2024-March</v>
      </c>
      <c r="S8" s="415">
        <f t="shared" si="1"/>
        <v>17162452.296048105</v>
      </c>
      <c r="U8" s="589">
        <f t="shared" ref="U8" si="10">SUM(U47:U58)</f>
        <v>196752311.711725</v>
      </c>
      <c r="V8" s="589">
        <f t="shared" si="7"/>
        <v>-153708.56953144073</v>
      </c>
      <c r="W8" s="594">
        <f t="shared" si="8"/>
        <v>-7.818395811300256E-4</v>
      </c>
    </row>
    <row r="9" spans="1:45" x14ac:dyDescent="0.2">
      <c r="B9" s="5">
        <v>2015</v>
      </c>
      <c r="C9" s="589">
        <f>SUM(C59:C70)</f>
        <v>84519298.565000013</v>
      </c>
      <c r="D9" s="589">
        <f t="shared" ref="D9:K9" si="11">SUM(D59:D70)</f>
        <v>102081803.60000001</v>
      </c>
      <c r="E9" s="589">
        <f t="shared" si="11"/>
        <v>186601102.16499999</v>
      </c>
      <c r="F9" s="589">
        <f t="shared" si="11"/>
        <v>1566819.2922414285</v>
      </c>
      <c r="G9" s="589">
        <f t="shared" si="11"/>
        <v>866604.7</v>
      </c>
      <c r="H9" s="589">
        <f t="shared" si="11"/>
        <v>12739289.1</v>
      </c>
      <c r="I9" s="589">
        <f t="shared" si="11"/>
        <v>-462285.72</v>
      </c>
      <c r="J9" s="589">
        <f t="shared" si="11"/>
        <v>0</v>
      </c>
      <c r="K9" s="589">
        <f t="shared" si="11"/>
        <v>0</v>
      </c>
      <c r="L9" s="589">
        <f t="shared" si="4"/>
        <v>201311529.5372414</v>
      </c>
      <c r="O9" s="22" t="s">
        <v>61</v>
      </c>
      <c r="P9" s="50" t="str">
        <f>'1. Assumptions'!$B$8&amp;"-"&amp;'6. WS Regression Analysis'!$O9</f>
        <v>2023-April</v>
      </c>
      <c r="Q9" s="415">
        <f t="shared" si="5"/>
        <v>15945869.155878976</v>
      </c>
      <c r="R9" s="50" t="str">
        <f>'1. Assumptions'!$B$11&amp;"-"&amp;'6. WS Regression Analysis'!$O9</f>
        <v>2024-April</v>
      </c>
      <c r="S9" s="415">
        <f t="shared" si="1"/>
        <v>16112779.715145564</v>
      </c>
      <c r="U9" s="589">
        <f t="shared" ref="U9" si="12">SUM(U59:U70)</f>
        <v>202773256.87510347</v>
      </c>
      <c r="V9" s="589">
        <f t="shared" si="7"/>
        <v>-1461727.3378620744</v>
      </c>
      <c r="W9" s="594">
        <f t="shared" si="8"/>
        <v>-7.2610214686768043E-3</v>
      </c>
    </row>
    <row r="10" spans="1:45" x14ac:dyDescent="0.2">
      <c r="B10" s="5">
        <v>2016</v>
      </c>
      <c r="C10" s="589">
        <f>SUM(C71:C82)</f>
        <v>109645805</v>
      </c>
      <c r="D10" s="589">
        <f t="shared" ref="D10:K10" si="13">SUM(D71:D82)</f>
        <v>84873738.067000002</v>
      </c>
      <c r="E10" s="589">
        <f t="shared" si="13"/>
        <v>194519543.067</v>
      </c>
      <c r="F10" s="589">
        <f t="shared" si="13"/>
        <v>1736631.2567499997</v>
      </c>
      <c r="G10" s="589">
        <f t="shared" si="13"/>
        <v>895000</v>
      </c>
      <c r="H10" s="589">
        <f t="shared" si="13"/>
        <v>12038127.3652</v>
      </c>
      <c r="I10" s="589">
        <f t="shared" si="13"/>
        <v>-1540454.67</v>
      </c>
      <c r="J10" s="589">
        <f t="shared" si="13"/>
        <v>0</v>
      </c>
      <c r="K10" s="589">
        <f t="shared" si="13"/>
        <v>0</v>
      </c>
      <c r="L10" s="589">
        <f t="shared" si="4"/>
        <v>207648847.01895002</v>
      </c>
      <c r="O10" s="22" t="s">
        <v>62</v>
      </c>
      <c r="P10" s="50" t="str">
        <f>'1. Assumptions'!$B$8&amp;"-"&amp;'6. WS Regression Analysis'!$O10</f>
        <v>2023-May</v>
      </c>
      <c r="Q10" s="415">
        <f t="shared" si="5"/>
        <v>16237953.827924179</v>
      </c>
      <c r="R10" s="50" t="str">
        <f>'1. Assumptions'!$B$11&amp;"-"&amp;'6. WS Regression Analysis'!$O10</f>
        <v>2024-May</v>
      </c>
      <c r="S10" s="415">
        <f t="shared" si="1"/>
        <v>16403916.03174039</v>
      </c>
      <c r="U10" s="589">
        <f t="shared" ref="U10" si="14">SUM(U71:U82)</f>
        <v>214005327.3685981</v>
      </c>
      <c r="V10" s="589">
        <f t="shared" si="7"/>
        <v>-6356480.3496480882</v>
      </c>
      <c r="W10" s="594">
        <f t="shared" si="8"/>
        <v>-3.0611681407833661E-2</v>
      </c>
    </row>
    <row r="11" spans="1:45" x14ac:dyDescent="0.2">
      <c r="B11" s="5">
        <v>2017</v>
      </c>
      <c r="C11" s="589">
        <f>SUM(C83:C94)</f>
        <v>113627804</v>
      </c>
      <c r="D11" s="589">
        <f t="shared" ref="D11:K11" si="15">SUM(D83:D94)</f>
        <v>76709588</v>
      </c>
      <c r="E11" s="589">
        <f t="shared" si="15"/>
        <v>190337392</v>
      </c>
      <c r="F11" s="589">
        <f t="shared" si="15"/>
        <v>1608059.9093299999</v>
      </c>
      <c r="G11" s="589">
        <f t="shared" si="15"/>
        <v>818231.79560000007</v>
      </c>
      <c r="H11" s="589">
        <f t="shared" si="15"/>
        <v>10971592.099999998</v>
      </c>
      <c r="I11" s="589">
        <f t="shared" si="15"/>
        <v>-2592620.9800000004</v>
      </c>
      <c r="J11" s="589">
        <f t="shared" si="15"/>
        <v>0</v>
      </c>
      <c r="K11" s="589">
        <f t="shared" si="15"/>
        <v>0</v>
      </c>
      <c r="L11" s="589">
        <f t="shared" si="4"/>
        <v>201142654.82493001</v>
      </c>
      <c r="O11" s="22" t="s">
        <v>63</v>
      </c>
      <c r="P11" s="50" t="str">
        <f>'1. Assumptions'!$B$8&amp;"-"&amp;'6. WS Regression Analysis'!$O11</f>
        <v>2023-June</v>
      </c>
      <c r="Q11" s="415">
        <f t="shared" si="5"/>
        <v>18820080.9419186</v>
      </c>
      <c r="R11" s="50" t="str">
        <f>'1. Assumptions'!$B$11&amp;"-"&amp;'6. WS Regression Analysis'!$O11</f>
        <v>2024-June</v>
      </c>
      <c r="S11" s="415">
        <f t="shared" si="1"/>
        <v>18985094.790284436</v>
      </c>
      <c r="U11" s="589">
        <f t="shared" ref="U11" si="16">SUM(U83:U94)</f>
        <v>207962088.84304467</v>
      </c>
      <c r="V11" s="589">
        <f t="shared" si="7"/>
        <v>-6819434.0181146562</v>
      </c>
      <c r="W11" s="594">
        <f t="shared" si="8"/>
        <v>-3.3903470271137347E-2</v>
      </c>
    </row>
    <row r="12" spans="1:45" x14ac:dyDescent="0.2">
      <c r="B12" s="5">
        <v>2018</v>
      </c>
      <c r="C12" s="589">
        <f>SUM(C95:C106)</f>
        <v>123793054</v>
      </c>
      <c r="D12" s="589">
        <f t="shared" ref="D12:K12" si="17">SUM(D95:D106)</f>
        <v>86816432</v>
      </c>
      <c r="E12" s="589">
        <f t="shared" si="17"/>
        <v>210609486</v>
      </c>
      <c r="F12" s="589">
        <f t="shared" si="17"/>
        <v>1648119.9737699998</v>
      </c>
      <c r="G12" s="589">
        <f t="shared" si="17"/>
        <v>1222768.9850000001</v>
      </c>
      <c r="H12" s="589">
        <f t="shared" si="17"/>
        <v>11824861.300000001</v>
      </c>
      <c r="I12" s="589">
        <f t="shared" si="17"/>
        <v>-11056797.779999997</v>
      </c>
      <c r="J12" s="589">
        <f t="shared" si="17"/>
        <v>108936.85</v>
      </c>
      <c r="K12" s="589">
        <f t="shared" si="17"/>
        <v>0</v>
      </c>
      <c r="L12" s="589">
        <f t="shared" si="4"/>
        <v>214357375.32877001</v>
      </c>
      <c r="O12" s="22" t="s">
        <v>64</v>
      </c>
      <c r="P12" s="50" t="str">
        <f>'1. Assumptions'!$B$8&amp;"-"&amp;'6. WS Regression Analysis'!$O12</f>
        <v>2023-July</v>
      </c>
      <c r="Q12" s="415">
        <f t="shared" si="5"/>
        <v>22753406.591626532</v>
      </c>
      <c r="R12" s="50" t="str">
        <f>'1. Assumptions'!$B$11&amp;"-"&amp;'6. WS Regression Analysis'!$O12</f>
        <v>2024-July</v>
      </c>
      <c r="S12" s="415">
        <f t="shared" si="1"/>
        <v>22917472.084541991</v>
      </c>
      <c r="U12" s="589">
        <f t="shared" ref="U12" si="18">SUM(U95:U106)</f>
        <v>216453357.83650899</v>
      </c>
      <c r="V12" s="589">
        <f t="shared" si="7"/>
        <v>-2095982.5077389777</v>
      </c>
      <c r="W12" s="594">
        <f t="shared" si="8"/>
        <v>-9.7779817677104437E-3</v>
      </c>
    </row>
    <row r="13" spans="1:45" x14ac:dyDescent="0.2">
      <c r="A13" s="42"/>
      <c r="B13" s="5">
        <v>2019</v>
      </c>
      <c r="C13" s="589">
        <f>SUM(C107:C118)</f>
        <v>130240849</v>
      </c>
      <c r="D13" s="589">
        <f t="shared" ref="D13:K13" si="19">SUM(D107:D118)</f>
        <v>91382797</v>
      </c>
      <c r="E13" s="589">
        <f t="shared" si="19"/>
        <v>221623646</v>
      </c>
      <c r="F13" s="589">
        <f t="shared" si="19"/>
        <v>1650902.40387</v>
      </c>
      <c r="G13" s="589">
        <f t="shared" si="19"/>
        <v>1613293.9806000001</v>
      </c>
      <c r="H13" s="589">
        <f t="shared" si="19"/>
        <v>12105439.5</v>
      </c>
      <c r="I13" s="589">
        <f t="shared" si="19"/>
        <v>-25819528.000000004</v>
      </c>
      <c r="J13" s="589">
        <f t="shared" si="19"/>
        <v>123557.41999999998</v>
      </c>
      <c r="K13" s="589">
        <f t="shared" si="19"/>
        <v>0</v>
      </c>
      <c r="L13" s="589">
        <f t="shared" si="4"/>
        <v>211297311.30446997</v>
      </c>
      <c r="O13" s="43" t="s">
        <v>65</v>
      </c>
      <c r="P13" s="50" t="str">
        <f>'1. Assumptions'!$B$8&amp;"-"&amp;'6. WS Regression Analysis'!$O13</f>
        <v>2023-August</v>
      </c>
      <c r="Q13" s="415">
        <f t="shared" si="5"/>
        <v>22577348.474297702</v>
      </c>
      <c r="R13" s="50" t="str">
        <f>'1. Assumptions'!$B$11&amp;"-"&amp;'6. WS Regression Analysis'!$O13</f>
        <v>2024-August</v>
      </c>
      <c r="S13" s="415">
        <f t="shared" si="1"/>
        <v>22740465.611762777</v>
      </c>
      <c r="T13" s="42"/>
      <c r="U13" s="589">
        <f t="shared" ref="U13" si="20">SUM(U107:U118)</f>
        <v>211860362.50979912</v>
      </c>
      <c r="V13" s="589">
        <f t="shared" si="7"/>
        <v>-563051.20532914996</v>
      </c>
      <c r="W13" s="594">
        <f t="shared" si="8"/>
        <v>-2.6647343586772782E-3</v>
      </c>
      <c r="X13" s="42"/>
      <c r="Y13" s="42"/>
      <c r="Z13" s="42"/>
      <c r="AA13" s="42"/>
      <c r="AB13" s="42"/>
      <c r="AC13" s="42"/>
      <c r="AD13" s="42"/>
      <c r="AE13" s="42"/>
      <c r="AF13" s="42"/>
      <c r="AG13" s="42"/>
      <c r="AH13" s="42"/>
      <c r="AI13" s="42"/>
      <c r="AJ13" s="42"/>
      <c r="AK13" s="42"/>
      <c r="AL13" s="42"/>
      <c r="AM13" s="42"/>
      <c r="AN13" s="42"/>
      <c r="AO13" s="42"/>
      <c r="AP13" s="42"/>
      <c r="AQ13" s="42"/>
      <c r="AR13" s="42"/>
      <c r="AS13" s="42"/>
    </row>
    <row r="14" spans="1:45" x14ac:dyDescent="0.2">
      <c r="A14" s="42"/>
      <c r="B14" s="5">
        <v>2020</v>
      </c>
      <c r="C14" s="589">
        <f>SUM(C119:C130)</f>
        <v>153057181</v>
      </c>
      <c r="D14" s="589">
        <f t="shared" ref="D14:K14" si="21">SUM(D119:D130)</f>
        <v>61755030</v>
      </c>
      <c r="E14" s="589">
        <f t="shared" si="21"/>
        <v>214812211</v>
      </c>
      <c r="F14" s="589">
        <f t="shared" si="21"/>
        <v>1722145.1118399997</v>
      </c>
      <c r="G14" s="589">
        <f t="shared" si="21"/>
        <v>1689290.5578000001</v>
      </c>
      <c r="H14" s="589">
        <f t="shared" si="21"/>
        <v>12087397</v>
      </c>
      <c r="I14" s="589">
        <f t="shared" si="21"/>
        <v>-25776833.599999994</v>
      </c>
      <c r="J14" s="589">
        <f t="shared" si="21"/>
        <v>187316.573</v>
      </c>
      <c r="K14" s="589">
        <f t="shared" si="21"/>
        <v>0</v>
      </c>
      <c r="L14" s="589">
        <f t="shared" si="4"/>
        <v>204721526.64264002</v>
      </c>
      <c r="O14" s="43" t="s">
        <v>55</v>
      </c>
      <c r="P14" s="50" t="str">
        <f>'1. Assumptions'!$B$8&amp;"-"&amp;'6. WS Regression Analysis'!$O14</f>
        <v>2023-September</v>
      </c>
      <c r="Q14" s="415">
        <f t="shared" si="5"/>
        <v>17255635.65719673</v>
      </c>
      <c r="R14" s="50" t="str">
        <f>'1. Assumptions'!$B$11&amp;"-"&amp;'6. WS Regression Analysis'!$O14</f>
        <v>2024-September</v>
      </c>
      <c r="S14" s="415">
        <f t="shared" si="1"/>
        <v>17417804.439211436</v>
      </c>
      <c r="T14" s="42"/>
      <c r="U14" s="589">
        <f t="shared" ref="U14" si="22">SUM(U119:U130)</f>
        <v>217694347.29207727</v>
      </c>
      <c r="V14" s="589">
        <f t="shared" si="7"/>
        <v>-12972820.649437249</v>
      </c>
      <c r="W14" s="594">
        <f t="shared" si="8"/>
        <v>-6.3368131638068925E-2</v>
      </c>
      <c r="X14" s="42"/>
      <c r="Y14" s="42"/>
      <c r="Z14" s="42"/>
      <c r="AA14" s="42"/>
      <c r="AB14" s="42"/>
      <c r="AC14" s="42"/>
      <c r="AD14" s="42"/>
      <c r="AE14" s="42"/>
      <c r="AF14" s="42"/>
      <c r="AG14" s="42"/>
      <c r="AH14" s="42"/>
      <c r="AI14" s="42"/>
      <c r="AJ14" s="42"/>
      <c r="AK14" s="42"/>
      <c r="AL14" s="42"/>
      <c r="AM14" s="42"/>
      <c r="AN14" s="42"/>
      <c r="AO14" s="42"/>
      <c r="AP14" s="42"/>
      <c r="AQ14" s="42"/>
    </row>
    <row r="15" spans="1:45" x14ac:dyDescent="0.2">
      <c r="A15" s="42"/>
      <c r="B15" s="5">
        <v>2021</v>
      </c>
      <c r="C15" s="589">
        <f>SUM(C131:C142)</f>
        <v>129452001</v>
      </c>
      <c r="D15" s="589">
        <f t="shared" ref="D15:K15" si="23">SUM(D131:D142)</f>
        <v>79349584</v>
      </c>
      <c r="E15" s="589">
        <f t="shared" si="23"/>
        <v>208801585</v>
      </c>
      <c r="F15" s="589">
        <f t="shared" si="23"/>
        <v>1669296.76</v>
      </c>
      <c r="G15" s="589">
        <f t="shared" si="23"/>
        <v>1620825.1900000002</v>
      </c>
      <c r="H15" s="589">
        <f t="shared" si="23"/>
        <v>12514821.9</v>
      </c>
      <c r="I15" s="589">
        <f t="shared" si="23"/>
        <v>-19132813.599999998</v>
      </c>
      <c r="J15" s="589">
        <f t="shared" si="23"/>
        <v>584975.76699999999</v>
      </c>
      <c r="K15" s="589">
        <f t="shared" si="23"/>
        <v>0</v>
      </c>
      <c r="L15" s="589">
        <f t="shared" si="4"/>
        <v>206058691.01699999</v>
      </c>
      <c r="O15" s="43" t="s">
        <v>56</v>
      </c>
      <c r="P15" s="50" t="str">
        <f>'1. Assumptions'!$B$8&amp;"-"&amp;'6. WS Regression Analysis'!$O15</f>
        <v>2023-October</v>
      </c>
      <c r="Q15" s="415">
        <f t="shared" si="5"/>
        <v>16145664.954553647</v>
      </c>
      <c r="R15" s="50" t="str">
        <f>'1. Assumptions'!$B$11&amp;"-"&amp;'6. WS Regression Analysis'!$O15</f>
        <v>2024-October</v>
      </c>
      <c r="S15" s="415">
        <f t="shared" si="1"/>
        <v>16306885.38111797</v>
      </c>
      <c r="T15" s="42"/>
      <c r="U15" s="589">
        <f t="shared" ref="U15" si="24">SUM(U131:U142)</f>
        <v>217597933.53294417</v>
      </c>
      <c r="V15" s="589">
        <f t="shared" si="7"/>
        <v>-11539242.515944183</v>
      </c>
      <c r="W15" s="594">
        <f t="shared" si="8"/>
        <v>-5.5999785590175308E-2</v>
      </c>
      <c r="X15" s="42"/>
      <c r="Y15" s="42"/>
      <c r="Z15" s="42"/>
      <c r="AA15" s="42"/>
      <c r="AB15" s="42"/>
      <c r="AC15" s="42"/>
      <c r="AD15" s="42"/>
      <c r="AE15" s="42"/>
      <c r="AF15" s="42"/>
      <c r="AG15" s="42"/>
      <c r="AH15" s="42"/>
      <c r="AI15" s="42"/>
      <c r="AJ15" s="42"/>
      <c r="AK15" s="42"/>
      <c r="AL15" s="42"/>
      <c r="AM15" s="42"/>
      <c r="AN15" s="42"/>
      <c r="AO15" s="42"/>
      <c r="AP15" s="42"/>
      <c r="AQ15" s="42"/>
      <c r="AR15" s="42"/>
      <c r="AS15" s="42"/>
    </row>
    <row r="16" spans="1:45" x14ac:dyDescent="0.2">
      <c r="A16" s="42"/>
      <c r="B16" s="5">
        <v>2022</v>
      </c>
      <c r="C16" s="589">
        <f>SUM(C143:C154)</f>
        <v>126039958</v>
      </c>
      <c r="D16" s="589">
        <f t="shared" ref="D16:K16" si="25">SUM(D143:D154)</f>
        <v>76723969</v>
      </c>
      <c r="E16" s="589">
        <f>SUM(E143:E154)</f>
        <v>202763927</v>
      </c>
      <c r="F16" s="589">
        <f t="shared" si="25"/>
        <v>1603812.3100000003</v>
      </c>
      <c r="G16" s="589">
        <f t="shared" si="25"/>
        <v>1589812.1599999997</v>
      </c>
      <c r="H16" s="589">
        <f t="shared" si="25"/>
        <v>12143961.199999999</v>
      </c>
      <c r="I16" s="589">
        <f t="shared" si="25"/>
        <v>-2162927.1999999997</v>
      </c>
      <c r="J16" s="589">
        <f t="shared" si="25"/>
        <v>551537.55999999994</v>
      </c>
      <c r="K16" s="589">
        <f t="shared" si="25"/>
        <v>0</v>
      </c>
      <c r="L16" s="589">
        <f t="shared" si="4"/>
        <v>216490123.03</v>
      </c>
      <c r="O16" s="43" t="s">
        <v>57</v>
      </c>
      <c r="P16" s="50" t="str">
        <f>'1. Assumptions'!$B$8&amp;"-"&amp;'6. WS Regression Analysis'!$O16</f>
        <v>2023-November</v>
      </c>
      <c r="Q16" s="415">
        <f t="shared" si="5"/>
        <v>16104837.841673652</v>
      </c>
      <c r="R16" s="50" t="str">
        <f>'1. Assumptions'!$B$11&amp;"-"&amp;'6. WS Regression Analysis'!$O16</f>
        <v>2024-November</v>
      </c>
      <c r="S16" s="415">
        <f t="shared" si="1"/>
        <v>16265109.912787596</v>
      </c>
      <c r="T16" s="42"/>
      <c r="U16" s="589">
        <f t="shared" ref="U16" si="26">SUM(U143:U154)</f>
        <v>217640371.35769007</v>
      </c>
      <c r="V16" s="589">
        <f t="shared" si="7"/>
        <v>-1150248.3276900649</v>
      </c>
      <c r="W16" s="594">
        <f t="shared" si="8"/>
        <v>-5.3131676937089173E-3</v>
      </c>
      <c r="X16" s="42"/>
      <c r="Y16" s="42"/>
      <c r="Z16" s="42"/>
      <c r="AA16" s="42"/>
      <c r="AB16" s="42"/>
      <c r="AC16" s="42"/>
      <c r="AD16" s="42"/>
      <c r="AE16" s="42"/>
      <c r="AF16" s="42"/>
      <c r="AG16" s="42"/>
      <c r="AH16" s="42"/>
      <c r="AI16" s="42"/>
      <c r="AJ16" s="42"/>
      <c r="AK16" s="42"/>
      <c r="AL16" s="42"/>
      <c r="AM16" s="42"/>
      <c r="AN16" s="42"/>
      <c r="AO16" s="42"/>
      <c r="AP16" s="42"/>
      <c r="AQ16" s="42"/>
      <c r="AR16" s="42"/>
      <c r="AS16" s="42"/>
    </row>
    <row r="17" spans="1:45" ht="15" hidden="1" customHeight="1" outlineLevel="1" x14ac:dyDescent="0.2">
      <c r="A17" s="42"/>
      <c r="B17" s="5">
        <v>2023</v>
      </c>
      <c r="C17" s="525">
        <f>SUM(C155:C166)</f>
        <v>0</v>
      </c>
      <c r="D17" s="525">
        <f t="shared" ref="D17:K17" si="27">SUM(D155:D166)</f>
        <v>0</v>
      </c>
      <c r="E17" s="525">
        <f t="shared" si="27"/>
        <v>0</v>
      </c>
      <c r="F17" s="525">
        <f t="shared" si="27"/>
        <v>0</v>
      </c>
      <c r="G17" s="525">
        <f t="shared" si="27"/>
        <v>0</v>
      </c>
      <c r="H17" s="525">
        <f t="shared" si="27"/>
        <v>0</v>
      </c>
      <c r="I17" s="525">
        <f t="shared" si="27"/>
        <v>0</v>
      </c>
      <c r="J17" s="525">
        <f t="shared" si="27"/>
        <v>0</v>
      </c>
      <c r="K17" s="525">
        <f t="shared" si="27"/>
        <v>0</v>
      </c>
      <c r="L17" s="525">
        <f t="shared" si="4"/>
        <v>0</v>
      </c>
      <c r="O17" s="425" t="s">
        <v>54</v>
      </c>
      <c r="P17" s="50" t="str">
        <f>'1. Assumptions'!$B$8&amp;"-"&amp;'6. WS Regression Analysis'!$O17</f>
        <v>2023-December</v>
      </c>
      <c r="Q17" s="415">
        <f t="shared" si="5"/>
        <v>18917773.233016819</v>
      </c>
      <c r="R17" s="50" t="str">
        <f>'1. Assumptions'!$B$11&amp;"-"&amp;'6. WS Regression Analysis'!$O17</f>
        <v>2024-December</v>
      </c>
      <c r="S17" s="415">
        <f t="shared" si="1"/>
        <v>19077096.948680386</v>
      </c>
      <c r="T17" s="42"/>
      <c r="U17" s="525">
        <f t="shared" ref="U17" si="28">SUM(U155:U166)</f>
        <v>218462139.94001785</v>
      </c>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1:45" ht="15" hidden="1" customHeight="1" outlineLevel="1" x14ac:dyDescent="0.2">
      <c r="A18" s="42"/>
      <c r="B18" s="5">
        <v>2024</v>
      </c>
      <c r="C18" s="526"/>
      <c r="D18" s="526"/>
      <c r="E18" s="527"/>
      <c r="F18" s="528"/>
      <c r="G18" s="528"/>
      <c r="H18" s="528"/>
      <c r="I18" s="528"/>
      <c r="J18" s="528"/>
      <c r="K18" s="5"/>
      <c r="L18" s="5"/>
      <c r="O18" s="416"/>
      <c r="P18" s="46"/>
      <c r="Q18" s="415">
        <f>SUM(Q6:Q17)</f>
        <v>218462139.94001785</v>
      </c>
      <c r="R18" s="42"/>
      <c r="S18" s="415">
        <f>SUM(S6:S17)</f>
        <v>220917909.7868098</v>
      </c>
      <c r="T18" s="42"/>
      <c r="U18" s="525">
        <f>SUM(U167:U178)</f>
        <v>220917909.7868098</v>
      </c>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row>
    <row r="19" spans="1:45" ht="13.5" customHeight="1" collapsed="1" x14ac:dyDescent="0.2">
      <c r="A19" s="42"/>
      <c r="E19" s="417"/>
      <c r="F19" s="416"/>
      <c r="G19" s="416"/>
      <c r="H19" s="416"/>
      <c r="I19" s="416"/>
      <c r="J19" s="416"/>
      <c r="K19" s="416"/>
      <c r="L19" s="43"/>
      <c r="M19" s="42"/>
      <c r="N19" s="42"/>
      <c r="O19" s="42"/>
      <c r="P19" s="42"/>
      <c r="Q19" s="42"/>
      <c r="R19" s="42"/>
      <c r="S19" s="42"/>
      <c r="T19" s="42"/>
      <c r="U19" s="43"/>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row>
    <row r="20" spans="1:45" s="33" customFormat="1" x14ac:dyDescent="0.2">
      <c r="A20" s="53"/>
      <c r="B20" s="103"/>
      <c r="C20" s="103"/>
      <c r="D20" s="103"/>
      <c r="E20" s="112"/>
      <c r="F20" s="617" t="s">
        <v>75</v>
      </c>
      <c r="G20" s="617"/>
      <c r="H20" s="617"/>
      <c r="I20" s="617"/>
      <c r="J20" s="617"/>
      <c r="K20" s="617"/>
      <c r="L20" s="103"/>
      <c r="M20" s="617" t="s">
        <v>69</v>
      </c>
      <c r="N20" s="617"/>
      <c r="O20" s="617"/>
      <c r="P20" s="617"/>
      <c r="Q20" s="617"/>
      <c r="R20" s="617"/>
      <c r="S20" s="617"/>
      <c r="T20" s="53"/>
      <c r="U20" s="10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row>
    <row r="21" spans="1:45" s="33" customFormat="1" ht="75" customHeight="1" x14ac:dyDescent="0.2">
      <c r="A21" s="100" t="s">
        <v>156</v>
      </c>
      <c r="B21" s="100" t="s">
        <v>146</v>
      </c>
      <c r="C21" s="41" t="s">
        <v>451</v>
      </c>
      <c r="D21" s="41" t="s">
        <v>452</v>
      </c>
      <c r="E21" s="113" t="s">
        <v>67</v>
      </c>
      <c r="F21" s="590" t="s">
        <v>152</v>
      </c>
      <c r="G21" s="590" t="s">
        <v>153</v>
      </c>
      <c r="H21" s="590" t="s">
        <v>154</v>
      </c>
      <c r="I21" s="588" t="s">
        <v>453</v>
      </c>
      <c r="J21" s="588" t="s">
        <v>443</v>
      </c>
      <c r="K21" s="101" t="s">
        <v>131</v>
      </c>
      <c r="L21" s="41" t="s">
        <v>68</v>
      </c>
      <c r="M21" s="126" t="str">
        <f>+'5.Variables'!A6</f>
        <v>HDD</v>
      </c>
      <c r="N21" s="126" t="str">
        <f>+'5.Variables'!A21</f>
        <v>CDD</v>
      </c>
      <c r="O21" s="126" t="str">
        <f>+'5.Variables'!A36</f>
        <v>Daylight Hours</v>
      </c>
      <c r="P21" s="126" t="str">
        <f>+'5.Variables'!A51</f>
        <v># Customers (Res+&lt;50+&gt;50+LU)</v>
      </c>
      <c r="Q21" s="126" t="str">
        <f>+'5.Variables'!A66</f>
        <v>Days per Month</v>
      </c>
      <c r="R21" s="126" t="str">
        <f>+'5.Variables'!A81</f>
        <v>Spring/Fall Flag</v>
      </c>
      <c r="S21" s="126" t="str">
        <f>+'5.Variables'!A96</f>
        <v>Blended Rate</v>
      </c>
      <c r="T21" s="102"/>
      <c r="U21" s="126" t="s">
        <v>87</v>
      </c>
      <c r="V21" s="41" t="s">
        <v>30</v>
      </c>
      <c r="W21" s="41"/>
      <c r="X21" s="41"/>
      <c r="Y21" s="41"/>
      <c r="Z21" s="41" t="s">
        <v>158</v>
      </c>
      <c r="AA21" s="33" t="s">
        <v>94</v>
      </c>
      <c r="AJ21" s="53"/>
      <c r="AK21" s="53"/>
      <c r="AL21" s="53"/>
      <c r="AM21" s="53"/>
      <c r="AN21" s="53"/>
      <c r="AO21" s="53"/>
      <c r="AP21" s="53"/>
      <c r="AQ21" s="53"/>
      <c r="AR21" s="53"/>
      <c r="AS21" s="53"/>
    </row>
    <row r="22" spans="1:45" ht="51.75" customHeight="1" thickBot="1" x14ac:dyDescent="0.25">
      <c r="A22" s="42"/>
      <c r="B22" s="98"/>
      <c r="C22" s="98"/>
      <c r="D22" s="98"/>
      <c r="E22" s="114"/>
      <c r="F22" s="96"/>
      <c r="G22" s="96"/>
      <c r="H22" s="96"/>
      <c r="I22" s="418"/>
      <c r="K22" s="419"/>
      <c r="L22" s="420"/>
      <c r="M22" s="125" t="s">
        <v>101</v>
      </c>
      <c r="N22" s="125" t="s">
        <v>101</v>
      </c>
      <c r="O22" s="125" t="s">
        <v>101</v>
      </c>
      <c r="P22" s="125" t="s">
        <v>157</v>
      </c>
      <c r="Q22" s="125" t="s">
        <v>101</v>
      </c>
      <c r="R22" s="125" t="s">
        <v>101</v>
      </c>
      <c r="S22" s="125" t="s">
        <v>155</v>
      </c>
      <c r="T22" s="618"/>
      <c r="U22" s="618"/>
      <c r="V22" s="618"/>
      <c r="W22" s="432"/>
      <c r="X22" s="432"/>
      <c r="Y22" s="432"/>
      <c r="Z22" s="42"/>
      <c r="AJ22" s="42"/>
      <c r="AK22" s="42"/>
      <c r="AL22" s="42"/>
      <c r="AM22" s="42"/>
      <c r="AN22" s="42"/>
      <c r="AO22" s="42"/>
      <c r="AP22" s="42"/>
      <c r="AQ22" s="42"/>
      <c r="AR22" s="42"/>
      <c r="AS22" s="42"/>
    </row>
    <row r="23" spans="1:45" x14ac:dyDescent="0.2">
      <c r="A23" s="143">
        <v>1</v>
      </c>
      <c r="B23" s="97" t="str">
        <f>CONCATENATE('3. Consumption by Rate Class'!A10,"-",'3. Consumption by Rate Class'!B10)</f>
        <v>2012-January</v>
      </c>
      <c r="C23" s="115">
        <v>9287817</v>
      </c>
      <c r="D23" s="142">
        <v>6211117</v>
      </c>
      <c r="E23" s="115">
        <f>+C23+D23</f>
        <v>15498934</v>
      </c>
      <c r="F23" s="115">
        <v>21094.42</v>
      </c>
      <c r="G23" s="142">
        <v>13065.16</v>
      </c>
      <c r="H23" s="115">
        <v>150948.54479999995</v>
      </c>
      <c r="I23" s="115"/>
      <c r="J23" s="106"/>
      <c r="K23" s="106"/>
      <c r="L23" s="99">
        <f t="shared" ref="L23:L51" si="29">SUM(E23:K23)</f>
        <v>15684042.1248</v>
      </c>
      <c r="M23" s="121">
        <f>+'5.Variables'!$B$7</f>
        <v>554.40000000000009</v>
      </c>
      <c r="N23" s="121">
        <f>+'5.Variables'!$B$22</f>
        <v>0</v>
      </c>
      <c r="O23" s="490">
        <f>+'5.Variables'!$B$37</f>
        <v>9.1199999999999992</v>
      </c>
      <c r="P23" s="121">
        <f>+'5.Variables'!$B$52</f>
        <v>8036</v>
      </c>
      <c r="Q23" s="121">
        <f>+'5.Variables'!$B$67</f>
        <v>31</v>
      </c>
      <c r="R23" s="121">
        <f>+'5.Variables'!$B$82</f>
        <v>1</v>
      </c>
      <c r="S23" s="490">
        <f>+'5.Variables'!$B$97</f>
        <v>6.5039999999999996</v>
      </c>
      <c r="T23" s="42"/>
      <c r="U23" s="51">
        <f>$AB$37+(M23*$AB$38)+(N23*$AB$39)+(O23*$AB$40)+(P23*$AB$41)+(Q23*$AB$42)+(R23*$AB$43)+(R23*$AB$43)</f>
        <v>17071861.296581529</v>
      </c>
      <c r="V23" s="52"/>
      <c r="W23" s="440">
        <f t="shared" ref="W23:W86" si="30">+L23-U23</f>
        <v>-1387819.1717815287</v>
      </c>
      <c r="X23" s="509">
        <f t="shared" ref="X23:X86" si="31">+W23/L23</f>
        <v>-8.8486065055071117E-2</v>
      </c>
      <c r="Y23" s="440"/>
      <c r="Z23" s="42"/>
      <c r="AA23" s="423" t="s">
        <v>6</v>
      </c>
      <c r="AB23" s="423"/>
      <c r="AJ23" s="42"/>
      <c r="AK23" s="42"/>
      <c r="AL23" s="42"/>
      <c r="AM23" s="42"/>
      <c r="AN23" s="42"/>
      <c r="AO23" s="42"/>
      <c r="AP23" s="42"/>
      <c r="AQ23" s="42"/>
      <c r="AR23" s="42"/>
      <c r="AS23" s="42"/>
    </row>
    <row r="24" spans="1:45" x14ac:dyDescent="0.2">
      <c r="A24" s="143">
        <f t="shared" ref="A24:A52" si="32">+A23+1</f>
        <v>2</v>
      </c>
      <c r="B24" s="50" t="str">
        <f>CONCATENATE('3. Consumption by Rate Class'!A11,"-",'3. Consumption by Rate Class'!B11)</f>
        <v>2012-February</v>
      </c>
      <c r="C24" s="115">
        <v>8932131</v>
      </c>
      <c r="D24" s="142">
        <v>5170763</v>
      </c>
      <c r="E24" s="115">
        <f t="shared" ref="E24:E87" si="33">+C24+D24</f>
        <v>14102894</v>
      </c>
      <c r="F24" s="115">
        <v>27625.249999999996</v>
      </c>
      <c r="G24" s="142">
        <v>22411.87</v>
      </c>
      <c r="H24" s="115">
        <v>170081.20799999998</v>
      </c>
      <c r="I24" s="107"/>
      <c r="J24" s="108"/>
      <c r="K24" s="108"/>
      <c r="L24" s="51">
        <f t="shared" si="29"/>
        <v>14323012.328</v>
      </c>
      <c r="M24" s="121">
        <f>+'5.Variables'!$C$7</f>
        <v>482.39999999999992</v>
      </c>
      <c r="N24" s="121">
        <f>+'5.Variables'!$C$22</f>
        <v>0</v>
      </c>
      <c r="O24" s="490">
        <f>+'5.Variables'!$C$37</f>
        <v>10.199999999999999</v>
      </c>
      <c r="P24" s="121">
        <f>+'5.Variables'!$C$52</f>
        <v>8050.5</v>
      </c>
      <c r="Q24" s="121">
        <f>+'5.Variables'!$C$67</f>
        <v>29</v>
      </c>
      <c r="R24" s="121">
        <f>+'5.Variables'!$C$82</f>
        <v>1</v>
      </c>
      <c r="S24" s="490">
        <f>+'5.Variables'!$C$97</f>
        <v>6.5039999999999996</v>
      </c>
      <c r="T24" s="42"/>
      <c r="U24" s="51">
        <f t="shared" ref="U24:U87" si="34">$AB$37+(M24*$AB$38)+(N24*$AB$39)+(O24*$AB$40)+(P24*$AB$41)+(Q24*$AB$42)+(R24*$AB$43)+(R24*$AB$43)</f>
        <v>15873681.284604553</v>
      </c>
      <c r="V24" s="52"/>
      <c r="W24" s="440">
        <f t="shared" si="30"/>
        <v>-1550668.9566045534</v>
      </c>
      <c r="X24" s="509">
        <f t="shared" si="31"/>
        <v>-0.10826416406646225</v>
      </c>
      <c r="Y24" s="440"/>
      <c r="Z24" s="42"/>
      <c r="AA24" s="1" t="s">
        <v>7</v>
      </c>
      <c r="AB24" s="1">
        <v>0.96588820690219812</v>
      </c>
      <c r="AJ24" s="42"/>
      <c r="AK24" s="42"/>
      <c r="AL24" s="42"/>
      <c r="AM24" s="42"/>
      <c r="AN24" s="42"/>
      <c r="AO24" s="42"/>
      <c r="AP24" s="42"/>
      <c r="AQ24" s="42"/>
      <c r="AR24" s="42"/>
      <c r="AS24" s="42"/>
    </row>
    <row r="25" spans="1:45" x14ac:dyDescent="0.2">
      <c r="A25" s="143">
        <f t="shared" si="32"/>
        <v>3</v>
      </c>
      <c r="B25" s="50" t="str">
        <f>CONCATENATE('3. Consumption by Rate Class'!A12,"-",'3. Consumption by Rate Class'!B12)</f>
        <v>2012-March</v>
      </c>
      <c r="C25" s="115">
        <v>8147070</v>
      </c>
      <c r="D25" s="142">
        <v>4788030</v>
      </c>
      <c r="E25" s="115">
        <f t="shared" si="33"/>
        <v>12935100</v>
      </c>
      <c r="F25" s="115">
        <v>72172.409999999989</v>
      </c>
      <c r="G25" s="142">
        <v>54180.060000000012</v>
      </c>
      <c r="H25" s="115">
        <v>972831.20700000017</v>
      </c>
      <c r="I25" s="107"/>
      <c r="J25" s="108"/>
      <c r="K25" s="108"/>
      <c r="L25" s="51">
        <f t="shared" si="29"/>
        <v>14034283.677000001</v>
      </c>
      <c r="M25" s="121">
        <f>+'5.Variables'!$D$7</f>
        <v>366.69999999999993</v>
      </c>
      <c r="N25" s="121">
        <f>+'5.Variables'!$D$22</f>
        <v>0</v>
      </c>
      <c r="O25" s="490">
        <f>+'5.Variables'!$D$37</f>
        <v>11.5</v>
      </c>
      <c r="P25" s="121">
        <f>+'5.Variables'!$D$52</f>
        <v>8066</v>
      </c>
      <c r="Q25" s="121">
        <f>+'5.Variables'!$D$67</f>
        <v>31</v>
      </c>
      <c r="R25" s="121">
        <f>+'5.Variables'!$D$82</f>
        <v>0</v>
      </c>
      <c r="S25" s="490">
        <f>+'5.Variables'!$D$97</f>
        <v>6.5039999999999996</v>
      </c>
      <c r="T25" s="42"/>
      <c r="U25" s="51">
        <f t="shared" si="34"/>
        <v>14645657.152055282</v>
      </c>
      <c r="V25" s="52"/>
      <c r="W25" s="440">
        <f t="shared" si="30"/>
        <v>-611373.47505528107</v>
      </c>
      <c r="X25" s="509">
        <f t="shared" si="31"/>
        <v>-4.3562855727166658E-2</v>
      </c>
      <c r="Y25" s="440"/>
      <c r="Z25" s="42"/>
      <c r="AA25" s="1" t="s">
        <v>8</v>
      </c>
      <c r="AB25" s="1">
        <v>0.93294002823274347</v>
      </c>
      <c r="AJ25" s="42"/>
      <c r="AK25" s="42"/>
      <c r="AL25" s="42"/>
      <c r="AM25" s="42"/>
      <c r="AN25" s="42"/>
      <c r="AO25" s="42"/>
      <c r="AP25" s="42"/>
      <c r="AQ25" s="42"/>
      <c r="AR25" s="42"/>
      <c r="AS25" s="42"/>
    </row>
    <row r="26" spans="1:45" x14ac:dyDescent="0.2">
      <c r="A26" s="143">
        <f t="shared" si="32"/>
        <v>4</v>
      </c>
      <c r="B26" s="50" t="str">
        <f>CONCATENATE('3. Consumption by Rate Class'!A13,"-",'3. Consumption by Rate Class'!B13)</f>
        <v>2012-April</v>
      </c>
      <c r="C26" s="115">
        <v>7701987</v>
      </c>
      <c r="D26" s="142">
        <v>3981175</v>
      </c>
      <c r="E26" s="115">
        <f t="shared" si="33"/>
        <v>11683162</v>
      </c>
      <c r="F26" s="115">
        <v>92376.120000000024</v>
      </c>
      <c r="G26" s="142">
        <v>64422.51</v>
      </c>
      <c r="H26" s="115">
        <v>1437021.8891999999</v>
      </c>
      <c r="I26" s="107"/>
      <c r="J26" s="108"/>
      <c r="K26" s="108"/>
      <c r="L26" s="51">
        <f t="shared" si="29"/>
        <v>13276982.519199999</v>
      </c>
      <c r="M26" s="121">
        <f>+'5.Variables'!$E$7</f>
        <v>296.29999999999995</v>
      </c>
      <c r="N26" s="121">
        <f>+'5.Variables'!$E$22</f>
        <v>0</v>
      </c>
      <c r="O26" s="490">
        <f>+'5.Variables'!$E$37</f>
        <v>13.26</v>
      </c>
      <c r="P26" s="121">
        <f>+'5.Variables'!$E$52</f>
        <v>8077.5</v>
      </c>
      <c r="Q26" s="121">
        <f>+'5.Variables'!$E$67</f>
        <v>30</v>
      </c>
      <c r="R26" s="121">
        <f>+'5.Variables'!$E$82</f>
        <v>0</v>
      </c>
      <c r="S26" s="490">
        <f>+'5.Variables'!$E$97</f>
        <v>6.5039999999999996</v>
      </c>
      <c r="T26" s="42"/>
      <c r="U26" s="51">
        <f t="shared" si="34"/>
        <v>13931235.978718234</v>
      </c>
      <c r="V26" s="52"/>
      <c r="W26" s="440">
        <f t="shared" si="30"/>
        <v>-654253.45951823518</v>
      </c>
      <c r="X26" s="509">
        <f t="shared" si="31"/>
        <v>-4.9277270537346242E-2</v>
      </c>
      <c r="Y26" s="440"/>
      <c r="Z26" s="42"/>
      <c r="AA26" s="1" t="s">
        <v>9</v>
      </c>
      <c r="AB26" s="1">
        <v>0.93027891824197939</v>
      </c>
      <c r="AJ26" s="42"/>
      <c r="AK26" s="42"/>
      <c r="AL26" s="42"/>
      <c r="AM26" s="42"/>
      <c r="AN26" s="42"/>
      <c r="AO26" s="42"/>
      <c r="AP26" s="42"/>
      <c r="AQ26" s="42"/>
      <c r="AR26" s="42"/>
      <c r="AS26" s="42"/>
    </row>
    <row r="27" spans="1:45" x14ac:dyDescent="0.2">
      <c r="A27" s="143">
        <f t="shared" si="32"/>
        <v>5</v>
      </c>
      <c r="B27" s="50" t="str">
        <f>CONCATENATE('3. Consumption by Rate Class'!A14,"-",'3. Consumption by Rate Class'!B14)</f>
        <v>2012-May</v>
      </c>
      <c r="C27" s="115">
        <v>8654557</v>
      </c>
      <c r="D27" s="142">
        <v>4529918</v>
      </c>
      <c r="E27" s="115">
        <f t="shared" si="33"/>
        <v>13184475</v>
      </c>
      <c r="F27" s="115">
        <v>119561.85999999996</v>
      </c>
      <c r="G27" s="142">
        <v>75701.570000000007</v>
      </c>
      <c r="H27" s="115">
        <v>1428675.6967999998</v>
      </c>
      <c r="I27" s="107"/>
      <c r="J27" s="108"/>
      <c r="K27" s="108"/>
      <c r="L27" s="51">
        <f t="shared" si="29"/>
        <v>14808414.126799999</v>
      </c>
      <c r="M27" s="121">
        <f>+'5.Variables'!$F$7</f>
        <v>99.499999999999957</v>
      </c>
      <c r="N27" s="121">
        <f>+'5.Variables'!$F$22</f>
        <v>22.400000000000002</v>
      </c>
      <c r="O27" s="490">
        <f>+'5.Variables'!$F$37</f>
        <v>14.47</v>
      </c>
      <c r="P27" s="121">
        <f>+'5.Variables'!$F$52</f>
        <v>8088</v>
      </c>
      <c r="Q27" s="121">
        <f>+'5.Variables'!$F$67</f>
        <v>31</v>
      </c>
      <c r="R27" s="121">
        <f>+'5.Variables'!$F$82</f>
        <v>0</v>
      </c>
      <c r="S27" s="490">
        <f>+'5.Variables'!$F$97</f>
        <v>7.3040000000000003</v>
      </c>
      <c r="T27" s="42"/>
      <c r="U27" s="51">
        <f t="shared" si="34"/>
        <v>14618270.401512671</v>
      </c>
      <c r="V27" s="52"/>
      <c r="W27" s="440">
        <f t="shared" si="30"/>
        <v>190143.72528732754</v>
      </c>
      <c r="X27" s="509">
        <f t="shared" si="31"/>
        <v>1.2840249040794239E-2</v>
      </c>
      <c r="Y27" s="440"/>
      <c r="Z27" s="42"/>
      <c r="AA27" s="1" t="s">
        <v>10</v>
      </c>
      <c r="AB27" s="1">
        <v>606632.89085121441</v>
      </c>
      <c r="AJ27" s="42"/>
      <c r="AK27" s="42"/>
      <c r="AL27" s="42"/>
      <c r="AM27" s="42"/>
      <c r="AN27" s="42"/>
      <c r="AO27" s="42"/>
      <c r="AP27" s="42"/>
      <c r="AQ27" s="42"/>
      <c r="AR27" s="42"/>
      <c r="AS27" s="42"/>
    </row>
    <row r="28" spans="1:45" ht="13.5" thickBot="1" x14ac:dyDescent="0.25">
      <c r="A28" s="143">
        <f t="shared" si="32"/>
        <v>6</v>
      </c>
      <c r="B28" s="50" t="str">
        <f>CONCATENATE('3. Consumption by Rate Class'!A15,"-",'3. Consumption by Rate Class'!B15)</f>
        <v>2012-June</v>
      </c>
      <c r="C28" s="115">
        <v>10050218</v>
      </c>
      <c r="D28" s="142">
        <v>5457091</v>
      </c>
      <c r="E28" s="115">
        <f t="shared" si="33"/>
        <v>15507309</v>
      </c>
      <c r="F28" s="115">
        <v>114984.84000000001</v>
      </c>
      <c r="G28" s="142">
        <v>79761.84</v>
      </c>
      <c r="H28" s="115">
        <v>1312050.7078</v>
      </c>
      <c r="I28" s="107"/>
      <c r="J28" s="108"/>
      <c r="K28" s="108"/>
      <c r="L28" s="51">
        <f t="shared" si="29"/>
        <v>17014106.387800001</v>
      </c>
      <c r="M28" s="121">
        <f>+'5.Variables'!$G$7</f>
        <v>18.899999999999999</v>
      </c>
      <c r="N28" s="121">
        <f>+'5.Variables'!$G$22</f>
        <v>105.60000000000001</v>
      </c>
      <c r="O28" s="490">
        <f>+'5.Variables'!$G$37</f>
        <v>15.3</v>
      </c>
      <c r="P28" s="121">
        <f>+'5.Variables'!$G$52</f>
        <v>8096</v>
      </c>
      <c r="Q28" s="121">
        <f>+'5.Variables'!$G$67</f>
        <v>30</v>
      </c>
      <c r="R28" s="121">
        <f>+'5.Variables'!$G$82</f>
        <v>1</v>
      </c>
      <c r="S28" s="490">
        <f>+'5.Variables'!$G$97</f>
        <v>7.3040000000000003</v>
      </c>
      <c r="T28" s="42"/>
      <c r="U28" s="51">
        <f t="shared" si="34"/>
        <v>18936638.588775907</v>
      </c>
      <c r="V28" s="52"/>
      <c r="W28" s="440">
        <f t="shared" si="30"/>
        <v>-1922532.2009759061</v>
      </c>
      <c r="X28" s="509">
        <f t="shared" si="31"/>
        <v>-0.11299636649471416</v>
      </c>
      <c r="Y28" s="440"/>
      <c r="Z28" s="42"/>
      <c r="AA28" s="387" t="s">
        <v>11</v>
      </c>
      <c r="AB28" s="387">
        <v>132</v>
      </c>
      <c r="AJ28" s="42"/>
      <c r="AK28" s="42"/>
      <c r="AL28" s="42"/>
      <c r="AM28" s="42"/>
      <c r="AN28" s="42"/>
      <c r="AO28" s="42"/>
      <c r="AP28" s="42"/>
      <c r="AQ28" s="42"/>
      <c r="AR28" s="42"/>
      <c r="AS28" s="42"/>
    </row>
    <row r="29" spans="1:45" x14ac:dyDescent="0.2">
      <c r="A29" s="143">
        <f t="shared" si="32"/>
        <v>7</v>
      </c>
      <c r="B29" s="50" t="str">
        <f>CONCATENATE('3. Consumption by Rate Class'!A16,"-",'3. Consumption by Rate Class'!B16)</f>
        <v>2012-July</v>
      </c>
      <c r="C29" s="115">
        <v>12657097</v>
      </c>
      <c r="D29" s="142">
        <v>7115242</v>
      </c>
      <c r="E29" s="115">
        <f t="shared" si="33"/>
        <v>19772339</v>
      </c>
      <c r="F29" s="115">
        <v>117029.86999999998</v>
      </c>
      <c r="G29" s="142">
        <v>81423.789999999994</v>
      </c>
      <c r="H29" s="115">
        <v>1419338.0071999999</v>
      </c>
      <c r="I29" s="107"/>
      <c r="J29" s="108"/>
      <c r="K29" s="108"/>
      <c r="L29" s="51">
        <f t="shared" si="29"/>
        <v>21390130.667199999</v>
      </c>
      <c r="M29" s="121">
        <f>+'5.Variables'!$H$7</f>
        <v>0</v>
      </c>
      <c r="N29" s="121">
        <f>+'5.Variables'!$H$22</f>
        <v>203.49999999999997</v>
      </c>
      <c r="O29" s="490">
        <f>+'5.Variables'!$H$37</f>
        <v>15.11</v>
      </c>
      <c r="P29" s="121">
        <f>+'5.Variables'!$H$52</f>
        <v>8103.5</v>
      </c>
      <c r="Q29" s="121">
        <f>+'5.Variables'!$H$67</f>
        <v>31</v>
      </c>
      <c r="R29" s="121">
        <f>+'5.Variables'!$H$82</f>
        <v>1</v>
      </c>
      <c r="S29" s="490">
        <f>+'5.Variables'!$H$97</f>
        <v>7.3040000000000003</v>
      </c>
      <c r="T29" s="42"/>
      <c r="U29" s="51">
        <f t="shared" si="34"/>
        <v>23205255.349687282</v>
      </c>
      <c r="V29" s="52"/>
      <c r="W29" s="440">
        <f t="shared" si="30"/>
        <v>-1815124.6824872829</v>
      </c>
      <c r="X29" s="509">
        <f t="shared" si="31"/>
        <v>-8.4858045550447569E-2</v>
      </c>
      <c r="Y29" s="440"/>
      <c r="Z29" s="42"/>
      <c r="AJ29" s="42"/>
      <c r="AK29" s="42"/>
      <c r="AL29" s="42"/>
      <c r="AM29" s="42"/>
      <c r="AN29" s="42"/>
      <c r="AO29" s="42"/>
      <c r="AP29" s="42"/>
      <c r="AQ29" s="42"/>
      <c r="AR29" s="42"/>
      <c r="AS29" s="42"/>
    </row>
    <row r="30" spans="1:45" ht="13.5" thickBot="1" x14ac:dyDescent="0.25">
      <c r="A30" s="143">
        <f t="shared" si="32"/>
        <v>8</v>
      </c>
      <c r="B30" s="50" t="str">
        <f>CONCATENATE('3. Consumption by Rate Class'!A17,"-",'3. Consumption by Rate Class'!B17)</f>
        <v>2012-August</v>
      </c>
      <c r="C30" s="115">
        <v>11500893</v>
      </c>
      <c r="D30" s="142">
        <v>6459731</v>
      </c>
      <c r="E30" s="115">
        <f t="shared" si="33"/>
        <v>17960624</v>
      </c>
      <c r="F30" s="115">
        <v>102971.62000000001</v>
      </c>
      <c r="G30" s="142">
        <v>69336.19</v>
      </c>
      <c r="H30" s="115">
        <v>1429827.9299999995</v>
      </c>
      <c r="I30" s="107"/>
      <c r="J30" s="108"/>
      <c r="K30" s="108"/>
      <c r="L30" s="51">
        <f t="shared" si="29"/>
        <v>19562759.740000002</v>
      </c>
      <c r="M30" s="121">
        <f>+'5.Variables'!$I$7</f>
        <v>0</v>
      </c>
      <c r="N30" s="121">
        <f>+'5.Variables'!$I$22</f>
        <v>148.69999999999999</v>
      </c>
      <c r="O30" s="490">
        <f>+'5.Variables'!$I$37</f>
        <v>14</v>
      </c>
      <c r="P30" s="121">
        <f>+'5.Variables'!$I$52</f>
        <v>8119</v>
      </c>
      <c r="Q30" s="121">
        <f>+'5.Variables'!$I$67</f>
        <v>31</v>
      </c>
      <c r="R30" s="121">
        <f>+'5.Variables'!$I$82</f>
        <v>1</v>
      </c>
      <c r="S30" s="490">
        <f>+'5.Variables'!$I$97</f>
        <v>7.3040000000000003</v>
      </c>
      <c r="T30" s="42"/>
      <c r="U30" s="51">
        <f t="shared" si="34"/>
        <v>21068840.920901477</v>
      </c>
      <c r="V30" s="52"/>
      <c r="W30" s="440">
        <f t="shared" si="30"/>
        <v>-1506081.1809014753</v>
      </c>
      <c r="X30" s="509">
        <f t="shared" si="31"/>
        <v>-7.6987153188922977E-2</v>
      </c>
      <c r="Y30" s="440"/>
      <c r="Z30" s="42"/>
      <c r="AA30" s="1" t="s">
        <v>12</v>
      </c>
      <c r="AJ30" s="42"/>
      <c r="AK30" s="42"/>
      <c r="AL30" s="42"/>
      <c r="AM30" s="42"/>
      <c r="AN30" s="42"/>
      <c r="AO30" s="42"/>
      <c r="AP30" s="42"/>
      <c r="AQ30" s="42"/>
      <c r="AR30" s="42"/>
      <c r="AS30" s="42"/>
    </row>
    <row r="31" spans="1:45" x14ac:dyDescent="0.2">
      <c r="A31" s="143">
        <f t="shared" si="32"/>
        <v>9</v>
      </c>
      <c r="B31" s="50" t="str">
        <f>CONCATENATE('3. Consumption by Rate Class'!A18,"-",'3. Consumption by Rate Class'!B18)</f>
        <v>2012-September</v>
      </c>
      <c r="C31" s="115">
        <v>8943497</v>
      </c>
      <c r="D31" s="142">
        <v>5005359</v>
      </c>
      <c r="E31" s="115">
        <f t="shared" si="33"/>
        <v>13948856</v>
      </c>
      <c r="F31" s="115">
        <v>88852.150000000009</v>
      </c>
      <c r="G31" s="142">
        <v>62535.7</v>
      </c>
      <c r="H31" s="115">
        <v>1266055.0790000001</v>
      </c>
      <c r="I31" s="107"/>
      <c r="J31" s="108"/>
      <c r="K31" s="108"/>
      <c r="L31" s="51">
        <f t="shared" si="29"/>
        <v>15366298.929</v>
      </c>
      <c r="M31" s="121">
        <f>+'5.Variables'!$J$7</f>
        <v>37.9</v>
      </c>
      <c r="N31" s="121">
        <f>+'5.Variables'!$J$22</f>
        <v>50.29999999999999</v>
      </c>
      <c r="O31" s="490">
        <f>+'5.Variables'!$J$37</f>
        <v>12.27</v>
      </c>
      <c r="P31" s="121">
        <f>+'5.Variables'!$J$52</f>
        <v>8132.5</v>
      </c>
      <c r="Q31" s="121">
        <f>+'5.Variables'!$J$67</f>
        <v>30</v>
      </c>
      <c r="R31" s="121">
        <f>+'5.Variables'!$J$82</f>
        <v>0</v>
      </c>
      <c r="S31" s="490">
        <f>+'5.Variables'!$J$97</f>
        <v>7.3040000000000003</v>
      </c>
      <c r="T31" s="42"/>
      <c r="U31" s="51">
        <f t="shared" si="34"/>
        <v>15064482.413281493</v>
      </c>
      <c r="V31" s="52"/>
      <c r="W31" s="440">
        <f t="shared" si="30"/>
        <v>301816.51571850665</v>
      </c>
      <c r="X31" s="509">
        <f t="shared" si="31"/>
        <v>1.9641458044845423E-2</v>
      </c>
      <c r="Y31" s="440"/>
      <c r="Z31" s="42"/>
      <c r="AA31" s="424"/>
      <c r="AB31" s="424" t="s">
        <v>16</v>
      </c>
      <c r="AC31" s="424" t="s">
        <v>17</v>
      </c>
      <c r="AD31" s="424" t="s">
        <v>18</v>
      </c>
      <c r="AE31" s="424" t="s">
        <v>19</v>
      </c>
      <c r="AF31" s="424" t="s">
        <v>20</v>
      </c>
      <c r="AJ31" s="42"/>
      <c r="AK31" s="42"/>
      <c r="AL31" s="42"/>
      <c r="AM31" s="42"/>
      <c r="AN31" s="42"/>
      <c r="AO31" s="42"/>
      <c r="AP31" s="42"/>
      <c r="AQ31" s="42"/>
      <c r="AR31" s="42"/>
      <c r="AS31" s="42"/>
    </row>
    <row r="32" spans="1:45" x14ac:dyDescent="0.2">
      <c r="A32" s="143">
        <f t="shared" si="32"/>
        <v>10</v>
      </c>
      <c r="B32" s="50" t="str">
        <f>CONCATENATE('3. Consumption by Rate Class'!A19,"-",'3. Consumption by Rate Class'!B19)</f>
        <v>2012-October</v>
      </c>
      <c r="C32" s="115">
        <v>6172902</v>
      </c>
      <c r="D32" s="142">
        <v>6663570</v>
      </c>
      <c r="E32" s="115">
        <f t="shared" si="33"/>
        <v>12836472</v>
      </c>
      <c r="F32" s="115">
        <v>56871.079999999987</v>
      </c>
      <c r="G32" s="142">
        <v>34161.86</v>
      </c>
      <c r="H32" s="115">
        <v>1156662.1843999999</v>
      </c>
      <c r="I32" s="107"/>
      <c r="J32" s="107"/>
      <c r="K32" s="108"/>
      <c r="L32" s="51">
        <f t="shared" si="29"/>
        <v>14084167.124399999</v>
      </c>
      <c r="M32" s="121">
        <f>+'5.Variables'!$K$7</f>
        <v>191.9</v>
      </c>
      <c r="N32" s="121">
        <f>+'5.Variables'!$K$22</f>
        <v>2.6</v>
      </c>
      <c r="O32" s="490">
        <f>+'5.Variables'!$K$37</f>
        <v>10.52</v>
      </c>
      <c r="P32" s="121">
        <f>+'5.Variables'!$K$52</f>
        <v>8138</v>
      </c>
      <c r="Q32" s="121">
        <f>+'5.Variables'!$K$67</f>
        <v>31</v>
      </c>
      <c r="R32" s="121">
        <f>+'5.Variables'!$K$82</f>
        <v>0</v>
      </c>
      <c r="S32" s="490">
        <f>+'5.Variables'!$K$97</f>
        <v>7.3040000000000003</v>
      </c>
      <c r="T32" s="42"/>
      <c r="U32" s="51">
        <f t="shared" si="34"/>
        <v>14213883.964470526</v>
      </c>
      <c r="V32" s="52"/>
      <c r="W32" s="440">
        <f t="shared" si="30"/>
        <v>-129716.84007052705</v>
      </c>
      <c r="X32" s="509">
        <f t="shared" si="31"/>
        <v>-9.2101179235370041E-3</v>
      </c>
      <c r="Y32" s="440"/>
      <c r="Z32" s="42"/>
      <c r="AA32" s="1" t="s">
        <v>13</v>
      </c>
      <c r="AB32" s="1">
        <v>5</v>
      </c>
      <c r="AC32" s="1">
        <v>645078864703782.5</v>
      </c>
      <c r="AD32" s="1">
        <v>129015772940756.5</v>
      </c>
      <c r="AE32" s="1">
        <v>350.58303920945684</v>
      </c>
      <c r="AF32" s="1">
        <v>4.0819660163309539E-72</v>
      </c>
      <c r="AJ32" s="42"/>
      <c r="AK32" s="42"/>
      <c r="AL32" s="42"/>
      <c r="AM32" s="42"/>
      <c r="AN32" s="42"/>
      <c r="AO32" s="42"/>
      <c r="AP32" s="42"/>
      <c r="AQ32" s="42"/>
      <c r="AR32" s="42"/>
      <c r="AS32" s="42"/>
    </row>
    <row r="33" spans="1:45" x14ac:dyDescent="0.2">
      <c r="A33" s="143">
        <f t="shared" si="32"/>
        <v>11</v>
      </c>
      <c r="B33" s="50" t="str">
        <f>CONCATENATE('3. Consumption by Rate Class'!A20,"-",'3. Consumption by Rate Class'!B20)</f>
        <v>2012-November</v>
      </c>
      <c r="C33" s="115">
        <v>6150993</v>
      </c>
      <c r="D33" s="142">
        <v>7145546</v>
      </c>
      <c r="E33" s="115">
        <f t="shared" si="33"/>
        <v>13296539</v>
      </c>
      <c r="F33" s="115">
        <v>46729.250000000007</v>
      </c>
      <c r="G33" s="142">
        <v>24568.03</v>
      </c>
      <c r="H33" s="115">
        <v>867787.76399999985</v>
      </c>
      <c r="I33" s="107"/>
      <c r="J33" s="107"/>
      <c r="K33" s="108"/>
      <c r="L33" s="51">
        <f t="shared" si="29"/>
        <v>14235624.044</v>
      </c>
      <c r="M33" s="121">
        <f>+'5.Variables'!$L$7</f>
        <v>381.9</v>
      </c>
      <c r="N33" s="121">
        <f>+'5.Variables'!$L$22</f>
        <v>0</v>
      </c>
      <c r="O33" s="490">
        <f>+'5.Variables'!$L$37</f>
        <v>9.31</v>
      </c>
      <c r="P33" s="121">
        <f>+'5.Variables'!$L$52</f>
        <v>8161.5</v>
      </c>
      <c r="Q33" s="121">
        <f>+'5.Variables'!$L$67</f>
        <v>30</v>
      </c>
      <c r="R33" s="121">
        <f>+'5.Variables'!$L$82</f>
        <v>0</v>
      </c>
      <c r="S33" s="490">
        <f>+'5.Variables'!$L$97</f>
        <v>7.5679999999999996</v>
      </c>
      <c r="T33" s="42"/>
      <c r="U33" s="51">
        <f t="shared" si="34"/>
        <v>14316067.856737616</v>
      </c>
      <c r="V33" s="52"/>
      <c r="W33" s="440">
        <f t="shared" si="30"/>
        <v>-80443.812737615779</v>
      </c>
      <c r="X33" s="509">
        <f t="shared" si="31"/>
        <v>-5.6508806701397168E-3</v>
      </c>
      <c r="Y33" s="440"/>
      <c r="Z33" s="42"/>
      <c r="AA33" s="1" t="s">
        <v>14</v>
      </c>
      <c r="AB33" s="1">
        <v>126</v>
      </c>
      <c r="AC33" s="1">
        <v>46368436497075.188</v>
      </c>
      <c r="AD33" s="1">
        <v>368003464262.50146</v>
      </c>
      <c r="AJ33" s="42"/>
      <c r="AK33" s="42"/>
      <c r="AL33" s="42"/>
      <c r="AM33" s="42"/>
      <c r="AN33" s="42"/>
      <c r="AO33" s="42"/>
      <c r="AP33" s="42"/>
      <c r="AQ33" s="42"/>
      <c r="AR33" s="42"/>
      <c r="AS33" s="42"/>
    </row>
    <row r="34" spans="1:45" ht="13.5" thickBot="1" x14ac:dyDescent="0.25">
      <c r="A34" s="143">
        <f t="shared" si="32"/>
        <v>12</v>
      </c>
      <c r="B34" s="87" t="str">
        <f>CONCATENATE('3. Consumption by Rate Class'!A21,"-",'3. Consumption by Rate Class'!B21)</f>
        <v>2012-December</v>
      </c>
      <c r="C34" s="105">
        <v>6755179</v>
      </c>
      <c r="D34" s="105">
        <v>7533395</v>
      </c>
      <c r="E34" s="105">
        <f t="shared" si="33"/>
        <v>14288574</v>
      </c>
      <c r="F34" s="105">
        <v>26182.609999999997</v>
      </c>
      <c r="G34" s="105">
        <v>16866.46</v>
      </c>
      <c r="H34" s="105">
        <v>1057628.1942</v>
      </c>
      <c r="I34" s="109"/>
      <c r="J34" s="109"/>
      <c r="K34" s="110"/>
      <c r="L34" s="51">
        <f t="shared" si="29"/>
        <v>15389251.2642</v>
      </c>
      <c r="M34" s="121">
        <f>+'5.Variables'!$M$7</f>
        <v>462.50000000000006</v>
      </c>
      <c r="N34" s="121">
        <f>+'5.Variables'!$M$22</f>
        <v>0</v>
      </c>
      <c r="O34" s="490">
        <f>+'5.Variables'!$M$37</f>
        <v>8.5</v>
      </c>
      <c r="P34" s="121">
        <f>+'5.Variables'!$M$52</f>
        <v>8184.5</v>
      </c>
      <c r="Q34" s="121">
        <f>+'5.Variables'!$M$67</f>
        <v>31</v>
      </c>
      <c r="R34" s="121">
        <f>+'5.Variables'!$M$82</f>
        <v>1</v>
      </c>
      <c r="S34" s="490">
        <f>+'5.Variables'!$M$97</f>
        <v>7.5679999999999996</v>
      </c>
      <c r="T34" s="42"/>
      <c r="U34" s="51">
        <f t="shared" si="34"/>
        <v>16905639.900068618</v>
      </c>
      <c r="V34" s="52">
        <f>SUM(U23:U34)</f>
        <v>199851515.10739517</v>
      </c>
      <c r="W34" s="440">
        <f t="shared" si="30"/>
        <v>-1516388.6358686183</v>
      </c>
      <c r="X34" s="509">
        <f t="shared" si="31"/>
        <v>-9.8535569394216829E-2</v>
      </c>
      <c r="Y34" s="440"/>
      <c r="Z34" s="42"/>
      <c r="AA34" s="387" t="s">
        <v>15</v>
      </c>
      <c r="AB34" s="387">
        <v>131</v>
      </c>
      <c r="AC34" s="387">
        <v>691447301200857.75</v>
      </c>
      <c r="AD34" s="387"/>
      <c r="AE34" s="387"/>
      <c r="AF34" s="387"/>
      <c r="AJ34" s="42"/>
      <c r="AK34" s="42"/>
      <c r="AL34" s="42"/>
      <c r="AM34" s="42"/>
      <c r="AN34" s="42"/>
      <c r="AO34" s="42"/>
      <c r="AP34" s="42"/>
      <c r="AQ34" s="42"/>
      <c r="AR34" s="42"/>
      <c r="AS34" s="42"/>
    </row>
    <row r="35" spans="1:45" ht="13.5" thickBot="1" x14ac:dyDescent="0.25">
      <c r="A35" s="143">
        <f t="shared" si="32"/>
        <v>13</v>
      </c>
      <c r="B35" s="50" t="str">
        <f>CONCATENATE('3. Consumption by Rate Class'!A22,"-",'3. Consumption by Rate Class'!B22)</f>
        <v>2013-January</v>
      </c>
      <c r="C35" s="115">
        <v>6938442</v>
      </c>
      <c r="D35" s="142">
        <v>8964576</v>
      </c>
      <c r="E35" s="115">
        <f t="shared" si="33"/>
        <v>15903018</v>
      </c>
      <c r="F35" s="115">
        <v>32474.69999999999</v>
      </c>
      <c r="G35" s="142">
        <v>16218.59</v>
      </c>
      <c r="H35" s="115">
        <v>69393.932799999995</v>
      </c>
      <c r="I35" s="107"/>
      <c r="J35" s="107"/>
      <c r="K35" s="108"/>
      <c r="L35" s="51">
        <f t="shared" si="29"/>
        <v>16021105.2228</v>
      </c>
      <c r="M35" s="121">
        <f>+'5.Variables'!$B$8</f>
        <v>556.39999999999986</v>
      </c>
      <c r="N35" s="121">
        <f>+'5.Variables'!$B$23</f>
        <v>0</v>
      </c>
      <c r="O35" s="490">
        <f>+'5.Variables'!$B$38</f>
        <v>9.1199999999999992</v>
      </c>
      <c r="P35" s="121">
        <f>+'5.Variables'!$B$53</f>
        <v>8200</v>
      </c>
      <c r="Q35" s="121">
        <f>+'5.Variables'!$B$68</f>
        <v>31</v>
      </c>
      <c r="R35" s="121">
        <f>+'5.Variables'!$B$83</f>
        <v>1</v>
      </c>
      <c r="S35" s="490">
        <f>+'5.Variables'!$B$98</f>
        <v>7.5679999999999996</v>
      </c>
      <c r="T35" s="42"/>
      <c r="U35" s="51">
        <f t="shared" si="34"/>
        <v>17248491.64342048</v>
      </c>
      <c r="V35" s="52"/>
      <c r="W35" s="440">
        <f t="shared" si="30"/>
        <v>-1227386.4206204806</v>
      </c>
      <c r="X35" s="509">
        <f t="shared" si="31"/>
        <v>-7.6610596057615235E-2</v>
      </c>
      <c r="Y35" s="440"/>
      <c r="Z35" s="42"/>
      <c r="AJ35" s="42"/>
      <c r="AK35" s="42"/>
      <c r="AL35" s="42"/>
      <c r="AM35" s="42"/>
      <c r="AN35" s="42"/>
      <c r="AO35" s="42"/>
      <c r="AP35" s="42"/>
      <c r="AQ35" s="42"/>
      <c r="AR35" s="42"/>
      <c r="AS35" s="42"/>
    </row>
    <row r="36" spans="1:45" x14ac:dyDescent="0.2">
      <c r="A36" s="143">
        <f t="shared" si="32"/>
        <v>14</v>
      </c>
      <c r="B36" s="50" t="str">
        <f>CONCATENATE('3. Consumption by Rate Class'!A23,"-",'3. Consumption by Rate Class'!B23)</f>
        <v>2013-February</v>
      </c>
      <c r="C36" s="115">
        <v>6328203</v>
      </c>
      <c r="D36" s="142">
        <v>8172002</v>
      </c>
      <c r="E36" s="115">
        <f t="shared" si="33"/>
        <v>14500205</v>
      </c>
      <c r="F36" s="115">
        <v>35354.290000000008</v>
      </c>
      <c r="G36" s="142">
        <v>27897.850000000002</v>
      </c>
      <c r="H36" s="115">
        <v>134753.88960000002</v>
      </c>
      <c r="I36" s="107"/>
      <c r="J36" s="107"/>
      <c r="K36" s="108"/>
      <c r="L36" s="51">
        <f t="shared" si="29"/>
        <v>14698211.029599998</v>
      </c>
      <c r="M36" s="121">
        <f>+'5.Variables'!$C$8</f>
        <v>565.9</v>
      </c>
      <c r="N36" s="121">
        <f>+'5.Variables'!$C$23</f>
        <v>0</v>
      </c>
      <c r="O36" s="490">
        <f>+'5.Variables'!$C$38</f>
        <v>10.199999999999999</v>
      </c>
      <c r="P36" s="121">
        <f>+'5.Variables'!$C$53</f>
        <v>8204.5</v>
      </c>
      <c r="Q36" s="121">
        <f>+'5.Variables'!$C$68</f>
        <v>28</v>
      </c>
      <c r="R36" s="121">
        <f>+'5.Variables'!$C$83</f>
        <v>1</v>
      </c>
      <c r="S36" s="490">
        <f>+'5.Variables'!$C$98</f>
        <v>7.5679999999999996</v>
      </c>
      <c r="T36" s="42"/>
      <c r="U36" s="51">
        <f t="shared" si="34"/>
        <v>15842330.252155205</v>
      </c>
      <c r="V36" s="52"/>
      <c r="W36" s="440">
        <f t="shared" si="30"/>
        <v>-1144119.2225552071</v>
      </c>
      <c r="X36" s="509">
        <f t="shared" si="31"/>
        <v>-7.7840712740558843E-2</v>
      </c>
      <c r="Y36" s="440"/>
      <c r="Z36" s="42"/>
      <c r="AA36" s="424"/>
      <c r="AB36" s="424" t="s">
        <v>21</v>
      </c>
      <c r="AC36" s="424" t="s">
        <v>10</v>
      </c>
      <c r="AD36" s="424" t="s">
        <v>22</v>
      </c>
      <c r="AE36" s="424" t="s">
        <v>23</v>
      </c>
      <c r="AF36" s="424" t="s">
        <v>24</v>
      </c>
      <c r="AG36" s="424" t="s">
        <v>25</v>
      </c>
      <c r="AH36" s="424" t="s">
        <v>26</v>
      </c>
      <c r="AI36" s="424" t="s">
        <v>27</v>
      </c>
      <c r="AJ36" s="42"/>
      <c r="AK36" s="42"/>
      <c r="AL36" s="42"/>
      <c r="AM36" s="42"/>
      <c r="AN36" s="42"/>
      <c r="AO36" s="42"/>
      <c r="AP36" s="42"/>
      <c r="AQ36" s="42"/>
      <c r="AR36" s="42"/>
      <c r="AS36" s="42"/>
    </row>
    <row r="37" spans="1:45" x14ac:dyDescent="0.2">
      <c r="A37" s="143">
        <f t="shared" si="32"/>
        <v>15</v>
      </c>
      <c r="B37" s="50" t="str">
        <f>CONCATENATE('3. Consumption by Rate Class'!A24,"-",'3. Consumption by Rate Class'!B24)</f>
        <v>2013-March</v>
      </c>
      <c r="C37" s="115">
        <v>6528083</v>
      </c>
      <c r="D37" s="142">
        <v>7513574</v>
      </c>
      <c r="E37" s="115">
        <f t="shared" si="33"/>
        <v>14041657</v>
      </c>
      <c r="F37" s="115">
        <v>82699.779999999955</v>
      </c>
      <c r="G37" s="142">
        <v>49100.170000000006</v>
      </c>
      <c r="H37" s="115">
        <v>1036687.4996</v>
      </c>
      <c r="I37" s="107"/>
      <c r="J37" s="107"/>
      <c r="K37" s="108"/>
      <c r="L37" s="51">
        <f t="shared" si="29"/>
        <v>15210144.4496</v>
      </c>
      <c r="M37" s="121">
        <f>+'5.Variables'!$D$8</f>
        <v>508.7000000000001</v>
      </c>
      <c r="N37" s="121">
        <f>+'5.Variables'!$D$23</f>
        <v>0</v>
      </c>
      <c r="O37" s="490">
        <f>+'5.Variables'!$D$38</f>
        <v>11.5</v>
      </c>
      <c r="P37" s="121">
        <f>+'5.Variables'!$D$53</f>
        <v>8202</v>
      </c>
      <c r="Q37" s="121">
        <f>+'5.Variables'!$D$68</f>
        <v>31</v>
      </c>
      <c r="R37" s="121">
        <f>+'5.Variables'!$D$83</f>
        <v>0</v>
      </c>
      <c r="S37" s="490">
        <f>+'5.Variables'!$D$98</f>
        <v>7.5679999999999996</v>
      </c>
      <c r="T37" s="42"/>
      <c r="U37" s="51">
        <f t="shared" si="34"/>
        <v>15280585.025307637</v>
      </c>
      <c r="V37" s="52"/>
      <c r="W37" s="440">
        <f t="shared" si="30"/>
        <v>-70440.575707636774</v>
      </c>
      <c r="X37" s="509">
        <f t="shared" si="31"/>
        <v>-4.6311575765139584E-3</v>
      </c>
      <c r="Y37" s="440"/>
      <c r="Z37" s="42"/>
      <c r="AA37" s="1" t="s">
        <v>456</v>
      </c>
      <c r="AB37" s="1">
        <v>-9895576.3674359173</v>
      </c>
      <c r="AC37" s="1">
        <v>2249073.9534319877</v>
      </c>
      <c r="AD37" s="1">
        <v>-4.3998448127220113</v>
      </c>
      <c r="AE37" s="1">
        <v>2.2825235198715544E-5</v>
      </c>
      <c r="AF37" s="1">
        <v>-14346427.602980657</v>
      </c>
      <c r="AG37" s="1">
        <v>-5444725.131891178</v>
      </c>
      <c r="AH37" s="1">
        <v>-14346427.602980657</v>
      </c>
      <c r="AI37" s="1">
        <v>-5444725.131891178</v>
      </c>
      <c r="AJ37" s="42"/>
      <c r="AK37" s="42"/>
      <c r="AL37" s="42"/>
      <c r="AM37" s="42"/>
      <c r="AN37" s="42"/>
      <c r="AO37" s="42"/>
      <c r="AP37" s="42"/>
      <c r="AQ37" s="42"/>
      <c r="AR37" s="42"/>
      <c r="AS37" s="42"/>
    </row>
    <row r="38" spans="1:45" x14ac:dyDescent="0.2">
      <c r="A38" s="143">
        <f t="shared" si="32"/>
        <v>16</v>
      </c>
      <c r="B38" s="50" t="str">
        <f>CONCATENATE('3. Consumption by Rate Class'!A25,"-",'3. Consumption by Rate Class'!B25)</f>
        <v>2013-April</v>
      </c>
      <c r="C38" s="115">
        <v>5901975</v>
      </c>
      <c r="D38" s="142">
        <v>6132666</v>
      </c>
      <c r="E38" s="115">
        <f t="shared" si="33"/>
        <v>12034641</v>
      </c>
      <c r="F38" s="115">
        <v>108214.65</v>
      </c>
      <c r="G38" s="142">
        <v>62810.64379310346</v>
      </c>
      <c r="H38" s="115">
        <v>1464361.5285999996</v>
      </c>
      <c r="I38" s="107"/>
      <c r="J38" s="107"/>
      <c r="K38" s="108"/>
      <c r="L38" s="51">
        <f t="shared" si="29"/>
        <v>13670027.822393104</v>
      </c>
      <c r="M38" s="121">
        <f>+'5.Variables'!$E$8</f>
        <v>341.29999999999995</v>
      </c>
      <c r="N38" s="121">
        <f>+'5.Variables'!$E$23</f>
        <v>0</v>
      </c>
      <c r="O38" s="490">
        <f>+'5.Variables'!$E$38</f>
        <v>13.26</v>
      </c>
      <c r="P38" s="121">
        <f>+'5.Variables'!$E$53</f>
        <v>8208.5</v>
      </c>
      <c r="Q38" s="121">
        <f>+'5.Variables'!$E$68</f>
        <v>30</v>
      </c>
      <c r="R38" s="121">
        <f>+'5.Variables'!$E$83</f>
        <v>0</v>
      </c>
      <c r="S38" s="490">
        <f>+'5.Variables'!$E$98</f>
        <v>7.5679999999999996</v>
      </c>
      <c r="T38" s="42"/>
      <c r="U38" s="51">
        <f t="shared" si="34"/>
        <v>14223385.639434867</v>
      </c>
      <c r="V38" s="52"/>
      <c r="W38" s="440">
        <f t="shared" si="30"/>
        <v>-553357.81704176217</v>
      </c>
      <c r="X38" s="509">
        <f t="shared" si="31"/>
        <v>-4.047964087792838E-2</v>
      </c>
      <c r="Y38" s="440"/>
      <c r="Z38" s="42"/>
      <c r="AA38" s="1" t="s">
        <v>0</v>
      </c>
      <c r="AB38" s="1">
        <v>3480.4676765418967</v>
      </c>
      <c r="AC38" s="1">
        <v>378.08152752526365</v>
      </c>
      <c r="AD38" s="1">
        <v>9.2056009700429744</v>
      </c>
      <c r="AE38" s="1">
        <v>9.3474482648758597E-16</v>
      </c>
      <c r="AF38" s="1">
        <v>2732.2554484136899</v>
      </c>
      <c r="AG38" s="1">
        <v>4228.6799046701035</v>
      </c>
      <c r="AH38" s="1">
        <v>2732.2554484136899</v>
      </c>
      <c r="AI38" s="1">
        <v>4228.6799046701035</v>
      </c>
      <c r="AJ38" s="42"/>
      <c r="AK38" s="42"/>
      <c r="AL38" s="42"/>
      <c r="AM38" s="42"/>
      <c r="AN38" s="42"/>
      <c r="AO38" s="42"/>
      <c r="AP38" s="42"/>
      <c r="AQ38" s="42"/>
      <c r="AR38" s="42"/>
      <c r="AS38" s="42"/>
    </row>
    <row r="39" spans="1:45" x14ac:dyDescent="0.2">
      <c r="A39" s="143">
        <f t="shared" si="32"/>
        <v>17</v>
      </c>
      <c r="B39" s="50" t="str">
        <f>CONCATENATE('3. Consumption by Rate Class'!A26,"-",'3. Consumption by Rate Class'!B26)</f>
        <v>2013-May</v>
      </c>
      <c r="C39" s="115">
        <v>6343981</v>
      </c>
      <c r="D39" s="142">
        <v>6403015</v>
      </c>
      <c r="E39" s="115">
        <f t="shared" si="33"/>
        <v>12746996</v>
      </c>
      <c r="F39" s="115">
        <v>147010.66999999998</v>
      </c>
      <c r="G39" s="142">
        <v>75811.350000000035</v>
      </c>
      <c r="H39" s="115">
        <v>1474945.23</v>
      </c>
      <c r="I39" s="107"/>
      <c r="J39" s="107"/>
      <c r="K39" s="108"/>
      <c r="L39" s="51">
        <f t="shared" si="29"/>
        <v>14444763.25</v>
      </c>
      <c r="M39" s="121">
        <f>+'5.Variables'!$F$8</f>
        <v>150.35</v>
      </c>
      <c r="N39" s="121">
        <f>+'5.Variables'!$F$23</f>
        <v>12.15</v>
      </c>
      <c r="O39" s="490">
        <f>+'5.Variables'!$F$38</f>
        <v>14.47</v>
      </c>
      <c r="P39" s="121">
        <f>+'5.Variables'!$F$53</f>
        <v>8219</v>
      </c>
      <c r="Q39" s="121">
        <f>+'5.Variables'!$F$68</f>
        <v>31</v>
      </c>
      <c r="R39" s="121">
        <f>+'5.Variables'!$F$83</f>
        <v>0</v>
      </c>
      <c r="S39" s="490">
        <f>+'5.Variables'!$F$98</f>
        <v>8.0660000000000007</v>
      </c>
      <c r="T39" s="42"/>
      <c r="U39" s="51">
        <f t="shared" si="34"/>
        <v>14528178.332125552</v>
      </c>
      <c r="V39" s="52"/>
      <c r="W39" s="440">
        <f t="shared" si="30"/>
        <v>-83415.082125551999</v>
      </c>
      <c r="X39" s="509">
        <f t="shared" si="31"/>
        <v>-5.7747628453205697E-3</v>
      </c>
      <c r="Y39" s="440"/>
      <c r="Z39" s="42"/>
      <c r="AA39" s="1" t="s">
        <v>1</v>
      </c>
      <c r="AB39" s="1">
        <v>39278.289366977864</v>
      </c>
      <c r="AC39" s="1">
        <v>1715.3996350757923</v>
      </c>
      <c r="AD39" s="1">
        <v>22.897456991263972</v>
      </c>
      <c r="AE39" s="1">
        <v>9.8695799922505462E-47</v>
      </c>
      <c r="AF39" s="1">
        <v>35883.563918497421</v>
      </c>
      <c r="AG39" s="1">
        <v>42673.014815458308</v>
      </c>
      <c r="AH39" s="1">
        <v>35883.563918497421</v>
      </c>
      <c r="AI39" s="1">
        <v>42673.014815458308</v>
      </c>
      <c r="AJ39" s="42"/>
      <c r="AK39" s="42"/>
      <c r="AL39" s="42"/>
      <c r="AM39" s="42"/>
      <c r="AN39" s="42"/>
      <c r="AO39" s="42"/>
      <c r="AP39" s="42"/>
      <c r="AQ39" s="42"/>
      <c r="AR39" s="42"/>
      <c r="AS39" s="42"/>
    </row>
    <row r="40" spans="1:45" x14ac:dyDescent="0.2">
      <c r="A40" s="143">
        <f t="shared" si="32"/>
        <v>18</v>
      </c>
      <c r="B40" s="50" t="str">
        <f>CONCATENATE('3. Consumption by Rate Class'!A27,"-",'3. Consumption by Rate Class'!B27)</f>
        <v>2013-June</v>
      </c>
      <c r="C40" s="115">
        <v>7201302</v>
      </c>
      <c r="D40" s="142">
        <v>7077077</v>
      </c>
      <c r="E40" s="115">
        <f t="shared" si="33"/>
        <v>14278379</v>
      </c>
      <c r="F40" s="115">
        <v>135277.72999999998</v>
      </c>
      <c r="G40" s="142">
        <v>75442.456896551739</v>
      </c>
      <c r="H40" s="115">
        <v>1339188.2043999997</v>
      </c>
      <c r="I40" s="107"/>
      <c r="J40" s="107"/>
      <c r="K40" s="108"/>
      <c r="L40" s="51">
        <f t="shared" si="29"/>
        <v>15828287.391296551</v>
      </c>
      <c r="M40" s="121">
        <f>+'5.Variables'!$G$8</f>
        <v>44.300000000000011</v>
      </c>
      <c r="N40" s="121">
        <f>+'5.Variables'!$G$23</f>
        <v>47.499999999999993</v>
      </c>
      <c r="O40" s="490">
        <f>+'5.Variables'!$G$38</f>
        <v>15.3</v>
      </c>
      <c r="P40" s="121">
        <f>+'5.Variables'!$G$53</f>
        <v>8236</v>
      </c>
      <c r="Q40" s="121">
        <f>+'5.Variables'!$G$68</f>
        <v>30</v>
      </c>
      <c r="R40" s="121">
        <f>+'5.Variables'!$G$83</f>
        <v>1</v>
      </c>
      <c r="S40" s="490">
        <f>+'5.Variables'!$G$98</f>
        <v>8.0660000000000007</v>
      </c>
      <c r="T40" s="42"/>
      <c r="U40" s="51">
        <f t="shared" si="34"/>
        <v>16887813.597050983</v>
      </c>
      <c r="V40" s="52"/>
      <c r="W40" s="440">
        <f t="shared" si="30"/>
        <v>-1059526.2057544328</v>
      </c>
      <c r="X40" s="509">
        <f t="shared" si="31"/>
        <v>-6.6938777364949228E-2</v>
      </c>
      <c r="Y40" s="440"/>
      <c r="Z40" s="42"/>
      <c r="AJ40" s="42"/>
      <c r="AK40" s="42"/>
      <c r="AL40" s="42"/>
      <c r="AM40" s="42"/>
      <c r="AN40" s="42"/>
      <c r="AO40" s="42"/>
      <c r="AP40" s="42"/>
      <c r="AQ40" s="42"/>
      <c r="AR40" s="42"/>
      <c r="AS40" s="42"/>
    </row>
    <row r="41" spans="1:45" x14ac:dyDescent="0.2">
      <c r="A41" s="143">
        <f t="shared" si="32"/>
        <v>19</v>
      </c>
      <c r="B41" s="50" t="str">
        <f>CONCATENATE('3. Consumption by Rate Class'!A28,"-",'3. Consumption by Rate Class'!B28)</f>
        <v>2013-July</v>
      </c>
      <c r="C41" s="115">
        <v>9022689</v>
      </c>
      <c r="D41" s="142">
        <v>8981125</v>
      </c>
      <c r="E41" s="115">
        <f t="shared" si="33"/>
        <v>18003814</v>
      </c>
      <c r="F41" s="115">
        <v>150365.98999999996</v>
      </c>
      <c r="G41" s="142">
        <v>85506.66132050255</v>
      </c>
      <c r="H41" s="115">
        <v>1431998.9370000002</v>
      </c>
      <c r="I41" s="107"/>
      <c r="J41" s="107"/>
      <c r="K41" s="108"/>
      <c r="L41" s="51">
        <f t="shared" si="29"/>
        <v>19671685.588320501</v>
      </c>
      <c r="M41" s="121">
        <f>+'5.Variables'!$H$8</f>
        <v>3.2</v>
      </c>
      <c r="N41" s="121">
        <f>+'5.Variables'!$H$23</f>
        <v>139.5</v>
      </c>
      <c r="O41" s="490">
        <f>+'5.Variables'!$H$38</f>
        <v>15.11</v>
      </c>
      <c r="P41" s="121">
        <f>+'5.Variables'!$H$53</f>
        <v>8248.5</v>
      </c>
      <c r="Q41" s="121">
        <f>+'5.Variables'!$H$68</f>
        <v>31</v>
      </c>
      <c r="R41" s="121">
        <f>+'5.Variables'!$H$83</f>
        <v>1</v>
      </c>
      <c r="S41" s="490">
        <f>+'5.Variables'!$H$98</f>
        <v>8.0660000000000007</v>
      </c>
      <c r="T41" s="42"/>
      <c r="U41" s="51">
        <f t="shared" si="34"/>
        <v>20852594.916189115</v>
      </c>
      <c r="V41" s="52"/>
      <c r="W41" s="440">
        <f t="shared" si="30"/>
        <v>-1180909.3278686143</v>
      </c>
      <c r="X41" s="509">
        <f t="shared" si="31"/>
        <v>-6.0030917155861077E-2</v>
      </c>
      <c r="Y41" s="440"/>
      <c r="Z41" s="42"/>
      <c r="AA41" s="1" t="s">
        <v>149</v>
      </c>
      <c r="AB41" s="1">
        <v>1034.5695822309044</v>
      </c>
      <c r="AC41" s="1">
        <v>94.720655658854838</v>
      </c>
      <c r="AD41" s="1">
        <v>10.922322855924921</v>
      </c>
      <c r="AE41" s="1">
        <v>5.9790036242038188E-20</v>
      </c>
      <c r="AF41" s="1">
        <v>847.12018928075361</v>
      </c>
      <c r="AG41" s="1">
        <v>1222.0189751810553</v>
      </c>
      <c r="AH41" s="1">
        <v>847.12018928075361</v>
      </c>
      <c r="AI41" s="1">
        <v>1222.0189751810553</v>
      </c>
      <c r="AJ41" s="42"/>
      <c r="AK41" s="42"/>
      <c r="AL41" s="42"/>
      <c r="AM41" s="42"/>
      <c r="AN41" s="42"/>
      <c r="AO41" s="42"/>
      <c r="AP41" s="42"/>
      <c r="AQ41" s="42"/>
      <c r="AR41" s="42"/>
      <c r="AS41" s="42"/>
    </row>
    <row r="42" spans="1:45" x14ac:dyDescent="0.2">
      <c r="A42" s="143">
        <f t="shared" si="32"/>
        <v>20</v>
      </c>
      <c r="B42" s="50" t="str">
        <f>CONCATENATE('3. Consumption by Rate Class'!A29,"-",'3. Consumption by Rate Class'!B29)</f>
        <v>2013-August</v>
      </c>
      <c r="C42" s="115">
        <v>8406801</v>
      </c>
      <c r="D42" s="142">
        <v>8534660</v>
      </c>
      <c r="E42" s="115">
        <f t="shared" si="33"/>
        <v>16941461</v>
      </c>
      <c r="F42" s="115">
        <v>153958.59000000003</v>
      </c>
      <c r="G42" s="142">
        <v>89730.465116279069</v>
      </c>
      <c r="H42" s="115">
        <v>1416364.6</v>
      </c>
      <c r="I42" s="107"/>
      <c r="J42" s="107"/>
      <c r="K42" s="108"/>
      <c r="L42" s="51">
        <f t="shared" si="29"/>
        <v>18601514.655116279</v>
      </c>
      <c r="M42" s="121">
        <f>+'5.Variables'!$I$8</f>
        <v>0</v>
      </c>
      <c r="N42" s="121">
        <f>+'5.Variables'!$I$23</f>
        <v>106.4</v>
      </c>
      <c r="O42" s="490">
        <f>+'5.Variables'!$I$38</f>
        <v>14</v>
      </c>
      <c r="P42" s="121">
        <f>+'5.Variables'!$I$53</f>
        <v>8261.5</v>
      </c>
      <c r="Q42" s="121">
        <f>+'5.Variables'!$I$68</f>
        <v>31</v>
      </c>
      <c r="R42" s="121">
        <f>+'5.Variables'!$I$83</f>
        <v>1</v>
      </c>
      <c r="S42" s="490">
        <f>+'5.Variables'!$I$98</f>
        <v>8.0660000000000007</v>
      </c>
      <c r="T42" s="42"/>
      <c r="U42" s="51">
        <f t="shared" si="34"/>
        <v>19554795.446146216</v>
      </c>
      <c r="V42" s="52"/>
      <c r="W42" s="440">
        <f t="shared" si="30"/>
        <v>-953280.79102993757</v>
      </c>
      <c r="X42" s="509">
        <f t="shared" si="31"/>
        <v>-5.1247482191873077E-2</v>
      </c>
      <c r="Y42" s="440"/>
      <c r="Z42" s="42"/>
      <c r="AA42" s="1" t="s">
        <v>457</v>
      </c>
      <c r="AB42" s="1">
        <v>481293.79910415522</v>
      </c>
      <c r="AC42" s="1">
        <v>68023.825911624124</v>
      </c>
      <c r="AD42" s="1">
        <v>7.0753709109135867</v>
      </c>
      <c r="AE42" s="1">
        <v>9.1706063461992917E-11</v>
      </c>
      <c r="AF42" s="1">
        <v>346676.64739012287</v>
      </c>
      <c r="AG42" s="1">
        <v>615910.95081818756</v>
      </c>
      <c r="AH42" s="1">
        <v>346676.64739012287</v>
      </c>
      <c r="AI42" s="1">
        <v>615910.95081818756</v>
      </c>
      <c r="AJ42" s="42"/>
      <c r="AK42" s="42"/>
      <c r="AL42" s="42"/>
      <c r="AM42" s="42"/>
      <c r="AN42" s="42"/>
      <c r="AO42" s="42"/>
      <c r="AP42" s="42"/>
      <c r="AQ42" s="42"/>
      <c r="AR42" s="42"/>
      <c r="AS42" s="42"/>
    </row>
    <row r="43" spans="1:45" x14ac:dyDescent="0.2">
      <c r="A43" s="143">
        <f t="shared" si="32"/>
        <v>21</v>
      </c>
      <c r="B43" s="50" t="str">
        <f>CONCATENATE('3. Consumption by Rate Class'!A30,"-",'3. Consumption by Rate Class'!B30)</f>
        <v>2013-September</v>
      </c>
      <c r="C43" s="115">
        <v>6887298</v>
      </c>
      <c r="D43" s="142">
        <v>7091868</v>
      </c>
      <c r="E43" s="115">
        <f t="shared" si="33"/>
        <v>13979166</v>
      </c>
      <c r="F43" s="115">
        <v>122659.34999999998</v>
      </c>
      <c r="G43" s="142">
        <v>68891.149425287367</v>
      </c>
      <c r="H43" s="115">
        <v>1366978.9000000004</v>
      </c>
      <c r="I43" s="107"/>
      <c r="J43" s="108"/>
      <c r="K43" s="108"/>
      <c r="L43" s="51">
        <f t="shared" si="29"/>
        <v>15537695.399425287</v>
      </c>
      <c r="M43" s="121">
        <f>+'5.Variables'!$J$8</f>
        <v>51.6</v>
      </c>
      <c r="N43" s="121">
        <f>+'5.Variables'!$J$23</f>
        <v>34.399999999999991</v>
      </c>
      <c r="O43" s="490">
        <f>+'5.Variables'!$J$38</f>
        <v>12.27</v>
      </c>
      <c r="P43" s="121">
        <f>+'5.Variables'!$J$53</f>
        <v>8272.5</v>
      </c>
      <c r="Q43" s="121">
        <f>+'5.Variables'!$J$68</f>
        <v>30</v>
      </c>
      <c r="R43" s="121">
        <f>+'5.Variables'!$J$83</f>
        <v>0</v>
      </c>
      <c r="S43" s="490">
        <f>+'5.Variables'!$J$98</f>
        <v>8.0660000000000007</v>
      </c>
      <c r="T43" s="42"/>
      <c r="U43" s="51">
        <f t="shared" si="34"/>
        <v>14632479.761027496</v>
      </c>
      <c r="V43" s="52"/>
      <c r="W43" s="440">
        <f t="shared" si="30"/>
        <v>905215.63839779049</v>
      </c>
      <c r="X43" s="509">
        <f t="shared" si="31"/>
        <v>5.8259324509043531E-2</v>
      </c>
      <c r="Y43" s="440"/>
      <c r="Z43" s="42"/>
      <c r="AA43" s="1" t="s">
        <v>150</v>
      </c>
      <c r="AB43" s="1">
        <v>901978.72455313033</v>
      </c>
      <c r="AC43" s="1">
        <v>137415.87817929452</v>
      </c>
      <c r="AD43" s="1">
        <v>6.5638610072139265</v>
      </c>
      <c r="AE43" s="1">
        <v>1.233696785943583E-9</v>
      </c>
      <c r="AF43" s="1">
        <v>630036.74138958124</v>
      </c>
      <c r="AG43" s="1">
        <v>1173920.7077166794</v>
      </c>
      <c r="AH43" s="1">
        <v>630036.74138958124</v>
      </c>
      <c r="AI43" s="1">
        <v>1173920.7077166794</v>
      </c>
      <c r="AJ43" s="42"/>
      <c r="AK43" s="42"/>
      <c r="AL43" s="42"/>
      <c r="AM43" s="42"/>
      <c r="AN43" s="42"/>
      <c r="AO43" s="42"/>
      <c r="AP43" s="42"/>
      <c r="AQ43" s="42"/>
      <c r="AR43" s="42"/>
      <c r="AS43" s="42"/>
    </row>
    <row r="44" spans="1:45" x14ac:dyDescent="0.2">
      <c r="A44" s="143">
        <f t="shared" si="32"/>
        <v>22</v>
      </c>
      <c r="B44" s="50" t="str">
        <f>CONCATENATE('3. Consumption by Rate Class'!A31,"-",'3. Consumption by Rate Class'!B31)</f>
        <v>2013-October</v>
      </c>
      <c r="C44" s="115">
        <v>6349890</v>
      </c>
      <c r="D44" s="142">
        <v>6734664</v>
      </c>
      <c r="E44" s="115">
        <f t="shared" si="33"/>
        <v>13084554</v>
      </c>
      <c r="F44" s="115">
        <v>96930.129999999932</v>
      </c>
      <c r="G44" s="142">
        <v>48701.231527093587</v>
      </c>
      <c r="H44" s="115">
        <v>1351181.2999999996</v>
      </c>
      <c r="I44" s="107"/>
      <c r="J44" s="108"/>
      <c r="K44" s="108"/>
      <c r="L44" s="51">
        <f t="shared" si="29"/>
        <v>14581366.661527093</v>
      </c>
      <c r="M44" s="121">
        <f>+'5.Variables'!$K$8</f>
        <v>159.94999999999999</v>
      </c>
      <c r="N44" s="121">
        <f>+'5.Variables'!$K$23</f>
        <v>4.8</v>
      </c>
      <c r="O44" s="490">
        <f>+'5.Variables'!$K$38</f>
        <v>10.52</v>
      </c>
      <c r="P44" s="121">
        <f>+'5.Variables'!$K$53</f>
        <v>8288.5</v>
      </c>
      <c r="Q44" s="121">
        <f>+'5.Variables'!$K$68</f>
        <v>31</v>
      </c>
      <c r="R44" s="121">
        <f>+'5.Variables'!$K$83</f>
        <v>0</v>
      </c>
      <c r="S44" s="490">
        <f>+'5.Variables'!$K$98</f>
        <v>8.0660000000000007</v>
      </c>
      <c r="T44" s="42"/>
      <c r="U44" s="51">
        <f t="shared" si="34"/>
        <v>14344797.980938114</v>
      </c>
      <c r="V44" s="52"/>
      <c r="W44" s="440">
        <f t="shared" si="30"/>
        <v>236568.68058897927</v>
      </c>
      <c r="X44" s="509">
        <f t="shared" si="31"/>
        <v>1.6224040316684805E-2</v>
      </c>
      <c r="Y44" s="440"/>
      <c r="Z44" s="42"/>
      <c r="AJ44" s="42"/>
      <c r="AK44" s="42"/>
      <c r="AL44" s="42"/>
      <c r="AM44" s="42"/>
      <c r="AN44" s="42"/>
      <c r="AO44" s="42"/>
      <c r="AP44" s="42"/>
      <c r="AQ44" s="42"/>
      <c r="AR44" s="42"/>
      <c r="AS44" s="42"/>
    </row>
    <row r="45" spans="1:45" x14ac:dyDescent="0.2">
      <c r="A45" s="143">
        <f t="shared" si="32"/>
        <v>23</v>
      </c>
      <c r="B45" s="50" t="str">
        <f>CONCATENATE('3. Consumption by Rate Class'!A32,"-",'3. Consumption by Rate Class'!B32)</f>
        <v>2013-November</v>
      </c>
      <c r="C45" s="115">
        <v>7031674</v>
      </c>
      <c r="D45" s="142">
        <v>6256734</v>
      </c>
      <c r="E45" s="115">
        <f t="shared" si="33"/>
        <v>13288408</v>
      </c>
      <c r="F45" s="115">
        <v>56018.409999999989</v>
      </c>
      <c r="G45" s="142">
        <v>28004.54887218045</v>
      </c>
      <c r="H45" s="115">
        <v>1368024.7000000002</v>
      </c>
      <c r="I45" s="107"/>
      <c r="J45" s="108"/>
      <c r="K45" s="108"/>
      <c r="L45" s="51">
        <f t="shared" si="29"/>
        <v>14740455.65887218</v>
      </c>
      <c r="M45" s="121">
        <f>+'5.Variables'!$L$8</f>
        <v>416.30000000000007</v>
      </c>
      <c r="N45" s="121">
        <f>+'5.Variables'!$L$23</f>
        <v>0</v>
      </c>
      <c r="O45" s="490">
        <f>+'5.Variables'!$L$38</f>
        <v>9.31</v>
      </c>
      <c r="P45" s="121">
        <f>+'5.Variables'!$L$53</f>
        <v>8309.5</v>
      </c>
      <c r="Q45" s="121">
        <f>+'5.Variables'!$L$68</f>
        <v>30</v>
      </c>
      <c r="R45" s="121">
        <f>+'5.Variables'!$L$83</f>
        <v>0</v>
      </c>
      <c r="S45" s="490">
        <f>+'5.Variables'!$L$98</f>
        <v>7.9379999999999997</v>
      </c>
      <c r="T45" s="42"/>
      <c r="U45" s="51">
        <f t="shared" si="34"/>
        <v>14588912.24298083</v>
      </c>
      <c r="V45" s="52"/>
      <c r="W45" s="440">
        <f t="shared" si="30"/>
        <v>151543.41589134932</v>
      </c>
      <c r="X45" s="509">
        <f t="shared" si="31"/>
        <v>1.0280782317616916E-2</v>
      </c>
      <c r="Y45" s="440"/>
      <c r="Z45" s="42"/>
      <c r="AJ45" s="42"/>
      <c r="AK45" s="42"/>
      <c r="AL45" s="42"/>
      <c r="AM45" s="42"/>
      <c r="AN45" s="42"/>
      <c r="AO45" s="42"/>
      <c r="AP45" s="42"/>
      <c r="AQ45" s="42"/>
      <c r="AR45" s="42"/>
      <c r="AS45" s="42"/>
    </row>
    <row r="46" spans="1:45" x14ac:dyDescent="0.2">
      <c r="A46" s="143">
        <f t="shared" si="32"/>
        <v>24</v>
      </c>
      <c r="B46" s="87" t="str">
        <f>CONCATENATE('3. Consumption by Rate Class'!A33,"-",'3. Consumption by Rate Class'!B33)</f>
        <v>2013-December</v>
      </c>
      <c r="C46" s="105">
        <v>7813929</v>
      </c>
      <c r="D46" s="105">
        <v>7836951</v>
      </c>
      <c r="E46" s="105">
        <f t="shared" si="33"/>
        <v>15650880</v>
      </c>
      <c r="F46" s="105">
        <v>31907.030000000006</v>
      </c>
      <c r="G46" s="105">
        <v>22328.879699248122</v>
      </c>
      <c r="H46" s="105">
        <v>1112680.0999999996</v>
      </c>
      <c r="I46" s="109"/>
      <c r="J46" s="110"/>
      <c r="K46" s="110"/>
      <c r="L46" s="51">
        <f t="shared" si="29"/>
        <v>16817796.009699248</v>
      </c>
      <c r="M46" s="121">
        <f>+'5.Variables'!$M$8</f>
        <v>608.49999999999989</v>
      </c>
      <c r="N46" s="121">
        <f>+'5.Variables'!$M$23</f>
        <v>0</v>
      </c>
      <c r="O46" s="490">
        <f>+'5.Variables'!$M$38</f>
        <v>8.5</v>
      </c>
      <c r="P46" s="121">
        <f>+'5.Variables'!$M$53</f>
        <v>8339.5</v>
      </c>
      <c r="Q46" s="121">
        <f>+'5.Variables'!$M$68</f>
        <v>31</v>
      </c>
      <c r="R46" s="121">
        <f>+'5.Variables'!$M$83</f>
        <v>1</v>
      </c>
      <c r="S46" s="490">
        <f>+'5.Variables'!$M$98</f>
        <v>7.9379999999999997</v>
      </c>
      <c r="T46" s="42"/>
      <c r="U46" s="51">
        <f t="shared" si="34"/>
        <v>17574146.466089524</v>
      </c>
      <c r="V46" s="52">
        <f>SUM(U35:U46)</f>
        <v>195558511.30286601</v>
      </c>
      <c r="W46" s="440">
        <f t="shared" si="30"/>
        <v>-756350.45639027655</v>
      </c>
      <c r="X46" s="509">
        <f t="shared" si="31"/>
        <v>-4.4973220982943908E-2</v>
      </c>
      <c r="Y46" s="440"/>
      <c r="Z46" s="42"/>
      <c r="AJ46" s="42"/>
      <c r="AK46" s="42"/>
      <c r="AL46" s="42"/>
      <c r="AM46" s="42"/>
      <c r="AN46" s="42"/>
      <c r="AO46" s="42"/>
      <c r="AP46" s="42"/>
      <c r="AQ46" s="42"/>
      <c r="AR46" s="42"/>
      <c r="AS46" s="42"/>
    </row>
    <row r="47" spans="1:45" x14ac:dyDescent="0.2">
      <c r="A47" s="143">
        <f t="shared" si="32"/>
        <v>25</v>
      </c>
      <c r="B47" s="50" t="str">
        <f>CONCATENATE('3. Consumption by Rate Class'!A34,"-",'3. Consumption by Rate Class'!B34)</f>
        <v>2014-January</v>
      </c>
      <c r="C47" s="115">
        <v>7983377</v>
      </c>
      <c r="D47" s="142">
        <v>9466015</v>
      </c>
      <c r="E47" s="115">
        <f t="shared" si="33"/>
        <v>17449392</v>
      </c>
      <c r="F47" s="115">
        <v>51212.5</v>
      </c>
      <c r="G47" s="142">
        <v>29499.607142857141</v>
      </c>
      <c r="H47" s="115">
        <v>160321.15819999998</v>
      </c>
      <c r="I47" s="107"/>
      <c r="J47" s="108"/>
      <c r="K47" s="108"/>
      <c r="L47" s="51">
        <f t="shared" si="29"/>
        <v>17690425.265342858</v>
      </c>
      <c r="M47" s="121">
        <f>+'5.Variables'!$B$9</f>
        <v>727.8</v>
      </c>
      <c r="N47" s="121">
        <f>+'5.Variables'!$B$24</f>
        <v>0</v>
      </c>
      <c r="O47" s="490">
        <f>+'5.Variables'!$B$39</f>
        <v>9.1199999999999992</v>
      </c>
      <c r="P47" s="121">
        <f>+'5.Variables'!$B$54</f>
        <v>8378</v>
      </c>
      <c r="Q47" s="121">
        <f>+'5.Variables'!$B$69</f>
        <v>31</v>
      </c>
      <c r="R47" s="121">
        <f>+'5.Variables'!$B$84</f>
        <v>1</v>
      </c>
      <c r="S47" s="490">
        <f>+'5.Variables'!$B$99</f>
        <v>7.9379999999999997</v>
      </c>
      <c r="T47" s="42"/>
      <c r="U47" s="51">
        <f t="shared" si="34"/>
        <v>18029197.188816864</v>
      </c>
      <c r="V47" s="52"/>
      <c r="W47" s="440">
        <f t="shared" si="30"/>
        <v>-338771.92347400635</v>
      </c>
      <c r="X47" s="509">
        <f t="shared" si="31"/>
        <v>-1.9150015807573105E-2</v>
      </c>
      <c r="Y47" s="440"/>
      <c r="Z47" s="42"/>
      <c r="AJ47" s="42"/>
      <c r="AK47" s="42"/>
      <c r="AL47" s="42"/>
      <c r="AM47" s="42"/>
      <c r="AN47" s="42"/>
      <c r="AO47" s="42"/>
      <c r="AP47" s="42"/>
      <c r="AQ47" s="42"/>
      <c r="AR47" s="42"/>
      <c r="AS47" s="42"/>
    </row>
    <row r="48" spans="1:45" x14ac:dyDescent="0.2">
      <c r="A48" s="143">
        <f t="shared" si="32"/>
        <v>26</v>
      </c>
      <c r="B48" s="50" t="str">
        <f>CONCATENATE('3. Consumption by Rate Class'!A35,"-",'3. Consumption by Rate Class'!B35)</f>
        <v>2014-February</v>
      </c>
      <c r="C48" s="115">
        <v>7569470</v>
      </c>
      <c r="D48" s="142">
        <v>7884871</v>
      </c>
      <c r="E48" s="115">
        <f t="shared" si="33"/>
        <v>15454341</v>
      </c>
      <c r="F48" s="115">
        <v>69299.260000000038</v>
      </c>
      <c r="G48" s="142">
        <v>39825.631336405546</v>
      </c>
      <c r="H48" s="115">
        <v>85070.660399999993</v>
      </c>
      <c r="I48" s="107"/>
      <c r="J48" s="108"/>
      <c r="K48" s="108"/>
      <c r="L48" s="51">
        <f t="shared" si="29"/>
        <v>15648536.551736405</v>
      </c>
      <c r="M48" s="121">
        <f>+'5.Variables'!$C$9</f>
        <v>648.10000000000014</v>
      </c>
      <c r="N48" s="121">
        <f>+'5.Variables'!$C$24</f>
        <v>0</v>
      </c>
      <c r="O48" s="490">
        <f>+'5.Variables'!$C$39</f>
        <v>10.199999999999999</v>
      </c>
      <c r="P48" s="121">
        <f>+'5.Variables'!$C$54</f>
        <v>8418.5</v>
      </c>
      <c r="Q48" s="121">
        <f>+'5.Variables'!$C$69</f>
        <v>28</v>
      </c>
      <c r="R48" s="121">
        <f>+'5.Variables'!$C$84</f>
        <v>1</v>
      </c>
      <c r="S48" s="490">
        <f>+'5.Variables'!$C$99</f>
        <v>7.9379999999999997</v>
      </c>
      <c r="T48" s="42"/>
      <c r="U48" s="51">
        <f t="shared" si="34"/>
        <v>16349822.585764363</v>
      </c>
      <c r="V48" s="52"/>
      <c r="W48" s="440">
        <f t="shared" si="30"/>
        <v>-701286.03402795829</v>
      </c>
      <c r="X48" s="509">
        <f t="shared" si="31"/>
        <v>-4.4814799883005137E-2</v>
      </c>
      <c r="Y48" s="440"/>
      <c r="Z48" s="42"/>
      <c r="AA48" s="681" t="s">
        <v>99</v>
      </c>
      <c r="AB48" s="681"/>
      <c r="AC48" s="681"/>
      <c r="AD48" s="681"/>
      <c r="AE48" s="681"/>
      <c r="AF48" s="681"/>
      <c r="AG48" s="42"/>
      <c r="AH48" s="42"/>
      <c r="AI48" s="42"/>
      <c r="AJ48" s="42"/>
      <c r="AK48" s="42"/>
      <c r="AL48" s="42"/>
      <c r="AM48" s="42"/>
      <c r="AN48" s="42"/>
      <c r="AO48" s="42"/>
      <c r="AP48" s="42"/>
      <c r="AQ48" s="42"/>
      <c r="AR48" s="42"/>
      <c r="AS48" s="42"/>
    </row>
    <row r="49" spans="1:45" x14ac:dyDescent="0.2">
      <c r="A49" s="143">
        <f t="shared" si="32"/>
        <v>27</v>
      </c>
      <c r="B49" s="50" t="str">
        <f>CONCATENATE('3. Consumption by Rate Class'!A36,"-",'3. Consumption by Rate Class'!B36)</f>
        <v>2014-March</v>
      </c>
      <c r="C49" s="115">
        <v>7708805</v>
      </c>
      <c r="D49" s="142">
        <v>8006593</v>
      </c>
      <c r="E49" s="115">
        <f t="shared" si="33"/>
        <v>15715398</v>
      </c>
      <c r="F49" s="115">
        <v>110809.60000000001</v>
      </c>
      <c r="G49" s="142">
        <v>69911.4171280788</v>
      </c>
      <c r="H49" s="115">
        <v>595392.98759999999</v>
      </c>
      <c r="I49" s="107"/>
      <c r="J49" s="108"/>
      <c r="K49" s="108"/>
      <c r="L49" s="51">
        <f t="shared" si="29"/>
        <v>16491512.004728079</v>
      </c>
      <c r="M49" s="121">
        <f>+'5.Variables'!$D$9</f>
        <v>636.19999999999993</v>
      </c>
      <c r="N49" s="121">
        <f>+'5.Variables'!$D$24</f>
        <v>0</v>
      </c>
      <c r="O49" s="490">
        <f>+'5.Variables'!$D$39</f>
        <v>11.5</v>
      </c>
      <c r="P49" s="121">
        <f>+'5.Variables'!$D$54</f>
        <v>8459.5</v>
      </c>
      <c r="Q49" s="121">
        <f>+'5.Variables'!$D$69</f>
        <v>31</v>
      </c>
      <c r="R49" s="121">
        <f>+'5.Variables'!$D$84</f>
        <v>0</v>
      </c>
      <c r="S49" s="490">
        <f>+'5.Variables'!$D$99</f>
        <v>7.9379999999999997</v>
      </c>
      <c r="T49" s="42"/>
      <c r="U49" s="51">
        <f t="shared" si="34"/>
        <v>15990746.321491184</v>
      </c>
      <c r="V49" s="52"/>
      <c r="W49" s="440">
        <f t="shared" si="30"/>
        <v>500765.68323689513</v>
      </c>
      <c r="X49" s="509">
        <f t="shared" si="31"/>
        <v>3.036505585984637E-2</v>
      </c>
      <c r="Y49" s="440"/>
      <c r="Z49" s="42"/>
      <c r="AA49" s="682" t="s">
        <v>31</v>
      </c>
      <c r="AB49" s="682" t="s">
        <v>40</v>
      </c>
      <c r="AC49" s="682" t="s">
        <v>41</v>
      </c>
      <c r="AD49" s="682" t="s">
        <v>29</v>
      </c>
      <c r="AE49" s="682" t="s">
        <v>41</v>
      </c>
      <c r="AF49" s="682" t="s">
        <v>42</v>
      </c>
      <c r="AG49" s="42"/>
      <c r="AH49" s="42"/>
      <c r="AI49" s="42"/>
      <c r="AJ49" s="42"/>
      <c r="AK49" s="42"/>
      <c r="AL49" s="42"/>
      <c r="AM49" s="42"/>
      <c r="AN49" s="42"/>
      <c r="AO49" s="42"/>
      <c r="AP49" s="42"/>
      <c r="AQ49" s="42"/>
      <c r="AR49" s="42"/>
      <c r="AS49" s="42"/>
    </row>
    <row r="50" spans="1:45" x14ac:dyDescent="0.2">
      <c r="A50" s="143">
        <f t="shared" si="32"/>
        <v>28</v>
      </c>
      <c r="B50" s="50" t="str">
        <f>CONCATENATE('3. Consumption by Rate Class'!A37,"-",'3. Consumption by Rate Class'!B37)</f>
        <v>2014-April</v>
      </c>
      <c r="C50" s="115">
        <v>6157709</v>
      </c>
      <c r="D50" s="142">
        <v>6360643</v>
      </c>
      <c r="E50" s="115">
        <f t="shared" si="33"/>
        <v>12518352</v>
      </c>
      <c r="F50" s="115">
        <v>153077.45999999996</v>
      </c>
      <c r="G50" s="142">
        <v>92402.160919540256</v>
      </c>
      <c r="H50" s="115">
        <v>1343018.4324</v>
      </c>
      <c r="I50" s="107"/>
      <c r="J50" s="108"/>
      <c r="K50" s="108"/>
      <c r="L50" s="51">
        <f t="shared" si="29"/>
        <v>14106850.05331954</v>
      </c>
      <c r="M50" s="121">
        <f>+'5.Variables'!$E$9</f>
        <v>356.6</v>
      </c>
      <c r="N50" s="121">
        <f>+'5.Variables'!$E$24</f>
        <v>0</v>
      </c>
      <c r="O50" s="490">
        <f>+'5.Variables'!$E$39</f>
        <v>13.26</v>
      </c>
      <c r="P50" s="121">
        <f>+'5.Variables'!$E$54</f>
        <v>8486</v>
      </c>
      <c r="Q50" s="121">
        <f>+'5.Variables'!$E$69</f>
        <v>30</v>
      </c>
      <c r="R50" s="121">
        <f>+'5.Variables'!$E$84</f>
        <v>0</v>
      </c>
      <c r="S50" s="490">
        <f>+'5.Variables'!$E$99</f>
        <v>7.9379999999999997</v>
      </c>
      <c r="T50" s="42"/>
      <c r="U50" s="51">
        <f t="shared" si="34"/>
        <v>14563729.853955036</v>
      </c>
      <c r="V50" s="52"/>
      <c r="W50" s="440">
        <f t="shared" si="30"/>
        <v>-456879.80063549615</v>
      </c>
      <c r="X50" s="509">
        <f t="shared" si="31"/>
        <v>-3.2387088464726814E-2</v>
      </c>
      <c r="Y50" s="440"/>
      <c r="Z50" s="42"/>
      <c r="AA50" s="683" t="str">
        <f>+'4. Customer Growth'!A8</f>
        <v>2012</v>
      </c>
      <c r="AB50" s="684">
        <f t="shared" ref="AB50:AB60" si="35">L6</f>
        <v>189169072.93239999</v>
      </c>
      <c r="AC50" s="685">
        <f>IF(ISERROR((AB50-#REF!)/#REF!),0,(AB50-#REF!)/#REF!)</f>
        <v>0</v>
      </c>
      <c r="AD50" s="684">
        <f>V34</f>
        <v>199851515.10739517</v>
      </c>
      <c r="AE50" s="685">
        <f>IF(ISERROR((AD50-#REF!)/#REF!),0,(AD50-#REF!)/#REF!)</f>
        <v>0</v>
      </c>
      <c r="AF50" s="685">
        <f t="shared" ref="AF50:AF56" si="36">IF(ISERROR((AD50-AB50)/AB50),0,(AD50-AB50)/AB50)</f>
        <v>5.647034163355328E-2</v>
      </c>
      <c r="AG50" s="42"/>
      <c r="AH50" s="42"/>
      <c r="AI50" s="42"/>
      <c r="AJ50" s="42"/>
      <c r="AK50" s="42"/>
      <c r="AL50" s="42"/>
      <c r="AM50" s="42"/>
      <c r="AN50" s="42"/>
      <c r="AO50" s="42"/>
      <c r="AP50" s="42"/>
      <c r="AQ50" s="42"/>
      <c r="AR50" s="42"/>
      <c r="AS50" s="42"/>
    </row>
    <row r="51" spans="1:45" x14ac:dyDescent="0.2">
      <c r="A51" s="143">
        <f t="shared" si="32"/>
        <v>29</v>
      </c>
      <c r="B51" s="50" t="str">
        <f>CONCATENATE('3. Consumption by Rate Class'!A38,"-",'3. Consumption by Rate Class'!B38)</f>
        <v>2014-May</v>
      </c>
      <c r="C51" s="115">
        <v>6312372</v>
      </c>
      <c r="D51" s="142">
        <v>6752790</v>
      </c>
      <c r="E51" s="115">
        <f t="shared" si="33"/>
        <v>13065162</v>
      </c>
      <c r="F51" s="115">
        <v>177712.67000000007</v>
      </c>
      <c r="G51" s="142">
        <v>109836.29166666664</v>
      </c>
      <c r="H51" s="115">
        <v>1281021.1213999996</v>
      </c>
      <c r="I51" s="107"/>
      <c r="J51" s="108"/>
      <c r="K51" s="108"/>
      <c r="L51" s="51">
        <f t="shared" si="29"/>
        <v>14633732.083066665</v>
      </c>
      <c r="M51" s="121">
        <f>+'5.Variables'!$F$9</f>
        <v>174.7</v>
      </c>
      <c r="N51" s="121">
        <f>+'5.Variables'!$F$24</f>
        <v>3</v>
      </c>
      <c r="O51" s="490">
        <f>+'5.Variables'!$F$39</f>
        <v>14.47</v>
      </c>
      <c r="P51" s="121">
        <f>+'5.Variables'!$F$54</f>
        <v>8506.5</v>
      </c>
      <c r="Q51" s="121">
        <f>+'5.Variables'!$F$69</f>
        <v>31</v>
      </c>
      <c r="R51" s="121">
        <f>+'5.Variables'!$F$84</f>
        <v>0</v>
      </c>
      <c r="S51" s="490">
        <f>+'5.Variables'!$F$99</f>
        <v>9.0960000000000001</v>
      </c>
      <c r="T51" s="42"/>
      <c r="U51" s="51">
        <f t="shared" si="34"/>
        <v>14550970.127232885</v>
      </c>
      <c r="V51" s="52"/>
      <c r="W51" s="440">
        <f t="shared" si="30"/>
        <v>82761.955833779648</v>
      </c>
      <c r="X51" s="509">
        <f t="shared" si="31"/>
        <v>5.6555604109731613E-3</v>
      </c>
      <c r="Y51" s="440"/>
      <c r="Z51" s="42"/>
      <c r="AA51" s="683" t="str">
        <f>+'4. Customer Growth'!A9</f>
        <v>2013</v>
      </c>
      <c r="AB51" s="684">
        <f t="shared" si="35"/>
        <v>189823053.13865024</v>
      </c>
      <c r="AC51" s="685">
        <f t="shared" ref="AC51:AC56" si="37">IF(ISERROR((AB51-AB50)/AB50),0,(AB51-AB50)/AB50)</f>
        <v>3.4571201101352951E-3</v>
      </c>
      <c r="AD51" s="684">
        <f>V46</f>
        <v>195558511.30286601</v>
      </c>
      <c r="AE51" s="685">
        <f t="shared" ref="AE51:AE56" si="38">IF(ISERROR((AD51-AD50)/AD50),0,(AD51-AD50)/AD50)</f>
        <v>-2.1480967018049416E-2</v>
      </c>
      <c r="AF51" s="685">
        <f t="shared" si="36"/>
        <v>3.0214760901704017E-2</v>
      </c>
      <c r="AG51" s="42"/>
      <c r="AH51" s="42"/>
      <c r="AI51" s="42"/>
      <c r="AJ51" s="42"/>
      <c r="AK51" s="42"/>
      <c r="AL51" s="42"/>
      <c r="AM51" s="42"/>
      <c r="AN51" s="42"/>
      <c r="AO51" s="42"/>
      <c r="AP51" s="42"/>
      <c r="AQ51" s="42"/>
      <c r="AR51" s="42"/>
      <c r="AS51" s="42"/>
    </row>
    <row r="52" spans="1:45" x14ac:dyDescent="0.2">
      <c r="A52" s="143">
        <f t="shared" si="32"/>
        <v>30</v>
      </c>
      <c r="B52" s="50" t="str">
        <f>CONCATENATE('3. Consumption by Rate Class'!A39,"-",'3. Consumption by Rate Class'!B39)</f>
        <v>2014-June</v>
      </c>
      <c r="C52" s="115">
        <v>7467541</v>
      </c>
      <c r="D52" s="142">
        <v>7991707</v>
      </c>
      <c r="E52" s="115">
        <f t="shared" si="33"/>
        <v>15459248</v>
      </c>
      <c r="F52" s="115">
        <v>191177.84000000008</v>
      </c>
      <c r="G52" s="142">
        <v>112245.00000000001</v>
      </c>
      <c r="H52" s="115">
        <v>1205450.7268000001</v>
      </c>
      <c r="I52" s="115">
        <f>-'SQL Data kWh'!X34</f>
        <v>-4541</v>
      </c>
      <c r="J52" s="108"/>
      <c r="K52" s="108"/>
      <c r="L52" s="51">
        <f t="shared" ref="L52:L115" si="39">SUM(E52:K52)</f>
        <v>16963580.566799998</v>
      </c>
      <c r="M52" s="121">
        <f>+'5.Variables'!$G$9</f>
        <v>26.999999999999996</v>
      </c>
      <c r="N52" s="121">
        <f>+'5.Variables'!$G$24</f>
        <v>39.099999999999994</v>
      </c>
      <c r="O52" s="490">
        <f>+'5.Variables'!$G$39</f>
        <v>15.3</v>
      </c>
      <c r="P52" s="121">
        <f>+'5.Variables'!$G$54</f>
        <v>8536</v>
      </c>
      <c r="Q52" s="121">
        <f>+'5.Variables'!$G$69</f>
        <v>30</v>
      </c>
      <c r="R52" s="121">
        <f>+'5.Variables'!$G$84</f>
        <v>1</v>
      </c>
      <c r="S52" s="490">
        <f>+'5.Variables'!$G$99</f>
        <v>9.0960000000000001</v>
      </c>
      <c r="T52" s="42"/>
      <c r="U52" s="51">
        <f t="shared" si="34"/>
        <v>16808034.750233464</v>
      </c>
      <c r="V52" s="52"/>
      <c r="W52" s="440">
        <f t="shared" si="30"/>
        <v>155545.81656653434</v>
      </c>
      <c r="X52" s="509">
        <f t="shared" si="31"/>
        <v>9.1693976960830047E-3</v>
      </c>
      <c r="Y52" s="440"/>
      <c r="Z52" s="42"/>
      <c r="AA52" s="683" t="str">
        <f>+'4. Customer Growth'!A10</f>
        <v>2014</v>
      </c>
      <c r="AB52" s="684">
        <f t="shared" si="35"/>
        <v>196598603.14219356</v>
      </c>
      <c r="AC52" s="685">
        <f t="shared" si="37"/>
        <v>3.5694031317652086E-2</v>
      </c>
      <c r="AD52" s="684">
        <f>V58</f>
        <v>196752311.711725</v>
      </c>
      <c r="AE52" s="685">
        <f t="shared" si="38"/>
        <v>6.1045689134446223E-3</v>
      </c>
      <c r="AF52" s="685">
        <f t="shared" si="36"/>
        <v>7.818395811300256E-4</v>
      </c>
      <c r="AG52" s="42"/>
      <c r="AH52" s="42"/>
      <c r="AI52" s="42"/>
      <c r="AJ52" s="42"/>
      <c r="AK52" s="42"/>
      <c r="AL52" s="42"/>
      <c r="AM52" s="42"/>
      <c r="AN52" s="42"/>
      <c r="AO52" s="42"/>
      <c r="AP52" s="42"/>
      <c r="AQ52" s="42"/>
      <c r="AR52" s="42"/>
      <c r="AS52" s="42"/>
    </row>
    <row r="53" spans="1:45" x14ac:dyDescent="0.2">
      <c r="A53" s="143">
        <f t="shared" ref="A53:A116" si="40">+A52+1</f>
        <v>31</v>
      </c>
      <c r="B53" s="50" t="str">
        <f>CONCATENATE('3. Consumption by Rate Class'!A40,"-",'3. Consumption by Rate Class'!B40)</f>
        <v>2014-July</v>
      </c>
      <c r="C53" s="115">
        <v>8329928</v>
      </c>
      <c r="D53" s="142">
        <v>8497544</v>
      </c>
      <c r="E53" s="115">
        <f t="shared" si="33"/>
        <v>16827472</v>
      </c>
      <c r="F53" s="115">
        <v>181740.5</v>
      </c>
      <c r="G53" s="142">
        <v>111335.32129032259</v>
      </c>
      <c r="H53" s="115">
        <v>1314875.7205999997</v>
      </c>
      <c r="I53" s="115">
        <f>-'SQL Data kWh'!X35</f>
        <v>-18626</v>
      </c>
      <c r="J53" s="108"/>
      <c r="K53" s="108"/>
      <c r="L53" s="51">
        <f t="shared" si="39"/>
        <v>18416797.541890323</v>
      </c>
      <c r="M53" s="121">
        <f>+'5.Variables'!$H$9</f>
        <v>0.6</v>
      </c>
      <c r="N53" s="121">
        <f>+'5.Variables'!$H$24</f>
        <v>78.399999999999991</v>
      </c>
      <c r="O53" s="490">
        <f>+'5.Variables'!$H$39</f>
        <v>15.11</v>
      </c>
      <c r="P53" s="121">
        <f>+'5.Variables'!$H$54</f>
        <v>8563</v>
      </c>
      <c r="Q53" s="121">
        <f>+'5.Variables'!$H$69</f>
        <v>31</v>
      </c>
      <c r="R53" s="121">
        <f>+'5.Variables'!$H$84</f>
        <v>1</v>
      </c>
      <c r="S53" s="490">
        <f>+'5.Variables'!$H$99</f>
        <v>9.0960000000000001</v>
      </c>
      <c r="T53" s="42"/>
      <c r="U53" s="51">
        <f t="shared" si="34"/>
        <v>18769014.35351938</v>
      </c>
      <c r="V53" s="52"/>
      <c r="W53" s="440">
        <f t="shared" si="30"/>
        <v>-352216.81162905693</v>
      </c>
      <c r="X53" s="509">
        <f t="shared" si="31"/>
        <v>-1.9124758841916712E-2</v>
      </c>
      <c r="Y53" s="440"/>
      <c r="Z53" s="42"/>
      <c r="AA53" s="683" t="str">
        <f>+'4. Customer Growth'!A11</f>
        <v>2015</v>
      </c>
      <c r="AB53" s="684">
        <f t="shared" si="35"/>
        <v>201311529.5372414</v>
      </c>
      <c r="AC53" s="685">
        <f t="shared" si="37"/>
        <v>2.3972328997877632E-2</v>
      </c>
      <c r="AD53" s="684">
        <f>V70</f>
        <v>202773256.87510347</v>
      </c>
      <c r="AE53" s="685">
        <f t="shared" si="38"/>
        <v>3.0601648900573871E-2</v>
      </c>
      <c r="AF53" s="685">
        <f t="shared" si="36"/>
        <v>7.2610214686768043E-3</v>
      </c>
      <c r="AG53" s="42"/>
      <c r="AH53" s="42"/>
      <c r="AI53" s="42"/>
      <c r="AJ53" s="42"/>
      <c r="AK53" s="42"/>
      <c r="AL53" s="42"/>
      <c r="AM53" s="42"/>
      <c r="AN53" s="42"/>
      <c r="AO53" s="42"/>
      <c r="AP53" s="42"/>
      <c r="AQ53" s="42"/>
      <c r="AR53" s="42"/>
      <c r="AS53" s="42"/>
    </row>
    <row r="54" spans="1:45" x14ac:dyDescent="0.2">
      <c r="A54" s="143">
        <f t="shared" si="40"/>
        <v>32</v>
      </c>
      <c r="B54" s="50" t="str">
        <f>CONCATENATE('3. Consumption by Rate Class'!A41,"-",'3. Consumption by Rate Class'!B41)</f>
        <v>2014-August</v>
      </c>
      <c r="C54" s="115">
        <v>8459935</v>
      </c>
      <c r="D54" s="142">
        <v>8731231</v>
      </c>
      <c r="E54" s="115">
        <f t="shared" si="33"/>
        <v>17191166</v>
      </c>
      <c r="F54" s="115">
        <v>178772.19999999995</v>
      </c>
      <c r="G54" s="142">
        <v>100699.67870967742</v>
      </c>
      <c r="H54" s="115">
        <v>1446708.6538</v>
      </c>
      <c r="I54" s="115">
        <f>-'SQL Data kWh'!X36</f>
        <v>-22872</v>
      </c>
      <c r="J54" s="108"/>
      <c r="K54" s="108"/>
      <c r="L54" s="51">
        <f t="shared" si="39"/>
        <v>18894474.532509677</v>
      </c>
      <c r="M54" s="121">
        <f>+'5.Variables'!$I$9</f>
        <v>0.89999999999999991</v>
      </c>
      <c r="N54" s="121">
        <f>+'5.Variables'!$I$24</f>
        <v>88.100000000000023</v>
      </c>
      <c r="O54" s="490">
        <f>+'5.Variables'!$I$39</f>
        <v>14</v>
      </c>
      <c r="P54" s="121">
        <f>+'5.Variables'!$I$54</f>
        <v>8587.5</v>
      </c>
      <c r="Q54" s="121">
        <f>+'5.Variables'!$I$69</f>
        <v>31</v>
      </c>
      <c r="R54" s="121">
        <f>+'5.Variables'!$I$84</f>
        <v>1</v>
      </c>
      <c r="S54" s="490">
        <f>+'5.Variables'!$I$99</f>
        <v>9.0960000000000001</v>
      </c>
      <c r="T54" s="42"/>
      <c r="U54" s="51">
        <f t="shared" si="34"/>
        <v>19176404.855446685</v>
      </c>
      <c r="V54" s="52"/>
      <c r="W54" s="440">
        <f t="shared" si="30"/>
        <v>-281930.32293700799</v>
      </c>
      <c r="X54" s="509">
        <f t="shared" si="31"/>
        <v>-1.4921310590136868E-2</v>
      </c>
      <c r="Y54" s="440"/>
      <c r="Z54" s="42"/>
      <c r="AA54" s="683" t="str">
        <f>+'4. Customer Growth'!A12</f>
        <v>2016</v>
      </c>
      <c r="AB54" s="684">
        <f t="shared" si="35"/>
        <v>207648847.01895002</v>
      </c>
      <c r="AC54" s="685">
        <f t="shared" si="37"/>
        <v>3.1480151664816845E-2</v>
      </c>
      <c r="AD54" s="684">
        <f>V82</f>
        <v>214005327.3685981</v>
      </c>
      <c r="AE54" s="685">
        <f t="shared" si="38"/>
        <v>5.5392267533646865E-2</v>
      </c>
      <c r="AF54" s="685">
        <f t="shared" si="36"/>
        <v>3.0611681407833661E-2</v>
      </c>
      <c r="AG54" s="42"/>
      <c r="AH54" s="42"/>
      <c r="AI54" s="42"/>
      <c r="AJ54" s="42"/>
      <c r="AK54" s="42"/>
      <c r="AL54" s="42"/>
      <c r="AM54" s="42"/>
      <c r="AN54" s="42"/>
      <c r="AO54" s="42"/>
      <c r="AP54" s="42"/>
      <c r="AQ54" s="42"/>
      <c r="AR54" s="42"/>
      <c r="AS54" s="42"/>
    </row>
    <row r="55" spans="1:45" x14ac:dyDescent="0.2">
      <c r="A55" s="143">
        <f t="shared" si="40"/>
        <v>33</v>
      </c>
      <c r="B55" s="50" t="str">
        <f>CONCATENATE('3. Consumption by Rate Class'!A42,"-",'3. Consumption by Rate Class'!B42)</f>
        <v>2014-September</v>
      </c>
      <c r="C55" s="115">
        <v>7075966</v>
      </c>
      <c r="D55" s="142">
        <v>7656463</v>
      </c>
      <c r="E55" s="115">
        <f t="shared" si="33"/>
        <v>14732429</v>
      </c>
      <c r="F55" s="115">
        <v>141770.25000000003</v>
      </c>
      <c r="G55" s="142">
        <v>78249.333333333343</v>
      </c>
      <c r="H55" s="115">
        <v>1357122.4868000001</v>
      </c>
      <c r="I55" s="115">
        <f>-'SQL Data kWh'!X37</f>
        <v>-26488</v>
      </c>
      <c r="J55" s="108"/>
      <c r="K55" s="108"/>
      <c r="L55" s="51">
        <f t="shared" si="39"/>
        <v>16283083.070133334</v>
      </c>
      <c r="M55" s="121">
        <f>+'5.Variables'!$J$9</f>
        <v>46.400000000000006</v>
      </c>
      <c r="N55" s="121">
        <f>+'5.Variables'!$J$24</f>
        <v>42.300000000000004</v>
      </c>
      <c r="O55" s="490">
        <f>+'5.Variables'!$J$39</f>
        <v>12.27</v>
      </c>
      <c r="P55" s="121">
        <f>+'5.Variables'!$J$54</f>
        <v>8608</v>
      </c>
      <c r="Q55" s="121">
        <f>+'5.Variables'!$J$69</f>
        <v>30</v>
      </c>
      <c r="R55" s="121">
        <f>+'5.Variables'!$J$84</f>
        <v>0</v>
      </c>
      <c r="S55" s="490">
        <f>+'5.Variables'!$J$99</f>
        <v>9.0960000000000001</v>
      </c>
      <c r="T55" s="42"/>
      <c r="U55" s="51">
        <f t="shared" si="34"/>
        <v>15271777.909947073</v>
      </c>
      <c r="V55" s="52"/>
      <c r="W55" s="440">
        <f t="shared" si="30"/>
        <v>1011305.1601862609</v>
      </c>
      <c r="X55" s="509">
        <f t="shared" si="31"/>
        <v>6.2107719762310339E-2</v>
      </c>
      <c r="Y55" s="440"/>
      <c r="Z55" s="42"/>
      <c r="AA55" s="683" t="str">
        <f>+'4. Customer Growth'!A13</f>
        <v>2017</v>
      </c>
      <c r="AB55" s="684">
        <f t="shared" si="35"/>
        <v>201142654.82493001</v>
      </c>
      <c r="AC55" s="685">
        <f t="shared" si="37"/>
        <v>-3.1332667083994202E-2</v>
      </c>
      <c r="AD55" s="684">
        <f>V94</f>
        <v>207962088.84304467</v>
      </c>
      <c r="AE55" s="685">
        <f t="shared" si="38"/>
        <v>-2.8238729380529359E-2</v>
      </c>
      <c r="AF55" s="685">
        <f t="shared" si="36"/>
        <v>3.3903470271137347E-2</v>
      </c>
      <c r="AG55" s="42"/>
      <c r="AH55" s="42"/>
      <c r="AI55" s="42"/>
      <c r="AJ55" s="42"/>
      <c r="AK55" s="42"/>
      <c r="AL55" s="42"/>
      <c r="AM55" s="42"/>
      <c r="AN55" s="42"/>
      <c r="AO55" s="42"/>
      <c r="AP55" s="42"/>
      <c r="AQ55" s="42"/>
      <c r="AR55" s="42"/>
      <c r="AS55" s="42"/>
    </row>
    <row r="56" spans="1:45" x14ac:dyDescent="0.2">
      <c r="A56" s="143">
        <f t="shared" si="40"/>
        <v>34</v>
      </c>
      <c r="B56" s="50" t="str">
        <f>CONCATENATE('3. Consumption by Rate Class'!A43,"-",'3. Consumption by Rate Class'!B43)</f>
        <v>2014-October</v>
      </c>
      <c r="C56" s="115">
        <v>6346773</v>
      </c>
      <c r="D56" s="142">
        <v>7285915</v>
      </c>
      <c r="E56" s="115">
        <f t="shared" si="33"/>
        <v>13632688</v>
      </c>
      <c r="F56" s="115">
        <v>100933.41999999998</v>
      </c>
      <c r="G56" s="142">
        <v>55146.062561094819</v>
      </c>
      <c r="H56" s="115">
        <v>1182329.3773999999</v>
      </c>
      <c r="I56" s="115">
        <f>-'SQL Data kWh'!X38</f>
        <v>-26917.71</v>
      </c>
      <c r="J56" s="108"/>
      <c r="K56" s="108"/>
      <c r="L56" s="51">
        <f t="shared" si="39"/>
        <v>14944179.149961093</v>
      </c>
      <c r="M56" s="121">
        <f>+'5.Variables'!$K$9</f>
        <v>173.7</v>
      </c>
      <c r="N56" s="121">
        <f>+'5.Variables'!$K$24</f>
        <v>5.6999999999999993</v>
      </c>
      <c r="O56" s="490">
        <f>+'5.Variables'!$K$39</f>
        <v>10.52</v>
      </c>
      <c r="P56" s="121">
        <f>+'5.Variables'!$K$54</f>
        <v>8617.5</v>
      </c>
      <c r="Q56" s="121">
        <f>+'5.Variables'!$K$69</f>
        <v>31</v>
      </c>
      <c r="R56" s="121">
        <f>+'5.Variables'!$K$84</f>
        <v>0</v>
      </c>
      <c r="S56" s="490">
        <f>+'5.Variables'!$K$99</f>
        <v>9.0960000000000001</v>
      </c>
      <c r="T56" s="42"/>
      <c r="U56" s="51">
        <f t="shared" si="34"/>
        <v>14768378.264474815</v>
      </c>
      <c r="V56" s="52"/>
      <c r="W56" s="440">
        <f t="shared" si="30"/>
        <v>175800.88548627868</v>
      </c>
      <c r="X56" s="509">
        <f t="shared" si="31"/>
        <v>1.1763836857291448E-2</v>
      </c>
      <c r="Y56" s="440"/>
      <c r="Z56" s="42"/>
      <c r="AA56" s="683" t="str">
        <f>+'4. Customer Growth'!A14</f>
        <v>2018</v>
      </c>
      <c r="AB56" s="684">
        <f t="shared" si="35"/>
        <v>214357375.32877001</v>
      </c>
      <c r="AC56" s="685">
        <f t="shared" si="37"/>
        <v>6.5698250405125613E-2</v>
      </c>
      <c r="AD56" s="684">
        <f>V106</f>
        <v>216453357.83650899</v>
      </c>
      <c r="AE56" s="685">
        <f t="shared" si="38"/>
        <v>4.0830850664675428E-2</v>
      </c>
      <c r="AF56" s="685">
        <f t="shared" si="36"/>
        <v>9.7779817677104437E-3</v>
      </c>
      <c r="AG56" s="42"/>
      <c r="AH56" s="42"/>
      <c r="AI56" s="42"/>
      <c r="AJ56" s="42"/>
      <c r="AK56" s="42"/>
      <c r="AL56" s="42"/>
      <c r="AM56" s="42"/>
      <c r="AN56" s="42"/>
      <c r="AO56" s="42"/>
      <c r="AP56" s="42"/>
      <c r="AQ56" s="42"/>
      <c r="AR56" s="42"/>
      <c r="AS56" s="42"/>
    </row>
    <row r="57" spans="1:45" x14ac:dyDescent="0.2">
      <c r="A57" s="143">
        <f t="shared" si="40"/>
        <v>35</v>
      </c>
      <c r="B57" s="50" t="str">
        <f>CONCATENATE('3. Consumption by Rate Class'!A44,"-",'3. Consumption by Rate Class'!B44)</f>
        <v>2014-November</v>
      </c>
      <c r="C57" s="115">
        <v>28632</v>
      </c>
      <c r="D57" s="142">
        <v>14373559</v>
      </c>
      <c r="E57" s="115">
        <f t="shared" si="33"/>
        <v>14402191</v>
      </c>
      <c r="F57" s="115">
        <v>53193.359999999979</v>
      </c>
      <c r="G57" s="142">
        <v>30074.604105571852</v>
      </c>
      <c r="H57" s="115">
        <v>1161217.6886</v>
      </c>
      <c r="I57" s="115">
        <f>-'SQL Data kWh'!X39</f>
        <v>-24097.040000000001</v>
      </c>
      <c r="J57" s="108"/>
      <c r="K57" s="108"/>
      <c r="L57" s="51">
        <f t="shared" si="39"/>
        <v>15622579.612705572</v>
      </c>
      <c r="M57" s="121">
        <f>+'5.Variables'!$L$9</f>
        <v>416</v>
      </c>
      <c r="N57" s="121">
        <f>+'5.Variables'!$L$24</f>
        <v>0</v>
      </c>
      <c r="O57" s="490">
        <f>+'5.Variables'!$L$39</f>
        <v>9.31</v>
      </c>
      <c r="P57" s="121">
        <f>+'5.Variables'!$L$54</f>
        <v>8632</v>
      </c>
      <c r="Q57" s="121">
        <f>+'5.Variables'!$L$69</f>
        <v>30</v>
      </c>
      <c r="R57" s="121">
        <f>+'5.Variables'!$L$84</f>
        <v>0</v>
      </c>
      <c r="S57" s="490">
        <f>+'5.Variables'!$L$99</f>
        <v>8.8919999999999995</v>
      </c>
      <c r="T57" s="42"/>
      <c r="U57" s="51">
        <f t="shared" si="34"/>
        <v>14921516.792947335</v>
      </c>
      <c r="V57" s="52"/>
      <c r="W57" s="440">
        <f t="shared" si="30"/>
        <v>701062.81975823641</v>
      </c>
      <c r="X57" s="509">
        <f t="shared" si="31"/>
        <v>4.4874971812470348E-2</v>
      </c>
      <c r="Y57" s="440"/>
      <c r="Z57" s="42"/>
      <c r="AA57" s="683" t="str">
        <f>+'4. Customer Growth'!A15</f>
        <v>2019</v>
      </c>
      <c r="AB57" s="684">
        <f t="shared" si="35"/>
        <v>211297311.30446997</v>
      </c>
      <c r="AC57" s="685">
        <f t="shared" ref="AC57:AC59" si="41">IF(ISERROR((AB57-AB56)/AB56),0,(AB57-AB56)/AB56)</f>
        <v>-1.4275524784751047E-2</v>
      </c>
      <c r="AD57" s="684">
        <f>V118</f>
        <v>211860362.50979912</v>
      </c>
      <c r="AE57" s="685">
        <f t="shared" ref="AE57" si="42">IF(ISERROR((AD57-AD56)/AD56),0,(AD57-AD56)/AD56)</f>
        <v>-2.1219330448913786E-2</v>
      </c>
      <c r="AF57" s="685">
        <f t="shared" ref="AF57" si="43">IF(ISERROR((AD57-AB57)/AB57),0,(AD57-AB57)/AB57)</f>
        <v>2.6647343586772782E-3</v>
      </c>
      <c r="AG57" s="42"/>
      <c r="AH57" s="42"/>
      <c r="AI57" s="42"/>
      <c r="AJ57" s="42"/>
      <c r="AK57" s="42"/>
      <c r="AL57" s="42"/>
      <c r="AM57" s="42"/>
      <c r="AN57" s="42"/>
      <c r="AO57" s="42"/>
      <c r="AP57" s="42"/>
      <c r="AQ57" s="42"/>
      <c r="AR57" s="42"/>
      <c r="AS57" s="42"/>
    </row>
    <row r="58" spans="1:45" x14ac:dyDescent="0.2">
      <c r="A58" s="143">
        <f t="shared" si="40"/>
        <v>36</v>
      </c>
      <c r="B58" s="87" t="str">
        <f>CONCATENATE('3. Consumption by Rate Class'!A45,"-",'3. Consumption by Rate Class'!B45)</f>
        <v>2014-December</v>
      </c>
      <c r="C58" s="105">
        <v>7217377</v>
      </c>
      <c r="D58" s="105">
        <v>8602019</v>
      </c>
      <c r="E58" s="105">
        <f t="shared" si="33"/>
        <v>15819396</v>
      </c>
      <c r="F58" s="105">
        <v>44118.31</v>
      </c>
      <c r="G58" s="105">
        <v>22034.999999999996</v>
      </c>
      <c r="H58" s="105">
        <v>1046805.8999999999</v>
      </c>
      <c r="I58" s="105">
        <f>-'SQL Data kWh'!X40</f>
        <v>-29502.5</v>
      </c>
      <c r="J58" s="110"/>
      <c r="K58" s="110"/>
      <c r="L58" s="51">
        <f t="shared" si="39"/>
        <v>16902852.710000001</v>
      </c>
      <c r="M58" s="121">
        <f>+'5.Variables'!$M$9</f>
        <v>509.75000000000011</v>
      </c>
      <c r="N58" s="121">
        <f>+'5.Variables'!$M$24</f>
        <v>0</v>
      </c>
      <c r="O58" s="490">
        <f>+'5.Variables'!$M$39</f>
        <v>8.5</v>
      </c>
      <c r="P58" s="121">
        <f>+'5.Variables'!$M$54</f>
        <v>8651</v>
      </c>
      <c r="Q58" s="121">
        <f>+'5.Variables'!$M$69</f>
        <v>31</v>
      </c>
      <c r="R58" s="121">
        <f>+'5.Variables'!$M$84</f>
        <v>1</v>
      </c>
      <c r="S58" s="490">
        <f>+'5.Variables'!$M$99</f>
        <v>8.8919999999999995</v>
      </c>
      <c r="T58" s="42"/>
      <c r="U58" s="51">
        <f t="shared" si="34"/>
        <v>17552718.707895942</v>
      </c>
      <c r="V58" s="52">
        <f>SUM(U47:U58)</f>
        <v>196752311.711725</v>
      </c>
      <c r="W58" s="440">
        <f t="shared" si="30"/>
        <v>-649865.99789594114</v>
      </c>
      <c r="X58" s="509">
        <f t="shared" si="31"/>
        <v>-3.8447119491934634E-2</v>
      </c>
      <c r="Y58" s="440"/>
      <c r="Z58" s="42"/>
      <c r="AA58" s="683" t="str">
        <f>+'4. Customer Growth'!A16</f>
        <v>2020</v>
      </c>
      <c r="AB58" s="684">
        <f t="shared" si="35"/>
        <v>204721526.64264002</v>
      </c>
      <c r="AC58" s="685">
        <f t="shared" si="41"/>
        <v>-3.11210049064682E-2</v>
      </c>
      <c r="AD58" s="684">
        <f>V130</f>
        <v>217694347.29207727</v>
      </c>
      <c r="AE58" s="685">
        <f t="shared" ref="AE58:AE59" si="44">IF(ISERROR((AD58-AD57)/AD57),0,(AD58-AD57)/AD57)</f>
        <v>2.7536933823608993E-2</v>
      </c>
      <c r="AF58" s="685">
        <f t="shared" ref="AF58:AF60" si="45">IF(ISERROR((AD58-AB58)/AB58),0,(AD58-AB58)/AB58)</f>
        <v>6.3368131638068925E-2</v>
      </c>
      <c r="AG58" s="42"/>
      <c r="AH58" s="42"/>
      <c r="AI58" s="42"/>
      <c r="AJ58" s="42"/>
      <c r="AK58" s="42"/>
      <c r="AL58" s="42"/>
      <c r="AM58" s="42"/>
      <c r="AN58" s="42"/>
      <c r="AO58" s="42"/>
      <c r="AP58" s="42"/>
      <c r="AQ58" s="42"/>
      <c r="AR58" s="42"/>
      <c r="AS58" s="42"/>
    </row>
    <row r="59" spans="1:45" x14ac:dyDescent="0.2">
      <c r="A59" s="143">
        <f t="shared" si="40"/>
        <v>37</v>
      </c>
      <c r="B59" s="50" t="str">
        <f>CONCATENATE('3. Consumption by Rate Class'!A46,"-",'3. Consumption by Rate Class'!B46)</f>
        <v>2015-January</v>
      </c>
      <c r="C59" s="115">
        <v>7714395.2999999998</v>
      </c>
      <c r="D59" s="142">
        <v>10296075.9</v>
      </c>
      <c r="E59" s="115">
        <f t="shared" si="33"/>
        <v>18010471.199999999</v>
      </c>
      <c r="F59" s="115">
        <v>51209.37285</v>
      </c>
      <c r="G59" s="142">
        <v>21998</v>
      </c>
      <c r="H59" s="115">
        <v>70753</v>
      </c>
      <c r="I59" s="115">
        <f>-'SQL Data kWh'!X41</f>
        <v>-33285.78</v>
      </c>
      <c r="J59" s="108"/>
      <c r="K59" s="108"/>
      <c r="L59" s="51">
        <f t="shared" si="39"/>
        <v>18121145.792849999</v>
      </c>
      <c r="M59" s="121">
        <f>+'5.Variables'!$B$10</f>
        <v>696.24999999999989</v>
      </c>
      <c r="N59" s="121">
        <f>+'5.Variables'!$B$25</f>
        <v>0</v>
      </c>
      <c r="O59" s="490">
        <f>+'5.Variables'!$B$40</f>
        <v>9.1199999999999992</v>
      </c>
      <c r="P59" s="121">
        <f>+'5.Variables'!$B$55</f>
        <v>8678.5</v>
      </c>
      <c r="Q59" s="121">
        <f>+'5.Variables'!$B$70</f>
        <v>31</v>
      </c>
      <c r="R59" s="121">
        <f>+'5.Variables'!$B$85</f>
        <v>1</v>
      </c>
      <c r="S59" s="490">
        <f>+'5.Variables'!$B$100</f>
        <v>8.8919999999999995</v>
      </c>
      <c r="T59" s="42"/>
      <c r="U59" s="51">
        <f t="shared" si="34"/>
        <v>18230276.593082353</v>
      </c>
      <c r="V59" s="52"/>
      <c r="W59" s="440">
        <f t="shared" si="30"/>
        <v>-109130.80023235455</v>
      </c>
      <c r="X59" s="509">
        <f t="shared" si="31"/>
        <v>-6.0222902833999567E-3</v>
      </c>
      <c r="Y59" s="440"/>
      <c r="Z59" s="42"/>
      <c r="AA59" s="683" t="str">
        <f>+'4. Customer Growth'!A17</f>
        <v>2021</v>
      </c>
      <c r="AB59" s="684">
        <f t="shared" si="35"/>
        <v>206058691.01699999</v>
      </c>
      <c r="AC59" s="685">
        <f t="shared" si="41"/>
        <v>6.5316256491878694E-3</v>
      </c>
      <c r="AD59" s="684">
        <f>V142</f>
        <v>217597933.53294417</v>
      </c>
      <c r="AE59" s="685">
        <f t="shared" si="44"/>
        <v>-4.4288591014144985E-4</v>
      </c>
      <c r="AF59" s="685">
        <f t="shared" si="45"/>
        <v>5.5999785590175308E-2</v>
      </c>
      <c r="AG59" s="42"/>
      <c r="AH59" s="42"/>
      <c r="AI59" s="42"/>
      <c r="AJ59" s="42"/>
      <c r="AK59" s="42"/>
      <c r="AL59" s="42"/>
      <c r="AM59" s="42"/>
      <c r="AN59" s="42"/>
      <c r="AO59" s="42"/>
      <c r="AP59" s="42"/>
      <c r="AQ59" s="42"/>
      <c r="AR59" s="42"/>
      <c r="AS59" s="42"/>
    </row>
    <row r="60" spans="1:45" x14ac:dyDescent="0.2">
      <c r="A60" s="143">
        <f t="shared" si="40"/>
        <v>38</v>
      </c>
      <c r="B60" s="50" t="str">
        <f>CONCATENATE('3. Consumption by Rate Class'!A47,"-",'3. Consumption by Rate Class'!B47)</f>
        <v>2015-February</v>
      </c>
      <c r="C60" s="115">
        <v>7251371.5999999996</v>
      </c>
      <c r="D60" s="142">
        <v>9692301.4000000004</v>
      </c>
      <c r="E60" s="115">
        <f t="shared" si="33"/>
        <v>16943673</v>
      </c>
      <c r="F60" s="115">
        <v>37079.029864285723</v>
      </c>
      <c r="G60" s="142">
        <v>28418</v>
      </c>
      <c r="H60" s="115">
        <v>29646</v>
      </c>
      <c r="I60" s="115">
        <f>-'SQL Data kWh'!X42</f>
        <v>-31074.58</v>
      </c>
      <c r="J60" s="108"/>
      <c r="K60" s="108"/>
      <c r="L60" s="51">
        <f t="shared" si="39"/>
        <v>17007741.449864287</v>
      </c>
      <c r="M60" s="121">
        <f>+'5.Variables'!$C$10</f>
        <v>776.40000000000009</v>
      </c>
      <c r="N60" s="121">
        <f>+'5.Variables'!$C$25</f>
        <v>0</v>
      </c>
      <c r="O60" s="490">
        <f>+'5.Variables'!$C$40</f>
        <v>10.199999999999999</v>
      </c>
      <c r="P60" s="121">
        <f>+'5.Variables'!$C$55</f>
        <v>8704</v>
      </c>
      <c r="Q60" s="121">
        <f>+'5.Variables'!$C$70</f>
        <v>28</v>
      </c>
      <c r="R60" s="121">
        <f>+'5.Variables'!$C$85</f>
        <v>1</v>
      </c>
      <c r="S60" s="490">
        <f>+'5.Variables'!$C$100</f>
        <v>8.8919999999999995</v>
      </c>
      <c r="T60" s="42"/>
      <c r="U60" s="51">
        <f t="shared" si="34"/>
        <v>17091736.204391614</v>
      </c>
      <c r="V60" s="52"/>
      <c r="W60" s="440">
        <f t="shared" si="30"/>
        <v>-83994.754527326673</v>
      </c>
      <c r="X60" s="509">
        <f t="shared" si="31"/>
        <v>-4.938618968011E-3</v>
      </c>
      <c r="Y60" s="440"/>
      <c r="Z60" s="42"/>
      <c r="AA60" s="683" t="s">
        <v>380</v>
      </c>
      <c r="AB60" s="684">
        <f t="shared" si="35"/>
        <v>216490123.03</v>
      </c>
      <c r="AC60" s="685">
        <f>IF(ISERROR((AB60-AB59)/AB59),0,(AB60-AB59)/AB59)</f>
        <v>5.06235964205917E-2</v>
      </c>
      <c r="AD60" s="684">
        <f>SUM(U143:U154)</f>
        <v>217640371.35769007</v>
      </c>
      <c r="AE60" s="685">
        <f>IF(ISERROR((AD60-AD59)/AD59),0,(AD60-AD59)/AD59)</f>
        <v>1.9502862024867724E-4</v>
      </c>
      <c r="AF60" s="685">
        <f t="shared" si="45"/>
        <v>5.3131676937089173E-3</v>
      </c>
      <c r="AG60" s="42"/>
      <c r="AH60" s="42"/>
      <c r="AI60" s="42"/>
      <c r="AJ60" s="42"/>
      <c r="AK60" s="42"/>
      <c r="AL60" s="42"/>
      <c r="AM60" s="42"/>
      <c r="AN60" s="42"/>
      <c r="AO60" s="42"/>
      <c r="AP60" s="42"/>
      <c r="AQ60" s="42"/>
      <c r="AR60" s="42"/>
      <c r="AS60" s="42"/>
    </row>
    <row r="61" spans="1:45" x14ac:dyDescent="0.2">
      <c r="A61" s="143">
        <f t="shared" si="40"/>
        <v>39</v>
      </c>
      <c r="B61" s="50" t="str">
        <f>CONCATENATE('3. Consumption by Rate Class'!A48,"-",'3. Consumption by Rate Class'!B48)</f>
        <v>2015-March</v>
      </c>
      <c r="C61" s="115">
        <v>6946176.7999999998</v>
      </c>
      <c r="D61" s="142">
        <v>8910203</v>
      </c>
      <c r="E61" s="115">
        <f t="shared" si="33"/>
        <v>15856379.800000001</v>
      </c>
      <c r="F61" s="115">
        <v>142560.9668571428</v>
      </c>
      <c r="G61" s="142">
        <v>62952</v>
      </c>
      <c r="H61" s="115">
        <v>729965</v>
      </c>
      <c r="I61" s="115">
        <f>-'SQL Data kWh'!X43</f>
        <v>-26456.39</v>
      </c>
      <c r="J61" s="108"/>
      <c r="K61" s="108"/>
      <c r="L61" s="51">
        <f t="shared" si="39"/>
        <v>16765401.376857143</v>
      </c>
      <c r="M61" s="121">
        <f>+'5.Variables'!$D$10</f>
        <v>596.9</v>
      </c>
      <c r="N61" s="121">
        <f>+'5.Variables'!$D$25</f>
        <v>0</v>
      </c>
      <c r="O61" s="490">
        <f>+'5.Variables'!$D$40</f>
        <v>11.5</v>
      </c>
      <c r="P61" s="121">
        <f>+'5.Variables'!$D$55</f>
        <v>8731</v>
      </c>
      <c r="Q61" s="121">
        <f>+'5.Variables'!$D$70</f>
        <v>31</v>
      </c>
      <c r="R61" s="121">
        <f>+'5.Variables'!$D$85</f>
        <v>0</v>
      </c>
      <c r="S61" s="490">
        <f>+'5.Variables'!$D$100</f>
        <v>8.8919999999999995</v>
      </c>
      <c r="T61" s="42"/>
      <c r="U61" s="51">
        <f t="shared" si="34"/>
        <v>16134849.583378777</v>
      </c>
      <c r="V61" s="52"/>
      <c r="W61" s="440">
        <f t="shared" si="30"/>
        <v>630551.79347836599</v>
      </c>
      <c r="X61" s="509">
        <f t="shared" si="31"/>
        <v>3.761030107807474E-2</v>
      </c>
      <c r="Y61" s="440"/>
      <c r="Z61" s="42"/>
      <c r="AA61" s="686"/>
      <c r="AB61" s="686"/>
      <c r="AC61" s="686"/>
      <c r="AD61" s="686"/>
      <c r="AE61" s="686"/>
      <c r="AF61" s="686"/>
      <c r="AG61" s="42"/>
      <c r="AH61" s="42"/>
      <c r="AI61" s="42"/>
      <c r="AJ61" s="42"/>
      <c r="AK61" s="42"/>
      <c r="AL61" s="42"/>
      <c r="AM61" s="42"/>
      <c r="AN61" s="42"/>
      <c r="AO61" s="42"/>
      <c r="AP61" s="42"/>
      <c r="AQ61" s="42"/>
      <c r="AR61" s="42"/>
      <c r="AS61" s="42"/>
    </row>
    <row r="62" spans="1:45" x14ac:dyDescent="0.2">
      <c r="A62" s="143">
        <f t="shared" si="40"/>
        <v>40</v>
      </c>
      <c r="B62" s="50" t="str">
        <f>CONCATENATE('3. Consumption by Rate Class'!A49,"-",'3. Consumption by Rate Class'!B49)</f>
        <v>2015-April</v>
      </c>
      <c r="C62" s="115">
        <v>5951814.7999999998</v>
      </c>
      <c r="D62" s="142">
        <v>6913654.4000000004</v>
      </c>
      <c r="E62" s="115">
        <f t="shared" si="33"/>
        <v>12865469.199999999</v>
      </c>
      <c r="F62" s="115">
        <v>172100.1213771429</v>
      </c>
      <c r="G62" s="142">
        <v>92885</v>
      </c>
      <c r="H62" s="115">
        <v>1293710</v>
      </c>
      <c r="I62" s="115">
        <f>-'SQL Data kWh'!X44</f>
        <v>-31690.71</v>
      </c>
      <c r="J62" s="108"/>
      <c r="K62" s="108"/>
      <c r="L62" s="51">
        <f t="shared" si="39"/>
        <v>14392473.611377141</v>
      </c>
      <c r="M62" s="121">
        <f>+'5.Variables'!$E$10</f>
        <v>325.89999999999998</v>
      </c>
      <c r="N62" s="121">
        <f>+'5.Variables'!$E$25</f>
        <v>0</v>
      </c>
      <c r="O62" s="490">
        <f>+'5.Variables'!$E$40</f>
        <v>13.26</v>
      </c>
      <c r="P62" s="121">
        <f>+'5.Variables'!$E$55</f>
        <v>8754.5</v>
      </c>
      <c r="Q62" s="121">
        <f>+'5.Variables'!$E$70</f>
        <v>30</v>
      </c>
      <c r="R62" s="121">
        <f>+'5.Variables'!$E$85</f>
        <v>0</v>
      </c>
      <c r="S62" s="490">
        <f>+'5.Variables'!$E$100</f>
        <v>8.8919999999999995</v>
      </c>
      <c r="T62" s="42"/>
      <c r="U62" s="51">
        <f t="shared" si="34"/>
        <v>14734661.429114196</v>
      </c>
      <c r="V62" s="52"/>
      <c r="W62" s="440">
        <f t="shared" si="30"/>
        <v>-342187.81773705594</v>
      </c>
      <c r="X62" s="509">
        <f t="shared" si="31"/>
        <v>-2.3775469525027241E-2</v>
      </c>
      <c r="Y62" s="440"/>
      <c r="Z62" s="42"/>
      <c r="AA62" s="686"/>
      <c r="AB62" s="686"/>
      <c r="AC62" s="686"/>
      <c r="AD62" s="686"/>
      <c r="AE62" s="686"/>
      <c r="AF62" s="686"/>
      <c r="AG62" s="42"/>
      <c r="AH62" s="42"/>
      <c r="AI62" s="42"/>
      <c r="AJ62" s="42"/>
      <c r="AK62" s="42"/>
      <c r="AL62" s="42"/>
      <c r="AM62" s="42"/>
      <c r="AN62" s="42"/>
      <c r="AO62" s="42"/>
      <c r="AP62" s="42"/>
      <c r="AQ62" s="42"/>
      <c r="AR62" s="42"/>
      <c r="AS62" s="42"/>
    </row>
    <row r="63" spans="1:45" x14ac:dyDescent="0.2">
      <c r="A63" s="143">
        <f t="shared" si="40"/>
        <v>41</v>
      </c>
      <c r="B63" s="50" t="str">
        <f>CONCATENATE('3. Consumption by Rate Class'!A50,"-",'3. Consumption by Rate Class'!B50)</f>
        <v>2015-May</v>
      </c>
      <c r="C63" s="115">
        <v>6579477.7999999998</v>
      </c>
      <c r="D63" s="142">
        <v>7333871.2000000002</v>
      </c>
      <c r="E63" s="115">
        <f t="shared" si="33"/>
        <v>13913349</v>
      </c>
      <c r="F63" s="115">
        <v>203737.84840571426</v>
      </c>
      <c r="G63" s="142">
        <v>107592</v>
      </c>
      <c r="H63" s="115">
        <v>1361307</v>
      </c>
      <c r="I63" s="115">
        <f>-'SQL Data kWh'!X45</f>
        <v>-31347.25</v>
      </c>
      <c r="J63" s="108"/>
      <c r="K63" s="108"/>
      <c r="L63" s="51">
        <f t="shared" si="39"/>
        <v>15554638.598405715</v>
      </c>
      <c r="M63" s="121">
        <f>+'5.Variables'!$F$10</f>
        <v>131.80000000000004</v>
      </c>
      <c r="N63" s="121">
        <f>+'5.Variables'!$F$25</f>
        <v>9.75</v>
      </c>
      <c r="O63" s="490">
        <f>+'5.Variables'!$F$40</f>
        <v>14.47</v>
      </c>
      <c r="P63" s="121">
        <f>+'5.Variables'!$F$55</f>
        <v>8787</v>
      </c>
      <c r="Q63" s="121">
        <f>+'5.Variables'!$F$70</f>
        <v>31</v>
      </c>
      <c r="R63" s="121">
        <f>+'5.Variables'!$F$85</f>
        <v>0</v>
      </c>
      <c r="S63" s="490">
        <f>+'5.Variables'!$F$100</f>
        <v>9.2460000000000004</v>
      </c>
      <c r="T63" s="42"/>
      <c r="U63" s="51">
        <f t="shared" si="34"/>
        <v>14956983.284952108</v>
      </c>
      <c r="V63" s="52"/>
      <c r="W63" s="440">
        <f t="shared" si="30"/>
        <v>597655.31345360726</v>
      </c>
      <c r="X63" s="509">
        <f t="shared" si="31"/>
        <v>3.8422963649882833E-2</v>
      </c>
      <c r="Y63" s="440"/>
      <c r="Z63" s="42"/>
      <c r="AA63" s="682" t="s">
        <v>31</v>
      </c>
      <c r="AB63" s="682" t="s">
        <v>169</v>
      </c>
      <c r="AC63" s="682" t="s">
        <v>170</v>
      </c>
      <c r="AD63" s="682" t="s">
        <v>230</v>
      </c>
      <c r="AE63" s="682" t="s">
        <v>230</v>
      </c>
      <c r="AF63" s="681"/>
      <c r="AG63" s="42"/>
      <c r="AH63" s="42"/>
      <c r="AI63" s="42"/>
      <c r="AJ63" s="42"/>
      <c r="AK63" s="42"/>
      <c r="AL63" s="42"/>
      <c r="AM63" s="42"/>
      <c r="AN63" s="42"/>
      <c r="AO63" s="42"/>
      <c r="AP63" s="42"/>
      <c r="AQ63" s="42"/>
      <c r="AR63" s="42"/>
      <c r="AS63" s="42"/>
    </row>
    <row r="64" spans="1:45" x14ac:dyDescent="0.2">
      <c r="A64" s="143">
        <f t="shared" si="40"/>
        <v>42</v>
      </c>
      <c r="B64" s="50" t="str">
        <f>CONCATENATE('3. Consumption by Rate Class'!A51,"-",'3. Consumption by Rate Class'!B51)</f>
        <v>2015-June</v>
      </c>
      <c r="C64" s="115">
        <v>6678888.7000000002</v>
      </c>
      <c r="D64" s="142">
        <v>7683738</v>
      </c>
      <c r="E64" s="115">
        <f t="shared" si="33"/>
        <v>14362626.699999999</v>
      </c>
      <c r="F64" s="115">
        <v>182004.55465008406</v>
      </c>
      <c r="G64" s="142">
        <v>129515.8</v>
      </c>
      <c r="H64" s="115">
        <v>1338087.7</v>
      </c>
      <c r="I64" s="115">
        <f>-'SQL Data kWh'!X46</f>
        <v>-32170.880000000001</v>
      </c>
      <c r="J64" s="108"/>
      <c r="K64" s="108"/>
      <c r="L64" s="51">
        <f t="shared" si="39"/>
        <v>15980063.874650082</v>
      </c>
      <c r="M64" s="121">
        <f>+'5.Variables'!$G$10</f>
        <v>61.199999999999996</v>
      </c>
      <c r="N64" s="121">
        <f>+'5.Variables'!$G$25</f>
        <v>19.499999999999996</v>
      </c>
      <c r="O64" s="490">
        <f>+'5.Variables'!$G$40</f>
        <v>15.3</v>
      </c>
      <c r="P64" s="121">
        <f>+'5.Variables'!$G$55</f>
        <v>8825</v>
      </c>
      <c r="Q64" s="121">
        <f>+'5.Variables'!$G$70</f>
        <v>30</v>
      </c>
      <c r="R64" s="121">
        <f>+'5.Variables'!$G$85</f>
        <v>1</v>
      </c>
      <c r="S64" s="490">
        <f>+'5.Variables'!$G$100</f>
        <v>9.2460000000000004</v>
      </c>
      <c r="T64" s="42"/>
      <c r="U64" s="51">
        <f t="shared" si="34"/>
        <v>16456202.882443164</v>
      </c>
      <c r="V64" s="52"/>
      <c r="W64" s="440">
        <f t="shared" si="30"/>
        <v>-476139.00779308192</v>
      </c>
      <c r="X64" s="509">
        <f t="shared" si="31"/>
        <v>-2.9795813804499454E-2</v>
      </c>
      <c r="Y64" s="440"/>
      <c r="Z64" s="42"/>
      <c r="AA64" s="683" t="str">
        <f>AA50</f>
        <v>2012</v>
      </c>
      <c r="AB64" s="684">
        <f>AB50</f>
        <v>189169072.93239999</v>
      </c>
      <c r="AC64" s="684">
        <f>AD50</f>
        <v>199851515.10739517</v>
      </c>
      <c r="AD64" s="687">
        <f>+AB64-AC64</f>
        <v>-10682442.174995184</v>
      </c>
      <c r="AE64" s="688">
        <f>+AD64/AC64</f>
        <v>-5.3451894869321899E-2</v>
      </c>
      <c r="AF64" s="681"/>
      <c r="AG64" s="42"/>
      <c r="AH64" s="42"/>
      <c r="AI64" s="42"/>
      <c r="AJ64" s="42"/>
      <c r="AK64" s="42"/>
      <c r="AL64" s="42"/>
      <c r="AM64" s="42"/>
      <c r="AN64" s="42"/>
      <c r="AO64" s="42"/>
      <c r="AP64" s="42"/>
      <c r="AQ64" s="42"/>
      <c r="AR64" s="42"/>
      <c r="AS64" s="42"/>
    </row>
    <row r="65" spans="1:45" x14ac:dyDescent="0.2">
      <c r="A65" s="143">
        <f t="shared" si="40"/>
        <v>43</v>
      </c>
      <c r="B65" s="50" t="str">
        <f>CONCATENATE('3. Consumption by Rate Class'!A52,"-",'3. Consumption by Rate Class'!B52)</f>
        <v>2015-July</v>
      </c>
      <c r="C65" s="115">
        <v>8629301.9000000004</v>
      </c>
      <c r="D65" s="142">
        <v>9783383.6999999993</v>
      </c>
      <c r="E65" s="115">
        <f t="shared" si="33"/>
        <v>18412685.600000001</v>
      </c>
      <c r="F65" s="115">
        <v>210076.97356157494</v>
      </c>
      <c r="G65" s="142">
        <v>115595.1</v>
      </c>
      <c r="H65" s="115">
        <v>1312022.4000000001</v>
      </c>
      <c r="I65" s="115">
        <f>-'SQL Data kWh'!X47</f>
        <v>-33770.019999999997</v>
      </c>
      <c r="J65" s="108"/>
      <c r="K65" s="108"/>
      <c r="L65" s="51">
        <f t="shared" si="39"/>
        <v>20016610.053561576</v>
      </c>
      <c r="M65" s="121">
        <f>+'5.Variables'!$H$10</f>
        <v>2.6</v>
      </c>
      <c r="N65" s="121">
        <f>+'5.Variables'!$H$25</f>
        <v>121.2</v>
      </c>
      <c r="O65" s="490">
        <f>+'5.Variables'!$H$40</f>
        <v>15.11</v>
      </c>
      <c r="P65" s="121">
        <f>+'5.Variables'!$H$55</f>
        <v>8849</v>
      </c>
      <c r="Q65" s="121">
        <f>+'5.Variables'!$H$70</f>
        <v>31</v>
      </c>
      <c r="R65" s="121">
        <f>+'5.Variables'!$H$85</f>
        <v>1</v>
      </c>
      <c r="S65" s="490">
        <f>+'5.Variables'!$H$100</f>
        <v>9.2460000000000004</v>
      </c>
      <c r="T65" s="42"/>
      <c r="U65" s="51">
        <f t="shared" si="34"/>
        <v>20752972.974297155</v>
      </c>
      <c r="V65" s="52"/>
      <c r="W65" s="440">
        <f t="shared" si="30"/>
        <v>-736362.92073557898</v>
      </c>
      <c r="X65" s="509">
        <f t="shared" si="31"/>
        <v>-3.678759384157345E-2</v>
      </c>
      <c r="Y65" s="440"/>
      <c r="Z65" s="42"/>
      <c r="AA65" s="683" t="str">
        <f t="shared" ref="AA65:AA74" si="46">AA51</f>
        <v>2013</v>
      </c>
      <c r="AB65" s="684">
        <f t="shared" ref="AB65:AB74" si="47">AB51</f>
        <v>189823053.13865024</v>
      </c>
      <c r="AC65" s="684">
        <f t="shared" ref="AC65:AC74" si="48">AD51</f>
        <v>195558511.30286601</v>
      </c>
      <c r="AD65" s="687">
        <f t="shared" ref="AD65:AD74" si="49">+AB65-AC65</f>
        <v>-5735458.1642157733</v>
      </c>
      <c r="AE65" s="688">
        <f t="shared" ref="AE65:AE74" si="50">+AD65/AC65</f>
        <v>-2.9328604140032216E-2</v>
      </c>
      <c r="AF65" s="681"/>
      <c r="AG65" s="42"/>
      <c r="AH65" s="42"/>
      <c r="AI65" s="42"/>
      <c r="AJ65" s="42"/>
      <c r="AK65" s="42"/>
      <c r="AL65" s="42"/>
      <c r="AM65" s="42"/>
      <c r="AN65" s="42"/>
      <c r="AO65" s="42"/>
      <c r="AP65" s="42"/>
      <c r="AQ65" s="42"/>
      <c r="AR65" s="42"/>
      <c r="AS65" s="42"/>
    </row>
    <row r="66" spans="1:45" x14ac:dyDescent="0.2">
      <c r="A66" s="143">
        <f t="shared" si="40"/>
        <v>44</v>
      </c>
      <c r="B66" s="50" t="str">
        <f>CONCATENATE('3. Consumption by Rate Class'!A53,"-",'3. Consumption by Rate Class'!B53)</f>
        <v>2015-August</v>
      </c>
      <c r="C66" s="115">
        <v>8375376</v>
      </c>
      <c r="D66" s="142">
        <v>9497461</v>
      </c>
      <c r="E66" s="115">
        <f t="shared" si="33"/>
        <v>17872837</v>
      </c>
      <c r="F66" s="115">
        <v>184520.107502258</v>
      </c>
      <c r="G66" s="142">
        <v>107271.6</v>
      </c>
      <c r="H66" s="115">
        <v>1359200.7000000002</v>
      </c>
      <c r="I66" s="115">
        <f>-'SQL Data kWh'!X48</f>
        <v>-35801.519999999997</v>
      </c>
      <c r="J66" s="108"/>
      <c r="K66" s="108"/>
      <c r="L66" s="51">
        <f t="shared" si="39"/>
        <v>19488027.887502261</v>
      </c>
      <c r="M66" s="121">
        <f>+'5.Variables'!$I$10</f>
        <v>2.2000000000000002</v>
      </c>
      <c r="N66" s="121">
        <f>+'5.Variables'!$I$25</f>
        <v>104.30000000000001</v>
      </c>
      <c r="O66" s="490">
        <f>+'5.Variables'!$I$40</f>
        <v>14</v>
      </c>
      <c r="P66" s="121">
        <f>+'5.Variables'!$I$55</f>
        <v>8871.5</v>
      </c>
      <c r="Q66" s="121">
        <f>+'5.Variables'!$I$70</f>
        <v>31</v>
      </c>
      <c r="R66" s="121">
        <f>+'5.Variables'!$I$85</f>
        <v>1</v>
      </c>
      <c r="S66" s="490">
        <f>+'5.Variables'!$I$100</f>
        <v>9.2460000000000004</v>
      </c>
      <c r="T66" s="42"/>
      <c r="U66" s="51">
        <f t="shared" si="34"/>
        <v>20111055.512524806</v>
      </c>
      <c r="V66" s="52"/>
      <c r="W66" s="440">
        <f t="shared" si="30"/>
        <v>-623027.62502254546</v>
      </c>
      <c r="X66" s="509">
        <f t="shared" si="31"/>
        <v>-3.1969762595736799E-2</v>
      </c>
      <c r="Y66" s="440"/>
      <c r="Z66" s="42"/>
      <c r="AA66" s="683" t="str">
        <f t="shared" si="46"/>
        <v>2014</v>
      </c>
      <c r="AB66" s="684">
        <f t="shared" si="47"/>
        <v>196598603.14219356</v>
      </c>
      <c r="AC66" s="684">
        <f t="shared" si="48"/>
        <v>196752311.711725</v>
      </c>
      <c r="AD66" s="687">
        <f t="shared" si="49"/>
        <v>-153708.56953144073</v>
      </c>
      <c r="AE66" s="688">
        <f t="shared" si="50"/>
        <v>-7.8122878554356945E-4</v>
      </c>
      <c r="AF66" s="681"/>
      <c r="AG66" s="42"/>
      <c r="AH66" s="42"/>
      <c r="AI66" s="42"/>
      <c r="AJ66" s="42"/>
      <c r="AK66" s="42"/>
      <c r="AL66" s="42"/>
      <c r="AM66" s="42"/>
      <c r="AN66" s="42"/>
      <c r="AO66" s="42"/>
      <c r="AP66" s="42"/>
      <c r="AQ66" s="42"/>
      <c r="AR66" s="42"/>
      <c r="AS66" s="42"/>
    </row>
    <row r="67" spans="1:45" x14ac:dyDescent="0.2">
      <c r="A67" s="143">
        <f t="shared" si="40"/>
        <v>45</v>
      </c>
      <c r="B67" s="50" t="str">
        <f>CONCATENATE('3. Consumption by Rate Class'!A54,"-",'3. Consumption by Rate Class'!B54)</f>
        <v>2015-September</v>
      </c>
      <c r="C67" s="115">
        <v>7582719</v>
      </c>
      <c r="D67" s="142">
        <v>9076993</v>
      </c>
      <c r="E67" s="115">
        <f t="shared" si="33"/>
        <v>16659712</v>
      </c>
      <c r="F67" s="115">
        <v>151059.06776288102</v>
      </c>
      <c r="G67" s="142">
        <v>80132.600000000006</v>
      </c>
      <c r="H67" s="115">
        <v>1331502.2</v>
      </c>
      <c r="I67" s="115">
        <f>-'SQL Data kWh'!X49</f>
        <v>-38881.75</v>
      </c>
      <c r="J67" s="108"/>
      <c r="K67" s="108"/>
      <c r="L67" s="51">
        <f t="shared" si="39"/>
        <v>18183524.117762882</v>
      </c>
      <c r="M67" s="121">
        <f>+'5.Variables'!$J$10</f>
        <v>17.099999999999998</v>
      </c>
      <c r="N67" s="121">
        <f>+'5.Variables'!$J$25</f>
        <v>83.999999999999986</v>
      </c>
      <c r="O67" s="490">
        <f>+'5.Variables'!$J$40</f>
        <v>12.27</v>
      </c>
      <c r="P67" s="121">
        <f>+'5.Variables'!$J$55</f>
        <v>8900.5</v>
      </c>
      <c r="Q67" s="121">
        <f>+'5.Variables'!$J$70</f>
        <v>30</v>
      </c>
      <c r="R67" s="121">
        <f>+'5.Variables'!$J$85</f>
        <v>0</v>
      </c>
      <c r="S67" s="490">
        <f>+'5.Variables'!$J$100</f>
        <v>9.2460000000000004</v>
      </c>
      <c r="T67" s="42"/>
      <c r="U67" s="51">
        <f t="shared" si="34"/>
        <v>17110316.476429909</v>
      </c>
      <c r="V67" s="52"/>
      <c r="W67" s="440">
        <f t="shared" si="30"/>
        <v>1073207.6413329728</v>
      </c>
      <c r="X67" s="509">
        <f t="shared" si="31"/>
        <v>5.9020882551836684E-2</v>
      </c>
      <c r="Y67" s="440"/>
      <c r="Z67" s="42"/>
      <c r="AA67" s="683" t="str">
        <f t="shared" si="46"/>
        <v>2015</v>
      </c>
      <c r="AB67" s="684">
        <f t="shared" si="47"/>
        <v>201311529.5372414</v>
      </c>
      <c r="AC67" s="684">
        <f t="shared" si="48"/>
        <v>202773256.87510347</v>
      </c>
      <c r="AD67" s="687">
        <f t="shared" si="49"/>
        <v>-1461727.3378620744</v>
      </c>
      <c r="AE67" s="688">
        <f t="shared" si="50"/>
        <v>-7.2086790950071557E-3</v>
      </c>
      <c r="AF67" s="681"/>
      <c r="AG67" s="42"/>
      <c r="AH67" s="42"/>
      <c r="AI67" s="42"/>
      <c r="AJ67" s="42"/>
      <c r="AK67" s="42"/>
      <c r="AL67" s="42"/>
      <c r="AM67" s="42"/>
      <c r="AN67" s="42"/>
      <c r="AO67" s="42"/>
      <c r="AP67" s="42"/>
      <c r="AQ67" s="42"/>
      <c r="AR67" s="42"/>
      <c r="AS67" s="42"/>
    </row>
    <row r="68" spans="1:45" x14ac:dyDescent="0.2">
      <c r="A68" s="143">
        <f t="shared" si="40"/>
        <v>46</v>
      </c>
      <c r="B68" s="50" t="str">
        <f>CONCATENATE('3. Consumption by Rate Class'!A55,"-",'3. Consumption by Rate Class'!B55)</f>
        <v>2015-October</v>
      </c>
      <c r="C68" s="115">
        <v>6123311</v>
      </c>
      <c r="D68" s="142">
        <v>7443929</v>
      </c>
      <c r="E68" s="115">
        <f t="shared" si="33"/>
        <v>13567240</v>
      </c>
      <c r="F68" s="115">
        <v>109639.51298034481</v>
      </c>
      <c r="G68" s="142">
        <v>60710.6</v>
      </c>
      <c r="H68" s="115">
        <v>1347532.2</v>
      </c>
      <c r="I68" s="115">
        <f>-'SQL Data kWh'!X50</f>
        <v>-48755.74</v>
      </c>
      <c r="J68" s="108"/>
      <c r="K68" s="108"/>
      <c r="L68" s="51">
        <f t="shared" si="39"/>
        <v>15036366.572980344</v>
      </c>
      <c r="M68" s="121">
        <f>+'5.Variables'!$K$10</f>
        <v>186.04999999999998</v>
      </c>
      <c r="N68" s="121">
        <f>+'5.Variables'!$K$25</f>
        <v>1.8</v>
      </c>
      <c r="O68" s="490">
        <f>+'5.Variables'!$K$40</f>
        <v>10.52</v>
      </c>
      <c r="P68" s="121">
        <f>+'5.Variables'!$K$55</f>
        <v>8928.5</v>
      </c>
      <c r="Q68" s="121">
        <f>+'5.Variables'!$K$70</f>
        <v>31</v>
      </c>
      <c r="R68" s="121">
        <f>+'5.Variables'!$K$85</f>
        <v>0</v>
      </c>
      <c r="S68" s="490">
        <f>+'5.Variables'!$K$100</f>
        <v>9.2460000000000004</v>
      </c>
      <c r="T68" s="42"/>
      <c r="U68" s="51">
        <f t="shared" si="34"/>
        <v>14979927.851822704</v>
      </c>
      <c r="V68" s="52"/>
      <c r="W68" s="440">
        <f t="shared" si="30"/>
        <v>56438.721157640219</v>
      </c>
      <c r="X68" s="509">
        <f t="shared" si="31"/>
        <v>3.7534813270020959E-3</v>
      </c>
      <c r="Y68" s="440"/>
      <c r="Z68" s="42"/>
      <c r="AA68" s="683" t="str">
        <f t="shared" si="46"/>
        <v>2016</v>
      </c>
      <c r="AB68" s="684">
        <f t="shared" si="47"/>
        <v>207648847.01895002</v>
      </c>
      <c r="AC68" s="684">
        <f t="shared" si="48"/>
        <v>214005327.3685981</v>
      </c>
      <c r="AD68" s="687">
        <f t="shared" si="49"/>
        <v>-6356480.3496480882</v>
      </c>
      <c r="AE68" s="688">
        <f t="shared" si="50"/>
        <v>-2.9702439784126611E-2</v>
      </c>
      <c r="AF68" s="681"/>
      <c r="AG68" s="42"/>
      <c r="AH68" s="42"/>
      <c r="AI68" s="42"/>
      <c r="AJ68" s="42"/>
      <c r="AK68" s="42"/>
      <c r="AL68" s="42"/>
      <c r="AM68" s="42"/>
      <c r="AN68" s="42"/>
      <c r="AO68" s="42"/>
      <c r="AP68" s="42"/>
      <c r="AQ68" s="42"/>
      <c r="AR68" s="42"/>
      <c r="AS68" s="42"/>
    </row>
    <row r="69" spans="1:45" x14ac:dyDescent="0.2">
      <c r="A69" s="143">
        <f t="shared" si="40"/>
        <v>47</v>
      </c>
      <c r="B69" s="50" t="str">
        <f>CONCATENATE('3. Consumption by Rate Class'!A56,"-",'3. Consumption by Rate Class'!B56)</f>
        <v>2015-November</v>
      </c>
      <c r="C69" s="115">
        <v>6212159.665</v>
      </c>
      <c r="D69" s="142">
        <v>7348513</v>
      </c>
      <c r="E69" s="115">
        <f t="shared" si="33"/>
        <v>13560672.664999999</v>
      </c>
      <c r="F69" s="115">
        <v>83757.307430000044</v>
      </c>
      <c r="G69" s="142">
        <v>39954</v>
      </c>
      <c r="H69" s="115">
        <v>1329402.8999999999</v>
      </c>
      <c r="I69" s="115">
        <f>-'SQL Data kWh'!X51</f>
        <v>-52182.13</v>
      </c>
      <c r="J69" s="108"/>
      <c r="K69" s="108"/>
      <c r="L69" s="51">
        <f t="shared" si="39"/>
        <v>14961604.742429998</v>
      </c>
      <c r="M69" s="121">
        <f>+'5.Variables'!$L$10</f>
        <v>284.45</v>
      </c>
      <c r="N69" s="121">
        <f>+'5.Variables'!$L$25</f>
        <v>0</v>
      </c>
      <c r="O69" s="490">
        <f>+'5.Variables'!$L$40</f>
        <v>9.31</v>
      </c>
      <c r="P69" s="121">
        <f>+'5.Variables'!$L$55</f>
        <v>8950</v>
      </c>
      <c r="Q69" s="121">
        <f>+'5.Variables'!$L$70</f>
        <v>30</v>
      </c>
      <c r="R69" s="121">
        <f>+'5.Variables'!$L$85</f>
        <v>0</v>
      </c>
      <c r="S69" s="490">
        <f>+'5.Variables'!$L$100</f>
        <v>9.5</v>
      </c>
      <c r="T69" s="42"/>
      <c r="U69" s="51">
        <f t="shared" si="34"/>
        <v>14792654.397247678</v>
      </c>
      <c r="V69" s="52"/>
      <c r="W69" s="440">
        <f t="shared" si="30"/>
        <v>168950.3451823201</v>
      </c>
      <c r="X69" s="509">
        <f t="shared" si="31"/>
        <v>1.1292260963370427E-2</v>
      </c>
      <c r="Y69" s="440"/>
      <c r="Z69" s="42"/>
      <c r="AA69" s="683" t="str">
        <f t="shared" si="46"/>
        <v>2017</v>
      </c>
      <c r="AB69" s="684">
        <f t="shared" si="47"/>
        <v>201142654.82493001</v>
      </c>
      <c r="AC69" s="684">
        <f t="shared" si="48"/>
        <v>207962088.84304467</v>
      </c>
      <c r="AD69" s="687">
        <f t="shared" si="49"/>
        <v>-6819434.0181146562</v>
      </c>
      <c r="AE69" s="688">
        <f t="shared" si="50"/>
        <v>-3.2791717259877548E-2</v>
      </c>
      <c r="AF69" s="681"/>
      <c r="AG69" s="42"/>
      <c r="AH69" s="42"/>
      <c r="AI69" s="42"/>
      <c r="AJ69" s="42"/>
      <c r="AK69" s="42"/>
      <c r="AL69" s="42"/>
      <c r="AM69" s="42"/>
      <c r="AN69" s="42"/>
      <c r="AO69" s="42"/>
      <c r="AP69" s="42"/>
      <c r="AQ69" s="42"/>
      <c r="AR69" s="42"/>
      <c r="AS69" s="42"/>
    </row>
    <row r="70" spans="1:45" x14ac:dyDescent="0.2">
      <c r="A70" s="143">
        <f t="shared" si="40"/>
        <v>48</v>
      </c>
      <c r="B70" s="87" t="str">
        <f>CONCATENATE('3. Consumption by Rate Class'!A57,"-",'3. Consumption by Rate Class'!B57)</f>
        <v>2015-December</v>
      </c>
      <c r="C70" s="105">
        <v>6474306</v>
      </c>
      <c r="D70" s="105">
        <v>8101680</v>
      </c>
      <c r="E70" s="105">
        <f t="shared" si="33"/>
        <v>14575986</v>
      </c>
      <c r="F70" s="105">
        <v>39074.428999999982</v>
      </c>
      <c r="G70" s="105">
        <v>19580</v>
      </c>
      <c r="H70" s="105">
        <v>1236160</v>
      </c>
      <c r="I70" s="105">
        <f>-'SQL Data kWh'!X52</f>
        <v>-66868.97</v>
      </c>
      <c r="J70" s="110"/>
      <c r="K70" s="110"/>
      <c r="L70" s="51">
        <f t="shared" si="39"/>
        <v>15803931.458999999</v>
      </c>
      <c r="M70" s="121">
        <f>+'5.Variables'!$M$10</f>
        <v>372.95000000000005</v>
      </c>
      <c r="N70" s="121">
        <f>+'5.Variables'!$M$25</f>
        <v>0</v>
      </c>
      <c r="O70" s="490">
        <f>+'5.Variables'!$M$40</f>
        <v>8.5</v>
      </c>
      <c r="P70" s="121">
        <f>+'5.Variables'!$M$55</f>
        <v>8984.5</v>
      </c>
      <c r="Q70" s="121">
        <f>+'5.Variables'!$M$70</f>
        <v>31</v>
      </c>
      <c r="R70" s="121">
        <f>+'5.Variables'!$M$85</f>
        <v>1</v>
      </c>
      <c r="S70" s="490">
        <f>+'5.Variables'!$M$100</f>
        <v>9.5</v>
      </c>
      <c r="T70" s="42"/>
      <c r="U70" s="51">
        <f t="shared" si="34"/>
        <v>17421619.685419016</v>
      </c>
      <c r="V70" s="52">
        <f>SUM(U59:U70)</f>
        <v>202773256.87510347</v>
      </c>
      <c r="W70" s="440">
        <f t="shared" si="30"/>
        <v>-1617688.2264190167</v>
      </c>
      <c r="X70" s="509">
        <f t="shared" si="31"/>
        <v>-0.10235986093813246</v>
      </c>
      <c r="Y70" s="440"/>
      <c r="Z70" s="42"/>
      <c r="AA70" s="683" t="str">
        <f t="shared" si="46"/>
        <v>2018</v>
      </c>
      <c r="AB70" s="684">
        <f t="shared" si="47"/>
        <v>214357375.32877001</v>
      </c>
      <c r="AC70" s="684">
        <f t="shared" si="48"/>
        <v>216453357.83650899</v>
      </c>
      <c r="AD70" s="687">
        <f t="shared" si="49"/>
        <v>-2095982.5077389777</v>
      </c>
      <c r="AE70" s="688">
        <f t="shared" si="50"/>
        <v>-9.683298650058873E-3</v>
      </c>
      <c r="AF70" s="681"/>
      <c r="AG70" s="42"/>
      <c r="AH70" s="42"/>
      <c r="AI70" s="42"/>
      <c r="AJ70" s="42"/>
      <c r="AK70" s="42"/>
      <c r="AL70" s="42"/>
      <c r="AM70" s="42"/>
      <c r="AN70" s="42"/>
      <c r="AO70" s="42"/>
      <c r="AP70" s="42"/>
      <c r="AQ70" s="42"/>
      <c r="AR70" s="42"/>
      <c r="AS70" s="42"/>
    </row>
    <row r="71" spans="1:45" x14ac:dyDescent="0.2">
      <c r="A71" s="143">
        <f t="shared" si="40"/>
        <v>49</v>
      </c>
      <c r="B71" s="50" t="str">
        <f>CONCATENATE('3. Consumption by Rate Class'!A58,"-",'3. Consumption by Rate Class'!B58)</f>
        <v>2016-January</v>
      </c>
      <c r="C71" s="115">
        <v>7183115</v>
      </c>
      <c r="D71" s="142">
        <v>10131650</v>
      </c>
      <c r="E71" s="115">
        <f t="shared" si="33"/>
        <v>17314765</v>
      </c>
      <c r="F71" s="115">
        <v>51366.93526999998</v>
      </c>
      <c r="G71" s="142">
        <v>24980</v>
      </c>
      <c r="H71" s="115">
        <v>49494.2</v>
      </c>
      <c r="I71" s="115">
        <f>-'SQL Data kWh'!X53</f>
        <v>-105288.17</v>
      </c>
      <c r="J71" s="108"/>
      <c r="K71" s="108"/>
      <c r="L71" s="51">
        <f t="shared" si="39"/>
        <v>17335317.965269998</v>
      </c>
      <c r="M71" s="121">
        <f>+'5.Variables'!$B$11</f>
        <v>597.25000000000011</v>
      </c>
      <c r="N71" s="121">
        <f>+'5.Variables'!$B$26</f>
        <v>0</v>
      </c>
      <c r="O71" s="490">
        <f>+'5.Variables'!$B$41</f>
        <v>9.1199999999999992</v>
      </c>
      <c r="P71" s="121">
        <f>+'5.Variables'!$B$56</f>
        <v>9012</v>
      </c>
      <c r="Q71" s="121">
        <f>+'5.Variables'!$B$71</f>
        <v>31</v>
      </c>
      <c r="R71" s="121">
        <f>+'5.Variables'!$B$86</f>
        <v>1</v>
      </c>
      <c r="S71" s="490">
        <f>+'5.Variables'!$B$101</f>
        <v>9.5</v>
      </c>
      <c r="T71" s="42"/>
      <c r="U71" s="51">
        <f t="shared" si="34"/>
        <v>18230739.248778712</v>
      </c>
      <c r="V71" s="52"/>
      <c r="W71" s="440">
        <f t="shared" si="30"/>
        <v>-895421.28350871429</v>
      </c>
      <c r="X71" s="509">
        <f t="shared" si="31"/>
        <v>-5.1653006036729371E-2</v>
      </c>
      <c r="Y71" s="440"/>
      <c r="Z71" s="42"/>
      <c r="AA71" s="683" t="str">
        <f t="shared" si="46"/>
        <v>2019</v>
      </c>
      <c r="AB71" s="684">
        <f t="shared" si="47"/>
        <v>211297311.30446997</v>
      </c>
      <c r="AC71" s="684">
        <f t="shared" si="48"/>
        <v>211860362.50979912</v>
      </c>
      <c r="AD71" s="687">
        <f t="shared" si="49"/>
        <v>-563051.20532914996</v>
      </c>
      <c r="AE71" s="688">
        <f t="shared" si="50"/>
        <v>-2.65765242095773E-3</v>
      </c>
      <c r="AF71" s="681"/>
      <c r="AG71" s="42"/>
      <c r="AH71" s="42"/>
      <c r="AI71" s="42"/>
      <c r="AJ71" s="42"/>
      <c r="AK71" s="42"/>
      <c r="AL71" s="42"/>
      <c r="AM71" s="42"/>
      <c r="AN71" s="42"/>
      <c r="AO71" s="42"/>
      <c r="AP71" s="42"/>
      <c r="AQ71" s="42"/>
      <c r="AR71" s="42"/>
      <c r="AS71" s="42"/>
    </row>
    <row r="72" spans="1:45" x14ac:dyDescent="0.2">
      <c r="A72" s="143">
        <f t="shared" si="40"/>
        <v>50</v>
      </c>
      <c r="B72" s="50" t="str">
        <f>CONCATENATE('3. Consumption by Rate Class'!A59,"-",'3. Consumption by Rate Class'!B59)</f>
        <v>2016-February</v>
      </c>
      <c r="C72" s="115">
        <v>0</v>
      </c>
      <c r="D72" s="142">
        <v>15945461</v>
      </c>
      <c r="E72" s="115">
        <f t="shared" si="33"/>
        <v>15945461</v>
      </c>
      <c r="F72" s="115">
        <v>75671.538400000005</v>
      </c>
      <c r="G72" s="142">
        <v>33620</v>
      </c>
      <c r="H72" s="115">
        <v>0</v>
      </c>
      <c r="I72" s="115">
        <f>-'SQL Data kWh'!X54</f>
        <v>-130765.21</v>
      </c>
      <c r="J72" s="108"/>
      <c r="K72" s="108"/>
      <c r="L72" s="51">
        <f t="shared" si="39"/>
        <v>15923987.328399999</v>
      </c>
      <c r="M72" s="121">
        <f>+'5.Variables'!$C$11</f>
        <v>537.4</v>
      </c>
      <c r="N72" s="121">
        <f>+'5.Variables'!$C$26</f>
        <v>0</v>
      </c>
      <c r="O72" s="490">
        <f>+'5.Variables'!$C$41</f>
        <v>10.199999999999999</v>
      </c>
      <c r="P72" s="121">
        <f>+'5.Variables'!$C$56</f>
        <v>9030</v>
      </c>
      <c r="Q72" s="121">
        <f>+'5.Variables'!$C$71</f>
        <v>29</v>
      </c>
      <c r="R72" s="121">
        <f>+'5.Variables'!$C$86</f>
        <v>1</v>
      </c>
      <c r="S72" s="490">
        <f>+'5.Variables'!$C$101</f>
        <v>9.5</v>
      </c>
      <c r="T72" s="42"/>
      <c r="U72" s="51">
        <f t="shared" si="34"/>
        <v>17078467.912609525</v>
      </c>
      <c r="V72" s="52"/>
      <c r="W72" s="440">
        <f t="shared" si="30"/>
        <v>-1154480.584209526</v>
      </c>
      <c r="X72" s="509">
        <f t="shared" si="31"/>
        <v>-7.2499466396242426E-2</v>
      </c>
      <c r="Y72" s="440"/>
      <c r="Z72" s="42"/>
      <c r="AA72" s="683" t="str">
        <f t="shared" si="46"/>
        <v>2020</v>
      </c>
      <c r="AB72" s="684">
        <f t="shared" si="47"/>
        <v>204721526.64264002</v>
      </c>
      <c r="AC72" s="684">
        <f t="shared" si="48"/>
        <v>217694347.29207727</v>
      </c>
      <c r="AD72" s="687">
        <f t="shared" si="49"/>
        <v>-12972820.649437249</v>
      </c>
      <c r="AE72" s="688">
        <f t="shared" si="50"/>
        <v>-5.9591904019592239E-2</v>
      </c>
      <c r="AF72" s="681"/>
      <c r="AG72" s="42"/>
      <c r="AH72" s="42"/>
      <c r="AI72" s="42"/>
      <c r="AJ72" s="42"/>
      <c r="AK72" s="42"/>
      <c r="AL72" s="42"/>
      <c r="AM72" s="42"/>
      <c r="AN72" s="42"/>
      <c r="AO72" s="42"/>
      <c r="AP72" s="42"/>
      <c r="AQ72" s="42"/>
      <c r="AR72" s="42"/>
      <c r="AS72" s="42"/>
    </row>
    <row r="73" spans="1:45" x14ac:dyDescent="0.2">
      <c r="A73" s="143">
        <f t="shared" si="40"/>
        <v>51</v>
      </c>
      <c r="B73" s="50" t="str">
        <f>CONCATENATE('3. Consumption by Rate Class'!A60,"-",'3. Consumption by Rate Class'!B60)</f>
        <v>2016-March</v>
      </c>
      <c r="C73" s="115">
        <v>14389340</v>
      </c>
      <c r="D73" s="142">
        <v>753791.06700000004</v>
      </c>
      <c r="E73" s="115">
        <f t="shared" si="33"/>
        <v>15143131.067</v>
      </c>
      <c r="F73" s="115">
        <v>120819.12413000004</v>
      </c>
      <c r="G73" s="142">
        <v>70540.000000000015</v>
      </c>
      <c r="H73" s="115">
        <v>539094.03379999998</v>
      </c>
      <c r="I73" s="115">
        <f>-'SQL Data kWh'!X55</f>
        <v>-124335.58</v>
      </c>
      <c r="J73" s="108"/>
      <c r="K73" s="108"/>
      <c r="L73" s="51">
        <f t="shared" si="39"/>
        <v>15749248.644929999</v>
      </c>
      <c r="M73" s="121">
        <f>+'5.Variables'!$D$11</f>
        <v>444.59999999999997</v>
      </c>
      <c r="N73" s="121">
        <f>+'5.Variables'!$D$26</f>
        <v>0</v>
      </c>
      <c r="O73" s="490">
        <f>+'5.Variables'!$D$41</f>
        <v>11.5</v>
      </c>
      <c r="P73" s="121">
        <f>+'5.Variables'!$D$56</f>
        <v>9056.5</v>
      </c>
      <c r="Q73" s="121">
        <f>+'5.Variables'!$D$71</f>
        <v>31</v>
      </c>
      <c r="R73" s="121">
        <f>+'5.Variables'!$D$86</f>
        <v>0</v>
      </c>
      <c r="S73" s="490">
        <f>+'5.Variables'!$D$101</f>
        <v>9.5</v>
      </c>
      <c r="T73" s="42"/>
      <c r="U73" s="51">
        <f t="shared" si="34"/>
        <v>15941526.755257607</v>
      </c>
      <c r="V73" s="52"/>
      <c r="W73" s="440">
        <f t="shared" si="30"/>
        <v>-192278.11032760702</v>
      </c>
      <c r="X73" s="509">
        <f t="shared" si="31"/>
        <v>-1.2208716406893812E-2</v>
      </c>
      <c r="Y73" s="440"/>
      <c r="Z73" s="42"/>
      <c r="AA73" s="683" t="str">
        <f t="shared" si="46"/>
        <v>2021</v>
      </c>
      <c r="AB73" s="684">
        <f t="shared" si="47"/>
        <v>206058691.01699999</v>
      </c>
      <c r="AC73" s="684">
        <f t="shared" si="48"/>
        <v>217597933.53294417</v>
      </c>
      <c r="AD73" s="687">
        <f t="shared" si="49"/>
        <v>-11539242.515944183</v>
      </c>
      <c r="AE73" s="688">
        <f t="shared" si="50"/>
        <v>-5.303011075790915E-2</v>
      </c>
      <c r="AF73" s="686"/>
      <c r="AG73" s="42"/>
      <c r="AH73" s="42"/>
      <c r="AI73" s="42"/>
      <c r="AJ73" s="42"/>
      <c r="AK73" s="42"/>
      <c r="AL73" s="42"/>
      <c r="AM73" s="42"/>
      <c r="AN73" s="42"/>
      <c r="AO73" s="42"/>
      <c r="AP73" s="42"/>
      <c r="AQ73" s="42"/>
      <c r="AR73" s="42"/>
      <c r="AS73" s="42"/>
    </row>
    <row r="74" spans="1:45" x14ac:dyDescent="0.2">
      <c r="A74" s="143">
        <f t="shared" si="40"/>
        <v>52</v>
      </c>
      <c r="B74" s="50" t="str">
        <f>CONCATENATE('3. Consumption by Rate Class'!A61,"-",'3. Consumption by Rate Class'!B61)</f>
        <v>2016-April</v>
      </c>
      <c r="C74" s="115">
        <v>7732864</v>
      </c>
      <c r="D74" s="142">
        <v>5080017</v>
      </c>
      <c r="E74" s="115">
        <f t="shared" si="33"/>
        <v>12812881</v>
      </c>
      <c r="F74" s="115">
        <v>164539.77560999998</v>
      </c>
      <c r="G74" s="142">
        <v>83260.000000000029</v>
      </c>
      <c r="H74" s="115">
        <v>1332844.5255999998</v>
      </c>
      <c r="I74" s="115">
        <f>-'SQL Data kWh'!X56</f>
        <v>-101717.07</v>
      </c>
      <c r="J74" s="108"/>
      <c r="K74" s="108"/>
      <c r="L74" s="51">
        <f t="shared" si="39"/>
        <v>14291808.231209999</v>
      </c>
      <c r="M74" s="121">
        <f>+'5.Variables'!$E$11</f>
        <v>373.25000000000006</v>
      </c>
      <c r="N74" s="121">
        <f>+'5.Variables'!$E$26</f>
        <v>0</v>
      </c>
      <c r="O74" s="490">
        <f>+'5.Variables'!$E$41</f>
        <v>13.26</v>
      </c>
      <c r="P74" s="121">
        <f>+'5.Variables'!$E$56</f>
        <v>9074</v>
      </c>
      <c r="Q74" s="121">
        <f>+'5.Variables'!$E$71</f>
        <v>30</v>
      </c>
      <c r="R74" s="121">
        <f>+'5.Variables'!$E$86</f>
        <v>0</v>
      </c>
      <c r="S74" s="490">
        <f>+'5.Variables'!$E$101</f>
        <v>9.5</v>
      </c>
      <c r="T74" s="42"/>
      <c r="U74" s="51">
        <f t="shared" si="34"/>
        <v>15230006.555121228</v>
      </c>
      <c r="V74" s="52"/>
      <c r="W74" s="440">
        <f t="shared" si="30"/>
        <v>-938198.32391122915</v>
      </c>
      <c r="X74" s="509">
        <f t="shared" si="31"/>
        <v>-6.5645879704880256E-2</v>
      </c>
      <c r="Y74" s="440"/>
      <c r="Z74" s="42"/>
      <c r="AA74" s="683" t="str">
        <f t="shared" si="46"/>
        <v>2022 YTD</v>
      </c>
      <c r="AB74" s="684">
        <f t="shared" si="47"/>
        <v>216490123.03</v>
      </c>
      <c r="AC74" s="684">
        <f t="shared" si="48"/>
        <v>217640371.35769007</v>
      </c>
      <c r="AD74" s="687">
        <f t="shared" si="49"/>
        <v>-1150248.3276900649</v>
      </c>
      <c r="AE74" s="688">
        <f t="shared" si="50"/>
        <v>-5.2850871394610963E-3</v>
      </c>
      <c r="AF74" s="686"/>
      <c r="AG74" s="42"/>
      <c r="AH74" s="42"/>
      <c r="AI74" s="42"/>
      <c r="AJ74" s="42"/>
      <c r="AK74" s="42"/>
      <c r="AL74" s="42"/>
      <c r="AM74" s="42"/>
      <c r="AN74" s="42"/>
      <c r="AO74" s="42"/>
      <c r="AP74" s="42"/>
      <c r="AQ74" s="42"/>
      <c r="AR74" s="42"/>
      <c r="AS74" s="42"/>
    </row>
    <row r="75" spans="1:45" x14ac:dyDescent="0.2">
      <c r="A75" s="143">
        <f t="shared" si="40"/>
        <v>53</v>
      </c>
      <c r="B75" s="50" t="str">
        <f>CONCATENATE('3. Consumption by Rate Class'!A62,"-",'3. Consumption by Rate Class'!B62)</f>
        <v>2016-May</v>
      </c>
      <c r="C75" s="115">
        <v>8487870</v>
      </c>
      <c r="D75" s="142">
        <v>5632997</v>
      </c>
      <c r="E75" s="115">
        <f t="shared" si="33"/>
        <v>14120867</v>
      </c>
      <c r="F75" s="115">
        <v>218757.84048000004</v>
      </c>
      <c r="G75" s="142">
        <v>122240.00000000001</v>
      </c>
      <c r="H75" s="115">
        <v>1377929.0244000002</v>
      </c>
      <c r="I75" s="115">
        <f>-'SQL Data kWh'!X57</f>
        <v>-94113</v>
      </c>
      <c r="J75" s="108"/>
      <c r="K75" s="108"/>
      <c r="L75" s="51">
        <f t="shared" si="39"/>
        <v>15745680.864879999</v>
      </c>
      <c r="M75" s="121">
        <f>+'5.Variables'!$F$11</f>
        <v>157.94999999999996</v>
      </c>
      <c r="N75" s="121">
        <f>+'5.Variables'!$F$26</f>
        <v>31</v>
      </c>
      <c r="O75" s="490">
        <f>+'5.Variables'!$F$41</f>
        <v>14.47</v>
      </c>
      <c r="P75" s="121">
        <f>+'5.Variables'!$F$56</f>
        <v>9079.5</v>
      </c>
      <c r="Q75" s="121">
        <f>+'5.Variables'!$F$71</f>
        <v>31</v>
      </c>
      <c r="R75" s="121">
        <f>+'5.Variables'!$F$86</f>
        <v>0</v>
      </c>
      <c r="S75" s="490">
        <f>+'5.Variables'!$F$101</f>
        <v>10.214</v>
      </c>
      <c r="T75" s="42"/>
      <c r="U75" s="51">
        <f t="shared" si="34"/>
        <v>16185272.766544495</v>
      </c>
      <c r="V75" s="52"/>
      <c r="W75" s="440">
        <f t="shared" si="30"/>
        <v>-439591.90166449547</v>
      </c>
      <c r="X75" s="509">
        <f t="shared" si="31"/>
        <v>-2.7918252975962732E-2</v>
      </c>
      <c r="Y75" s="440"/>
      <c r="Z75" s="42"/>
      <c r="AA75" s="683" t="s">
        <v>350</v>
      </c>
      <c r="AB75" s="684"/>
      <c r="AC75" s="684">
        <f>V154</f>
        <v>217640371.35769007</v>
      </c>
      <c r="AD75" s="687"/>
      <c r="AE75" s="688"/>
      <c r="AF75" s="681"/>
      <c r="AG75" s="42"/>
      <c r="AH75" s="42"/>
      <c r="AI75" s="42"/>
      <c r="AJ75" s="42"/>
      <c r="AK75" s="42"/>
      <c r="AL75" s="42"/>
      <c r="AM75" s="42"/>
      <c r="AN75" s="42"/>
      <c r="AO75" s="42"/>
      <c r="AP75" s="42"/>
      <c r="AQ75" s="42"/>
      <c r="AR75" s="42"/>
      <c r="AS75" s="42"/>
    </row>
    <row r="76" spans="1:45" x14ac:dyDescent="0.2">
      <c r="A76" s="143">
        <f t="shared" si="40"/>
        <v>54</v>
      </c>
      <c r="B76" s="50" t="str">
        <f>CONCATENATE('3. Consumption by Rate Class'!A63,"-",'3. Consumption by Rate Class'!B63)</f>
        <v>2016-June</v>
      </c>
      <c r="C76" s="115">
        <v>9653572</v>
      </c>
      <c r="D76" s="142">
        <v>6496717</v>
      </c>
      <c r="E76" s="115">
        <f t="shared" si="33"/>
        <v>16150289</v>
      </c>
      <c r="F76" s="115">
        <v>232763.04793000003</v>
      </c>
      <c r="G76" s="142">
        <v>124480</v>
      </c>
      <c r="H76" s="115">
        <v>1258967.1299999997</v>
      </c>
      <c r="I76" s="115">
        <f>-'SQL Data kWh'!X58</f>
        <v>-241152</v>
      </c>
      <c r="J76" s="108"/>
      <c r="K76" s="108"/>
      <c r="L76" s="51">
        <f t="shared" si="39"/>
        <v>17525347.177930001</v>
      </c>
      <c r="M76" s="121">
        <f>+'5.Variables'!$G$11</f>
        <v>19.100000000000001</v>
      </c>
      <c r="N76" s="121">
        <f>+'5.Variables'!$G$26</f>
        <v>67.100000000000009</v>
      </c>
      <c r="O76" s="490">
        <f>+'5.Variables'!$G$41</f>
        <v>15.3</v>
      </c>
      <c r="P76" s="121">
        <f>+'5.Variables'!$G$56</f>
        <v>9017.4379791548999</v>
      </c>
      <c r="Q76" s="121">
        <f>+'5.Variables'!$G$71</f>
        <v>30</v>
      </c>
      <c r="R76" s="121">
        <f>+'5.Variables'!$G$86</f>
        <v>1</v>
      </c>
      <c r="S76" s="490">
        <f>+'5.Variables'!$G$101</f>
        <v>10.214</v>
      </c>
      <c r="T76" s="42"/>
      <c r="U76" s="51">
        <f t="shared" si="34"/>
        <v>18378412.246828541</v>
      </c>
      <c r="V76" s="52"/>
      <c r="W76" s="440">
        <f t="shared" si="30"/>
        <v>-853065.06889853999</v>
      </c>
      <c r="X76" s="509">
        <f t="shared" si="31"/>
        <v>-4.8676072447387565E-2</v>
      </c>
      <c r="Y76" s="440"/>
      <c r="Z76" s="42"/>
      <c r="AA76" s="683" t="s">
        <v>351</v>
      </c>
      <c r="AB76" s="684"/>
      <c r="AC76" s="684">
        <f>+V166</f>
        <v>218462139.94001785</v>
      </c>
      <c r="AD76" s="687"/>
      <c r="AE76" s="688"/>
      <c r="AF76" s="681"/>
      <c r="AG76" s="42"/>
      <c r="AH76" s="42"/>
      <c r="AI76" s="42"/>
      <c r="AJ76" s="42"/>
      <c r="AK76" s="42"/>
      <c r="AL76" s="42"/>
      <c r="AM76" s="42"/>
      <c r="AN76" s="42"/>
      <c r="AO76" s="42"/>
      <c r="AP76" s="42"/>
      <c r="AQ76" s="42"/>
      <c r="AR76" s="42"/>
      <c r="AS76" s="42"/>
    </row>
    <row r="77" spans="1:45" x14ac:dyDescent="0.2">
      <c r="A77" s="143">
        <f t="shared" si="40"/>
        <v>55</v>
      </c>
      <c r="B77" s="50" t="str">
        <f>CONCATENATE('3. Consumption by Rate Class'!A64,"-",'3. Consumption by Rate Class'!B64)</f>
        <v>2016-July</v>
      </c>
      <c r="C77" s="115">
        <v>12360518</v>
      </c>
      <c r="D77" s="142">
        <v>8284694</v>
      </c>
      <c r="E77" s="115">
        <f t="shared" si="33"/>
        <v>20645212</v>
      </c>
      <c r="F77" s="115">
        <v>217097.80709999995</v>
      </c>
      <c r="G77" s="142">
        <v>111300</v>
      </c>
      <c r="H77" s="115">
        <v>1312714.6599999999</v>
      </c>
      <c r="I77" s="115">
        <f>-'SQL Data kWh'!X59</f>
        <v>-15360</v>
      </c>
      <c r="J77" s="108"/>
      <c r="K77" s="108"/>
      <c r="L77" s="51">
        <f t="shared" si="39"/>
        <v>22270964.467100002</v>
      </c>
      <c r="M77" s="121">
        <f>+'5.Variables'!$H$11</f>
        <v>0</v>
      </c>
      <c r="N77" s="121">
        <f>+'5.Variables'!$H$26</f>
        <v>166.6</v>
      </c>
      <c r="O77" s="490">
        <f>+'5.Variables'!$H$41</f>
        <v>15.11</v>
      </c>
      <c r="P77" s="121">
        <f>+'5.Variables'!$H$56</f>
        <v>9031.5620208451001</v>
      </c>
      <c r="Q77" s="121">
        <f>+'5.Variables'!$H$71</f>
        <v>31</v>
      </c>
      <c r="R77" s="121">
        <f>+'5.Variables'!$H$86</f>
        <v>1</v>
      </c>
      <c r="S77" s="490">
        <f>+'5.Variables'!$H$101</f>
        <v>10.214</v>
      </c>
      <c r="T77" s="42"/>
      <c r="U77" s="51">
        <f t="shared" si="34"/>
        <v>22716031.209235884</v>
      </c>
      <c r="V77" s="52"/>
      <c r="W77" s="440">
        <f t="shared" si="30"/>
        <v>-445066.74213588238</v>
      </c>
      <c r="X77" s="509">
        <f t="shared" si="31"/>
        <v>-1.9984170097049975E-2</v>
      </c>
      <c r="Y77" s="440"/>
      <c r="Z77" s="42"/>
      <c r="AA77" s="686"/>
      <c r="AB77" s="686"/>
      <c r="AC77" s="686"/>
      <c r="AD77" s="686"/>
      <c r="AE77" s="686"/>
      <c r="AF77" s="681"/>
      <c r="AG77" s="42"/>
      <c r="AH77" s="42"/>
      <c r="AI77" s="42"/>
      <c r="AJ77" s="42"/>
      <c r="AK77" s="42"/>
      <c r="AL77" s="42"/>
      <c r="AM77" s="42"/>
      <c r="AN77" s="42"/>
      <c r="AO77" s="42"/>
      <c r="AP77" s="42"/>
      <c r="AQ77" s="42"/>
      <c r="AR77" s="42"/>
      <c r="AS77" s="42"/>
    </row>
    <row r="78" spans="1:45" x14ac:dyDescent="0.2">
      <c r="A78" s="143">
        <f t="shared" si="40"/>
        <v>56</v>
      </c>
      <c r="B78" s="50" t="str">
        <f>CONCATENATE('3. Consumption by Rate Class'!A65,"-",'3. Consumption by Rate Class'!B65)</f>
        <v>2016-August</v>
      </c>
      <c r="C78" s="115">
        <v>13187378</v>
      </c>
      <c r="D78" s="142">
        <v>8700050</v>
      </c>
      <c r="E78" s="115">
        <f t="shared" si="33"/>
        <v>21887428</v>
      </c>
      <c r="F78" s="115">
        <v>211027.19999999995</v>
      </c>
      <c r="G78" s="142">
        <v>116080</v>
      </c>
      <c r="H78" s="115">
        <v>1358607.6</v>
      </c>
      <c r="I78" s="115">
        <f>-'SQL Data kWh'!X60</f>
        <v>-158448</v>
      </c>
      <c r="J78" s="108"/>
      <c r="K78" s="108"/>
      <c r="L78" s="51">
        <f t="shared" si="39"/>
        <v>23414694.800000001</v>
      </c>
      <c r="M78" s="121">
        <f>+'5.Variables'!$I$11</f>
        <v>0</v>
      </c>
      <c r="N78" s="121">
        <f>+'5.Variables'!$I$26</f>
        <v>198.84999999999997</v>
      </c>
      <c r="O78" s="490">
        <f>+'5.Variables'!$I$41</f>
        <v>14</v>
      </c>
      <c r="P78" s="121">
        <f>+'5.Variables'!$I$56</f>
        <v>9045.5</v>
      </c>
      <c r="Q78" s="121">
        <f>+'5.Variables'!$I$71</f>
        <v>31</v>
      </c>
      <c r="R78" s="121">
        <f>+'5.Variables'!$I$86</f>
        <v>1</v>
      </c>
      <c r="S78" s="490">
        <f>+'5.Variables'!$I$101</f>
        <v>10.214</v>
      </c>
      <c r="T78" s="42"/>
      <c r="U78" s="51">
        <f t="shared" si="34"/>
        <v>23997175.850592349</v>
      </c>
      <c r="V78" s="52"/>
      <c r="W78" s="440">
        <f t="shared" si="30"/>
        <v>-582481.05059234798</v>
      </c>
      <c r="X78" s="509">
        <f t="shared" si="31"/>
        <v>-2.487673042795108E-2</v>
      </c>
      <c r="Y78" s="440"/>
      <c r="Z78" s="42"/>
      <c r="AA78" s="689" t="s">
        <v>43</v>
      </c>
      <c r="AB78" s="689"/>
      <c r="AC78" s="689"/>
      <c r="AD78" s="690">
        <f>AVERAGE(AE64:AE70)</f>
        <v>-2.3278266083423978E-2</v>
      </c>
      <c r="AE78" s="681"/>
      <c r="AF78" s="681"/>
      <c r="AG78" s="42"/>
      <c r="AH78" s="42"/>
      <c r="AI78" s="42"/>
      <c r="AJ78" s="42"/>
      <c r="AK78" s="42"/>
      <c r="AL78" s="42"/>
      <c r="AM78" s="42"/>
      <c r="AN78" s="42"/>
      <c r="AO78" s="42"/>
      <c r="AP78" s="42"/>
      <c r="AQ78" s="42"/>
      <c r="AR78" s="42"/>
      <c r="AS78" s="42"/>
    </row>
    <row r="79" spans="1:45" x14ac:dyDescent="0.2">
      <c r="A79" s="143">
        <f t="shared" si="40"/>
        <v>57</v>
      </c>
      <c r="B79" s="50" t="str">
        <f>CONCATENATE('3. Consumption by Rate Class'!A66,"-",'3. Consumption by Rate Class'!B66)</f>
        <v>2016-September</v>
      </c>
      <c r="C79" s="115">
        <v>10091356</v>
      </c>
      <c r="D79" s="142">
        <v>6571403</v>
      </c>
      <c r="E79" s="115">
        <f t="shared" si="33"/>
        <v>16662759</v>
      </c>
      <c r="F79" s="115">
        <v>173070.30826999989</v>
      </c>
      <c r="G79" s="142">
        <v>85480</v>
      </c>
      <c r="H79" s="115">
        <v>1263864.5114</v>
      </c>
      <c r="I79" s="115">
        <f>-'SQL Data kWh'!X61</f>
        <v>-145422.97</v>
      </c>
      <c r="J79" s="108"/>
      <c r="K79" s="108"/>
      <c r="L79" s="51">
        <f t="shared" si="39"/>
        <v>18039750.84967</v>
      </c>
      <c r="M79" s="121">
        <f>+'5.Variables'!$J$11</f>
        <v>14.400000000000002</v>
      </c>
      <c r="N79" s="121">
        <f>+'5.Variables'!$J$26</f>
        <v>88.799999999999983</v>
      </c>
      <c r="O79" s="490">
        <f>+'5.Variables'!$J$41</f>
        <v>12.27</v>
      </c>
      <c r="P79" s="121">
        <f>+'5.Variables'!$J$56</f>
        <v>9143</v>
      </c>
      <c r="Q79" s="121">
        <f>+'5.Variables'!$J$71</f>
        <v>30</v>
      </c>
      <c r="R79" s="121">
        <f>+'5.Variables'!$J$86</f>
        <v>0</v>
      </c>
      <c r="S79" s="490">
        <f>+'5.Variables'!$J$101</f>
        <v>10.214</v>
      </c>
      <c r="T79" s="42"/>
      <c r="U79" s="51">
        <f t="shared" si="34"/>
        <v>17540338.126355737</v>
      </c>
      <c r="V79" s="52"/>
      <c r="W79" s="440">
        <f t="shared" si="30"/>
        <v>499412.72331426293</v>
      </c>
      <c r="X79" s="509">
        <f t="shared" si="31"/>
        <v>2.7684014456518875E-2</v>
      </c>
      <c r="Y79" s="440"/>
      <c r="Z79" s="42"/>
      <c r="AA79" s="689" t="s">
        <v>46</v>
      </c>
      <c r="AB79" s="681"/>
      <c r="AC79" s="681"/>
      <c r="AD79" s="690">
        <f>MEDIAN(AE64:AE70)</f>
        <v>-2.9328604140032216E-2</v>
      </c>
      <c r="AE79" s="681"/>
      <c r="AF79" s="681"/>
      <c r="AG79" s="42"/>
      <c r="AH79" s="42"/>
      <c r="AI79" s="42"/>
      <c r="AJ79" s="42"/>
      <c r="AK79" s="42"/>
      <c r="AL79" s="42"/>
      <c r="AM79" s="42"/>
      <c r="AN79" s="42"/>
      <c r="AO79" s="42"/>
      <c r="AP79" s="42"/>
      <c r="AQ79" s="42"/>
      <c r="AR79" s="42"/>
      <c r="AS79" s="42"/>
    </row>
    <row r="80" spans="1:45" x14ac:dyDescent="0.2">
      <c r="A80" s="143">
        <f t="shared" si="40"/>
        <v>58</v>
      </c>
      <c r="B80" s="50" t="str">
        <f>CONCATENATE('3. Consumption by Rate Class'!A67,"-",'3. Consumption by Rate Class'!B67)</f>
        <v>2016-October</v>
      </c>
      <c r="C80" s="115">
        <v>8512870</v>
      </c>
      <c r="D80" s="142">
        <v>5361830</v>
      </c>
      <c r="E80" s="115">
        <f t="shared" si="33"/>
        <v>13874700</v>
      </c>
      <c r="F80" s="115">
        <v>121416.13999999996</v>
      </c>
      <c r="G80" s="142">
        <v>57000</v>
      </c>
      <c r="H80" s="115">
        <v>1387209.67</v>
      </c>
      <c r="I80" s="115">
        <f>-'SQL Data kWh'!X62</f>
        <v>-148497.03</v>
      </c>
      <c r="J80" s="108"/>
      <c r="K80" s="108"/>
      <c r="L80" s="51">
        <f t="shared" si="39"/>
        <v>15291828.780000001</v>
      </c>
      <c r="M80" s="121">
        <f>+'5.Variables'!$K$11</f>
        <v>141.90000000000003</v>
      </c>
      <c r="N80" s="121">
        <f>+'5.Variables'!$K$26</f>
        <v>12.350000000000001</v>
      </c>
      <c r="O80" s="490">
        <f>+'5.Variables'!$K$41</f>
        <v>10.52</v>
      </c>
      <c r="P80" s="121">
        <f>+'5.Variables'!$K$56</f>
        <v>9161</v>
      </c>
      <c r="Q80" s="121">
        <f>+'5.Variables'!$K$71</f>
        <v>31</v>
      </c>
      <c r="R80" s="121">
        <f>+'5.Variables'!$K$86</f>
        <v>0</v>
      </c>
      <c r="S80" s="490">
        <f>+'5.Variables'!$K$101</f>
        <v>10.214</v>
      </c>
      <c r="T80" s="42"/>
      <c r="U80" s="51">
        <f t="shared" si="34"/>
        <v>15481188.584593682</v>
      </c>
      <c r="V80" s="52"/>
      <c r="W80" s="440">
        <f t="shared" si="30"/>
        <v>-189359.80459368043</v>
      </c>
      <c r="X80" s="509">
        <f t="shared" si="31"/>
        <v>-1.2383071202140442E-2</v>
      </c>
      <c r="Y80" s="440"/>
      <c r="Z80" s="42"/>
      <c r="AA80" s="681"/>
      <c r="AB80" s="681"/>
      <c r="AC80" s="681"/>
      <c r="AD80" s="681"/>
      <c r="AE80" s="681"/>
      <c r="AF80" s="681"/>
      <c r="AG80" s="42"/>
      <c r="AH80" s="42"/>
      <c r="AI80" s="42"/>
      <c r="AJ80" s="42"/>
      <c r="AK80" s="42"/>
      <c r="AL80" s="42"/>
      <c r="AM80" s="42"/>
      <c r="AN80" s="42"/>
      <c r="AO80" s="42"/>
      <c r="AP80" s="42"/>
      <c r="AQ80" s="42"/>
      <c r="AR80" s="42"/>
      <c r="AS80" s="42"/>
    </row>
    <row r="81" spans="1:45" x14ac:dyDescent="0.2">
      <c r="A81" s="143">
        <f t="shared" si="40"/>
        <v>59</v>
      </c>
      <c r="B81" s="50" t="str">
        <f>CONCATENATE('3. Consumption by Rate Class'!A68,"-",'3. Consumption by Rate Class'!B68)</f>
        <v>2016-November</v>
      </c>
      <c r="C81" s="115">
        <v>8156392</v>
      </c>
      <c r="D81" s="142">
        <v>5798028</v>
      </c>
      <c r="E81" s="115">
        <f t="shared" si="33"/>
        <v>13954420</v>
      </c>
      <c r="F81" s="115">
        <v>101587.71984999996</v>
      </c>
      <c r="G81" s="142">
        <v>43960</v>
      </c>
      <c r="H81" s="115">
        <v>795316.11</v>
      </c>
      <c r="I81" s="115">
        <f>-'SQL Data kWh'!X63</f>
        <v>-108520.28</v>
      </c>
      <c r="J81" s="108"/>
      <c r="K81" s="108"/>
      <c r="L81" s="51">
        <f t="shared" si="39"/>
        <v>14786763.54985</v>
      </c>
      <c r="M81" s="121">
        <f>+'5.Variables'!$L$11</f>
        <v>270.5</v>
      </c>
      <c r="N81" s="121">
        <f>+'5.Variables'!$L$26</f>
        <v>0</v>
      </c>
      <c r="O81" s="490">
        <f>+'5.Variables'!$L$41</f>
        <v>9.31</v>
      </c>
      <c r="P81" s="121">
        <f>+'5.Variables'!$L$56</f>
        <v>9183.5</v>
      </c>
      <c r="Q81" s="121">
        <f>+'5.Variables'!$L$71</f>
        <v>30</v>
      </c>
      <c r="R81" s="121">
        <f>+'5.Variables'!$L$86</f>
        <v>0</v>
      </c>
      <c r="S81" s="490">
        <f>+'5.Variables'!$L$101</f>
        <v>10.59</v>
      </c>
      <c r="T81" s="42"/>
      <c r="U81" s="51">
        <f t="shared" si="34"/>
        <v>14985673.870610833</v>
      </c>
      <c r="V81" s="52"/>
      <c r="W81" s="440">
        <f t="shared" si="30"/>
        <v>-198910.3207608331</v>
      </c>
      <c r="X81" s="509">
        <f t="shared" si="31"/>
        <v>-1.3451917323913039E-2</v>
      </c>
      <c r="Y81" s="440"/>
      <c r="Z81" s="42"/>
      <c r="AA81" s="681" t="s">
        <v>70</v>
      </c>
      <c r="AB81" s="681"/>
      <c r="AC81" s="681"/>
      <c r="AD81" s="681"/>
      <c r="AE81" s="681"/>
      <c r="AF81" s="681"/>
      <c r="AG81" s="42"/>
      <c r="AH81" s="42"/>
      <c r="AI81" s="42"/>
      <c r="AJ81" s="42"/>
      <c r="AK81" s="42"/>
      <c r="AL81" s="42"/>
      <c r="AM81" s="42"/>
      <c r="AN81" s="42"/>
      <c r="AO81" s="42"/>
      <c r="AP81" s="42"/>
      <c r="AQ81" s="42"/>
      <c r="AR81" s="42"/>
      <c r="AS81" s="42"/>
    </row>
    <row r="82" spans="1:45" x14ac:dyDescent="0.2">
      <c r="A82" s="143">
        <f t="shared" si="40"/>
        <v>60</v>
      </c>
      <c r="B82" s="87" t="str">
        <f>CONCATENATE('3. Consumption by Rate Class'!A69,"-",'3. Consumption by Rate Class'!B69)</f>
        <v>2016-December</v>
      </c>
      <c r="C82" s="105">
        <v>9890530</v>
      </c>
      <c r="D82" s="105">
        <v>6117100</v>
      </c>
      <c r="E82" s="105">
        <f t="shared" si="33"/>
        <v>16007630</v>
      </c>
      <c r="F82" s="105">
        <v>48513.819710000011</v>
      </c>
      <c r="G82" s="105">
        <v>22060</v>
      </c>
      <c r="H82" s="105">
        <v>1362085.9000000004</v>
      </c>
      <c r="I82" s="105">
        <f>-'SQL Data kWh'!X64</f>
        <v>-166835.35999999999</v>
      </c>
      <c r="J82" s="110"/>
      <c r="K82" s="110"/>
      <c r="L82" s="51">
        <f t="shared" si="39"/>
        <v>17273454.35971</v>
      </c>
      <c r="M82" s="121">
        <f>+'5.Variables'!$M$11</f>
        <v>540.9</v>
      </c>
      <c r="N82" s="121">
        <f>+'5.Variables'!$M$26</f>
        <v>0</v>
      </c>
      <c r="O82" s="490">
        <f>+'5.Variables'!$M$41</f>
        <v>8.5</v>
      </c>
      <c r="P82" s="121">
        <f>+'5.Variables'!$M$56</f>
        <v>9211</v>
      </c>
      <c r="Q82" s="121">
        <f>+'5.Variables'!$M$71</f>
        <v>31</v>
      </c>
      <c r="R82" s="121">
        <f>+'5.Variables'!$M$86</f>
        <v>1</v>
      </c>
      <c r="S82" s="490">
        <f>+'5.Variables'!$M$101</f>
        <v>10.59</v>
      </c>
      <c r="T82" s="42"/>
      <c r="U82" s="51">
        <f t="shared" si="34"/>
        <v>18240494.242069528</v>
      </c>
      <c r="V82" s="52">
        <f>SUM(U71:U82)</f>
        <v>214005327.3685981</v>
      </c>
      <c r="W82" s="440">
        <f t="shared" si="30"/>
        <v>-967039.88235952705</v>
      </c>
      <c r="X82" s="509">
        <f t="shared" si="31"/>
        <v>-5.5984162879147613E-2</v>
      </c>
      <c r="Y82" s="440"/>
      <c r="Z82" s="42"/>
      <c r="AA82" s="681" t="s">
        <v>100</v>
      </c>
      <c r="AB82" s="681"/>
      <c r="AC82" s="681"/>
      <c r="AD82" s="681"/>
      <c r="AE82" s="681"/>
      <c r="AF82" s="681"/>
      <c r="AG82" s="42"/>
      <c r="AH82" s="42"/>
      <c r="AI82" s="42"/>
      <c r="AJ82" s="42"/>
      <c r="AK82" s="42"/>
      <c r="AL82" s="42"/>
      <c r="AM82" s="42"/>
      <c r="AN82" s="42"/>
      <c r="AO82" s="42"/>
      <c r="AP82" s="42"/>
      <c r="AQ82" s="42"/>
      <c r="AR82" s="42"/>
      <c r="AS82" s="42"/>
    </row>
    <row r="83" spans="1:45" x14ac:dyDescent="0.2">
      <c r="A83" s="143">
        <f t="shared" si="40"/>
        <v>61</v>
      </c>
      <c r="B83" s="50" t="str">
        <f>CONCATENATE('3. Consumption by Rate Class'!A70,"-",'3. Consumption by Rate Class'!B70)</f>
        <v>2017-January</v>
      </c>
      <c r="C83" s="115">
        <v>9865392</v>
      </c>
      <c r="D83" s="142">
        <v>7398430</v>
      </c>
      <c r="E83" s="115">
        <f t="shared" si="33"/>
        <v>17263822</v>
      </c>
      <c r="F83" s="115">
        <v>50576.890489999969</v>
      </c>
      <c r="G83" s="142">
        <v>26400.000000000007</v>
      </c>
      <c r="H83" s="115">
        <v>14321.3</v>
      </c>
      <c r="I83" s="115">
        <f>-'SQL Data kWh'!X65</f>
        <v>-263609.69</v>
      </c>
      <c r="J83" s="108"/>
      <c r="K83" s="108"/>
      <c r="L83" s="51">
        <f t="shared" si="39"/>
        <v>17091510.500489999</v>
      </c>
      <c r="M83" s="121">
        <f>+'5.Variables'!$B$12</f>
        <v>556.5</v>
      </c>
      <c r="N83" s="121">
        <f>+'5.Variables'!$B$27</f>
        <v>0</v>
      </c>
      <c r="O83" s="490">
        <f>+'5.Variables'!$B$42</f>
        <v>9.1199999999999992</v>
      </c>
      <c r="P83" s="121">
        <f>+'5.Variables'!$B$57</f>
        <v>9238</v>
      </c>
      <c r="Q83" s="121">
        <f>+'5.Variables'!$B$72</f>
        <v>31</v>
      </c>
      <c r="R83" s="121">
        <f>+'5.Variables'!$B$87</f>
        <v>1</v>
      </c>
      <c r="S83" s="490">
        <f>+'5.Variables'!$B$102</f>
        <v>10.59</v>
      </c>
      <c r="T83" s="42"/>
      <c r="U83" s="51">
        <f t="shared" si="34"/>
        <v>18322722.916543815</v>
      </c>
      <c r="V83" s="52"/>
      <c r="W83" s="440">
        <f t="shared" si="30"/>
        <v>-1231212.4160538167</v>
      </c>
      <c r="X83" s="509">
        <f t="shared" si="31"/>
        <v>-7.2036489461742945E-2</v>
      </c>
      <c r="Y83" s="440"/>
      <c r="Z83" s="42"/>
      <c r="AA83" s="681"/>
      <c r="AB83" s="681"/>
      <c r="AC83" s="681"/>
      <c r="AD83" s="681"/>
      <c r="AE83" s="681"/>
      <c r="AF83" s="681"/>
      <c r="AG83" s="42"/>
      <c r="AH83" s="42"/>
      <c r="AI83" s="42"/>
      <c r="AJ83" s="42"/>
      <c r="AK83" s="42"/>
      <c r="AL83" s="42"/>
      <c r="AM83" s="42"/>
      <c r="AN83" s="42"/>
      <c r="AO83" s="42"/>
      <c r="AP83" s="42"/>
      <c r="AQ83" s="42"/>
      <c r="AR83" s="42"/>
      <c r="AS83" s="42"/>
    </row>
    <row r="84" spans="1:45" x14ac:dyDescent="0.2">
      <c r="A84" s="143">
        <f t="shared" si="40"/>
        <v>62</v>
      </c>
      <c r="B84" s="50" t="str">
        <f>CONCATENATE('3. Consumption by Rate Class'!A71,"-",'3. Consumption by Rate Class'!B71)</f>
        <v>2017-February</v>
      </c>
      <c r="C84" s="115">
        <v>8505849</v>
      </c>
      <c r="D84" s="142">
        <v>6539688</v>
      </c>
      <c r="E84" s="115">
        <f t="shared" si="33"/>
        <v>15045537</v>
      </c>
      <c r="F84" s="115">
        <v>91610.813190000015</v>
      </c>
      <c r="G84" s="142">
        <v>41514.199200000003</v>
      </c>
      <c r="H84" s="115">
        <v>0</v>
      </c>
      <c r="I84" s="115">
        <f>-'SQL Data kWh'!X66</f>
        <v>-244689.9</v>
      </c>
      <c r="J84" s="108"/>
      <c r="K84" s="108"/>
      <c r="L84" s="51">
        <f t="shared" si="39"/>
        <v>14933972.11239</v>
      </c>
      <c r="M84" s="121">
        <f>+'5.Variables'!$C$12</f>
        <v>468.50000000000006</v>
      </c>
      <c r="N84" s="121">
        <f>+'5.Variables'!$C$27</f>
        <v>0</v>
      </c>
      <c r="O84" s="490">
        <f>+'5.Variables'!$C$42</f>
        <v>10.199999999999999</v>
      </c>
      <c r="P84" s="121">
        <f>+'5.Variables'!$C$57</f>
        <v>9250</v>
      </c>
      <c r="Q84" s="121">
        <f>+'5.Variables'!$C$72</f>
        <v>28</v>
      </c>
      <c r="R84" s="121">
        <f>+'5.Variables'!$C$87</f>
        <v>1</v>
      </c>
      <c r="S84" s="490">
        <f>+'5.Variables'!$C$102</f>
        <v>10.59</v>
      </c>
      <c r="T84" s="42"/>
      <c r="U84" s="51">
        <f t="shared" si="34"/>
        <v>16584975.198682435</v>
      </c>
      <c r="V84" s="52"/>
      <c r="W84" s="440">
        <f t="shared" si="30"/>
        <v>-1651003.0862924345</v>
      </c>
      <c r="X84" s="509">
        <f t="shared" si="31"/>
        <v>-0.11055351341674707</v>
      </c>
      <c r="Y84" s="440"/>
      <c r="Z84" s="42"/>
      <c r="AA84" s="691" t="s">
        <v>31</v>
      </c>
      <c r="AB84" s="691" t="s">
        <v>130</v>
      </c>
      <c r="AC84" s="692" t="s">
        <v>41</v>
      </c>
      <c r="AD84" s="681"/>
      <c r="AE84" s="681"/>
      <c r="AF84" s="681"/>
      <c r="AG84" s="42"/>
      <c r="AH84" s="42"/>
      <c r="AI84" s="42"/>
      <c r="AJ84" s="42"/>
      <c r="AK84" s="42"/>
      <c r="AL84" s="42"/>
      <c r="AM84" s="42"/>
      <c r="AN84" s="42"/>
      <c r="AO84" s="42"/>
      <c r="AP84" s="42"/>
      <c r="AQ84" s="42"/>
      <c r="AR84" s="42"/>
      <c r="AS84" s="42"/>
    </row>
    <row r="85" spans="1:45" x14ac:dyDescent="0.2">
      <c r="A85" s="143">
        <f t="shared" si="40"/>
        <v>63</v>
      </c>
      <c r="B85" s="50" t="str">
        <f>CONCATENATE('3. Consumption by Rate Class'!A72,"-",'3. Consumption by Rate Class'!B72)</f>
        <v>2017-March</v>
      </c>
      <c r="C85" s="115">
        <v>9246195</v>
      </c>
      <c r="D85" s="142">
        <v>6661720</v>
      </c>
      <c r="E85" s="115">
        <f t="shared" si="33"/>
        <v>15907915</v>
      </c>
      <c r="F85" s="115">
        <v>134253.1054</v>
      </c>
      <c r="G85" s="142">
        <v>70258.199000000008</v>
      </c>
      <c r="H85" s="115">
        <v>494311.99999999994</v>
      </c>
      <c r="I85" s="115">
        <f>-'SQL Data kWh'!X67</f>
        <v>-255062.48</v>
      </c>
      <c r="J85" s="108"/>
      <c r="K85" s="108"/>
      <c r="L85" s="51">
        <f t="shared" si="39"/>
        <v>16351675.824399998</v>
      </c>
      <c r="M85" s="121">
        <f>+'5.Variables'!$D$12</f>
        <v>528.4</v>
      </c>
      <c r="N85" s="121">
        <f>+'5.Variables'!$D$27</f>
        <v>0</v>
      </c>
      <c r="O85" s="490">
        <f>+'5.Variables'!$D$42</f>
        <v>11.5</v>
      </c>
      <c r="P85" s="121">
        <f>+'5.Variables'!$D$57</f>
        <v>9258.5</v>
      </c>
      <c r="Q85" s="121">
        <f>+'5.Variables'!$D$72</f>
        <v>31</v>
      </c>
      <c r="R85" s="121">
        <f>+'5.Variables'!$D$87</f>
        <v>0</v>
      </c>
      <c r="S85" s="490">
        <f>+'5.Variables'!$D$102</f>
        <v>10.59</v>
      </c>
      <c r="T85" s="42"/>
      <c r="U85" s="51">
        <f t="shared" si="34"/>
        <v>16442173.00216246</v>
      </c>
      <c r="V85" s="52"/>
      <c r="W85" s="440">
        <f t="shared" si="30"/>
        <v>-90497.177762461826</v>
      </c>
      <c r="X85" s="509">
        <f t="shared" si="31"/>
        <v>-5.5344283200270995E-3</v>
      </c>
      <c r="Y85" s="440"/>
      <c r="Z85" s="42"/>
      <c r="AA85" s="693" t="s">
        <v>349</v>
      </c>
      <c r="AB85" s="694">
        <f>V142*(1+AE85)</f>
        <v>201278088.51797336</v>
      </c>
      <c r="AC85" s="695">
        <f>(AB85-AB70)/AB70</f>
        <v>-6.1016266833535955E-2</v>
      </c>
      <c r="AD85" s="681" t="s">
        <v>368</v>
      </c>
      <c r="AE85" s="688">
        <v>-7.4999999999999997E-2</v>
      </c>
      <c r="AF85" s="681"/>
      <c r="AG85" s="42"/>
      <c r="AH85" s="42"/>
      <c r="AI85" s="42"/>
      <c r="AJ85" s="42"/>
      <c r="AK85" s="42"/>
      <c r="AL85" s="42"/>
      <c r="AM85" s="42"/>
      <c r="AN85" s="42"/>
      <c r="AO85" s="42"/>
      <c r="AP85" s="42"/>
      <c r="AQ85" s="42"/>
      <c r="AR85" s="42"/>
      <c r="AS85" s="42"/>
    </row>
    <row r="86" spans="1:45" x14ac:dyDescent="0.2">
      <c r="A86" s="143">
        <f t="shared" si="40"/>
        <v>64</v>
      </c>
      <c r="B86" s="50" t="str">
        <f>CONCATENATE('3. Consumption by Rate Class'!A73,"-",'3. Consumption by Rate Class'!B73)</f>
        <v>2017-April</v>
      </c>
      <c r="C86" s="115">
        <v>8035534</v>
      </c>
      <c r="D86" s="142">
        <v>5220096</v>
      </c>
      <c r="E86" s="115">
        <f t="shared" si="33"/>
        <v>13255630</v>
      </c>
      <c r="F86" s="115">
        <v>159255.14543999996</v>
      </c>
      <c r="G86" s="142">
        <v>74953.399400000009</v>
      </c>
      <c r="H86" s="115">
        <v>1151901.7999999998</v>
      </c>
      <c r="I86" s="115">
        <f>-'SQL Data kWh'!X68</f>
        <v>-213525.2</v>
      </c>
      <c r="J86" s="108"/>
      <c r="K86" s="108"/>
      <c r="L86" s="51">
        <f>SUM(E86:K86)</f>
        <v>14428215.144839998</v>
      </c>
      <c r="M86" s="121">
        <f>+'5.Variables'!$E$12</f>
        <v>273.05</v>
      </c>
      <c r="N86" s="121">
        <f>+'5.Variables'!$E$27</f>
        <v>0</v>
      </c>
      <c r="O86" s="490">
        <f>+'5.Variables'!$E$42</f>
        <v>13.26</v>
      </c>
      <c r="P86" s="121">
        <f>+'5.Variables'!$E$57</f>
        <v>9271.5</v>
      </c>
      <c r="Q86" s="121">
        <f>+'5.Variables'!$E$72</f>
        <v>30</v>
      </c>
      <c r="R86" s="121">
        <f>+'5.Variables'!$E$87</f>
        <v>0</v>
      </c>
      <c r="S86" s="490">
        <f>+'5.Variables'!$E$103</f>
        <v>10.59</v>
      </c>
      <c r="T86" s="42"/>
      <c r="U86" s="51">
        <f t="shared" si="34"/>
        <v>15085591.186422335</v>
      </c>
      <c r="V86" s="52"/>
      <c r="W86" s="440">
        <f t="shared" si="30"/>
        <v>-657376.04158233665</v>
      </c>
      <c r="X86" s="509">
        <f t="shared" si="31"/>
        <v>-4.5561840808662726E-2</v>
      </c>
      <c r="Y86" s="440"/>
      <c r="Z86" s="42"/>
      <c r="AA86" s="693" t="s">
        <v>350</v>
      </c>
      <c r="AB86" s="694">
        <f>V154*(1+AE86)</f>
        <v>210022958.3601709</v>
      </c>
      <c r="AC86" s="695">
        <f>(AB86-AB85)/AB85</f>
        <v>4.3446705533556645E-2</v>
      </c>
      <c r="AD86" s="681" t="s">
        <v>367</v>
      </c>
      <c r="AE86" s="688">
        <v>-3.5000000000000003E-2</v>
      </c>
      <c r="AF86" s="681"/>
      <c r="AG86" s="42"/>
      <c r="AH86" s="42"/>
      <c r="AI86" s="42"/>
      <c r="AJ86" s="42"/>
      <c r="AK86" s="42"/>
      <c r="AL86" s="42"/>
      <c r="AM86" s="42"/>
      <c r="AN86" s="42"/>
      <c r="AO86" s="42"/>
      <c r="AP86" s="42"/>
      <c r="AQ86" s="42"/>
      <c r="AR86" s="42"/>
      <c r="AS86" s="42"/>
    </row>
    <row r="87" spans="1:45" x14ac:dyDescent="0.2">
      <c r="A87" s="143">
        <f t="shared" si="40"/>
        <v>65</v>
      </c>
      <c r="B87" s="50" t="str">
        <f>CONCATENATE('3. Consumption by Rate Class'!A74,"-",'3. Consumption by Rate Class'!B74)</f>
        <v>2017-May</v>
      </c>
      <c r="C87" s="115">
        <v>8376627</v>
      </c>
      <c r="D87" s="142">
        <v>5549298</v>
      </c>
      <c r="E87" s="115">
        <f t="shared" si="33"/>
        <v>13925925</v>
      </c>
      <c r="F87" s="115">
        <v>184961.89823999998</v>
      </c>
      <c r="G87" s="142">
        <v>100360.8</v>
      </c>
      <c r="H87" s="115">
        <v>1092416.4999999998</v>
      </c>
      <c r="I87" s="115">
        <f>-'SQL Data kWh'!X69</f>
        <v>-182733.09</v>
      </c>
      <c r="J87" s="108"/>
      <c r="K87" s="108"/>
      <c r="L87" s="51">
        <f t="shared" si="39"/>
        <v>15120931.108240001</v>
      </c>
      <c r="M87" s="121">
        <f>+'5.Variables'!$F$12</f>
        <v>181.8</v>
      </c>
      <c r="N87" s="121">
        <f>+'5.Variables'!$F$27</f>
        <v>2.8000000000000003</v>
      </c>
      <c r="O87" s="490">
        <f>+'5.Variables'!$F$42</f>
        <v>14.47</v>
      </c>
      <c r="P87" s="121">
        <f>+'5.Variables'!$F$57</f>
        <v>9281</v>
      </c>
      <c r="Q87" s="121">
        <f>+'5.Variables'!$F$72</f>
        <v>31</v>
      </c>
      <c r="R87" s="121">
        <f>+'5.Variables'!$F$87</f>
        <v>0</v>
      </c>
      <c r="S87" s="490">
        <f>+'5.Variables'!$F$102</f>
        <v>11</v>
      </c>
      <c r="T87" s="42"/>
      <c r="U87" s="51">
        <f t="shared" si="34"/>
        <v>15369099.931300772</v>
      </c>
      <c r="V87" s="52"/>
      <c r="W87" s="440">
        <f t="shared" ref="W87:W105" si="51">+L87-U87</f>
        <v>-248168.82306077145</v>
      </c>
      <c r="X87" s="509">
        <f t="shared" ref="X87:X105" si="52">+W87/L87</f>
        <v>-1.6412271260566377E-2</v>
      </c>
      <c r="Y87" s="440"/>
      <c r="Z87" s="42"/>
      <c r="AA87" s="42"/>
      <c r="AB87" s="42"/>
      <c r="AC87" s="42"/>
      <c r="AD87" s="42"/>
      <c r="AE87" s="42"/>
      <c r="AF87" s="42"/>
      <c r="AG87" s="42"/>
      <c r="AH87" s="42"/>
      <c r="AI87" s="42"/>
      <c r="AJ87" s="42"/>
      <c r="AK87" s="42"/>
      <c r="AL87" s="42"/>
      <c r="AM87" s="42"/>
      <c r="AN87" s="42"/>
      <c r="AO87" s="42"/>
      <c r="AP87" s="42"/>
      <c r="AQ87" s="42"/>
      <c r="AR87" s="42"/>
      <c r="AS87" s="42"/>
    </row>
    <row r="88" spans="1:45" x14ac:dyDescent="0.2">
      <c r="A88" s="143">
        <f t="shared" si="40"/>
        <v>66</v>
      </c>
      <c r="B88" s="50" t="str">
        <f>CONCATENATE('3. Consumption by Rate Class'!A75,"-",'3. Consumption by Rate Class'!B75)</f>
        <v>2017-June</v>
      </c>
      <c r="C88" s="115">
        <v>9541129</v>
      </c>
      <c r="D88" s="142">
        <v>6014093</v>
      </c>
      <c r="E88" s="115">
        <f t="shared" ref="E88:E130" si="53">+C88+D88</f>
        <v>15555222</v>
      </c>
      <c r="F88" s="115">
        <v>206251.24417999992</v>
      </c>
      <c r="G88" s="142">
        <v>108653.6</v>
      </c>
      <c r="H88" s="115">
        <v>1251149.2000000002</v>
      </c>
      <c r="I88" s="115">
        <f>-'SQL Data kWh'!X70</f>
        <v>-172576</v>
      </c>
      <c r="J88" s="108"/>
      <c r="K88" s="108"/>
      <c r="L88" s="51">
        <f t="shared" si="39"/>
        <v>16948700.044179998</v>
      </c>
      <c r="M88" s="121">
        <f>+'5.Variables'!$G$12</f>
        <v>27.000000000000004</v>
      </c>
      <c r="N88" s="121">
        <f>+'5.Variables'!$G$27</f>
        <v>62.800000000000004</v>
      </c>
      <c r="O88" s="490">
        <f>+'5.Variables'!$G$42</f>
        <v>15.3</v>
      </c>
      <c r="P88" s="121">
        <f>+'5.Variables'!$G$57</f>
        <v>9286.5</v>
      </c>
      <c r="Q88" s="121">
        <f>+'5.Variables'!$G$72</f>
        <v>30</v>
      </c>
      <c r="R88" s="121">
        <f>+'5.Variables'!$G$87</f>
        <v>1</v>
      </c>
      <c r="S88" s="490">
        <f>+'5.Variables'!$G$102</f>
        <v>11</v>
      </c>
      <c r="T88" s="42"/>
      <c r="U88" s="51">
        <f t="shared" ref="U88:U130" si="54">$AB$37+(M88*$AB$38)+(N88*$AB$39)+(O88*$AB$40)+(P88*$AB$41)+(Q88*$AB$42)+(R88*$AB$43)+(R88*$AB$43)</f>
        <v>18515374.679695133</v>
      </c>
      <c r="V88" s="52"/>
      <c r="W88" s="440">
        <f t="shared" si="51"/>
        <v>-1566674.6355151348</v>
      </c>
      <c r="X88" s="509">
        <f t="shared" si="52"/>
        <v>-9.2436271302890519E-2</v>
      </c>
      <c r="Y88" s="440"/>
      <c r="Z88" s="42"/>
      <c r="AA88" s="42"/>
      <c r="AB88" s="42"/>
      <c r="AC88" s="42"/>
      <c r="AD88" s="42"/>
      <c r="AE88" s="42"/>
      <c r="AF88" s="42"/>
      <c r="AG88" s="42"/>
      <c r="AH88" s="42"/>
      <c r="AI88" s="42"/>
      <c r="AJ88" s="42"/>
      <c r="AK88" s="42"/>
      <c r="AL88" s="42"/>
      <c r="AM88" s="42"/>
      <c r="AN88" s="42"/>
      <c r="AO88" s="42"/>
      <c r="AP88" s="42"/>
      <c r="AQ88" s="42"/>
      <c r="AR88" s="42"/>
      <c r="AS88" s="42"/>
    </row>
    <row r="89" spans="1:45" x14ac:dyDescent="0.2">
      <c r="A89" s="143">
        <f t="shared" si="40"/>
        <v>67</v>
      </c>
      <c r="B89" s="50" t="str">
        <f>CONCATENATE('3. Consumption by Rate Class'!A76,"-",'3. Consumption by Rate Class'!B76)</f>
        <v>2017-July</v>
      </c>
      <c r="C89" s="115">
        <v>11397444</v>
      </c>
      <c r="D89" s="142">
        <v>7145554</v>
      </c>
      <c r="E89" s="115">
        <f t="shared" si="53"/>
        <v>18542998</v>
      </c>
      <c r="F89" s="115">
        <v>198128.92277</v>
      </c>
      <c r="G89" s="142">
        <v>97714.800599999988</v>
      </c>
      <c r="H89" s="115">
        <v>1291560.8999999999</v>
      </c>
      <c r="I89" s="115">
        <f>-'SQL Data kWh'!X71</f>
        <v>-226014.55</v>
      </c>
      <c r="J89" s="108"/>
      <c r="K89" s="108"/>
      <c r="L89" s="51">
        <f t="shared" si="39"/>
        <v>19904388.073369998</v>
      </c>
      <c r="M89" s="121">
        <f>+'5.Variables'!$H$12</f>
        <v>0</v>
      </c>
      <c r="N89" s="121">
        <f>+'5.Variables'!$H$27</f>
        <v>111.60000000000002</v>
      </c>
      <c r="O89" s="490">
        <f>+'5.Variables'!$H$42</f>
        <v>15.11</v>
      </c>
      <c r="P89" s="121">
        <f>+'5.Variables'!$H$57</f>
        <v>9293.5</v>
      </c>
      <c r="Q89" s="121">
        <f>+'5.Variables'!$H$72</f>
        <v>31</v>
      </c>
      <c r="R89" s="121">
        <f>+'5.Variables'!$H$87</f>
        <v>1</v>
      </c>
      <c r="S89" s="490">
        <f>+'5.Variables'!$H$102</f>
        <v>11</v>
      </c>
      <c r="T89" s="42"/>
      <c r="U89" s="51">
        <f t="shared" si="54"/>
        <v>20826718.359716795</v>
      </c>
      <c r="V89" s="52"/>
      <c r="W89" s="440">
        <f t="shared" si="51"/>
        <v>-922330.2863467969</v>
      </c>
      <c r="X89" s="509">
        <f t="shared" si="52"/>
        <v>-4.6338037770715441E-2</v>
      </c>
      <c r="Y89" s="440"/>
      <c r="Z89" s="42"/>
      <c r="AA89" s="42"/>
      <c r="AB89" s="42"/>
      <c r="AC89" s="42"/>
      <c r="AD89" s="42"/>
      <c r="AE89" s="42"/>
      <c r="AF89" s="42"/>
      <c r="AG89" s="42"/>
      <c r="AH89" s="42"/>
      <c r="AI89" s="42"/>
      <c r="AJ89" s="42"/>
      <c r="AK89" s="42"/>
      <c r="AL89" s="42"/>
      <c r="AM89" s="42"/>
      <c r="AN89" s="42"/>
      <c r="AO89" s="42"/>
      <c r="AP89" s="42"/>
      <c r="AQ89" s="42"/>
      <c r="AR89" s="42"/>
      <c r="AS89" s="42"/>
    </row>
    <row r="90" spans="1:45" x14ac:dyDescent="0.2">
      <c r="A90" s="143">
        <f t="shared" si="40"/>
        <v>68</v>
      </c>
      <c r="B90" s="50" t="str">
        <f>CONCATENATE('3. Consumption by Rate Class'!A77,"-",'3. Consumption by Rate Class'!B77)</f>
        <v>2017-August</v>
      </c>
      <c r="C90" s="115">
        <v>11113417</v>
      </c>
      <c r="D90" s="142">
        <v>7228164</v>
      </c>
      <c r="E90" s="115">
        <f t="shared" si="53"/>
        <v>18341581</v>
      </c>
      <c r="F90" s="115">
        <v>193084.71397000001</v>
      </c>
      <c r="G90" s="142">
        <v>105258.39820000001</v>
      </c>
      <c r="H90" s="115">
        <v>1325601.2</v>
      </c>
      <c r="I90" s="115">
        <f>-'SQL Data kWh'!X72</f>
        <v>-194589.59</v>
      </c>
      <c r="J90" s="108"/>
      <c r="K90" s="108"/>
      <c r="L90" s="51">
        <f t="shared" si="39"/>
        <v>19770935.722170003</v>
      </c>
      <c r="M90" s="121">
        <f>+'5.Variables'!$I$12</f>
        <v>0.3</v>
      </c>
      <c r="N90" s="121">
        <f>+'5.Variables'!$I$27</f>
        <v>102</v>
      </c>
      <c r="O90" s="490">
        <f>+'5.Variables'!$I$42</f>
        <v>14</v>
      </c>
      <c r="P90" s="121">
        <f>+'5.Variables'!$I$57</f>
        <v>9305</v>
      </c>
      <c r="Q90" s="121">
        <f>+'5.Variables'!$I$72</f>
        <v>31</v>
      </c>
      <c r="R90" s="121">
        <f>+'5.Variables'!$I$87</f>
        <v>1</v>
      </c>
      <c r="S90" s="490">
        <f>+'5.Variables'!$I$102</f>
        <v>11</v>
      </c>
      <c r="T90" s="42"/>
      <c r="U90" s="51">
        <f t="shared" si="54"/>
        <v>20462588.472292423</v>
      </c>
      <c r="V90" s="52"/>
      <c r="W90" s="440">
        <f t="shared" si="51"/>
        <v>-691652.75012242049</v>
      </c>
      <c r="X90" s="509">
        <f t="shared" si="52"/>
        <v>-3.4983308824722968E-2</v>
      </c>
      <c r="Y90" s="440"/>
      <c r="Z90" s="42"/>
      <c r="AA90" s="42"/>
      <c r="AB90" s="42"/>
      <c r="AC90" s="42"/>
      <c r="AD90" s="42"/>
      <c r="AE90" s="42"/>
      <c r="AF90" s="42"/>
      <c r="AG90" s="42"/>
      <c r="AH90" s="42"/>
      <c r="AI90" s="42"/>
      <c r="AJ90" s="42"/>
      <c r="AK90" s="42"/>
      <c r="AL90" s="42"/>
      <c r="AM90" s="42"/>
      <c r="AN90" s="42"/>
      <c r="AO90" s="42"/>
      <c r="AP90" s="42"/>
      <c r="AQ90" s="42"/>
      <c r="AR90" s="42"/>
      <c r="AS90" s="42"/>
    </row>
    <row r="91" spans="1:45" x14ac:dyDescent="0.2">
      <c r="A91" s="143">
        <f t="shared" si="40"/>
        <v>69</v>
      </c>
      <c r="B91" s="50" t="str">
        <f>CONCATENATE('3. Consumption by Rate Class'!A78,"-",'3. Consumption by Rate Class'!B78)</f>
        <v>2017-September</v>
      </c>
      <c r="C91" s="115">
        <v>9650555</v>
      </c>
      <c r="D91" s="142">
        <v>6364541</v>
      </c>
      <c r="E91" s="115">
        <f t="shared" si="53"/>
        <v>16015096</v>
      </c>
      <c r="F91" s="115">
        <v>174286.04714999991</v>
      </c>
      <c r="G91" s="142">
        <v>85655.800000000017</v>
      </c>
      <c r="H91" s="115">
        <v>1321481.7</v>
      </c>
      <c r="I91" s="115">
        <f>-'SQL Data kWh'!X73</f>
        <v>-183925.86</v>
      </c>
      <c r="J91" s="108"/>
      <c r="K91" s="108"/>
      <c r="L91" s="51">
        <f t="shared" si="39"/>
        <v>17412593.687150002</v>
      </c>
      <c r="M91" s="121">
        <f>+'5.Variables'!$J$12</f>
        <v>25.099999999999994</v>
      </c>
      <c r="N91" s="121">
        <f>+'5.Variables'!$J$27</f>
        <v>59.5</v>
      </c>
      <c r="O91" s="490">
        <f>+'5.Variables'!$J$42</f>
        <v>12.27</v>
      </c>
      <c r="P91" s="121">
        <f>+'5.Variables'!$J$57</f>
        <v>9316</v>
      </c>
      <c r="Q91" s="121">
        <f>+'5.Variables'!$J$72</f>
        <v>30</v>
      </c>
      <c r="R91" s="121">
        <f>+'5.Variables'!$J$87</f>
        <v>0</v>
      </c>
      <c r="S91" s="490">
        <f>+'5.Variables'!$J$102</f>
        <v>11</v>
      </c>
      <c r="T91" s="42"/>
      <c r="U91" s="51">
        <f t="shared" si="54"/>
        <v>16605705.789768228</v>
      </c>
      <c r="V91" s="52"/>
      <c r="W91" s="440">
        <f t="shared" si="51"/>
        <v>806887.89738177322</v>
      </c>
      <c r="X91" s="509">
        <f t="shared" si="52"/>
        <v>4.633932841247157E-2</v>
      </c>
      <c r="Y91" s="440"/>
      <c r="Z91" s="42"/>
      <c r="AA91" s="42"/>
      <c r="AB91" s="42"/>
      <c r="AC91" s="42"/>
      <c r="AD91" s="42"/>
      <c r="AE91" s="42"/>
      <c r="AF91" s="42"/>
      <c r="AG91" s="42"/>
      <c r="AH91" s="42"/>
      <c r="AI91" s="42"/>
      <c r="AJ91" s="42"/>
      <c r="AK91" s="42"/>
      <c r="AL91" s="42"/>
      <c r="AM91" s="42"/>
      <c r="AN91" s="42"/>
      <c r="AO91" s="42"/>
      <c r="AP91" s="42"/>
      <c r="AQ91" s="42"/>
      <c r="AR91" s="42"/>
      <c r="AS91" s="42"/>
    </row>
    <row r="92" spans="1:45" x14ac:dyDescent="0.2">
      <c r="A92" s="143">
        <f t="shared" si="40"/>
        <v>70</v>
      </c>
      <c r="B92" s="50" t="str">
        <f>CONCATENATE('3. Consumption by Rate Class'!A79,"-",'3. Consumption by Rate Class'!B79)</f>
        <v>2017-October</v>
      </c>
      <c r="C92" s="115">
        <v>8669930</v>
      </c>
      <c r="D92" s="142">
        <v>5535086</v>
      </c>
      <c r="E92" s="115">
        <f t="shared" si="53"/>
        <v>14205016</v>
      </c>
      <c r="F92" s="115">
        <v>118003.95308000004</v>
      </c>
      <c r="G92" s="142">
        <v>59110.599799999989</v>
      </c>
      <c r="H92" s="115">
        <v>1350013.7</v>
      </c>
      <c r="I92" s="115">
        <f>-'SQL Data kWh'!X74</f>
        <v>-179438</v>
      </c>
      <c r="J92" s="108"/>
      <c r="K92" s="108"/>
      <c r="L92" s="51">
        <f t="shared" si="39"/>
        <v>15552706.25288</v>
      </c>
      <c r="M92" s="121">
        <f>+'5.Variables'!$K$12</f>
        <v>94.7</v>
      </c>
      <c r="N92" s="121">
        <f>+'5.Variables'!$K$27</f>
        <v>14.9</v>
      </c>
      <c r="O92" s="490">
        <f>+'5.Variables'!$K$42</f>
        <v>10.52</v>
      </c>
      <c r="P92" s="121">
        <f>+'5.Variables'!$K$57</f>
        <v>9318.5</v>
      </c>
      <c r="Q92" s="121">
        <f>+'5.Variables'!$K$72</f>
        <v>31</v>
      </c>
      <c r="R92" s="121">
        <f>+'5.Variables'!$K$87</f>
        <v>0</v>
      </c>
      <c r="S92" s="490">
        <f>+'5.Variables'!$K$102</f>
        <v>11</v>
      </c>
      <c r="T92" s="42"/>
      <c r="U92" s="51">
        <f t="shared" si="54"/>
        <v>15580014.857348066</v>
      </c>
      <c r="V92" s="52"/>
      <c r="W92" s="440">
        <f t="shared" si="51"/>
        <v>-27308.604468066245</v>
      </c>
      <c r="X92" s="509">
        <f t="shared" si="52"/>
        <v>-1.7558747670045737E-3</v>
      </c>
      <c r="Y92" s="440"/>
      <c r="Z92" s="42"/>
      <c r="AA92" s="42"/>
      <c r="AB92" s="42"/>
      <c r="AC92" s="42"/>
      <c r="AD92" s="42"/>
      <c r="AE92" s="42"/>
      <c r="AF92" s="42"/>
      <c r="AG92" s="42"/>
      <c r="AH92" s="42"/>
      <c r="AI92" s="42"/>
      <c r="AJ92" s="42"/>
      <c r="AK92" s="42"/>
      <c r="AL92" s="42"/>
      <c r="AM92" s="42"/>
      <c r="AN92" s="42"/>
      <c r="AO92" s="42"/>
      <c r="AP92" s="42"/>
      <c r="AQ92" s="42"/>
      <c r="AR92" s="42"/>
      <c r="AS92" s="42"/>
    </row>
    <row r="93" spans="1:45" x14ac:dyDescent="0.2">
      <c r="A93" s="143">
        <f t="shared" si="40"/>
        <v>71</v>
      </c>
      <c r="B93" s="50" t="str">
        <f>CONCATENATE('3. Consumption by Rate Class'!A80,"-",'3. Consumption by Rate Class'!B80)</f>
        <v>2017-November</v>
      </c>
      <c r="C93" s="115">
        <v>8814815</v>
      </c>
      <c r="D93" s="142">
        <v>5687087</v>
      </c>
      <c r="E93" s="115">
        <f t="shared" si="53"/>
        <v>14501902</v>
      </c>
      <c r="F93" s="115">
        <v>64725.963189999988</v>
      </c>
      <c r="G93" s="142">
        <v>31395.799600000002</v>
      </c>
      <c r="H93" s="115">
        <v>1209082.7</v>
      </c>
      <c r="I93" s="115">
        <f>-'SQL Data kWh'!X75</f>
        <v>-226288</v>
      </c>
      <c r="J93" s="108"/>
      <c r="K93" s="108"/>
      <c r="L93" s="51">
        <f t="shared" si="39"/>
        <v>15580818.462789999</v>
      </c>
      <c r="M93" s="121">
        <f>+'5.Variables'!$L$12</f>
        <v>383.84999999999991</v>
      </c>
      <c r="N93" s="121">
        <f>+'5.Variables'!$L$27</f>
        <v>0</v>
      </c>
      <c r="O93" s="490">
        <f>+'5.Variables'!$L$42</f>
        <v>9.31</v>
      </c>
      <c r="P93" s="121">
        <f>+'5.Variables'!$L$57</f>
        <v>9331.5</v>
      </c>
      <c r="Q93" s="121">
        <f>+'5.Variables'!$L$72</f>
        <v>30</v>
      </c>
      <c r="R93" s="121">
        <f>+'5.Variables'!$L$87</f>
        <v>0</v>
      </c>
      <c r="S93" s="490">
        <f>+'5.Variables'!$L$102</f>
        <v>11</v>
      </c>
      <c r="T93" s="42"/>
      <c r="U93" s="51">
        <f t="shared" si="54"/>
        <v>15533301.179917032</v>
      </c>
      <c r="V93" s="52"/>
      <c r="W93" s="440">
        <f t="shared" si="51"/>
        <v>47517.282872967422</v>
      </c>
      <c r="X93" s="509">
        <f t="shared" si="52"/>
        <v>3.0497295752753852E-3</v>
      </c>
      <c r="Y93" s="440"/>
      <c r="Z93" s="42"/>
      <c r="AA93" s="42"/>
      <c r="AB93" s="42"/>
      <c r="AC93" s="42"/>
      <c r="AD93" s="42"/>
      <c r="AE93" s="42"/>
      <c r="AF93" s="42"/>
      <c r="AG93" s="42"/>
      <c r="AH93" s="42"/>
      <c r="AI93" s="42"/>
      <c r="AJ93" s="42"/>
      <c r="AK93" s="42"/>
      <c r="AL93" s="42"/>
      <c r="AM93" s="42"/>
      <c r="AN93" s="42"/>
      <c r="AO93" s="42"/>
      <c r="AP93" s="42"/>
      <c r="AQ93" s="42"/>
      <c r="AR93" s="42"/>
      <c r="AS93" s="42"/>
    </row>
    <row r="94" spans="1:45" x14ac:dyDescent="0.2">
      <c r="A94" s="143">
        <f t="shared" si="40"/>
        <v>72</v>
      </c>
      <c r="B94" s="87" t="str">
        <f>CONCATENATE('3. Consumption by Rate Class'!A81,"-",'3. Consumption by Rate Class'!B81)</f>
        <v>2017-December</v>
      </c>
      <c r="C94" s="105">
        <v>10410917</v>
      </c>
      <c r="D94" s="105">
        <v>7365831</v>
      </c>
      <c r="E94" s="105">
        <f t="shared" si="53"/>
        <v>17776748</v>
      </c>
      <c r="F94" s="105">
        <v>32921.21222999999</v>
      </c>
      <c r="G94" s="105">
        <v>16956.199800000002</v>
      </c>
      <c r="H94" s="105">
        <v>469751.09999999992</v>
      </c>
      <c r="I94" s="105">
        <f>-'SQL Data kWh'!X76</f>
        <v>-250168.62</v>
      </c>
      <c r="J94" s="110"/>
      <c r="K94" s="110"/>
      <c r="L94" s="51">
        <f t="shared" si="39"/>
        <v>18046207.892030001</v>
      </c>
      <c r="M94" s="121">
        <f>+'5.Variables'!$M$12</f>
        <v>617.19999999999993</v>
      </c>
      <c r="N94" s="121">
        <f>+'5.Variables'!$M$27</f>
        <v>0</v>
      </c>
      <c r="O94" s="490">
        <f>+'5.Variables'!$M$42</f>
        <v>8.5</v>
      </c>
      <c r="P94" s="121">
        <f>+'5.Variables'!$M$57</f>
        <v>9334.5</v>
      </c>
      <c r="Q94" s="121">
        <f>+'5.Variables'!$M$72</f>
        <v>31</v>
      </c>
      <c r="R94" s="121">
        <f>+'5.Variables'!$M$87</f>
        <v>1</v>
      </c>
      <c r="S94" s="490">
        <f>+'5.Variables'!$M$102</f>
        <v>11</v>
      </c>
      <c r="T94" s="42"/>
      <c r="U94" s="51">
        <f t="shared" si="54"/>
        <v>18633823.269195192</v>
      </c>
      <c r="V94" s="52">
        <f>SUM(U83:U94)</f>
        <v>207962088.84304467</v>
      </c>
      <c r="W94" s="440">
        <f t="shared" si="51"/>
        <v>-587615.37716519088</v>
      </c>
      <c r="X94" s="509">
        <f t="shared" si="52"/>
        <v>-3.2561709400716128E-2</v>
      </c>
      <c r="Y94" s="440"/>
      <c r="Z94" s="42"/>
      <c r="AA94" s="42"/>
      <c r="AB94" s="42"/>
      <c r="AC94" s="42"/>
      <c r="AD94" s="42"/>
      <c r="AE94" s="42"/>
      <c r="AF94" s="42"/>
      <c r="AG94" s="42"/>
      <c r="AH94" s="42"/>
      <c r="AI94" s="42"/>
      <c r="AJ94" s="42"/>
      <c r="AK94" s="42"/>
      <c r="AL94" s="42"/>
      <c r="AM94" s="42"/>
      <c r="AN94" s="42"/>
      <c r="AO94" s="42"/>
      <c r="AP94" s="42"/>
      <c r="AQ94" s="42"/>
      <c r="AR94" s="42"/>
      <c r="AS94" s="42"/>
    </row>
    <row r="95" spans="1:45" x14ac:dyDescent="0.2">
      <c r="A95" s="143">
        <f t="shared" si="40"/>
        <v>73</v>
      </c>
      <c r="B95" s="50" t="str">
        <f>CONCATENATE('3. Consumption by Rate Class'!A82,"-",'3. Consumption by Rate Class'!B82)</f>
        <v>2018-January</v>
      </c>
      <c r="C95" s="115">
        <v>10568593</v>
      </c>
      <c r="D95" s="142">
        <v>7996579</v>
      </c>
      <c r="E95" s="115">
        <f t="shared" si="53"/>
        <v>18565172</v>
      </c>
      <c r="F95" s="115">
        <v>53087.309900000007</v>
      </c>
      <c r="G95" s="142">
        <v>26285.798999999999</v>
      </c>
      <c r="H95" s="115">
        <v>95109.7</v>
      </c>
      <c r="I95" s="115">
        <f>-'SQL Data kWh'!X77</f>
        <v>-250526.24</v>
      </c>
      <c r="J95" s="115">
        <v>1520</v>
      </c>
      <c r="K95" s="108"/>
      <c r="L95" s="51">
        <f t="shared" si="39"/>
        <v>18490648.5689</v>
      </c>
      <c r="M95" s="121">
        <f>+'5.Variables'!$B$13</f>
        <v>647.4</v>
      </c>
      <c r="N95" s="121">
        <f>+'5.Variables'!$B$28</f>
        <v>0</v>
      </c>
      <c r="O95" s="490">
        <f>+'5.Variables'!$B$43</f>
        <v>9.1199999999999992</v>
      </c>
      <c r="P95" s="121">
        <f>+'5.Variables'!$B$58</f>
        <v>9330.5</v>
      </c>
      <c r="Q95" s="121">
        <f>+'5.Variables'!$B$73</f>
        <v>31</v>
      </c>
      <c r="R95" s="121">
        <f>+'5.Variables'!$B$88</f>
        <v>1</v>
      </c>
      <c r="S95" s="490">
        <f>+'5.Variables'!$B$103</f>
        <v>11</v>
      </c>
      <c r="T95" s="42"/>
      <c r="U95" s="51">
        <f t="shared" si="54"/>
        <v>18734795.114697833</v>
      </c>
      <c r="V95" s="52"/>
      <c r="W95" s="440">
        <f t="shared" si="51"/>
        <v>-244146.54579783231</v>
      </c>
      <c r="X95" s="509">
        <f t="shared" si="52"/>
        <v>-1.3203784869313347E-2</v>
      </c>
      <c r="Y95" s="440"/>
      <c r="Z95" s="42"/>
      <c r="AA95" s="42"/>
      <c r="AB95" s="42"/>
      <c r="AC95" s="42"/>
      <c r="AD95" s="42"/>
      <c r="AE95" s="42"/>
      <c r="AF95" s="42"/>
      <c r="AG95" s="42"/>
      <c r="AH95" s="42"/>
      <c r="AI95" s="42"/>
      <c r="AJ95" s="42"/>
      <c r="AK95" s="42"/>
      <c r="AL95" s="42"/>
      <c r="AM95" s="42"/>
      <c r="AN95" s="42"/>
      <c r="AO95" s="42"/>
      <c r="AP95" s="42"/>
      <c r="AQ95" s="42"/>
      <c r="AR95" s="42"/>
      <c r="AS95" s="42"/>
    </row>
    <row r="96" spans="1:45" x14ac:dyDescent="0.2">
      <c r="A96" s="143">
        <f t="shared" si="40"/>
        <v>74</v>
      </c>
      <c r="B96" s="50" t="str">
        <f>CONCATENATE('3. Consumption by Rate Class'!A83,"-",'3. Consumption by Rate Class'!B83)</f>
        <v>2018-February</v>
      </c>
      <c r="C96" s="115">
        <v>8984326</v>
      </c>
      <c r="D96" s="142">
        <v>7028432</v>
      </c>
      <c r="E96" s="115">
        <f t="shared" si="53"/>
        <v>16012758</v>
      </c>
      <c r="F96" s="115">
        <v>64677.743779999997</v>
      </c>
      <c r="G96" s="142">
        <v>32106.399399999998</v>
      </c>
      <c r="H96" s="115">
        <v>0</v>
      </c>
      <c r="I96" s="115">
        <f>-'SQL Data kWh'!X78</f>
        <v>-238829.14</v>
      </c>
      <c r="J96" s="115">
        <v>2160</v>
      </c>
      <c r="K96" s="108"/>
      <c r="L96" s="51">
        <f t="shared" si="39"/>
        <v>15872873.003179999</v>
      </c>
      <c r="M96" s="121">
        <f>+'5.Variables'!$C$13</f>
        <v>498.7</v>
      </c>
      <c r="N96" s="121">
        <f>+'5.Variables'!$C$28</f>
        <v>0</v>
      </c>
      <c r="O96" s="490">
        <f>+'5.Variables'!$C$43</f>
        <v>10.199999999999999</v>
      </c>
      <c r="P96" s="121">
        <f>+'5.Variables'!$C$58</f>
        <v>9339</v>
      </c>
      <c r="Q96" s="121">
        <f>+'5.Variables'!$C$73</f>
        <v>28</v>
      </c>
      <c r="R96" s="121">
        <f>+'5.Variables'!$C$88</f>
        <v>1</v>
      </c>
      <c r="S96" s="490">
        <f>+'5.Variables'!$C$103</f>
        <v>11</v>
      </c>
      <c r="T96" s="42"/>
      <c r="U96" s="51">
        <f t="shared" si="54"/>
        <v>16782162.01533255</v>
      </c>
      <c r="V96" s="52"/>
      <c r="W96" s="440">
        <f t="shared" si="51"/>
        <v>-909289.01215255074</v>
      </c>
      <c r="X96" s="509">
        <f t="shared" si="52"/>
        <v>-5.7285723382930247E-2</v>
      </c>
      <c r="Y96" s="440"/>
      <c r="Z96" s="42"/>
      <c r="AA96" s="42"/>
      <c r="AB96" s="42"/>
      <c r="AC96" s="42"/>
      <c r="AD96" s="42"/>
      <c r="AE96" s="42"/>
      <c r="AF96" s="42"/>
      <c r="AG96" s="42"/>
      <c r="AH96" s="42"/>
      <c r="AI96" s="42"/>
      <c r="AJ96" s="42"/>
      <c r="AK96" s="42"/>
      <c r="AL96" s="42"/>
      <c r="AM96" s="42"/>
      <c r="AN96" s="42"/>
      <c r="AO96" s="42"/>
      <c r="AP96" s="42"/>
      <c r="AQ96" s="42"/>
      <c r="AR96" s="42"/>
      <c r="AS96" s="42"/>
    </row>
    <row r="97" spans="1:45" x14ac:dyDescent="0.2">
      <c r="A97" s="143">
        <f t="shared" si="40"/>
        <v>75</v>
      </c>
      <c r="B97" s="50" t="str">
        <f>CONCATENATE('3. Consumption by Rate Class'!A84,"-",'3. Consumption by Rate Class'!B84)</f>
        <v>2018-March</v>
      </c>
      <c r="C97" s="115">
        <v>9223088</v>
      </c>
      <c r="D97" s="142">
        <v>7222464</v>
      </c>
      <c r="E97" s="115">
        <f t="shared" si="53"/>
        <v>16445552</v>
      </c>
      <c r="F97" s="115">
        <v>158044.10986000003</v>
      </c>
      <c r="G97" s="142">
        <v>72471.199999999983</v>
      </c>
      <c r="H97" s="115">
        <v>379502.9</v>
      </c>
      <c r="I97" s="115">
        <f>-'SQL Data kWh'!X79</f>
        <v>-235558.04</v>
      </c>
      <c r="J97" s="115">
        <v>8320</v>
      </c>
      <c r="K97" s="108"/>
      <c r="L97" s="51">
        <f t="shared" si="39"/>
        <v>16828332.169859998</v>
      </c>
      <c r="M97" s="121">
        <f>+'5.Variables'!$D$13</f>
        <v>518.79999999999995</v>
      </c>
      <c r="N97" s="121">
        <f>+'5.Variables'!$D$28</f>
        <v>0</v>
      </c>
      <c r="O97" s="490">
        <f>+'5.Variables'!$D$43</f>
        <v>11.5</v>
      </c>
      <c r="P97" s="121">
        <f>+'5.Variables'!$D$58</f>
        <v>9344</v>
      </c>
      <c r="Q97" s="121">
        <f>+'5.Variables'!$D$73</f>
        <v>31</v>
      </c>
      <c r="R97" s="121">
        <f>+'5.Variables'!$D$88</f>
        <v>0</v>
      </c>
      <c r="S97" s="490">
        <f>+'5.Variables'!$D$103</f>
        <v>11</v>
      </c>
      <c r="T97" s="42"/>
      <c r="U97" s="51">
        <f t="shared" si="54"/>
        <v>16497216.211748401</v>
      </c>
      <c r="V97" s="52"/>
      <c r="W97" s="440">
        <f t="shared" si="51"/>
        <v>331115.95811159723</v>
      </c>
      <c r="X97" s="509">
        <f t="shared" si="52"/>
        <v>1.967610068362181E-2</v>
      </c>
      <c r="Y97" s="440"/>
      <c r="Z97" s="42"/>
      <c r="AA97" s="42"/>
      <c r="AB97" s="42"/>
      <c r="AC97" s="42"/>
      <c r="AD97" s="42"/>
      <c r="AE97" s="42"/>
      <c r="AF97" s="42"/>
      <c r="AG97" s="42"/>
      <c r="AH97" s="42"/>
      <c r="AI97" s="42"/>
      <c r="AJ97" s="42"/>
      <c r="AK97" s="42"/>
      <c r="AL97" s="42"/>
      <c r="AM97" s="42"/>
      <c r="AN97" s="42"/>
      <c r="AO97" s="42"/>
      <c r="AP97" s="42"/>
      <c r="AQ97" s="42"/>
      <c r="AR97" s="42"/>
      <c r="AS97" s="42"/>
    </row>
    <row r="98" spans="1:45" x14ac:dyDescent="0.2">
      <c r="A98" s="143">
        <f t="shared" si="40"/>
        <v>76</v>
      </c>
      <c r="B98" s="50" t="str">
        <f>CONCATENATE('3. Consumption by Rate Class'!A85,"-",'3. Consumption by Rate Class'!B85)</f>
        <v>2018-April</v>
      </c>
      <c r="C98" s="115">
        <v>7539911</v>
      </c>
      <c r="D98" s="142">
        <v>7529160</v>
      </c>
      <c r="E98" s="115">
        <f t="shared" si="53"/>
        <v>15069071</v>
      </c>
      <c r="F98" s="115">
        <v>154461.43326000002</v>
      </c>
      <c r="G98" s="142">
        <v>105051.60180000002</v>
      </c>
      <c r="H98" s="115">
        <v>962682.7</v>
      </c>
      <c r="I98" s="115">
        <f>-'SQL Data kWh'!X80</f>
        <v>-629502.86</v>
      </c>
      <c r="J98" s="115">
        <v>8680</v>
      </c>
      <c r="K98" s="108"/>
      <c r="L98" s="51">
        <f t="shared" si="39"/>
        <v>15670443.87506</v>
      </c>
      <c r="M98" s="121">
        <f>+'5.Variables'!$E$13</f>
        <v>437.7</v>
      </c>
      <c r="N98" s="121">
        <f>+'5.Variables'!$E$28</f>
        <v>0</v>
      </c>
      <c r="O98" s="490">
        <f>+'5.Variables'!$E$43</f>
        <v>13.26</v>
      </c>
      <c r="P98" s="121">
        <f>+'5.Variables'!$E$58</f>
        <v>9353.5</v>
      </c>
      <c r="Q98" s="121">
        <f>+'5.Variables'!$E$73</f>
        <v>30</v>
      </c>
      <c r="R98" s="121">
        <f>+'5.Variables'!$E$88</f>
        <v>0</v>
      </c>
      <c r="S98" s="490">
        <f>+'5.Variables'!$E$102</f>
        <v>11</v>
      </c>
      <c r="T98" s="42"/>
      <c r="U98" s="51">
        <f t="shared" si="54"/>
        <v>15743484.895107893</v>
      </c>
      <c r="V98" s="52"/>
      <c r="W98" s="440">
        <f t="shared" si="51"/>
        <v>-73041.020047893748</v>
      </c>
      <c r="X98" s="509">
        <f t="shared" si="52"/>
        <v>-4.6610689927003793E-3</v>
      </c>
      <c r="Y98" s="440"/>
      <c r="Z98" s="42"/>
      <c r="AA98" s="42"/>
      <c r="AB98" s="42"/>
      <c r="AC98" s="42"/>
      <c r="AD98" s="42"/>
      <c r="AE98" s="42"/>
      <c r="AF98" s="42"/>
      <c r="AG98" s="42"/>
      <c r="AH98" s="42"/>
      <c r="AI98" s="42"/>
      <c r="AJ98" s="42"/>
      <c r="AK98" s="42"/>
      <c r="AL98" s="42"/>
      <c r="AM98" s="42"/>
      <c r="AN98" s="42"/>
      <c r="AO98" s="42"/>
      <c r="AP98" s="42"/>
      <c r="AQ98" s="42"/>
      <c r="AR98" s="42"/>
      <c r="AS98" s="42"/>
    </row>
    <row r="99" spans="1:45" x14ac:dyDescent="0.2">
      <c r="A99" s="143">
        <f t="shared" si="40"/>
        <v>77</v>
      </c>
      <c r="B99" s="50" t="str">
        <f>CONCATENATE('3. Consumption by Rate Class'!A86,"-",'3. Consumption by Rate Class'!B86)</f>
        <v>2018-May</v>
      </c>
      <c r="C99" s="115">
        <v>7940261</v>
      </c>
      <c r="D99" s="142">
        <v>7187665</v>
      </c>
      <c r="E99" s="115">
        <f t="shared" si="53"/>
        <v>15127926</v>
      </c>
      <c r="F99" s="115">
        <v>226738.8541599999</v>
      </c>
      <c r="G99" s="142">
        <v>154095.0368</v>
      </c>
      <c r="H99" s="115">
        <v>1200928.3999999999</v>
      </c>
      <c r="I99" s="115">
        <f>-'SQL Data kWh'!X81</f>
        <v>-556955.75</v>
      </c>
      <c r="J99" s="115">
        <v>16880</v>
      </c>
      <c r="K99" s="108"/>
      <c r="L99" s="51">
        <f t="shared" si="39"/>
        <v>16169612.540960001</v>
      </c>
      <c r="M99" s="121">
        <f>+'5.Variables'!$F$13</f>
        <v>124.9</v>
      </c>
      <c r="N99" s="121">
        <f>+'5.Variables'!$F$28</f>
        <v>15.35</v>
      </c>
      <c r="O99" s="490">
        <f>+'5.Variables'!$F$43</f>
        <v>14.47</v>
      </c>
      <c r="P99" s="121">
        <f>+'5.Variables'!$F$58</f>
        <v>9366</v>
      </c>
      <c r="Q99" s="121">
        <f>+'5.Variables'!$F$73</f>
        <v>31</v>
      </c>
      <c r="R99" s="121">
        <f>+'5.Variables'!$F$88</f>
        <v>0</v>
      </c>
      <c r="S99" s="490">
        <f>+'5.Variables'!$F$103</f>
        <v>9.8000000000000007</v>
      </c>
      <c r="T99" s="42"/>
      <c r="U99" s="51">
        <f t="shared" si="54"/>
        <v>15751942.266550738</v>
      </c>
      <c r="V99" s="52"/>
      <c r="W99" s="440">
        <f t="shared" si="51"/>
        <v>417670.27440926246</v>
      </c>
      <c r="X99" s="509">
        <f t="shared" si="52"/>
        <v>2.5830567884743211E-2</v>
      </c>
      <c r="Y99" s="440"/>
      <c r="Z99" s="42"/>
      <c r="AA99" s="42"/>
      <c r="AB99" s="42"/>
      <c r="AC99" s="42"/>
      <c r="AD99" s="42"/>
      <c r="AE99" s="42"/>
      <c r="AF99" s="42"/>
      <c r="AG99" s="42"/>
      <c r="AH99" s="42"/>
      <c r="AI99" s="42"/>
      <c r="AJ99" s="42"/>
      <c r="AK99" s="42"/>
      <c r="AL99" s="42"/>
      <c r="AM99" s="42"/>
      <c r="AN99" s="42"/>
      <c r="AO99" s="42"/>
      <c r="AP99" s="42"/>
      <c r="AQ99" s="42"/>
      <c r="AR99" s="42"/>
      <c r="AS99" s="42"/>
    </row>
    <row r="100" spans="1:45" x14ac:dyDescent="0.2">
      <c r="A100" s="143">
        <f t="shared" si="40"/>
        <v>78</v>
      </c>
      <c r="B100" s="50" t="str">
        <f>CONCATENATE('3. Consumption by Rate Class'!A87,"-",'3. Consumption by Rate Class'!B87)</f>
        <v>2018-June</v>
      </c>
      <c r="C100" s="115">
        <v>9440760</v>
      </c>
      <c r="D100" s="142">
        <v>6910456</v>
      </c>
      <c r="E100" s="115">
        <f t="shared" si="53"/>
        <v>16351216</v>
      </c>
      <c r="F100" s="115">
        <v>207561.97383000003</v>
      </c>
      <c r="G100" s="142">
        <v>128650.01360000001</v>
      </c>
      <c r="H100" s="115">
        <v>1298593.1000000001</v>
      </c>
      <c r="I100" s="115">
        <f>-'SQL Data kWh'!X82</f>
        <v>-373972.15</v>
      </c>
      <c r="J100" s="115">
        <v>15640</v>
      </c>
      <c r="K100" s="108"/>
      <c r="L100" s="51">
        <f t="shared" si="39"/>
        <v>17627688.937430002</v>
      </c>
      <c r="M100" s="121">
        <f>+'5.Variables'!$G$13</f>
        <v>31.900000000000002</v>
      </c>
      <c r="N100" s="121">
        <f>+'5.Variables'!$G$28</f>
        <v>47.6</v>
      </c>
      <c r="O100" s="490">
        <f>+'5.Variables'!$G$43</f>
        <v>15.3</v>
      </c>
      <c r="P100" s="121">
        <f>+'5.Variables'!$G$58</f>
        <v>9374.5</v>
      </c>
      <c r="Q100" s="121">
        <f>+'5.Variables'!$G$73</f>
        <v>30</v>
      </c>
      <c r="R100" s="121">
        <f>+'5.Variables'!$G$88</f>
        <v>1</v>
      </c>
      <c r="S100" s="490">
        <f>+'5.Variables'!$G$103</f>
        <v>9.8000000000000007</v>
      </c>
      <c r="T100" s="42"/>
      <c r="U100" s="51">
        <f t="shared" si="54"/>
        <v>18026441.096168447</v>
      </c>
      <c r="V100" s="52"/>
      <c r="W100" s="440">
        <f t="shared" si="51"/>
        <v>-398752.15873844549</v>
      </c>
      <c r="X100" s="509">
        <f t="shared" si="52"/>
        <v>-2.2620784843312584E-2</v>
      </c>
      <c r="Y100" s="440"/>
      <c r="Z100" s="42"/>
      <c r="AA100" s="42"/>
      <c r="AB100" s="42"/>
      <c r="AC100" s="42"/>
      <c r="AD100" s="42"/>
      <c r="AE100" s="42"/>
      <c r="AF100" s="42"/>
      <c r="AG100" s="42"/>
      <c r="AH100" s="42"/>
      <c r="AI100" s="42"/>
      <c r="AJ100" s="42"/>
      <c r="AK100" s="42"/>
      <c r="AL100" s="42"/>
      <c r="AM100" s="42"/>
      <c r="AN100" s="42"/>
      <c r="AO100" s="42"/>
      <c r="AP100" s="42"/>
      <c r="AQ100" s="42"/>
      <c r="AR100" s="42"/>
      <c r="AS100" s="42"/>
    </row>
    <row r="101" spans="1:45" x14ac:dyDescent="0.2">
      <c r="A101" s="143">
        <f t="shared" si="40"/>
        <v>79</v>
      </c>
      <c r="B101" s="50" t="str">
        <f>CONCATENATE('3. Consumption by Rate Class'!A88,"-",'3. Consumption by Rate Class'!B88)</f>
        <v>2018-July</v>
      </c>
      <c r="C101" s="115">
        <v>12460832</v>
      </c>
      <c r="D101" s="142">
        <v>9262985</v>
      </c>
      <c r="E101" s="115">
        <f t="shared" si="53"/>
        <v>21723817</v>
      </c>
      <c r="F101" s="115">
        <v>229740.38030999998</v>
      </c>
      <c r="G101" s="142">
        <v>209655.72339999996</v>
      </c>
      <c r="H101" s="115">
        <v>1335782.7</v>
      </c>
      <c r="I101" s="115">
        <f>-'SQL Data kWh'!X83</f>
        <v>-677835.2</v>
      </c>
      <c r="J101" s="115">
        <v>16000</v>
      </c>
      <c r="K101" s="108"/>
      <c r="L101" s="51">
        <f t="shared" si="39"/>
        <v>22837160.603709999</v>
      </c>
      <c r="M101" s="121">
        <f>+'5.Variables'!$H$13</f>
        <v>0</v>
      </c>
      <c r="N101" s="121">
        <f>+'5.Variables'!$H$28</f>
        <v>183.99999999999997</v>
      </c>
      <c r="O101" s="490">
        <f>+'5.Variables'!$H$43</f>
        <v>15.11</v>
      </c>
      <c r="P101" s="121">
        <f>+'5.Variables'!$H$58</f>
        <v>9380</v>
      </c>
      <c r="Q101" s="121">
        <f>+'5.Variables'!$H$73</f>
        <v>31</v>
      </c>
      <c r="R101" s="121">
        <f>+'5.Variables'!$H$88</f>
        <v>1</v>
      </c>
      <c r="S101" s="490">
        <f>+'5.Variables'!$H$103</f>
        <v>9.8000000000000007</v>
      </c>
      <c r="T101" s="42"/>
      <c r="U101" s="51">
        <f t="shared" si="54"/>
        <v>23759956.778748963</v>
      </c>
      <c r="V101" s="52"/>
      <c r="W101" s="440">
        <f t="shared" si="51"/>
        <v>-922796.17503896356</v>
      </c>
      <c r="X101" s="509">
        <f t="shared" si="52"/>
        <v>-4.0407657985688954E-2</v>
      </c>
      <c r="Y101" s="440"/>
      <c r="Z101" s="42"/>
      <c r="AA101" s="42"/>
      <c r="AB101" s="42"/>
      <c r="AC101" s="42"/>
      <c r="AD101" s="42"/>
      <c r="AE101" s="42"/>
      <c r="AF101" s="42"/>
      <c r="AG101" s="42"/>
      <c r="AH101" s="42"/>
      <c r="AI101" s="42"/>
      <c r="AJ101" s="42"/>
      <c r="AK101" s="42"/>
      <c r="AL101" s="42"/>
      <c r="AM101" s="42"/>
      <c r="AN101" s="42"/>
      <c r="AO101" s="42"/>
      <c r="AP101" s="42"/>
      <c r="AQ101" s="42"/>
      <c r="AR101" s="42"/>
      <c r="AS101" s="42"/>
    </row>
    <row r="102" spans="1:45" x14ac:dyDescent="0.2">
      <c r="A102" s="143">
        <f t="shared" si="40"/>
        <v>80</v>
      </c>
      <c r="B102" s="50" t="str">
        <f>CONCATENATE('3. Consumption by Rate Class'!A89,"-",'3. Consumption by Rate Class'!B89)</f>
        <v>2018-August</v>
      </c>
      <c r="C102" s="115">
        <v>13628991</v>
      </c>
      <c r="D102" s="142">
        <v>8629518</v>
      </c>
      <c r="E102" s="115">
        <f t="shared" si="53"/>
        <v>22258509</v>
      </c>
      <c r="F102" s="115">
        <v>210442.15209000008</v>
      </c>
      <c r="G102" s="142">
        <v>182492.66860000006</v>
      </c>
      <c r="H102" s="115">
        <v>1352924.3</v>
      </c>
      <c r="I102" s="115">
        <f>-'SQL Data kWh'!X84</f>
        <v>-1277718.3999999999</v>
      </c>
      <c r="J102" s="115">
        <v>12238.26</v>
      </c>
      <c r="K102" s="108"/>
      <c r="L102" s="51">
        <f t="shared" si="39"/>
        <v>22738887.980690006</v>
      </c>
      <c r="M102" s="121">
        <f>+'5.Variables'!$I$13</f>
        <v>0</v>
      </c>
      <c r="N102" s="121">
        <f>+'5.Variables'!$I$28</f>
        <v>183.7</v>
      </c>
      <c r="O102" s="490">
        <f>+'5.Variables'!$I$43</f>
        <v>14</v>
      </c>
      <c r="P102" s="121">
        <f>+'5.Variables'!$I$58</f>
        <v>9382.5</v>
      </c>
      <c r="Q102" s="121">
        <f>+'5.Variables'!$I$73</f>
        <v>31</v>
      </c>
      <c r="R102" s="121">
        <f>+'5.Variables'!$I$88</f>
        <v>1</v>
      </c>
      <c r="S102" s="490">
        <f>+'5.Variables'!$I$103</f>
        <v>9.8000000000000007</v>
      </c>
      <c r="T102" s="42"/>
      <c r="U102" s="51">
        <f t="shared" si="54"/>
        <v>23750759.71589445</v>
      </c>
      <c r="V102" s="52"/>
      <c r="W102" s="440">
        <f t="shared" si="51"/>
        <v>-1011871.7352044433</v>
      </c>
      <c r="X102" s="509">
        <f t="shared" si="52"/>
        <v>-4.4499613880139198E-2</v>
      </c>
      <c r="Y102" s="440"/>
      <c r="Z102" s="42"/>
      <c r="AA102" s="42"/>
      <c r="AB102" s="42"/>
      <c r="AC102" s="42"/>
      <c r="AD102" s="42"/>
      <c r="AE102" s="42"/>
      <c r="AF102" s="42"/>
      <c r="AG102" s="42"/>
      <c r="AH102" s="42"/>
      <c r="AI102" s="42"/>
      <c r="AJ102" s="42"/>
      <c r="AK102" s="42"/>
      <c r="AL102" s="42"/>
      <c r="AM102" s="42"/>
      <c r="AN102" s="42"/>
      <c r="AO102" s="42"/>
      <c r="AP102" s="42"/>
      <c r="AQ102" s="42"/>
      <c r="AR102" s="42"/>
      <c r="AS102" s="42"/>
    </row>
    <row r="103" spans="1:45" x14ac:dyDescent="0.2">
      <c r="A103" s="143">
        <f t="shared" si="40"/>
        <v>81</v>
      </c>
      <c r="B103" s="50" t="str">
        <f>CONCATENATE('3. Consumption by Rate Class'!A90,"-",'3. Consumption by Rate Class'!B90)</f>
        <v>2018-September</v>
      </c>
      <c r="C103" s="115">
        <v>11173825</v>
      </c>
      <c r="D103" s="142">
        <v>6892826</v>
      </c>
      <c r="E103" s="115">
        <f t="shared" si="53"/>
        <v>18066651</v>
      </c>
      <c r="F103" s="115">
        <v>153276.26002000002</v>
      </c>
      <c r="G103" s="142">
        <v>147219.04399999999</v>
      </c>
      <c r="H103" s="115">
        <v>1317467.2</v>
      </c>
      <c r="I103" s="115">
        <f>-'SQL Data kWh'!X85</f>
        <v>-1180401.6000000001</v>
      </c>
      <c r="J103" s="115">
        <v>13089.48</v>
      </c>
      <c r="K103" s="108"/>
      <c r="L103" s="51">
        <f t="shared" si="39"/>
        <v>18517301.384019997</v>
      </c>
      <c r="M103" s="121">
        <f>+'5.Variables'!$J$13</f>
        <v>25.15</v>
      </c>
      <c r="N103" s="121">
        <f>+'5.Variables'!$J$28</f>
        <v>77.700000000000017</v>
      </c>
      <c r="O103" s="490">
        <f>+'5.Variables'!$J$43</f>
        <v>12.27</v>
      </c>
      <c r="P103" s="121">
        <f>+'5.Variables'!$J$58</f>
        <v>9386</v>
      </c>
      <c r="Q103" s="121">
        <f>+'5.Variables'!$J$73</f>
        <v>30</v>
      </c>
      <c r="R103" s="121">
        <f>+'5.Variables'!$J$88</f>
        <v>0</v>
      </c>
      <c r="S103" s="490">
        <f>+'5.Variables'!$J$103</f>
        <v>9.8000000000000007</v>
      </c>
      <c r="T103" s="42"/>
      <c r="U103" s="51">
        <f t="shared" si="54"/>
        <v>17393164.550387219</v>
      </c>
      <c r="V103" s="52"/>
      <c r="W103" s="440">
        <f t="shared" si="51"/>
        <v>1124136.8336327784</v>
      </c>
      <c r="X103" s="509">
        <f t="shared" si="52"/>
        <v>6.0707379024617619E-2</v>
      </c>
      <c r="Y103" s="440"/>
      <c r="Z103" s="42"/>
      <c r="AA103" s="42"/>
      <c r="AB103" s="42"/>
      <c r="AC103" s="42"/>
      <c r="AD103" s="42"/>
      <c r="AE103" s="42"/>
      <c r="AF103" s="42"/>
      <c r="AG103" s="42"/>
      <c r="AH103" s="42"/>
      <c r="AI103" s="42"/>
      <c r="AJ103" s="42"/>
      <c r="AK103" s="42"/>
      <c r="AL103" s="42"/>
      <c r="AM103" s="42"/>
      <c r="AN103" s="42"/>
      <c r="AO103" s="42"/>
      <c r="AP103" s="42"/>
      <c r="AQ103" s="42"/>
      <c r="AR103" s="42"/>
      <c r="AS103" s="42"/>
    </row>
    <row r="104" spans="1:45" x14ac:dyDescent="0.2">
      <c r="A104" s="143">
        <f t="shared" si="40"/>
        <v>82</v>
      </c>
      <c r="B104" s="50" t="str">
        <f>CONCATENATE('3. Consumption by Rate Class'!A91,"-",'3. Consumption by Rate Class'!B91)</f>
        <v>2018-October</v>
      </c>
      <c r="C104" s="115">
        <v>9915456</v>
      </c>
      <c r="D104" s="142">
        <v>5817961</v>
      </c>
      <c r="E104" s="115">
        <f t="shared" si="53"/>
        <v>15733417</v>
      </c>
      <c r="F104" s="115">
        <v>92353.924569999988</v>
      </c>
      <c r="G104" s="142">
        <v>83856.360000000015</v>
      </c>
      <c r="H104" s="115">
        <v>1355850.3</v>
      </c>
      <c r="I104" s="115">
        <f>-'SQL Data kWh'!X86</f>
        <v>-1390547.2</v>
      </c>
      <c r="J104" s="115">
        <v>8228.5199999999986</v>
      </c>
      <c r="K104" s="108"/>
      <c r="L104" s="51">
        <f t="shared" si="39"/>
        <v>15883158.904569998</v>
      </c>
      <c r="M104" s="121">
        <f>+'5.Variables'!$K$13</f>
        <v>204.65</v>
      </c>
      <c r="N104" s="121">
        <f>+'5.Variables'!$K$28</f>
        <v>9.7999999999999989</v>
      </c>
      <c r="O104" s="490">
        <f>+'5.Variables'!$K$43</f>
        <v>10.52</v>
      </c>
      <c r="P104" s="121">
        <f>+'5.Variables'!$K$58</f>
        <v>9408</v>
      </c>
      <c r="Q104" s="121">
        <f>+'5.Variables'!$K$73</f>
        <v>31</v>
      </c>
      <c r="R104" s="121">
        <f>+'5.Variables'!$K$88</f>
        <v>0</v>
      </c>
      <c r="S104" s="490">
        <f>+'5.Variables'!$K$103</f>
        <v>9.8000000000000007</v>
      </c>
      <c r="T104" s="42"/>
      <c r="U104" s="51">
        <f t="shared" si="54"/>
        <v>15854966.980221925</v>
      </c>
      <c r="V104" s="52"/>
      <c r="W104" s="440">
        <f t="shared" si="51"/>
        <v>28191.92434807308</v>
      </c>
      <c r="X104" s="509">
        <f t="shared" si="52"/>
        <v>1.7749570168917425E-3</v>
      </c>
      <c r="Y104" s="440"/>
      <c r="Z104" s="42"/>
      <c r="AA104" s="42"/>
      <c r="AB104" s="42"/>
      <c r="AC104" s="42"/>
      <c r="AD104" s="42"/>
      <c r="AE104" s="42"/>
      <c r="AF104" s="42"/>
      <c r="AG104" s="42"/>
      <c r="AH104" s="42"/>
      <c r="AI104" s="42"/>
      <c r="AJ104" s="42"/>
      <c r="AK104" s="42"/>
      <c r="AL104" s="42"/>
      <c r="AM104" s="42"/>
      <c r="AN104" s="42"/>
      <c r="AO104" s="42"/>
      <c r="AP104" s="42"/>
      <c r="AQ104" s="42"/>
      <c r="AR104" s="42"/>
      <c r="AS104" s="42"/>
    </row>
    <row r="105" spans="1:45" x14ac:dyDescent="0.2">
      <c r="A105" s="143">
        <f t="shared" si="40"/>
        <v>83</v>
      </c>
      <c r="B105" s="50" t="str">
        <f>CONCATENATE('3. Consumption by Rate Class'!A92,"-",'3. Consumption by Rate Class'!B92)</f>
        <v>2018-November</v>
      </c>
      <c r="C105" s="115">
        <v>10762397</v>
      </c>
      <c r="D105" s="142">
        <v>5960925</v>
      </c>
      <c r="E105" s="115">
        <f t="shared" si="53"/>
        <v>16723322</v>
      </c>
      <c r="F105" s="115">
        <v>54570.00206999998</v>
      </c>
      <c r="G105" s="142">
        <v>44050.000000000007</v>
      </c>
      <c r="H105" s="115">
        <v>1241487.1000000001</v>
      </c>
      <c r="I105" s="115">
        <f>-'SQL Data kWh'!X87</f>
        <v>-1842338.4</v>
      </c>
      <c r="J105" s="115">
        <v>3974.349999999999</v>
      </c>
      <c r="K105" s="108"/>
      <c r="L105" s="51">
        <f t="shared" si="39"/>
        <v>16225065.052069999</v>
      </c>
      <c r="M105" s="121">
        <f>+'5.Variables'!$L$13</f>
        <v>434.3</v>
      </c>
      <c r="N105" s="121">
        <f>+'5.Variables'!$L$28</f>
        <v>0</v>
      </c>
      <c r="O105" s="490">
        <f>+'5.Variables'!$L$43</f>
        <v>9.31</v>
      </c>
      <c r="P105" s="121">
        <f>+'5.Variables'!$L$58</f>
        <v>9434.5</v>
      </c>
      <c r="Q105" s="121">
        <f>+'5.Variables'!$L$73</f>
        <v>30</v>
      </c>
      <c r="R105" s="121">
        <f>+'5.Variables'!$L$88</f>
        <v>0</v>
      </c>
      <c r="S105" s="490">
        <f>+'5.Variables'!$L$103</f>
        <v>8</v>
      </c>
      <c r="T105" s="42"/>
      <c r="U105" s="51">
        <f t="shared" si="54"/>
        <v>15815451.441168353</v>
      </c>
      <c r="V105" s="52"/>
      <c r="W105" s="440">
        <f t="shared" si="51"/>
        <v>409613.61090164632</v>
      </c>
      <c r="X105" s="509">
        <f t="shared" si="52"/>
        <v>2.5245729960841522E-2</v>
      </c>
      <c r="Y105" s="440"/>
      <c r="Z105" s="42"/>
      <c r="AA105" s="42"/>
      <c r="AB105" s="42"/>
      <c r="AC105" s="42"/>
      <c r="AD105" s="42"/>
      <c r="AE105" s="42"/>
      <c r="AF105" s="42"/>
      <c r="AG105" s="42"/>
      <c r="AH105" s="42"/>
      <c r="AI105" s="42"/>
      <c r="AJ105" s="42"/>
      <c r="AK105" s="42"/>
      <c r="AL105" s="42"/>
      <c r="AM105" s="42"/>
      <c r="AN105" s="42"/>
      <c r="AO105" s="42"/>
      <c r="AP105" s="42"/>
      <c r="AQ105" s="42"/>
      <c r="AR105" s="42"/>
      <c r="AS105" s="42"/>
    </row>
    <row r="106" spans="1:45" x14ac:dyDescent="0.2">
      <c r="A106" s="143">
        <f t="shared" si="40"/>
        <v>84</v>
      </c>
      <c r="B106" s="87" t="str">
        <f>CONCATENATE('3. Consumption by Rate Class'!A93,"-",'3. Consumption by Rate Class'!B93)</f>
        <v>2018-December</v>
      </c>
      <c r="C106" s="105">
        <v>12154614</v>
      </c>
      <c r="D106" s="105">
        <v>6377461</v>
      </c>
      <c r="E106" s="105">
        <f t="shared" si="53"/>
        <v>18532075</v>
      </c>
      <c r="F106" s="105">
        <v>43165.829919999982</v>
      </c>
      <c r="G106" s="105">
        <v>36835.138399999996</v>
      </c>
      <c r="H106" s="105">
        <v>1284532.8999999999</v>
      </c>
      <c r="I106" s="105">
        <f>-'SQL Data kWh'!X88</f>
        <v>-2402612.7999999998</v>
      </c>
      <c r="J106" s="115">
        <v>2206.2400000000002</v>
      </c>
      <c r="K106" s="110"/>
      <c r="L106" s="51">
        <f t="shared" si="39"/>
        <v>17496202.308319997</v>
      </c>
      <c r="M106" s="121">
        <f>+'5.Variables'!$M$13</f>
        <v>500.8</v>
      </c>
      <c r="N106" s="121">
        <f>+'5.Variables'!$M$28</f>
        <v>0</v>
      </c>
      <c r="O106" s="490">
        <f>+'5.Variables'!$M$43</f>
        <v>8.5</v>
      </c>
      <c r="P106" s="121">
        <f>+'5.Variables'!$M$58</f>
        <v>9445</v>
      </c>
      <c r="Q106" s="121">
        <f>+'5.Variables'!$M$73</f>
        <v>31</v>
      </c>
      <c r="R106" s="121">
        <f>+'5.Variables'!$M$88</f>
        <v>1</v>
      </c>
      <c r="S106" s="490">
        <f>+'5.Variables'!$M$103</f>
        <v>8</v>
      </c>
      <c r="T106" s="42"/>
      <c r="U106" s="51">
        <f t="shared" si="54"/>
        <v>18343016.770482227</v>
      </c>
      <c r="V106" s="52">
        <f>SUM(U95:U106)</f>
        <v>216453357.83650899</v>
      </c>
      <c r="W106" s="440">
        <f t="shared" ref="W106:W118" si="55">+L106-U106</f>
        <v>-846814.46216223016</v>
      </c>
      <c r="X106" s="509">
        <f>+W106/L106</f>
        <v>-4.8399901146521561E-2</v>
      </c>
      <c r="Y106" s="440"/>
      <c r="Z106" s="42"/>
      <c r="AA106" s="42"/>
      <c r="AB106" s="42"/>
      <c r="AC106" s="42"/>
      <c r="AD106" s="569"/>
      <c r="AE106" s="42"/>
      <c r="AF106" s="42"/>
      <c r="AG106" s="42"/>
      <c r="AH106" s="42"/>
      <c r="AI106" s="42"/>
      <c r="AJ106" s="42"/>
      <c r="AK106" s="42"/>
      <c r="AL106" s="42"/>
      <c r="AM106" s="42"/>
      <c r="AN106" s="42"/>
      <c r="AO106" s="42"/>
      <c r="AP106" s="42"/>
      <c r="AQ106" s="42"/>
      <c r="AR106" s="42"/>
      <c r="AS106" s="42"/>
    </row>
    <row r="107" spans="1:45" x14ac:dyDescent="0.2">
      <c r="A107" s="143">
        <f t="shared" si="40"/>
        <v>85</v>
      </c>
      <c r="B107" s="50" t="str">
        <f>CONCATENATE('3. Consumption by Rate Class'!A94,"-",'3. Consumption by Rate Class'!B94)</f>
        <v>2019-January</v>
      </c>
      <c r="C107" s="115">
        <v>12484856</v>
      </c>
      <c r="D107" s="142">
        <v>8157803</v>
      </c>
      <c r="E107" s="115">
        <f t="shared" si="53"/>
        <v>20642659</v>
      </c>
      <c r="F107" s="115">
        <v>54693.595860000009</v>
      </c>
      <c r="G107" s="142">
        <v>51299.489399999999</v>
      </c>
      <c r="H107" s="115">
        <v>50019.199999999997</v>
      </c>
      <c r="I107" s="115">
        <f>-'SQL Data kWh'!X89</f>
        <v>-2210874.4</v>
      </c>
      <c r="J107" s="115">
        <v>3896.6</v>
      </c>
      <c r="K107" s="108"/>
      <c r="L107" s="51">
        <f t="shared" si="39"/>
        <v>18591693.485260002</v>
      </c>
      <c r="M107" s="124">
        <f>+'5.Variables'!$B$14</f>
        <v>663.40000000000009</v>
      </c>
      <c r="N107" s="121">
        <f>+'5.Variables'!$B$29</f>
        <v>0</v>
      </c>
      <c r="O107" s="490">
        <f>+'5.Variables'!$B$44</f>
        <v>9.1199999999999992</v>
      </c>
      <c r="P107" s="121">
        <f>+'5.Variables'!$B$59</f>
        <v>9467</v>
      </c>
      <c r="Q107" s="121">
        <f>+'5.Variables'!$B$74</f>
        <v>31</v>
      </c>
      <c r="R107" s="124">
        <f t="shared" ref="R107" si="56">AVERAGE(R23,R35,R47,R59,R71,R83,R95)</f>
        <v>1</v>
      </c>
      <c r="S107" s="491"/>
      <c r="T107" s="42"/>
      <c r="U107" s="51">
        <f t="shared" si="54"/>
        <v>18931701.34549702</v>
      </c>
      <c r="V107" s="52"/>
      <c r="W107" s="440">
        <f t="shared" si="55"/>
        <v>-340007.86023701727</v>
      </c>
      <c r="X107" s="509">
        <f t="shared" ref="X107:X125" si="57">+W107/L107</f>
        <v>-1.828815973685155E-2</v>
      </c>
      <c r="Y107" s="440"/>
      <c r="Z107" s="42"/>
      <c r="AA107" s="531"/>
      <c r="AB107" s="531"/>
      <c r="AC107" s="531"/>
      <c r="AD107" s="158"/>
      <c r="AE107" s="42"/>
      <c r="AF107" s="42"/>
      <c r="AG107" s="42"/>
      <c r="AH107" s="42"/>
      <c r="AI107" s="42"/>
      <c r="AJ107" s="42"/>
      <c r="AK107" s="42"/>
      <c r="AL107" s="42"/>
      <c r="AM107" s="42"/>
      <c r="AN107" s="42"/>
      <c r="AO107" s="42"/>
      <c r="AP107" s="42"/>
      <c r="AQ107" s="42"/>
      <c r="AR107" s="42"/>
      <c r="AS107" s="42"/>
    </row>
    <row r="108" spans="1:45" x14ac:dyDescent="0.2">
      <c r="A108" s="143">
        <f t="shared" si="40"/>
        <v>86</v>
      </c>
      <c r="B108" s="50" t="str">
        <f>CONCATENATE('3. Consumption by Rate Class'!A95,"-",'3. Consumption by Rate Class'!B95)</f>
        <v>2019-February</v>
      </c>
      <c r="C108" s="115">
        <v>11021562</v>
      </c>
      <c r="D108" s="115">
        <v>7325852</v>
      </c>
      <c r="E108" s="115">
        <f t="shared" si="53"/>
        <v>18347414</v>
      </c>
      <c r="F108" s="115">
        <v>69325.061879999965</v>
      </c>
      <c r="G108" s="142">
        <v>65597.568800000008</v>
      </c>
      <c r="H108" s="115">
        <v>0</v>
      </c>
      <c r="I108" s="115">
        <f>-'SQL Data kWh'!X90</f>
        <v>-1860672.8</v>
      </c>
      <c r="J108" s="115">
        <v>6241.3399999999992</v>
      </c>
      <c r="K108" s="108"/>
      <c r="L108" s="51">
        <f t="shared" si="39"/>
        <v>16627905.170679998</v>
      </c>
      <c r="M108" s="124">
        <f>+'5.Variables'!$C$14</f>
        <v>548.29999999999995</v>
      </c>
      <c r="N108" s="121">
        <f>+'5.Variables'!$C$29</f>
        <v>0</v>
      </c>
      <c r="O108" s="490">
        <f>+'5.Variables'!$C$44</f>
        <v>10.199999999999999</v>
      </c>
      <c r="P108" s="121">
        <f>+'5.Variables'!$C$59</f>
        <v>9489.5</v>
      </c>
      <c r="Q108" s="121">
        <f>+'5.Variables'!$C$74</f>
        <v>28</v>
      </c>
      <c r="R108" s="124">
        <f t="shared" ref="R108" si="58">AVERAGE(R24,R36,R48,R60,R72,R84,R96)</f>
        <v>1</v>
      </c>
      <c r="S108" s="491"/>
      <c r="T108" s="42"/>
      <c r="U108" s="51">
        <f t="shared" si="54"/>
        <v>17110495.934214778</v>
      </c>
      <c r="V108" s="52"/>
      <c r="W108" s="440">
        <f t="shared" si="55"/>
        <v>-482590.76353478059</v>
      </c>
      <c r="X108" s="509">
        <f t="shared" si="57"/>
        <v>-2.9022944176139119E-2</v>
      </c>
      <c r="Y108" s="440"/>
      <c r="Z108" s="42"/>
      <c r="AA108" s="42"/>
      <c r="AB108" s="42"/>
      <c r="AC108" s="42"/>
      <c r="AD108" s="158"/>
      <c r="AE108" s="42"/>
      <c r="AF108" s="42"/>
      <c r="AG108" s="42"/>
      <c r="AH108" s="42"/>
      <c r="AI108" s="42"/>
      <c r="AJ108" s="42"/>
      <c r="AK108" s="42"/>
      <c r="AL108" s="42"/>
      <c r="AM108" s="42"/>
      <c r="AN108" s="42"/>
      <c r="AO108" s="42"/>
      <c r="AP108" s="42"/>
      <c r="AQ108" s="42"/>
      <c r="AR108" s="42"/>
      <c r="AS108" s="42"/>
    </row>
    <row r="109" spans="1:45" x14ac:dyDescent="0.2">
      <c r="A109" s="143">
        <f t="shared" si="40"/>
        <v>87</v>
      </c>
      <c r="B109" s="50" t="str">
        <f>CONCATENATE('3. Consumption by Rate Class'!A96,"-",'3. Consumption by Rate Class'!B96)</f>
        <v>2019-March</v>
      </c>
      <c r="C109" s="115">
        <v>11478096</v>
      </c>
      <c r="D109" s="115">
        <v>6923393</v>
      </c>
      <c r="E109" s="115">
        <f t="shared" si="53"/>
        <v>18401489</v>
      </c>
      <c r="F109" s="115">
        <v>148734.50118000005</v>
      </c>
      <c r="G109" s="142">
        <v>137663.07979999998</v>
      </c>
      <c r="H109" s="115">
        <v>700945.7</v>
      </c>
      <c r="I109" s="115">
        <f>-'SQL Data kWh'!X91</f>
        <v>-2025189.6</v>
      </c>
      <c r="J109" s="115">
        <v>16187.719999999998</v>
      </c>
      <c r="K109" s="108"/>
      <c r="L109" s="51">
        <f t="shared" si="39"/>
        <v>17379830.400979996</v>
      </c>
      <c r="M109" s="124">
        <f>+'5.Variables'!$D$14</f>
        <v>536.40000000000009</v>
      </c>
      <c r="N109" s="121">
        <f>+'5.Variables'!$D$29</f>
        <v>0</v>
      </c>
      <c r="O109" s="490">
        <f>+'5.Variables'!$D$44</f>
        <v>11.5</v>
      </c>
      <c r="P109" s="121">
        <f>+'5.Variables'!$D$59</f>
        <v>9494</v>
      </c>
      <c r="Q109" s="121">
        <f>+'5.Variables'!$D$74</f>
        <v>31</v>
      </c>
      <c r="R109" s="124">
        <f t="shared" ref="R109" si="59">AVERAGE(R25,R37,R49,R61,R73,R85,R97)</f>
        <v>0</v>
      </c>
      <c r="S109" s="491"/>
      <c r="T109" s="42"/>
      <c r="U109" s="51">
        <f t="shared" si="54"/>
        <v>16713657.880190175</v>
      </c>
      <c r="V109" s="52"/>
      <c r="W109" s="440">
        <f t="shared" si="55"/>
        <v>666172.5207898207</v>
      </c>
      <c r="X109" s="509">
        <f t="shared" si="57"/>
        <v>3.8330208374890547E-2</v>
      </c>
      <c r="Y109" s="440"/>
      <c r="Z109" s="42"/>
      <c r="AA109" s="531"/>
      <c r="AB109" s="531"/>
      <c r="AC109" s="531"/>
      <c r="AD109" s="158"/>
      <c r="AE109" s="42"/>
      <c r="AF109" s="42"/>
      <c r="AG109" s="42"/>
      <c r="AH109" s="42"/>
      <c r="AI109" s="42"/>
      <c r="AJ109" s="42"/>
      <c r="AK109" s="42"/>
      <c r="AL109" s="42"/>
      <c r="AM109" s="42"/>
      <c r="AN109" s="42"/>
      <c r="AO109" s="42"/>
      <c r="AP109" s="42"/>
      <c r="AQ109" s="42"/>
      <c r="AR109" s="42"/>
      <c r="AS109" s="42"/>
    </row>
    <row r="110" spans="1:45" x14ac:dyDescent="0.2">
      <c r="A110" s="143">
        <f t="shared" si="40"/>
        <v>88</v>
      </c>
      <c r="B110" s="50" t="str">
        <f>CONCATENATE('3. Consumption by Rate Class'!A97,"-",'3. Consumption by Rate Class'!B97)</f>
        <v>2019-April</v>
      </c>
      <c r="C110" s="115">
        <v>34761</v>
      </c>
      <c r="D110" s="115">
        <v>16141482</v>
      </c>
      <c r="E110" s="115">
        <f t="shared" si="53"/>
        <v>16176243</v>
      </c>
      <c r="F110" s="115">
        <v>154073.47406999988</v>
      </c>
      <c r="G110" s="142">
        <v>148874.86000000002</v>
      </c>
      <c r="H110" s="115">
        <v>1341186.7</v>
      </c>
      <c r="I110" s="115">
        <f>-'SQL Data kWh'!X92</f>
        <v>-2455219.2000000002</v>
      </c>
      <c r="J110" s="115">
        <v>13298.550000000001</v>
      </c>
      <c r="K110" s="108"/>
      <c r="L110" s="51">
        <f t="shared" si="39"/>
        <v>15378457.384070002</v>
      </c>
      <c r="M110" s="124">
        <f>+'5.Variables'!$E$14</f>
        <v>356</v>
      </c>
      <c r="N110" s="121">
        <f>+'5.Variables'!$E$29</f>
        <v>0</v>
      </c>
      <c r="O110" s="490">
        <f>+'5.Variables'!$E$44</f>
        <v>13.26</v>
      </c>
      <c r="P110" s="121">
        <f>+'5.Variables'!$E$59</f>
        <v>9493.5</v>
      </c>
      <c r="Q110" s="121">
        <f>+'5.Variables'!$E$74</f>
        <v>30</v>
      </c>
      <c r="R110" s="124">
        <f t="shared" ref="R110" si="60">AVERAGE(R26,R38,R50,R62,R74,R86,R98)</f>
        <v>0</v>
      </c>
      <c r="S110" s="491"/>
      <c r="T110" s="42"/>
      <c r="U110" s="51">
        <f t="shared" si="54"/>
        <v>15603970.427446747</v>
      </c>
      <c r="V110" s="52"/>
      <c r="W110" s="440">
        <f t="shared" si="55"/>
        <v>-225513.04337674566</v>
      </c>
      <c r="X110" s="509">
        <f t="shared" si="57"/>
        <v>-1.4664217466333562E-2</v>
      </c>
      <c r="Y110" s="440"/>
      <c r="Z110" s="42"/>
      <c r="AA110" s="531"/>
      <c r="AB110" s="531"/>
      <c r="AC110" s="531"/>
      <c r="AD110" s="158"/>
      <c r="AE110" s="42"/>
      <c r="AF110" s="42"/>
      <c r="AG110" s="42"/>
      <c r="AH110" s="42"/>
      <c r="AI110" s="42"/>
      <c r="AJ110" s="42"/>
      <c r="AK110" s="42"/>
      <c r="AL110" s="42"/>
      <c r="AM110" s="42"/>
      <c r="AN110" s="42"/>
      <c r="AO110" s="42"/>
      <c r="AP110" s="42"/>
      <c r="AQ110" s="42"/>
      <c r="AR110" s="42"/>
      <c r="AS110" s="42"/>
    </row>
    <row r="111" spans="1:45" x14ac:dyDescent="0.2">
      <c r="A111" s="143">
        <f t="shared" si="40"/>
        <v>89</v>
      </c>
      <c r="B111" s="50" t="str">
        <f>CONCATENATE('3. Consumption by Rate Class'!A98,"-",'3. Consumption by Rate Class'!B98)</f>
        <v>2019-May</v>
      </c>
      <c r="C111" s="115">
        <v>10135816</v>
      </c>
      <c r="D111" s="115">
        <v>5547994</v>
      </c>
      <c r="E111" s="115">
        <f t="shared" si="53"/>
        <v>15683810</v>
      </c>
      <c r="F111" s="115">
        <v>184101.69676999995</v>
      </c>
      <c r="G111" s="142">
        <v>184517.49979999993</v>
      </c>
      <c r="H111" s="115">
        <v>1264566.8</v>
      </c>
      <c r="I111" s="115">
        <f>-'SQL Data kWh'!X93</f>
        <v>-1880748.8</v>
      </c>
      <c r="J111" s="115">
        <v>9709.1500000000033</v>
      </c>
      <c r="K111" s="108"/>
      <c r="L111" s="51">
        <f t="shared" si="39"/>
        <v>15445956.346569998</v>
      </c>
      <c r="M111" s="124">
        <f>+'5.Variables'!$F$14</f>
        <v>226.5</v>
      </c>
      <c r="N111" s="121">
        <f>+'5.Variables'!$F$29</f>
        <v>0</v>
      </c>
      <c r="O111" s="490">
        <f>+'5.Variables'!$F$44</f>
        <v>14.47</v>
      </c>
      <c r="P111" s="121">
        <f>+'5.Variables'!$F$59</f>
        <v>9493.5</v>
      </c>
      <c r="Q111" s="121">
        <f>+'5.Variables'!$F$74</f>
        <v>31</v>
      </c>
      <c r="R111" s="124">
        <f t="shared" ref="R111" si="61">AVERAGE(R27,R39,R51,R63,R75,R87,R99)</f>
        <v>0</v>
      </c>
      <c r="S111" s="491"/>
      <c r="T111" s="42"/>
      <c r="U111" s="51">
        <f t="shared" si="54"/>
        <v>15634543.662438724</v>
      </c>
      <c r="V111" s="52"/>
      <c r="W111" s="440">
        <f t="shared" si="55"/>
        <v>-188587.315868726</v>
      </c>
      <c r="X111" s="509">
        <f t="shared" si="57"/>
        <v>-1.2209494293346529E-2</v>
      </c>
      <c r="Y111" s="440"/>
      <c r="Z111" s="42"/>
      <c r="AA111" s="531"/>
      <c r="AB111" s="531"/>
      <c r="AC111" s="531"/>
      <c r="AD111" s="158"/>
      <c r="AE111" s="42"/>
      <c r="AF111" s="42"/>
      <c r="AG111" s="42"/>
      <c r="AH111" s="42"/>
      <c r="AI111" s="42"/>
      <c r="AJ111" s="42"/>
      <c r="AK111" s="42"/>
      <c r="AL111" s="42"/>
      <c r="AM111" s="42"/>
      <c r="AN111" s="42"/>
      <c r="AO111" s="42"/>
      <c r="AP111" s="42"/>
      <c r="AQ111" s="42"/>
      <c r="AR111" s="42"/>
      <c r="AS111" s="42"/>
    </row>
    <row r="112" spans="1:45" x14ac:dyDescent="0.2">
      <c r="A112" s="143">
        <f t="shared" si="40"/>
        <v>90</v>
      </c>
      <c r="B112" s="50" t="str">
        <f>CONCATENATE('3. Consumption by Rate Class'!A99,"-",'3. Consumption by Rate Class'!B99)</f>
        <v>2019-June</v>
      </c>
      <c r="C112" s="115">
        <v>11378422</v>
      </c>
      <c r="D112" s="115">
        <v>6307197</v>
      </c>
      <c r="E112" s="115">
        <f t="shared" si="53"/>
        <v>17685619</v>
      </c>
      <c r="F112" s="115">
        <v>215561.18117999996</v>
      </c>
      <c r="G112" s="142">
        <v>219761.35060000001</v>
      </c>
      <c r="H112" s="115">
        <v>974253.7</v>
      </c>
      <c r="I112" s="115">
        <f>-'SQL Data kWh'!X94</f>
        <v>-2364107.2000000002</v>
      </c>
      <c r="J112" s="115">
        <v>6269.5999999999967</v>
      </c>
      <c r="K112" s="108"/>
      <c r="L112" s="51">
        <f t="shared" si="39"/>
        <v>16737357.63178</v>
      </c>
      <c r="M112" s="124">
        <f>+'5.Variables'!$G$14</f>
        <v>53.099999999999994</v>
      </c>
      <c r="N112" s="121">
        <f>+'5.Variables'!$G$29</f>
        <v>30.3</v>
      </c>
      <c r="O112" s="490">
        <f>+'5.Variables'!$G$44</f>
        <v>15.3</v>
      </c>
      <c r="P112" s="121">
        <f>+'5.Variables'!$G$59</f>
        <v>9498</v>
      </c>
      <c r="Q112" s="121">
        <f>+'5.Variables'!$G$74</f>
        <v>30</v>
      </c>
      <c r="R112" s="124">
        <f t="shared" ref="R112" si="62">AVERAGE(R28,R40,R52,R64,R76,R88,R100)</f>
        <v>1</v>
      </c>
      <c r="S112" s="491"/>
      <c r="T112" s="42"/>
      <c r="U112" s="51">
        <f t="shared" si="54"/>
        <v>17548481.948267933</v>
      </c>
      <c r="V112" s="52"/>
      <c r="W112" s="440">
        <f t="shared" si="55"/>
        <v>-811124.31648793258</v>
      </c>
      <c r="X112" s="509">
        <f t="shared" si="57"/>
        <v>-4.8461909838612344E-2</v>
      </c>
      <c r="Y112" s="440"/>
      <c r="Z112" s="42"/>
      <c r="AA112" s="531"/>
      <c r="AB112" s="531"/>
      <c r="AC112" s="531"/>
      <c r="AD112" s="158"/>
      <c r="AE112" s="42"/>
      <c r="AF112" s="42"/>
      <c r="AG112" s="42"/>
      <c r="AH112" s="42"/>
      <c r="AI112" s="42"/>
      <c r="AJ112" s="42"/>
      <c r="AK112" s="42"/>
      <c r="AL112" s="42"/>
      <c r="AM112" s="42"/>
      <c r="AN112" s="42"/>
      <c r="AO112" s="42"/>
      <c r="AP112" s="42"/>
      <c r="AQ112" s="42"/>
      <c r="AR112" s="42"/>
      <c r="AS112" s="42"/>
    </row>
    <row r="113" spans="1:45" x14ac:dyDescent="0.2">
      <c r="A113" s="143">
        <f t="shared" si="40"/>
        <v>91</v>
      </c>
      <c r="B113" s="50" t="str">
        <f>CONCATENATE('3. Consumption by Rate Class'!A100,"-",'3. Consumption by Rate Class'!B100)</f>
        <v>2019-July</v>
      </c>
      <c r="C113" s="115">
        <v>14474560</v>
      </c>
      <c r="D113" s="115">
        <v>8288610</v>
      </c>
      <c r="E113" s="115">
        <f t="shared" si="53"/>
        <v>22763170</v>
      </c>
      <c r="F113" s="115">
        <v>224301.16109999997</v>
      </c>
      <c r="G113" s="142">
        <v>230926.19940000001</v>
      </c>
      <c r="H113" s="115">
        <v>1385841.8</v>
      </c>
      <c r="I113" s="115">
        <f>-'SQL Data kWh'!X95</f>
        <v>-2009408.8</v>
      </c>
      <c r="J113" s="115">
        <v>12079.900000000005</v>
      </c>
      <c r="K113" s="108"/>
      <c r="L113" s="51">
        <f t="shared" si="39"/>
        <v>22606910.260499999</v>
      </c>
      <c r="M113" s="124">
        <f>+'5.Variables'!$H$14</f>
        <v>0</v>
      </c>
      <c r="N113" s="121">
        <f>+'5.Variables'!$H$29</f>
        <v>161.14999999999998</v>
      </c>
      <c r="O113" s="490">
        <f>+'5.Variables'!$H$44</f>
        <v>15.11</v>
      </c>
      <c r="P113" s="121">
        <f>+'5.Variables'!$H$59</f>
        <v>9501.5</v>
      </c>
      <c r="Q113" s="121">
        <f>+'5.Variables'!$H$74</f>
        <v>31</v>
      </c>
      <c r="R113" s="124">
        <f t="shared" ref="R113" si="63">AVERAGE(R29,R41,R53,R65,R77,R89,R101)</f>
        <v>1</v>
      </c>
      <c r="S113" s="491"/>
      <c r="T113" s="42"/>
      <c r="U113" s="51">
        <f t="shared" si="54"/>
        <v>22988148.070954576</v>
      </c>
      <c r="V113" s="52"/>
      <c r="W113" s="440">
        <f t="shared" si="55"/>
        <v>-381237.81045457721</v>
      </c>
      <c r="X113" s="509">
        <f t="shared" si="57"/>
        <v>-1.6863773335743994E-2</v>
      </c>
      <c r="Y113" s="440"/>
      <c r="Z113" s="42"/>
      <c r="AA113" s="531"/>
      <c r="AB113" s="531"/>
      <c r="AC113" s="531"/>
      <c r="AD113" s="158"/>
      <c r="AE113" s="42"/>
      <c r="AF113" s="42"/>
      <c r="AG113" s="42"/>
      <c r="AH113" s="42"/>
      <c r="AI113" s="42"/>
      <c r="AJ113" s="42"/>
      <c r="AK113" s="42"/>
      <c r="AL113" s="42"/>
      <c r="AM113" s="42"/>
      <c r="AN113" s="42"/>
      <c r="AO113" s="42"/>
      <c r="AP113" s="42"/>
      <c r="AQ113" s="42"/>
      <c r="AR113" s="42"/>
      <c r="AS113" s="42"/>
    </row>
    <row r="114" spans="1:45" x14ac:dyDescent="0.2">
      <c r="A114" s="143">
        <f t="shared" si="40"/>
        <v>92</v>
      </c>
      <c r="B114" s="50" t="str">
        <f>CONCATENATE('3. Consumption by Rate Class'!A101,"-",'3. Consumption by Rate Class'!B101)</f>
        <v>2019-August</v>
      </c>
      <c r="C114" s="115">
        <v>13306035</v>
      </c>
      <c r="D114" s="115">
        <v>7835114</v>
      </c>
      <c r="E114" s="115">
        <f t="shared" si="53"/>
        <v>21141149</v>
      </c>
      <c r="F114" s="115">
        <v>222582.24528999999</v>
      </c>
      <c r="G114" s="142">
        <v>224447.93999999997</v>
      </c>
      <c r="H114" s="115">
        <v>1321533.5</v>
      </c>
      <c r="I114" s="115">
        <f>-'SQL Data kWh'!X96</f>
        <v>-1815794.4</v>
      </c>
      <c r="J114" s="115">
        <v>20304.170000000002</v>
      </c>
      <c r="K114" s="108"/>
      <c r="L114" s="51">
        <f t="shared" si="39"/>
        <v>21114222.455290005</v>
      </c>
      <c r="M114" s="124">
        <f>+'5.Variables'!$I$14</f>
        <v>0.9</v>
      </c>
      <c r="N114" s="121">
        <f>+'5.Variables'!$I$29</f>
        <v>112.59999999999998</v>
      </c>
      <c r="O114" s="490">
        <f>+'5.Variables'!$I$44</f>
        <v>14</v>
      </c>
      <c r="P114" s="121">
        <f>+'5.Variables'!$I$59</f>
        <v>9502</v>
      </c>
      <c r="Q114" s="121">
        <f>+'5.Variables'!$I$74</f>
        <v>31</v>
      </c>
      <c r="R114" s="124">
        <f t="shared" ref="R114" si="64">AVERAGE(R30,R42,R54,R66,R78,R90,R102)</f>
        <v>1</v>
      </c>
      <c r="S114" s="491"/>
      <c r="T114" s="42"/>
      <c r="U114" s="51">
        <f t="shared" si="54"/>
        <v>21084836.827887803</v>
      </c>
      <c r="V114" s="52"/>
      <c r="W114" s="440">
        <f t="shared" si="55"/>
        <v>29385.627402201295</v>
      </c>
      <c r="X114" s="509">
        <f t="shared" si="57"/>
        <v>1.3917456569583009E-3</v>
      </c>
      <c r="Y114" s="440"/>
      <c r="Z114" s="42"/>
      <c r="AA114" s="531"/>
      <c r="AB114" s="531"/>
      <c r="AC114" s="531"/>
      <c r="AD114" s="158"/>
      <c r="AE114" s="42"/>
      <c r="AF114" s="42"/>
      <c r="AG114" s="42"/>
      <c r="AH114" s="42"/>
      <c r="AI114" s="42"/>
      <c r="AJ114" s="42"/>
      <c r="AK114" s="42"/>
      <c r="AL114" s="42"/>
      <c r="AM114" s="42"/>
      <c r="AN114" s="42"/>
      <c r="AO114" s="42"/>
      <c r="AP114" s="42"/>
      <c r="AQ114" s="42"/>
      <c r="AR114" s="42"/>
      <c r="AS114" s="42"/>
    </row>
    <row r="115" spans="1:45" x14ac:dyDescent="0.2">
      <c r="A115" s="143">
        <f t="shared" si="40"/>
        <v>93</v>
      </c>
      <c r="B115" s="50" t="str">
        <f>CONCATENATE('3. Consumption by Rate Class'!A102,"-",'3. Consumption by Rate Class'!B102)</f>
        <v>2019-September</v>
      </c>
      <c r="C115" s="115">
        <v>11499495</v>
      </c>
      <c r="D115" s="115">
        <v>6293299</v>
      </c>
      <c r="E115" s="115">
        <f t="shared" si="53"/>
        <v>17792794</v>
      </c>
      <c r="F115" s="115">
        <v>164792.28576000006</v>
      </c>
      <c r="G115" s="142">
        <v>158048.13800000006</v>
      </c>
      <c r="H115" s="115">
        <v>1333964.8</v>
      </c>
      <c r="I115" s="115">
        <f>-'SQL Data kWh'!X97</f>
        <v>-2221352</v>
      </c>
      <c r="J115" s="115">
        <v>14713.039999999999</v>
      </c>
      <c r="K115" s="108"/>
      <c r="L115" s="51">
        <f t="shared" si="39"/>
        <v>17242960.26376</v>
      </c>
      <c r="M115" s="124">
        <f>+'5.Variables'!$J$14</f>
        <v>12.7</v>
      </c>
      <c r="N115" s="121">
        <f>+'5.Variables'!$J$29</f>
        <v>47.6</v>
      </c>
      <c r="O115" s="490">
        <f>+'5.Variables'!$J$44</f>
        <v>12.27</v>
      </c>
      <c r="P115" s="121">
        <f>+'5.Variables'!$J$59</f>
        <v>9501.5</v>
      </c>
      <c r="Q115" s="121">
        <f>+'5.Variables'!$J$74</f>
        <v>30</v>
      </c>
      <c r="R115" s="124">
        <f t="shared" ref="R115" si="65">AVERAGE(R31,R43,R55,R67,R79,R91,R103)</f>
        <v>0</v>
      </c>
      <c r="S115" s="491"/>
      <c r="T115" s="42"/>
      <c r="U115" s="51">
        <f t="shared" si="54"/>
        <v>16287049.004615907</v>
      </c>
      <c r="V115" s="52"/>
      <c r="W115" s="440">
        <f t="shared" si="55"/>
        <v>955911.25914409384</v>
      </c>
      <c r="X115" s="509">
        <f t="shared" si="57"/>
        <v>5.5437769647544717E-2</v>
      </c>
      <c r="Y115" s="440"/>
      <c r="Z115" s="42"/>
      <c r="AA115" s="531"/>
      <c r="AB115" s="531"/>
      <c r="AC115" s="531"/>
      <c r="AD115" s="158"/>
      <c r="AE115" s="42"/>
      <c r="AF115" s="42"/>
      <c r="AG115" s="42"/>
      <c r="AH115" s="42"/>
      <c r="AI115" s="42"/>
      <c r="AJ115" s="42"/>
      <c r="AK115" s="42"/>
      <c r="AL115" s="42"/>
      <c r="AM115" s="42"/>
      <c r="AN115" s="42"/>
      <c r="AO115" s="42"/>
      <c r="AP115" s="42"/>
      <c r="AQ115" s="42"/>
      <c r="AR115" s="42"/>
      <c r="AS115" s="42"/>
    </row>
    <row r="116" spans="1:45" x14ac:dyDescent="0.2">
      <c r="A116" s="143">
        <f t="shared" si="40"/>
        <v>94</v>
      </c>
      <c r="B116" s="50" t="str">
        <f>CONCATENATE('3. Consumption by Rate Class'!A103,"-",'3. Consumption by Rate Class'!B103)</f>
        <v>2019-October</v>
      </c>
      <c r="C116" s="115">
        <v>10562819</v>
      </c>
      <c r="D116" s="115">
        <v>5727057</v>
      </c>
      <c r="E116" s="115">
        <f t="shared" si="53"/>
        <v>16289876</v>
      </c>
      <c r="F116" s="115">
        <v>118462.63049000003</v>
      </c>
      <c r="G116" s="142">
        <v>111113.55739999996</v>
      </c>
      <c r="H116" s="115">
        <v>1236572.3999999999</v>
      </c>
      <c r="I116" s="115">
        <f>-'SQL Data kWh'!X98</f>
        <v>-2196280.7999999998</v>
      </c>
      <c r="J116" s="115">
        <v>12949.729999999994</v>
      </c>
      <c r="K116" s="108"/>
      <c r="L116" s="51">
        <f t="shared" ref="L116:L130" si="66">SUM(E116:K116)</f>
        <v>15572693.517889999</v>
      </c>
      <c r="M116" s="124">
        <f>+'5.Variables'!$K$14</f>
        <v>163.09999999999997</v>
      </c>
      <c r="N116" s="121">
        <f>+'5.Variables'!$K$29</f>
        <v>3.1</v>
      </c>
      <c r="O116" s="490">
        <f>+'5.Variables'!$K$44</f>
        <v>10.52</v>
      </c>
      <c r="P116" s="121">
        <f>+'5.Variables'!$K$59</f>
        <v>9508</v>
      </c>
      <c r="Q116" s="121">
        <f>+'5.Variables'!$K$74</f>
        <v>31</v>
      </c>
      <c r="R116" s="124">
        <f t="shared" ref="R116" si="67">AVERAGE(R32,R44,R56,R68,R80,R92,R104)</f>
        <v>0</v>
      </c>
      <c r="S116" s="491"/>
      <c r="T116" s="42"/>
      <c r="U116" s="51">
        <f t="shared" si="54"/>
        <v>15550645.967725947</v>
      </c>
      <c r="V116" s="52"/>
      <c r="W116" s="440">
        <f t="shared" si="55"/>
        <v>22047.550164051354</v>
      </c>
      <c r="X116" s="509">
        <f t="shared" si="57"/>
        <v>1.4157827057164518E-3</v>
      </c>
      <c r="Y116" s="440"/>
      <c r="Z116" s="42"/>
      <c r="AA116" s="531"/>
      <c r="AB116" s="531"/>
      <c r="AC116" s="531"/>
      <c r="AD116" s="158"/>
      <c r="AE116" s="42"/>
      <c r="AF116" s="42"/>
      <c r="AG116" s="42"/>
      <c r="AH116" s="42"/>
      <c r="AI116" s="42"/>
      <c r="AJ116" s="42"/>
      <c r="AK116" s="42"/>
      <c r="AL116" s="42"/>
      <c r="AM116" s="42"/>
      <c r="AN116" s="42"/>
      <c r="AO116" s="42"/>
      <c r="AP116" s="42"/>
      <c r="AQ116" s="42"/>
      <c r="AR116" s="42"/>
      <c r="AS116" s="42"/>
    </row>
    <row r="117" spans="1:45" x14ac:dyDescent="0.2">
      <c r="A117" s="143">
        <f t="shared" ref="A117:A178" si="68">+A116+1</f>
        <v>95</v>
      </c>
      <c r="B117" s="50" t="str">
        <f>CONCATENATE('3. Consumption by Rate Class'!A104,"-",'3. Consumption by Rate Class'!B104)</f>
        <v>2019-November</v>
      </c>
      <c r="C117" s="115">
        <v>11172211</v>
      </c>
      <c r="D117" s="115">
        <v>6087086</v>
      </c>
      <c r="E117" s="115">
        <f t="shared" si="53"/>
        <v>17259297</v>
      </c>
      <c r="F117" s="115">
        <v>52837.970879999986</v>
      </c>
      <c r="G117" s="142">
        <v>46508.339400000012</v>
      </c>
      <c r="H117" s="115">
        <v>1299896.5</v>
      </c>
      <c r="I117" s="115">
        <f>-'SQL Data kWh'!X99</f>
        <v>-2096724</v>
      </c>
      <c r="J117" s="115">
        <v>4715.5319999999974</v>
      </c>
      <c r="K117" s="108"/>
      <c r="L117" s="51">
        <f t="shared" si="66"/>
        <v>16566531.342280002</v>
      </c>
      <c r="M117" s="124">
        <f>+'5.Variables'!$L$14</f>
        <v>439.1</v>
      </c>
      <c r="N117" s="121">
        <f>+'5.Variables'!$L$29</f>
        <v>0</v>
      </c>
      <c r="O117" s="490">
        <f>+'5.Variables'!$L$44</f>
        <v>9.31</v>
      </c>
      <c r="P117" s="121">
        <f>+'5.Variables'!$L$59</f>
        <v>9518.5</v>
      </c>
      <c r="Q117" s="121">
        <f>+'5.Variables'!$L$74</f>
        <v>30</v>
      </c>
      <c r="R117" s="124">
        <f t="shared" ref="R117" si="69">AVERAGE(R33,R45,R57,R69,R81,R93,R105)</f>
        <v>0</v>
      </c>
      <c r="S117" s="491"/>
      <c r="T117" s="42"/>
      <c r="U117" s="51">
        <f t="shared" si="54"/>
        <v>15919061.53092315</v>
      </c>
      <c r="V117" s="52"/>
      <c r="W117" s="440">
        <f t="shared" si="55"/>
        <v>647469.81135685183</v>
      </c>
      <c r="X117" s="509">
        <f t="shared" si="57"/>
        <v>3.9083004038656076E-2</v>
      </c>
      <c r="Y117" s="440"/>
      <c r="Z117" s="42"/>
      <c r="AA117" s="531"/>
      <c r="AB117" s="531"/>
      <c r="AC117" s="531"/>
      <c r="AD117" s="158"/>
      <c r="AE117" s="42"/>
      <c r="AF117" s="42"/>
      <c r="AG117" s="42"/>
      <c r="AH117" s="42"/>
      <c r="AI117" s="42"/>
      <c r="AJ117" s="42"/>
      <c r="AK117" s="42"/>
      <c r="AL117" s="42"/>
      <c r="AM117" s="42"/>
      <c r="AN117" s="42"/>
      <c r="AO117" s="42"/>
      <c r="AP117" s="42"/>
      <c r="AQ117" s="42"/>
      <c r="AR117" s="42"/>
      <c r="AS117" s="42"/>
    </row>
    <row r="118" spans="1:45" x14ac:dyDescent="0.2">
      <c r="A118" s="143">
        <f t="shared" si="68"/>
        <v>96</v>
      </c>
      <c r="B118" s="87" t="str">
        <f>CONCATENATE('3. Consumption by Rate Class'!A105,"-",'3. Consumption by Rate Class'!B105)</f>
        <v>2019-December</v>
      </c>
      <c r="C118" s="105">
        <v>12692216</v>
      </c>
      <c r="D118" s="105">
        <v>6747910</v>
      </c>
      <c r="E118" s="105">
        <f t="shared" si="53"/>
        <v>19440126</v>
      </c>
      <c r="F118" s="105">
        <v>41436.599409999995</v>
      </c>
      <c r="G118" s="105">
        <v>34535.957999999991</v>
      </c>
      <c r="H118" s="105">
        <v>1196658.3999999997</v>
      </c>
      <c r="I118" s="105">
        <f>-'SQL Data kWh'!X100</f>
        <v>-2683156</v>
      </c>
      <c r="J118" s="570">
        <v>3192.0880000000002</v>
      </c>
      <c r="K118" s="110"/>
      <c r="L118" s="51">
        <f t="shared" si="66"/>
        <v>18032793.04541</v>
      </c>
      <c r="M118" s="124">
        <f>+'5.Variables'!$M$14</f>
        <v>514.30000000000007</v>
      </c>
      <c r="N118" s="121">
        <f>+'5.Variables'!$M$29</f>
        <v>0</v>
      </c>
      <c r="O118" s="490">
        <f>+'5.Variables'!$M$44</f>
        <v>8.5</v>
      </c>
      <c r="P118" s="121">
        <f>+'5.Variables'!$M$59</f>
        <v>9539.5</v>
      </c>
      <c r="Q118" s="121">
        <f>+'5.Variables'!$M$74</f>
        <v>31</v>
      </c>
      <c r="R118" s="121">
        <f t="shared" ref="R118" si="70">AVERAGE(R34,R46,R58,R70,R82,R94,R106)</f>
        <v>1</v>
      </c>
      <c r="S118" s="490"/>
      <c r="T118" s="42"/>
      <c r="U118" s="51">
        <f t="shared" si="54"/>
        <v>18487769.909636363</v>
      </c>
      <c r="V118" s="52">
        <f>SUM(U107:U118)</f>
        <v>211860362.50979912</v>
      </c>
      <c r="W118" s="440">
        <f t="shared" si="55"/>
        <v>-454976.8642263636</v>
      </c>
      <c r="X118" s="509">
        <f t="shared" si="57"/>
        <v>-2.5230526579029959E-2</v>
      </c>
      <c r="Y118" s="440"/>
      <c r="Z118" s="42"/>
      <c r="AA118" s="42"/>
      <c r="AB118" s="42"/>
      <c r="AC118" s="42"/>
      <c r="AD118" s="42"/>
      <c r="AE118" s="42"/>
      <c r="AF118" s="42"/>
      <c r="AG118" s="42"/>
      <c r="AH118" s="42"/>
      <c r="AI118" s="42"/>
      <c r="AJ118" s="42"/>
      <c r="AK118" s="42"/>
      <c r="AL118" s="42"/>
      <c r="AM118" s="42"/>
      <c r="AN118" s="42"/>
      <c r="AO118" s="42"/>
      <c r="AP118" s="42"/>
      <c r="AQ118" s="42"/>
      <c r="AR118" s="42"/>
      <c r="AS118" s="42"/>
    </row>
    <row r="119" spans="1:45" x14ac:dyDescent="0.2">
      <c r="A119" s="143">
        <f t="shared" si="68"/>
        <v>97</v>
      </c>
      <c r="B119" s="50" t="str">
        <f>CONCATENATE('3. Consumption by Rate Class'!A106,"-",'3. Consumption by Rate Class'!B106)</f>
        <v>2020-January</v>
      </c>
      <c r="C119" s="115">
        <v>12417713</v>
      </c>
      <c r="D119" s="142">
        <v>7580632</v>
      </c>
      <c r="E119" s="115">
        <f t="shared" si="53"/>
        <v>19998345</v>
      </c>
      <c r="F119" s="115">
        <v>50653.151630000008</v>
      </c>
      <c r="G119" s="142">
        <v>45329.25959999999</v>
      </c>
      <c r="H119" s="115">
        <v>266077.69999999995</v>
      </c>
      <c r="I119" s="115">
        <f>-'SQL Data kWh'!X101</f>
        <v>-2563948.7999999998</v>
      </c>
      <c r="J119" s="115">
        <v>3997.4670000000028</v>
      </c>
      <c r="K119" s="108"/>
      <c r="L119" s="51">
        <f t="shared" si="66"/>
        <v>17800453.778229997</v>
      </c>
      <c r="M119" s="124">
        <f>+'5.Variables'!$B$15</f>
        <v>536.29999999999995</v>
      </c>
      <c r="N119" s="121">
        <f>+'5.Variables'!$B$30</f>
        <v>0</v>
      </c>
      <c r="O119" s="490">
        <f>+'5.Variables'!$B$45</f>
        <v>9.1199999999999992</v>
      </c>
      <c r="P119" s="121">
        <f>+'5.Variables'!$B$60</f>
        <v>9559.5</v>
      </c>
      <c r="Q119" s="124">
        <f>+Q107</f>
        <v>31</v>
      </c>
      <c r="R119" s="124">
        <f t="shared" ref="R119" si="71">+R107</f>
        <v>1</v>
      </c>
      <c r="S119" s="491"/>
      <c r="T119" s="42"/>
      <c r="U119" s="51">
        <f t="shared" si="54"/>
        <v>18585031.590164904</v>
      </c>
      <c r="V119" s="52"/>
      <c r="W119" s="440">
        <f>+L119-U119</f>
        <v>-784577.81193490699</v>
      </c>
      <c r="X119" s="509">
        <f t="shared" si="57"/>
        <v>-4.4076281521229971E-2</v>
      </c>
      <c r="Y119" s="440"/>
      <c r="Z119" s="42"/>
      <c r="AA119" s="531"/>
      <c r="AB119" s="531"/>
      <c r="AC119" s="531"/>
      <c r="AD119" s="158"/>
      <c r="AE119" s="42"/>
      <c r="AF119" s="42"/>
      <c r="AG119" s="42"/>
      <c r="AH119" s="42"/>
      <c r="AI119" s="42"/>
      <c r="AJ119" s="42"/>
      <c r="AK119" s="42"/>
      <c r="AL119" s="42"/>
      <c r="AM119" s="42"/>
      <c r="AN119" s="42"/>
      <c r="AO119" s="42"/>
      <c r="AP119" s="42"/>
      <c r="AQ119" s="42"/>
      <c r="AR119" s="42"/>
      <c r="AS119" s="42"/>
    </row>
    <row r="120" spans="1:45" x14ac:dyDescent="0.2">
      <c r="A120" s="143">
        <f t="shared" si="68"/>
        <v>98</v>
      </c>
      <c r="B120" s="50" t="str">
        <f>CONCATENATE('3. Consumption by Rate Class'!A107,"-",'3. Consumption by Rate Class'!B107)</f>
        <v>2020-February</v>
      </c>
      <c r="C120" s="115">
        <v>18813866</v>
      </c>
      <c r="D120" s="115">
        <v>8352</v>
      </c>
      <c r="E120" s="115">
        <f t="shared" si="53"/>
        <v>18822218</v>
      </c>
      <c r="F120" s="115">
        <v>71944.880370000028</v>
      </c>
      <c r="G120" s="142">
        <v>63262.349399999992</v>
      </c>
      <c r="H120" s="115">
        <v>0</v>
      </c>
      <c r="I120" s="115">
        <f>-'SQL Data kWh'!X102</f>
        <v>-2137044</v>
      </c>
      <c r="J120" s="115">
        <v>7416.7589999999973</v>
      </c>
      <c r="K120" s="108"/>
      <c r="L120" s="51">
        <f t="shared" si="66"/>
        <v>16827797.988769997</v>
      </c>
      <c r="M120" s="124">
        <f>+'5.Variables'!$C$15</f>
        <v>545.79999999999995</v>
      </c>
      <c r="N120" s="121">
        <f>+'5.Variables'!$C$30</f>
        <v>0</v>
      </c>
      <c r="O120" s="490">
        <f>+'5.Variables'!$C$45</f>
        <v>10.199999999999999</v>
      </c>
      <c r="P120" s="121">
        <f>+'5.Variables'!$C$60</f>
        <v>9560.5</v>
      </c>
      <c r="Q120" s="124">
        <v>29</v>
      </c>
      <c r="R120" s="124">
        <f t="shared" ref="R120" si="72">+R108</f>
        <v>1</v>
      </c>
      <c r="S120" s="491"/>
      <c r="T120" s="42"/>
      <c r="U120" s="51">
        <f t="shared" si="54"/>
        <v>17656543.004465975</v>
      </c>
      <c r="V120" s="52"/>
      <c r="W120" s="440">
        <f t="shared" ref="W120:W125" si="73">+L120-U120</f>
        <v>-828745.01569597796</v>
      </c>
      <c r="X120" s="509">
        <f t="shared" si="57"/>
        <v>-4.9248571693636896E-2</v>
      </c>
      <c r="Y120" s="440"/>
      <c r="Z120" s="42"/>
      <c r="AA120" s="42"/>
      <c r="AB120" s="42"/>
      <c r="AC120" s="42"/>
      <c r="AD120" s="158"/>
      <c r="AE120" s="42"/>
      <c r="AF120" s="42"/>
      <c r="AG120" s="42"/>
      <c r="AH120" s="42"/>
      <c r="AI120" s="42"/>
      <c r="AJ120" s="42"/>
      <c r="AK120" s="42"/>
      <c r="AL120" s="42"/>
      <c r="AM120" s="42"/>
      <c r="AN120" s="42"/>
      <c r="AO120" s="42"/>
      <c r="AP120" s="42"/>
      <c r="AQ120" s="42"/>
      <c r="AR120" s="42"/>
      <c r="AS120" s="42"/>
    </row>
    <row r="121" spans="1:45" x14ac:dyDescent="0.2">
      <c r="A121" s="143">
        <f t="shared" si="68"/>
        <v>99</v>
      </c>
      <c r="B121" s="50" t="str">
        <f>CONCATENATE('3. Consumption by Rate Class'!A108,"-",'3. Consumption by Rate Class'!B108)</f>
        <v>2020-March</v>
      </c>
      <c r="C121" s="115">
        <v>17155097</v>
      </c>
      <c r="D121" s="115">
        <v>8927</v>
      </c>
      <c r="E121" s="115">
        <f t="shared" si="53"/>
        <v>17164024</v>
      </c>
      <c r="F121" s="115">
        <v>133130.69287000003</v>
      </c>
      <c r="G121" s="142">
        <v>125036.22940000004</v>
      </c>
      <c r="H121" s="115">
        <v>859409.6</v>
      </c>
      <c r="I121" s="115">
        <f>-'SQL Data kWh'!X103</f>
        <v>-2360316</v>
      </c>
      <c r="J121" s="115">
        <v>14924.369000000006</v>
      </c>
      <c r="K121" s="108"/>
      <c r="L121" s="51">
        <f t="shared" si="66"/>
        <v>15936208.891270002</v>
      </c>
      <c r="M121" s="124">
        <f>+'5.Variables'!$D$15</f>
        <v>436.9</v>
      </c>
      <c r="N121" s="121">
        <f>+'5.Variables'!$D$30</f>
        <v>0</v>
      </c>
      <c r="O121" s="490">
        <f>+'5.Variables'!$D$45</f>
        <v>11.5</v>
      </c>
      <c r="P121" s="121">
        <f>+'5.Variables'!$D$60</f>
        <v>9558.5</v>
      </c>
      <c r="Q121" s="124">
        <f t="shared" ref="Q121:Q131" si="74">+Q109</f>
        <v>31</v>
      </c>
      <c r="R121" s="124">
        <f t="shared" ref="R121" si="75">+R109</f>
        <v>0</v>
      </c>
      <c r="S121" s="491"/>
      <c r="T121" s="42"/>
      <c r="U121" s="51">
        <f t="shared" si="54"/>
        <v>16434081.084428146</v>
      </c>
      <c r="V121" s="52"/>
      <c r="W121" s="440">
        <f t="shared" si="73"/>
        <v>-497872.19315814413</v>
      </c>
      <c r="X121" s="509">
        <f t="shared" si="57"/>
        <v>-3.1241570473569971E-2</v>
      </c>
      <c r="Y121" s="440"/>
      <c r="Z121" s="42"/>
      <c r="AA121" s="531"/>
      <c r="AB121" s="531"/>
      <c r="AC121" s="531"/>
      <c r="AD121" s="158"/>
      <c r="AE121" s="42"/>
      <c r="AF121" s="42"/>
      <c r="AG121" s="42"/>
      <c r="AH121" s="42"/>
      <c r="AI121" s="42"/>
      <c r="AJ121" s="42"/>
      <c r="AK121" s="42"/>
      <c r="AL121" s="42"/>
      <c r="AM121" s="42"/>
      <c r="AN121" s="42"/>
      <c r="AO121" s="42"/>
      <c r="AP121" s="42"/>
      <c r="AQ121" s="42"/>
      <c r="AR121" s="42"/>
      <c r="AS121" s="42"/>
    </row>
    <row r="122" spans="1:45" x14ac:dyDescent="0.2">
      <c r="A122" s="143">
        <f t="shared" si="68"/>
        <v>100</v>
      </c>
      <c r="B122" s="50" t="str">
        <f>CONCATENATE('3. Consumption by Rate Class'!A109,"-",'3. Consumption by Rate Class'!B109)</f>
        <v>2020-April</v>
      </c>
      <c r="C122" s="115">
        <v>14124253</v>
      </c>
      <c r="D122" s="115">
        <v>8640</v>
      </c>
      <c r="E122" s="115">
        <f t="shared" si="53"/>
        <v>14132893</v>
      </c>
      <c r="F122" s="115">
        <v>178472.36022999993</v>
      </c>
      <c r="G122" s="142">
        <v>171182.45999999996</v>
      </c>
      <c r="H122" s="115">
        <v>1321387.9000000006</v>
      </c>
      <c r="I122" s="115">
        <f>-'SQL Data kWh'!X104</f>
        <v>-2051733.6</v>
      </c>
      <c r="J122" s="115">
        <v>21317.228999999992</v>
      </c>
      <c r="K122" s="108"/>
      <c r="L122" s="51">
        <f t="shared" si="66"/>
        <v>13773519.349230001</v>
      </c>
      <c r="M122" s="124">
        <f>+'5.Variables'!$E$15</f>
        <v>338.99999999999994</v>
      </c>
      <c r="N122" s="121">
        <f>+'5.Variables'!$E$30</f>
        <v>0</v>
      </c>
      <c r="O122" s="490">
        <f>+'5.Variables'!$E$45</f>
        <v>13.26</v>
      </c>
      <c r="P122" s="121">
        <f>+'5.Variables'!$E$60</f>
        <v>9563</v>
      </c>
      <c r="Q122" s="124">
        <f t="shared" si="74"/>
        <v>30</v>
      </c>
      <c r="R122" s="124">
        <f t="shared" ref="R122" si="76">+R110</f>
        <v>0</v>
      </c>
      <c r="S122" s="491"/>
      <c r="T122" s="42"/>
      <c r="U122" s="51">
        <f t="shared" si="54"/>
        <v>15616705.062910581</v>
      </c>
      <c r="V122" s="52"/>
      <c r="W122" s="440">
        <f t="shared" si="73"/>
        <v>-1843185.7136805803</v>
      </c>
      <c r="X122" s="509">
        <f t="shared" si="57"/>
        <v>-0.13382096956821876</v>
      </c>
      <c r="Y122" s="440"/>
      <c r="Z122" s="42"/>
      <c r="AA122" s="531"/>
      <c r="AB122" s="531"/>
      <c r="AC122" s="531"/>
      <c r="AD122" s="158"/>
      <c r="AE122" s="42"/>
      <c r="AF122" s="42"/>
      <c r="AG122" s="42"/>
      <c r="AH122" s="42"/>
      <c r="AI122" s="42"/>
      <c r="AJ122" s="42"/>
      <c r="AK122" s="42"/>
      <c r="AL122" s="42"/>
      <c r="AM122" s="42"/>
      <c r="AN122" s="42"/>
      <c r="AO122" s="42"/>
      <c r="AP122" s="42"/>
      <c r="AQ122" s="42"/>
      <c r="AR122" s="42"/>
      <c r="AS122" s="42"/>
    </row>
    <row r="123" spans="1:45" x14ac:dyDescent="0.2">
      <c r="A123" s="143">
        <f t="shared" si="68"/>
        <v>101</v>
      </c>
      <c r="B123" s="50" t="str">
        <f>CONCATENATE('3. Consumption by Rate Class'!A110,"-",'3. Consumption by Rate Class'!B110)</f>
        <v>2020-May</v>
      </c>
      <c r="C123" s="115">
        <v>14754464</v>
      </c>
      <c r="D123" s="115">
        <v>12406</v>
      </c>
      <c r="E123" s="115">
        <f t="shared" si="53"/>
        <v>14766870</v>
      </c>
      <c r="F123" s="115">
        <v>203227.54016000006</v>
      </c>
      <c r="G123" s="142">
        <v>204818.85000000003</v>
      </c>
      <c r="H123" s="115">
        <v>1393311.5000000005</v>
      </c>
      <c r="I123" s="115">
        <f>-'SQL Data kWh'!X105</f>
        <v>-2100823.2000000002</v>
      </c>
      <c r="J123" s="115">
        <v>24519.513999999992</v>
      </c>
      <c r="K123" s="108"/>
      <c r="L123" s="51">
        <f t="shared" si="66"/>
        <v>14491924.204159999</v>
      </c>
      <c r="M123" s="124">
        <f>+'5.Variables'!$F$15</f>
        <v>216.54999999999998</v>
      </c>
      <c r="N123" s="121">
        <f>+'5.Variables'!$F$30</f>
        <v>8.6</v>
      </c>
      <c r="O123" s="490">
        <f>+'5.Variables'!$F$45</f>
        <v>14.47</v>
      </c>
      <c r="P123" s="121">
        <f>+'5.Variables'!$F$60</f>
        <v>9572</v>
      </c>
      <c r="Q123" s="124">
        <f t="shared" si="74"/>
        <v>31</v>
      </c>
      <c r="R123" s="124">
        <f t="shared" ref="R123" si="77">+R111</f>
        <v>0</v>
      </c>
      <c r="S123" s="491"/>
      <c r="T123" s="42"/>
      <c r="U123" s="51">
        <f t="shared" si="54"/>
        <v>16018920.009818267</v>
      </c>
      <c r="V123" s="52"/>
      <c r="W123" s="440">
        <f t="shared" si="73"/>
        <v>-1526995.8056582678</v>
      </c>
      <c r="X123" s="509">
        <f t="shared" si="57"/>
        <v>-0.10536874083428714</v>
      </c>
      <c r="Y123" s="440"/>
      <c r="Z123" s="42"/>
      <c r="AA123" s="531"/>
      <c r="AB123" s="531"/>
      <c r="AC123" s="531"/>
      <c r="AD123" s="158"/>
      <c r="AE123" s="42"/>
      <c r="AF123" s="42"/>
      <c r="AG123" s="42"/>
      <c r="AH123" s="42"/>
      <c r="AI123" s="42"/>
      <c r="AJ123" s="42"/>
      <c r="AK123" s="42"/>
      <c r="AL123" s="42"/>
      <c r="AM123" s="42"/>
      <c r="AN123" s="42"/>
      <c r="AO123" s="42"/>
      <c r="AP123" s="42"/>
      <c r="AQ123" s="42"/>
      <c r="AR123" s="42"/>
      <c r="AS123" s="42"/>
    </row>
    <row r="124" spans="1:45" x14ac:dyDescent="0.2">
      <c r="A124" s="143">
        <f t="shared" si="68"/>
        <v>102</v>
      </c>
      <c r="B124" s="50" t="str">
        <f>CONCATENATE('3. Consumption by Rate Class'!A111,"-",'3. Consumption by Rate Class'!B111)</f>
        <v>2020-June</v>
      </c>
      <c r="C124" s="115">
        <v>14268873</v>
      </c>
      <c r="D124" s="115">
        <v>2800847</v>
      </c>
      <c r="E124" s="115">
        <f t="shared" si="53"/>
        <v>17069720</v>
      </c>
      <c r="F124" s="115">
        <v>252334.27657999983</v>
      </c>
      <c r="G124" s="142">
        <v>259937.30940000003</v>
      </c>
      <c r="H124" s="115">
        <v>1307891.8999999997</v>
      </c>
      <c r="I124" s="115">
        <f>-'SQL Data kWh'!X106</f>
        <v>-1685751.2</v>
      </c>
      <c r="J124" s="115">
        <v>28158.116000000005</v>
      </c>
      <c r="K124" s="108"/>
      <c r="L124" s="51">
        <f t="shared" si="66"/>
        <v>17232290.401979998</v>
      </c>
      <c r="M124" s="124">
        <f>+'5.Variables'!$G$15</f>
        <v>24.3</v>
      </c>
      <c r="N124" s="121">
        <f>+'5.Variables'!$G$30</f>
        <v>80.300000000000026</v>
      </c>
      <c r="O124" s="490">
        <f>+'5.Variables'!$G$45</f>
        <v>15.3</v>
      </c>
      <c r="P124" s="121">
        <f>+'5.Variables'!$G$60</f>
        <v>9578</v>
      </c>
      <c r="Q124" s="124">
        <f t="shared" si="74"/>
        <v>30</v>
      </c>
      <c r="R124" s="124">
        <f t="shared" ref="R124" si="78">+R112</f>
        <v>1</v>
      </c>
      <c r="S124" s="491"/>
      <c r="T124" s="42"/>
      <c r="U124" s="51">
        <f t="shared" si="54"/>
        <v>19494924.514110893</v>
      </c>
      <c r="V124" s="52"/>
      <c r="W124" s="440">
        <f t="shared" si="73"/>
        <v>-2262634.1121308953</v>
      </c>
      <c r="X124" s="509">
        <f t="shared" si="57"/>
        <v>-0.13130199522815131</v>
      </c>
      <c r="Y124" s="440"/>
      <c r="Z124" s="42"/>
      <c r="AA124" s="531"/>
      <c r="AB124" s="531"/>
      <c r="AC124" s="531"/>
      <c r="AD124" s="158"/>
      <c r="AE124" s="42"/>
      <c r="AF124" s="42"/>
      <c r="AG124" s="42"/>
      <c r="AH124" s="42"/>
      <c r="AI124" s="42"/>
      <c r="AJ124" s="42"/>
      <c r="AK124" s="42"/>
      <c r="AL124" s="42"/>
      <c r="AM124" s="42"/>
      <c r="AN124" s="42"/>
      <c r="AO124" s="42"/>
      <c r="AP124" s="42"/>
      <c r="AQ124" s="42"/>
      <c r="AR124" s="42"/>
      <c r="AS124" s="42"/>
    </row>
    <row r="125" spans="1:45" x14ac:dyDescent="0.2">
      <c r="A125" s="143">
        <f t="shared" si="68"/>
        <v>103</v>
      </c>
      <c r="B125" s="50" t="str">
        <f>CONCATENATE('3. Consumption by Rate Class'!A112,"-",'3. Consumption by Rate Class'!B112)</f>
        <v>2020-July</v>
      </c>
      <c r="C125" s="115">
        <v>14314896</v>
      </c>
      <c r="D125" s="115">
        <v>8577895</v>
      </c>
      <c r="E125" s="115">
        <f t="shared" si="53"/>
        <v>22892791</v>
      </c>
      <c r="F125" s="115">
        <v>229202.45</v>
      </c>
      <c r="G125" s="142">
        <v>235637.8</v>
      </c>
      <c r="H125" s="115">
        <v>1352327.2</v>
      </c>
      <c r="I125" s="115">
        <f>-'SQL Data kWh'!X107</f>
        <v>-1682559.2</v>
      </c>
      <c r="J125" s="115">
        <v>22311.584999999995</v>
      </c>
      <c r="K125" s="108"/>
      <c r="L125" s="51">
        <f t="shared" si="66"/>
        <v>23049710.835000001</v>
      </c>
      <c r="M125" s="124">
        <f>+'5.Variables'!$H$15</f>
        <v>0</v>
      </c>
      <c r="N125" s="121">
        <f>+'5.Variables'!$H$30</f>
        <v>223.29999999999995</v>
      </c>
      <c r="O125" s="490">
        <f>+'5.Variables'!$H$45</f>
        <v>15.11</v>
      </c>
      <c r="P125" s="121">
        <f>+'5.Variables'!$H$60</f>
        <v>9588.5</v>
      </c>
      <c r="Q125" s="124">
        <f t="shared" si="74"/>
        <v>31</v>
      </c>
      <c r="R125" s="124">
        <f t="shared" ref="R125" si="79">+R113</f>
        <v>1</v>
      </c>
      <c r="S125" s="491"/>
      <c r="T125" s="42"/>
      <c r="U125" s="51">
        <f t="shared" si="54"/>
        <v>25519301.308766335</v>
      </c>
      <c r="V125" s="52"/>
      <c r="W125" s="440">
        <f t="shared" si="73"/>
        <v>-2469590.4737663344</v>
      </c>
      <c r="X125" s="509">
        <f t="shared" si="57"/>
        <v>-0.1071419286534548</v>
      </c>
      <c r="Y125" s="440"/>
      <c r="Z125" s="42"/>
      <c r="AA125" s="531"/>
      <c r="AB125" s="531"/>
      <c r="AC125" s="531"/>
      <c r="AD125" s="158"/>
      <c r="AE125" s="42"/>
      <c r="AF125" s="42"/>
      <c r="AG125" s="42"/>
      <c r="AH125" s="42"/>
      <c r="AI125" s="42"/>
      <c r="AJ125" s="42"/>
      <c r="AK125" s="42"/>
      <c r="AL125" s="42"/>
      <c r="AM125" s="42"/>
      <c r="AN125" s="42"/>
      <c r="AO125" s="42"/>
      <c r="AP125" s="42"/>
      <c r="AQ125" s="42"/>
      <c r="AR125" s="42"/>
      <c r="AS125" s="42"/>
    </row>
    <row r="126" spans="1:45" x14ac:dyDescent="0.2">
      <c r="A126" s="143">
        <f t="shared" si="68"/>
        <v>104</v>
      </c>
      <c r="B126" s="50" t="str">
        <f>CONCATENATE('3. Consumption by Rate Class'!A113,"-",'3. Consumption by Rate Class'!B113)</f>
        <v>2020-August</v>
      </c>
      <c r="C126" s="115">
        <v>13501244</v>
      </c>
      <c r="D126" s="115">
        <v>8147008</v>
      </c>
      <c r="E126" s="115">
        <f t="shared" si="53"/>
        <v>21648252</v>
      </c>
      <c r="F126" s="115">
        <v>208074.05</v>
      </c>
      <c r="G126" s="142">
        <v>212384.27</v>
      </c>
      <c r="H126" s="115">
        <v>1079444.8</v>
      </c>
      <c r="I126" s="115">
        <v>-2005130.4</v>
      </c>
      <c r="J126" s="115">
        <v>20354.357000000007</v>
      </c>
      <c r="K126" s="108"/>
      <c r="L126" s="51">
        <f t="shared" si="66"/>
        <v>21163379.077000003</v>
      </c>
      <c r="M126" s="124">
        <f>+'5.Variables'!$I$15</f>
        <v>0</v>
      </c>
      <c r="N126" s="121">
        <f>+'5.Variables'!$I$30</f>
        <v>144.15</v>
      </c>
      <c r="O126" s="490">
        <f>+'5.Variables'!$I$45</f>
        <v>14</v>
      </c>
      <c r="P126" s="121">
        <f>+'5.Variables'!$I$60</f>
        <v>9602.5</v>
      </c>
      <c r="Q126" s="124">
        <f t="shared" si="74"/>
        <v>31</v>
      </c>
      <c r="R126" s="124">
        <f t="shared" ref="R126" si="80">+R114</f>
        <v>1</v>
      </c>
      <c r="S126" s="491"/>
      <c r="T126" s="42"/>
      <c r="U126" s="51">
        <f t="shared" si="54"/>
        <v>22424908.679521274</v>
      </c>
      <c r="V126" s="52"/>
      <c r="W126" s="440">
        <f t="shared" ref="W126:W138" si="81">+L126-U126</f>
        <v>-1261529.6025212705</v>
      </c>
      <c r="X126" s="509">
        <f t="shared" ref="X126:X138" si="82">+W126/L126</f>
        <v>-5.960908217593093E-2</v>
      </c>
      <c r="Y126" s="440"/>
      <c r="Z126" s="42"/>
      <c r="AA126" s="531"/>
      <c r="AB126" s="531"/>
      <c r="AC126" s="531"/>
      <c r="AD126" s="158"/>
      <c r="AE126" s="42"/>
      <c r="AF126" s="42"/>
      <c r="AG126" s="42"/>
      <c r="AH126" s="42"/>
      <c r="AI126" s="42"/>
      <c r="AJ126" s="42"/>
      <c r="AK126" s="42"/>
      <c r="AL126" s="42"/>
      <c r="AM126" s="42"/>
      <c r="AN126" s="42"/>
      <c r="AO126" s="42"/>
      <c r="AP126" s="42"/>
      <c r="AQ126" s="42"/>
      <c r="AR126" s="42"/>
      <c r="AS126" s="42"/>
    </row>
    <row r="127" spans="1:45" x14ac:dyDescent="0.2">
      <c r="A127" s="143">
        <f t="shared" si="68"/>
        <v>105</v>
      </c>
      <c r="B127" s="50" t="str">
        <f>CONCATENATE('3. Consumption by Rate Class'!A114,"-",'3. Consumption by Rate Class'!B114)</f>
        <v>2020-September</v>
      </c>
      <c r="C127" s="115">
        <v>504633</v>
      </c>
      <c r="D127" s="115">
        <v>17015693</v>
      </c>
      <c r="E127" s="115">
        <f t="shared" si="53"/>
        <v>17520326</v>
      </c>
      <c r="F127" s="115">
        <v>166929.60999999999</v>
      </c>
      <c r="G127" s="142">
        <v>163372.12</v>
      </c>
      <c r="H127" s="115">
        <v>1135211.7</v>
      </c>
      <c r="I127" s="115">
        <v>-2213288</v>
      </c>
      <c r="J127" s="115">
        <v>18073.855999999996</v>
      </c>
      <c r="K127" s="108"/>
      <c r="L127" s="51">
        <f t="shared" si="66"/>
        <v>16790625.285999998</v>
      </c>
      <c r="M127" s="124">
        <f>+'5.Variables'!$J$15</f>
        <v>41.199999999999996</v>
      </c>
      <c r="N127" s="121">
        <f>+'5.Variables'!$J$30</f>
        <v>43.8</v>
      </c>
      <c r="O127" s="490">
        <f>+'5.Variables'!$J$45</f>
        <v>12.27</v>
      </c>
      <c r="P127" s="121">
        <f>+'5.Variables'!$J$60</f>
        <v>9611</v>
      </c>
      <c r="Q127" s="124">
        <f t="shared" si="74"/>
        <v>30</v>
      </c>
      <c r="R127" s="124">
        <f t="shared" ref="R127" si="83">+R115</f>
        <v>0</v>
      </c>
      <c r="S127" s="491"/>
      <c r="T127" s="42"/>
      <c r="U127" s="51">
        <f t="shared" si="54"/>
        <v>16350270.203057118</v>
      </c>
      <c r="V127" s="52"/>
      <c r="W127" s="440">
        <f t="shared" si="81"/>
        <v>440355.08294288069</v>
      </c>
      <c r="X127" s="509">
        <f t="shared" si="82"/>
        <v>2.6226246815837656E-2</v>
      </c>
      <c r="Y127" s="440"/>
      <c r="Z127" s="42"/>
      <c r="AA127" s="531"/>
      <c r="AB127" s="531"/>
      <c r="AC127" s="531"/>
      <c r="AD127" s="158"/>
      <c r="AE127" s="42"/>
      <c r="AF127" s="42"/>
      <c r="AG127" s="42"/>
      <c r="AH127" s="42"/>
      <c r="AI127" s="42"/>
      <c r="AJ127" s="42"/>
      <c r="AK127" s="42"/>
      <c r="AL127" s="42"/>
      <c r="AM127" s="42"/>
      <c r="AN127" s="42"/>
      <c r="AO127" s="42"/>
      <c r="AP127" s="42"/>
      <c r="AQ127" s="42"/>
      <c r="AR127" s="42"/>
      <c r="AS127" s="42"/>
    </row>
    <row r="128" spans="1:45" x14ac:dyDescent="0.2">
      <c r="A128" s="143">
        <f t="shared" si="68"/>
        <v>106</v>
      </c>
      <c r="B128" s="50" t="str">
        <f>CONCATENATE('3. Consumption by Rate Class'!A115,"-",'3. Consumption by Rate Class'!B115)</f>
        <v>2020-October</v>
      </c>
      <c r="C128" s="115">
        <v>10306329</v>
      </c>
      <c r="D128" s="115">
        <v>5537783</v>
      </c>
      <c r="E128" s="115">
        <f t="shared" si="53"/>
        <v>15844112</v>
      </c>
      <c r="F128" s="115">
        <v>110237.16</v>
      </c>
      <c r="G128" s="142">
        <v>104412.34</v>
      </c>
      <c r="H128" s="115">
        <v>1176411.6000000001</v>
      </c>
      <c r="I128" s="115">
        <v>-2195614.4</v>
      </c>
      <c r="J128" s="115">
        <v>11998.792000000001</v>
      </c>
      <c r="K128" s="108"/>
      <c r="L128" s="51">
        <f t="shared" si="66"/>
        <v>15051557.492000001</v>
      </c>
      <c r="M128" s="124">
        <f>+'5.Variables'!$K$15</f>
        <v>194.9</v>
      </c>
      <c r="N128" s="121">
        <f>+'5.Variables'!$K$30</f>
        <v>0</v>
      </c>
      <c r="O128" s="490">
        <f>+'5.Variables'!$K$45</f>
        <v>10.52</v>
      </c>
      <c r="P128" s="121">
        <f>+'5.Variables'!$K$60</f>
        <v>9615</v>
      </c>
      <c r="Q128" s="124">
        <f t="shared" si="74"/>
        <v>31</v>
      </c>
      <c r="R128" s="124">
        <f t="shared" ref="R128" si="84">+R116</f>
        <v>0</v>
      </c>
      <c r="S128" s="491"/>
      <c r="T128" s="42"/>
      <c r="U128" s="51">
        <f t="shared" si="54"/>
        <v>15650261.088101055</v>
      </c>
      <c r="V128" s="52"/>
      <c r="W128" s="440">
        <f t="shared" si="81"/>
        <v>-598703.59610105492</v>
      </c>
      <c r="X128" s="509">
        <f t="shared" si="82"/>
        <v>-3.9776853419938085E-2</v>
      </c>
      <c r="Y128" s="440"/>
      <c r="Z128" s="42"/>
      <c r="AA128" s="531"/>
      <c r="AB128" s="531"/>
      <c r="AC128" s="531"/>
      <c r="AD128" s="158"/>
      <c r="AE128" s="42"/>
      <c r="AF128" s="42"/>
      <c r="AG128" s="42"/>
      <c r="AH128" s="42"/>
      <c r="AI128" s="42"/>
      <c r="AJ128" s="42"/>
      <c r="AK128" s="42"/>
      <c r="AL128" s="42"/>
      <c r="AM128" s="42"/>
      <c r="AN128" s="42"/>
      <c r="AO128" s="42"/>
      <c r="AP128" s="42"/>
      <c r="AQ128" s="42"/>
      <c r="AR128" s="42"/>
      <c r="AS128" s="42"/>
    </row>
    <row r="129" spans="1:45" x14ac:dyDescent="0.2">
      <c r="A129" s="143">
        <f t="shared" si="68"/>
        <v>107</v>
      </c>
      <c r="B129" s="50" t="str">
        <f>CONCATENATE('3. Consumption by Rate Class'!A116,"-",'3. Consumption by Rate Class'!B116)</f>
        <v>2020-November</v>
      </c>
      <c r="C129" s="115">
        <v>10803849</v>
      </c>
      <c r="D129" s="115">
        <v>5586755</v>
      </c>
      <c r="E129" s="115">
        <f t="shared" si="53"/>
        <v>16390604</v>
      </c>
      <c r="F129" s="115">
        <v>78111.929999999993</v>
      </c>
      <c r="G129" s="142">
        <v>70508.59</v>
      </c>
      <c r="H129" s="115">
        <v>1031167.2</v>
      </c>
      <c r="I129" s="115">
        <v>-2411634.4</v>
      </c>
      <c r="J129" s="115">
        <v>8219.9830000000038</v>
      </c>
      <c r="K129" s="108"/>
      <c r="L129" s="51">
        <f t="shared" si="66"/>
        <v>15166977.302999998</v>
      </c>
      <c r="M129" s="124">
        <f>+'5.Variables'!$L$15</f>
        <v>288.5</v>
      </c>
      <c r="N129" s="121">
        <f>+'5.Variables'!$L$30</f>
        <v>0</v>
      </c>
      <c r="O129" s="490">
        <f>+'5.Variables'!$L$45</f>
        <v>9.31</v>
      </c>
      <c r="P129" s="121">
        <f>+'5.Variables'!$L$60</f>
        <v>9616.5</v>
      </c>
      <c r="Q129" s="124">
        <f t="shared" si="74"/>
        <v>30</v>
      </c>
      <c r="R129" s="124">
        <f t="shared" ref="R129" si="85">+R117</f>
        <v>0</v>
      </c>
      <c r="S129" s="491"/>
      <c r="T129" s="42"/>
      <c r="U129" s="51">
        <f t="shared" si="54"/>
        <v>15496290.91789457</v>
      </c>
      <c r="V129" s="52"/>
      <c r="W129" s="440">
        <f t="shared" si="81"/>
        <v>-329313.61489457265</v>
      </c>
      <c r="X129" s="509">
        <f t="shared" si="82"/>
        <v>-2.1712540891680183E-2</v>
      </c>
      <c r="Y129" s="440"/>
      <c r="Z129" s="42"/>
      <c r="AA129" s="531"/>
      <c r="AB129" s="531"/>
      <c r="AC129" s="531"/>
      <c r="AD129" s="158"/>
      <c r="AE129" s="42"/>
      <c r="AF129" s="42"/>
      <c r="AG129" s="42"/>
      <c r="AH129" s="42"/>
      <c r="AI129" s="42"/>
      <c r="AJ129" s="42"/>
      <c r="AK129" s="42"/>
      <c r="AL129" s="42"/>
      <c r="AM129" s="42"/>
      <c r="AN129" s="42"/>
      <c r="AO129" s="42"/>
      <c r="AP129" s="42"/>
      <c r="AQ129" s="42"/>
      <c r="AR129" s="42"/>
      <c r="AS129" s="42"/>
    </row>
    <row r="130" spans="1:45" x14ac:dyDescent="0.2">
      <c r="A130" s="143">
        <f t="shared" si="68"/>
        <v>108</v>
      </c>
      <c r="B130" s="87" t="str">
        <f>CONCATENATE('3. Consumption by Rate Class'!A117,"-",'3. Consumption by Rate Class'!B117)</f>
        <v>2020-December</v>
      </c>
      <c r="C130" s="105">
        <v>12091964</v>
      </c>
      <c r="D130" s="105">
        <v>6470092</v>
      </c>
      <c r="E130" s="105">
        <f t="shared" si="53"/>
        <v>18562056</v>
      </c>
      <c r="F130" s="105">
        <v>39827.01</v>
      </c>
      <c r="G130" s="105">
        <v>33408.980000000003</v>
      </c>
      <c r="H130" s="105">
        <v>1164755.8999999999</v>
      </c>
      <c r="I130" s="105">
        <v>-2368990.4</v>
      </c>
      <c r="J130" s="570">
        <v>6024.5460000000012</v>
      </c>
      <c r="K130" s="110"/>
      <c r="L130" s="51">
        <f t="shared" si="66"/>
        <v>17437082.036000002</v>
      </c>
      <c r="M130" s="124">
        <f>+'5.Variables'!$M$15</f>
        <v>477.5</v>
      </c>
      <c r="N130" s="121">
        <f>+'5.Variables'!$M$30</f>
        <v>0</v>
      </c>
      <c r="O130" s="490">
        <f>+'5.Variables'!$M$45</f>
        <v>8.5</v>
      </c>
      <c r="P130" s="121">
        <f>+'5.Variables'!$M$60</f>
        <v>9624</v>
      </c>
      <c r="Q130" s="121">
        <f t="shared" si="74"/>
        <v>31</v>
      </c>
      <c r="R130" s="121">
        <f t="shared" ref="R130" si="86">+R118</f>
        <v>1</v>
      </c>
      <c r="S130" s="490"/>
      <c r="T130" s="42"/>
      <c r="U130" s="51">
        <f t="shared" si="54"/>
        <v>18447109.828838132</v>
      </c>
      <c r="V130" s="52">
        <f>SUM(U119:U130)</f>
        <v>217694347.29207727</v>
      </c>
      <c r="W130" s="440">
        <f t="shared" si="81"/>
        <v>-1010027.7928381301</v>
      </c>
      <c r="X130" s="509">
        <f t="shared" si="82"/>
        <v>-5.7924129206530159E-2</v>
      </c>
      <c r="Y130" s="440"/>
      <c r="Z130" s="42"/>
      <c r="AA130" s="42"/>
      <c r="AB130" s="42"/>
      <c r="AC130" s="42"/>
      <c r="AD130" s="42"/>
      <c r="AE130" s="42"/>
      <c r="AF130" s="42"/>
      <c r="AG130" s="42"/>
      <c r="AH130" s="42"/>
      <c r="AI130" s="42"/>
      <c r="AJ130" s="42"/>
      <c r="AK130" s="42"/>
      <c r="AL130" s="42"/>
      <c r="AM130" s="42"/>
      <c r="AN130" s="42"/>
      <c r="AO130" s="42"/>
      <c r="AP130" s="42"/>
      <c r="AQ130" s="42"/>
      <c r="AR130" s="42"/>
      <c r="AS130" s="42"/>
    </row>
    <row r="131" spans="1:45" x14ac:dyDescent="0.2">
      <c r="A131" s="143">
        <f t="shared" si="68"/>
        <v>109</v>
      </c>
      <c r="B131" s="50" t="s">
        <v>337</v>
      </c>
      <c r="C131" s="115">
        <v>11724089</v>
      </c>
      <c r="D131" s="142">
        <v>7235452</v>
      </c>
      <c r="E131" s="115">
        <f t="shared" ref="E131:E142" si="87">+C131+D131</f>
        <v>18959541</v>
      </c>
      <c r="F131" s="115">
        <v>39920.879999999997</v>
      </c>
      <c r="G131" s="142">
        <v>37069.14</v>
      </c>
      <c r="H131" s="115">
        <v>307584.2</v>
      </c>
      <c r="I131" s="115">
        <v>-2278981.6</v>
      </c>
      <c r="J131" s="115">
        <v>9332.5209999999988</v>
      </c>
      <c r="K131" s="108"/>
      <c r="L131" s="51">
        <f t="shared" ref="L131:L142" si="88">SUM(E131:K131)</f>
        <v>17074466.140999999</v>
      </c>
      <c r="M131" s="124">
        <f>+'5.Variables'!$B$16</f>
        <v>567.79999999999995</v>
      </c>
      <c r="N131" s="121">
        <f>+'5.Variables'!$B$31</f>
        <v>0</v>
      </c>
      <c r="O131" s="490">
        <f>+'5.Variables'!$B$46</f>
        <v>9.1199999999999992</v>
      </c>
      <c r="P131" s="121">
        <f>+'5.Variables'!$B$61</f>
        <v>9639</v>
      </c>
      <c r="Q131" s="124">
        <f t="shared" si="74"/>
        <v>31</v>
      </c>
      <c r="R131" s="124">
        <f t="shared" ref="R131" si="89">+R119</f>
        <v>1</v>
      </c>
      <c r="S131" s="491"/>
      <c r="T131" s="42"/>
      <c r="U131" s="51">
        <f t="shared" ref="U131:U141" si="90">$AB$37+(M131*$AB$38)+(N131*$AB$39)+(O131*$AB$40)+(P131*$AB$41)+(Q131*$AB$42)+(R131*$AB$43)+(R131*$AB$43)</f>
        <v>18776914.603763331</v>
      </c>
      <c r="V131" s="52"/>
      <c r="W131" s="440">
        <f t="shared" si="81"/>
        <v>-1702448.4627633318</v>
      </c>
      <c r="X131" s="509">
        <f t="shared" si="82"/>
        <v>-9.9707273346329325E-2</v>
      </c>
      <c r="Y131" s="440"/>
      <c r="Z131" s="42"/>
      <c r="AA131" s="531"/>
      <c r="AB131" s="531"/>
      <c r="AC131" s="531"/>
      <c r="AD131" s="158"/>
      <c r="AE131" s="42"/>
      <c r="AF131" s="42"/>
      <c r="AG131" s="42"/>
      <c r="AH131" s="42"/>
      <c r="AI131" s="42"/>
      <c r="AJ131" s="42"/>
      <c r="AK131" s="42"/>
      <c r="AL131" s="42"/>
      <c r="AM131" s="42"/>
      <c r="AN131" s="42"/>
      <c r="AO131" s="42"/>
      <c r="AP131" s="42"/>
      <c r="AQ131" s="42"/>
      <c r="AR131" s="42"/>
      <c r="AS131" s="42"/>
    </row>
    <row r="132" spans="1:45" x14ac:dyDescent="0.2">
      <c r="A132" s="143">
        <f t="shared" si="68"/>
        <v>110</v>
      </c>
      <c r="B132" s="50" t="s">
        <v>338</v>
      </c>
      <c r="C132" s="115">
        <v>10710326</v>
      </c>
      <c r="D132" s="115">
        <v>7025577</v>
      </c>
      <c r="E132" s="115">
        <f t="shared" si="87"/>
        <v>17735903</v>
      </c>
      <c r="F132" s="115">
        <v>88819.01</v>
      </c>
      <c r="G132" s="142">
        <v>76006.58</v>
      </c>
      <c r="H132" s="115">
        <v>0</v>
      </c>
      <c r="I132" s="115">
        <v>-2144486.3999999999</v>
      </c>
      <c r="J132" s="115">
        <v>23024.30000000001</v>
      </c>
      <c r="K132" s="108"/>
      <c r="L132" s="51">
        <f t="shared" si="88"/>
        <v>15779266.49</v>
      </c>
      <c r="M132" s="124">
        <f>+'5.Variables'!$C$16</f>
        <v>574.79999999999995</v>
      </c>
      <c r="N132" s="121">
        <f>+'5.Variables'!$C$31</f>
        <v>0</v>
      </c>
      <c r="O132" s="490">
        <f>+'5.Variables'!$C$46</f>
        <v>10.199999999999999</v>
      </c>
      <c r="P132" s="121">
        <f>+'5.Variables'!$C$61</f>
        <v>9647.5</v>
      </c>
      <c r="Q132" s="508">
        <v>28</v>
      </c>
      <c r="R132" s="124">
        <f t="shared" ref="R132" si="91">+R120</f>
        <v>1</v>
      </c>
      <c r="S132" s="491"/>
      <c r="T132" s="42"/>
      <c r="U132" s="51">
        <f t="shared" si="90"/>
        <v>17366190.321635623</v>
      </c>
      <c r="V132" s="52"/>
      <c r="W132" s="440">
        <f t="shared" si="81"/>
        <v>-1586923.8316356223</v>
      </c>
      <c r="X132" s="509">
        <f t="shared" si="82"/>
        <v>-0.10057019016956993</v>
      </c>
      <c r="Y132" s="440"/>
      <c r="Z132" s="42"/>
      <c r="AA132" s="42"/>
      <c r="AB132" s="42"/>
      <c r="AC132" s="42"/>
      <c r="AD132" s="158"/>
      <c r="AE132" s="42"/>
      <c r="AF132" s="42"/>
      <c r="AG132" s="42"/>
      <c r="AH132" s="42"/>
      <c r="AI132" s="42"/>
      <c r="AJ132" s="42"/>
      <c r="AK132" s="42"/>
      <c r="AL132" s="42"/>
      <c r="AM132" s="42"/>
      <c r="AN132" s="42"/>
      <c r="AO132" s="42"/>
      <c r="AP132" s="42"/>
      <c r="AQ132" s="42"/>
      <c r="AR132" s="42"/>
      <c r="AS132" s="42"/>
    </row>
    <row r="133" spans="1:45" x14ac:dyDescent="0.2">
      <c r="A133" s="143">
        <f t="shared" si="68"/>
        <v>111</v>
      </c>
      <c r="B133" s="50" t="s">
        <v>339</v>
      </c>
      <c r="C133" s="115">
        <v>10354853</v>
      </c>
      <c r="D133" s="115">
        <v>6087019</v>
      </c>
      <c r="E133" s="115">
        <f t="shared" si="87"/>
        <v>16441872</v>
      </c>
      <c r="F133" s="115">
        <v>178320.78</v>
      </c>
      <c r="G133" s="142">
        <v>166260.47</v>
      </c>
      <c r="H133" s="115">
        <v>966077</v>
      </c>
      <c r="I133" s="115">
        <v>-1888992</v>
      </c>
      <c r="J133" s="115">
        <v>73410.695000000007</v>
      </c>
      <c r="K133" s="108"/>
      <c r="L133" s="51">
        <f t="shared" si="88"/>
        <v>15936948.945</v>
      </c>
      <c r="M133" s="124">
        <f>+'5.Variables'!$D$16</f>
        <v>432.5</v>
      </c>
      <c r="N133" s="121">
        <f>+'5.Variables'!$D$31</f>
        <v>0</v>
      </c>
      <c r="O133" s="490">
        <f>+'5.Variables'!$D$46</f>
        <v>11.5</v>
      </c>
      <c r="P133" s="121">
        <f>+'5.Variables'!$D$61</f>
        <v>9653</v>
      </c>
      <c r="Q133" s="124">
        <f t="shared" ref="Q133:Q178" si="92">+Q121</f>
        <v>31</v>
      </c>
      <c r="R133" s="124">
        <f t="shared" ref="R133" si="93">+R121</f>
        <v>0</v>
      </c>
      <c r="S133" s="491"/>
      <c r="T133" s="42"/>
      <c r="U133" s="51">
        <f t="shared" si="90"/>
        <v>16516533.852172185</v>
      </c>
      <c r="V133" s="52"/>
      <c r="W133" s="440">
        <f t="shared" si="81"/>
        <v>-579584.90717218444</v>
      </c>
      <c r="X133" s="509">
        <f t="shared" si="82"/>
        <v>-3.6367369260727991E-2</v>
      </c>
      <c r="Y133" s="440"/>
      <c r="Z133" s="42"/>
      <c r="AA133" s="531"/>
      <c r="AB133" s="531"/>
      <c r="AC133" s="531"/>
      <c r="AD133" s="158"/>
      <c r="AE133" s="42"/>
      <c r="AF133" s="42"/>
      <c r="AG133" s="42"/>
      <c r="AH133" s="42"/>
      <c r="AI133" s="42"/>
      <c r="AJ133" s="42"/>
      <c r="AK133" s="42"/>
      <c r="AL133" s="42"/>
      <c r="AM133" s="42"/>
      <c r="AN133" s="42"/>
      <c r="AO133" s="42"/>
      <c r="AP133" s="42"/>
      <c r="AQ133" s="42"/>
      <c r="AR133" s="42"/>
      <c r="AS133" s="42"/>
    </row>
    <row r="134" spans="1:45" x14ac:dyDescent="0.2">
      <c r="A134" s="143">
        <f t="shared" si="68"/>
        <v>112</v>
      </c>
      <c r="B134" s="50" t="s">
        <v>340</v>
      </c>
      <c r="C134" s="115">
        <v>9075837</v>
      </c>
      <c r="D134" s="115">
        <v>4844230</v>
      </c>
      <c r="E134" s="115">
        <f t="shared" si="87"/>
        <v>13920067</v>
      </c>
      <c r="F134" s="115">
        <v>171313.14</v>
      </c>
      <c r="G134" s="142">
        <v>163420.22</v>
      </c>
      <c r="H134" s="115">
        <v>1196265</v>
      </c>
      <c r="I134" s="115">
        <v>-1604528.8</v>
      </c>
      <c r="J134" s="115">
        <v>69554.069000000018</v>
      </c>
      <c r="K134" s="108"/>
      <c r="L134" s="51">
        <f t="shared" si="88"/>
        <v>13916090.629000001</v>
      </c>
      <c r="M134" s="124">
        <f>+'5.Variables'!$E$16</f>
        <v>318.69999999999993</v>
      </c>
      <c r="N134" s="121">
        <f>+'5.Variables'!$E$31</f>
        <v>0</v>
      </c>
      <c r="O134" s="490">
        <f>+'5.Variables'!$E$46</f>
        <v>13.26</v>
      </c>
      <c r="P134" s="121">
        <f>+'5.Variables'!$E$61</f>
        <v>9657</v>
      </c>
      <c r="Q134" s="124">
        <f t="shared" si="92"/>
        <v>30</v>
      </c>
      <c r="R134" s="124">
        <f t="shared" ref="R134" si="94">+R122</f>
        <v>0</v>
      </c>
      <c r="S134" s="491"/>
      <c r="T134" s="42"/>
      <c r="U134" s="51">
        <f t="shared" si="90"/>
        <v>15643301.109806485</v>
      </c>
      <c r="V134" s="52"/>
      <c r="W134" s="440">
        <f t="shared" si="81"/>
        <v>-1727210.4808064848</v>
      </c>
      <c r="X134" s="509">
        <f t="shared" si="82"/>
        <v>-0.12411607015601915</v>
      </c>
      <c r="Y134" s="440"/>
      <c r="Z134" s="42"/>
      <c r="AA134" s="531"/>
      <c r="AB134" s="531"/>
      <c r="AC134" s="531"/>
      <c r="AD134" s="158"/>
      <c r="AE134" s="42"/>
      <c r="AF134" s="42"/>
      <c r="AG134" s="42"/>
      <c r="AH134" s="42"/>
      <c r="AI134" s="42"/>
      <c r="AJ134" s="42"/>
      <c r="AK134" s="42"/>
      <c r="AL134" s="42"/>
      <c r="AM134" s="42"/>
      <c r="AN134" s="42"/>
      <c r="AO134" s="42"/>
      <c r="AP134" s="42"/>
      <c r="AQ134" s="42"/>
      <c r="AR134" s="42"/>
      <c r="AS134" s="42"/>
    </row>
    <row r="135" spans="1:45" x14ac:dyDescent="0.2">
      <c r="A135" s="143">
        <f t="shared" si="68"/>
        <v>113</v>
      </c>
      <c r="B135" s="50" t="s">
        <v>341</v>
      </c>
      <c r="C135" s="115">
        <v>9325859</v>
      </c>
      <c r="D135" s="115">
        <v>4961715</v>
      </c>
      <c r="E135" s="115">
        <f t="shared" si="87"/>
        <v>14287574</v>
      </c>
      <c r="F135" s="115">
        <v>211565.5</v>
      </c>
      <c r="G135" s="142">
        <v>211288.55</v>
      </c>
      <c r="H135" s="115">
        <v>1260436.1000000001</v>
      </c>
      <c r="I135" s="115">
        <v>-1456873.6</v>
      </c>
      <c r="J135" s="115">
        <v>85990.063000000038</v>
      </c>
      <c r="K135" s="108"/>
      <c r="L135" s="51">
        <f t="shared" si="88"/>
        <v>14599980.613</v>
      </c>
      <c r="M135" s="124">
        <f>+'5.Variables'!$F$16</f>
        <v>160.05000000000001</v>
      </c>
      <c r="N135" s="121">
        <f>+'5.Variables'!$F$31</f>
        <v>8.8000000000000007</v>
      </c>
      <c r="O135" s="490">
        <f>+'5.Variables'!$F$46</f>
        <v>14.47</v>
      </c>
      <c r="P135" s="121">
        <f>+'5.Variables'!$F$61</f>
        <v>9658</v>
      </c>
      <c r="Q135" s="124">
        <f t="shared" si="92"/>
        <v>31</v>
      </c>
      <c r="R135" s="124">
        <f t="shared" ref="R135" si="95">+R123</f>
        <v>0</v>
      </c>
      <c r="S135" s="491"/>
      <c r="T135" s="42"/>
      <c r="U135" s="51">
        <f t="shared" si="90"/>
        <v>15919102.228038905</v>
      </c>
      <c r="V135" s="52"/>
      <c r="W135" s="440">
        <f t="shared" si="81"/>
        <v>-1319121.6150389053</v>
      </c>
      <c r="X135" s="509">
        <f t="shared" si="82"/>
        <v>-9.0350915525486616E-2</v>
      </c>
      <c r="Y135" s="440"/>
      <c r="Z135" s="42"/>
      <c r="AA135" s="531"/>
      <c r="AB135" s="531"/>
      <c r="AC135" s="531"/>
      <c r="AD135" s="158"/>
      <c r="AE135" s="42"/>
      <c r="AF135" s="42"/>
      <c r="AG135" s="42"/>
      <c r="AH135" s="42"/>
      <c r="AI135" s="42"/>
      <c r="AJ135" s="42"/>
      <c r="AK135" s="42"/>
      <c r="AL135" s="42"/>
      <c r="AM135" s="42"/>
      <c r="AN135" s="42"/>
      <c r="AO135" s="42"/>
      <c r="AP135" s="42"/>
      <c r="AQ135" s="42"/>
      <c r="AR135" s="42"/>
      <c r="AS135" s="42"/>
    </row>
    <row r="136" spans="1:45" x14ac:dyDescent="0.2">
      <c r="A136" s="143">
        <f t="shared" si="68"/>
        <v>114</v>
      </c>
      <c r="B136" s="50" t="s">
        <v>342</v>
      </c>
      <c r="C136" s="115">
        <v>11419394</v>
      </c>
      <c r="D136" s="115">
        <v>6370609</v>
      </c>
      <c r="E136" s="115">
        <f t="shared" si="87"/>
        <v>17790003</v>
      </c>
      <c r="F136" s="115">
        <v>215121.46</v>
      </c>
      <c r="G136" s="142">
        <v>222334.1</v>
      </c>
      <c r="H136" s="115">
        <v>1260024.5</v>
      </c>
      <c r="I136" s="115">
        <v>-1443859.2</v>
      </c>
      <c r="J136" s="115">
        <v>84890.933999999994</v>
      </c>
      <c r="K136" s="108"/>
      <c r="L136" s="51">
        <f t="shared" si="88"/>
        <v>18128514.794000003</v>
      </c>
      <c r="M136" s="124">
        <f>+'5.Variables'!$G$16</f>
        <v>9.1999999999999993</v>
      </c>
      <c r="N136" s="121">
        <f>+'5.Variables'!$G$31</f>
        <v>93.600000000000009</v>
      </c>
      <c r="O136" s="490">
        <f>+'5.Variables'!$G$46</f>
        <v>15.3</v>
      </c>
      <c r="P136" s="121">
        <f>+'5.Variables'!$G$61</f>
        <v>9665.5</v>
      </c>
      <c r="Q136" s="124">
        <f t="shared" si="92"/>
        <v>30</v>
      </c>
      <c r="R136" s="124">
        <f t="shared" ref="R136" si="96">+R124</f>
        <v>1</v>
      </c>
      <c r="S136" s="491"/>
      <c r="T136" s="42"/>
      <c r="U136" s="51">
        <f t="shared" si="90"/>
        <v>20055295.539221119</v>
      </c>
      <c r="V136" s="52"/>
      <c r="W136" s="440">
        <f t="shared" si="81"/>
        <v>-1926780.7452211156</v>
      </c>
      <c r="X136" s="509">
        <f t="shared" si="82"/>
        <v>-0.10628453390229312</v>
      </c>
      <c r="Y136" s="440"/>
      <c r="Z136" s="42"/>
      <c r="AA136" s="531"/>
      <c r="AB136" s="531"/>
      <c r="AC136" s="531"/>
      <c r="AD136" s="158"/>
      <c r="AE136" s="42"/>
      <c r="AF136" s="42"/>
      <c r="AG136" s="42"/>
      <c r="AH136" s="42"/>
      <c r="AI136" s="42"/>
      <c r="AJ136" s="42"/>
      <c r="AK136" s="42"/>
      <c r="AL136" s="42"/>
      <c r="AM136" s="42"/>
      <c r="AN136" s="42"/>
      <c r="AO136" s="42"/>
      <c r="AP136" s="42"/>
      <c r="AQ136" s="42"/>
      <c r="AR136" s="42"/>
      <c r="AS136" s="42"/>
    </row>
    <row r="137" spans="1:45" x14ac:dyDescent="0.2">
      <c r="A137" s="143">
        <f t="shared" si="68"/>
        <v>115</v>
      </c>
      <c r="B137" s="50" t="s">
        <v>343</v>
      </c>
      <c r="C137" s="115">
        <v>12909841</v>
      </c>
      <c r="D137" s="115">
        <v>6708335</v>
      </c>
      <c r="E137" s="115">
        <f t="shared" si="87"/>
        <v>19618176</v>
      </c>
      <c r="F137" s="115">
        <v>190118.72</v>
      </c>
      <c r="G137" s="142">
        <v>194328.85</v>
      </c>
      <c r="H137" s="115">
        <v>1356921.3</v>
      </c>
      <c r="I137" s="115">
        <v>-1411771.2</v>
      </c>
      <c r="J137" s="115">
        <v>64489.989999999976</v>
      </c>
      <c r="K137" s="108"/>
      <c r="L137" s="51">
        <f t="shared" si="88"/>
        <v>20012263.66</v>
      </c>
      <c r="M137" s="124">
        <f>+'5.Variables'!$H$16</f>
        <v>0.1</v>
      </c>
      <c r="N137" s="121">
        <f>+'5.Variables'!$H$31</f>
        <v>116.75</v>
      </c>
      <c r="O137" s="490">
        <f>+'5.Variables'!$H$46</f>
        <v>15.11</v>
      </c>
      <c r="P137" s="121">
        <f>+'5.Variables'!$H$61</f>
        <v>9679</v>
      </c>
      <c r="Q137" s="124">
        <f t="shared" si="92"/>
        <v>31</v>
      </c>
      <c r="R137" s="124">
        <f t="shared" ref="R137" si="97">+R125</f>
        <v>1</v>
      </c>
      <c r="S137" s="491"/>
      <c r="T137" s="42"/>
      <c r="U137" s="51">
        <f t="shared" si="90"/>
        <v>21428176.170674399</v>
      </c>
      <c r="V137" s="52"/>
      <c r="W137" s="440">
        <f t="shared" si="81"/>
        <v>-1415912.5106743984</v>
      </c>
      <c r="X137" s="509">
        <f t="shared" si="82"/>
        <v>-7.0752241462043494E-2</v>
      </c>
      <c r="Y137" s="440"/>
      <c r="Z137" s="42"/>
      <c r="AA137" s="531"/>
      <c r="AB137" s="531"/>
      <c r="AC137" s="531"/>
      <c r="AD137" s="158"/>
      <c r="AE137" s="42"/>
      <c r="AF137" s="42"/>
      <c r="AG137" s="42"/>
      <c r="AH137" s="42"/>
      <c r="AI137" s="42"/>
      <c r="AJ137" s="42"/>
      <c r="AK137" s="42"/>
      <c r="AL137" s="42"/>
      <c r="AM137" s="42"/>
      <c r="AN137" s="42"/>
      <c r="AO137" s="42"/>
      <c r="AP137" s="42"/>
      <c r="AQ137" s="42"/>
      <c r="AR137" s="42"/>
      <c r="AS137" s="42"/>
    </row>
    <row r="138" spans="1:45" x14ac:dyDescent="0.2">
      <c r="A138" s="143">
        <f t="shared" si="68"/>
        <v>116</v>
      </c>
      <c r="B138" s="50" t="s">
        <v>344</v>
      </c>
      <c r="C138" s="115">
        <v>15281249</v>
      </c>
      <c r="D138" s="115">
        <v>8037358</v>
      </c>
      <c r="E138" s="115">
        <f t="shared" si="87"/>
        <v>23318607</v>
      </c>
      <c r="F138" s="115">
        <v>195017.51</v>
      </c>
      <c r="G138" s="142">
        <v>197758.6</v>
      </c>
      <c r="H138" s="115">
        <v>1361896.2</v>
      </c>
      <c r="I138" s="115">
        <v>-1548148</v>
      </c>
      <c r="J138" s="115">
        <v>66518.945000000036</v>
      </c>
      <c r="K138" s="108"/>
      <c r="L138" s="51">
        <f t="shared" si="88"/>
        <v>23591650.255000003</v>
      </c>
      <c r="M138" s="124">
        <f>+'5.Variables'!$I$16</f>
        <v>0</v>
      </c>
      <c r="N138" s="121">
        <f>+'5.Variables'!$I$31</f>
        <v>198.39999999999998</v>
      </c>
      <c r="O138" s="490">
        <f>+'5.Variables'!$I$46</f>
        <v>14</v>
      </c>
      <c r="P138" s="121">
        <f>+'5.Variables'!$I$61</f>
        <v>9690.5</v>
      </c>
      <c r="Q138" s="124">
        <f t="shared" si="92"/>
        <v>31</v>
      </c>
      <c r="R138" s="124">
        <f t="shared" ref="R138" si="98">+R126</f>
        <v>1</v>
      </c>
      <c r="S138" s="491"/>
      <c r="T138" s="42"/>
      <c r="U138" s="51">
        <f t="shared" si="90"/>
        <v>24646798.000916142</v>
      </c>
      <c r="V138" s="52"/>
      <c r="W138" s="440">
        <f t="shared" si="81"/>
        <v>-1055147.7459161393</v>
      </c>
      <c r="X138" s="509">
        <f t="shared" si="82"/>
        <v>-4.4725474246656904E-2</v>
      </c>
      <c r="Y138" s="440"/>
      <c r="Z138" s="42"/>
      <c r="AA138" s="531"/>
      <c r="AB138" s="531"/>
      <c r="AC138" s="531"/>
      <c r="AD138" s="158"/>
      <c r="AE138" s="42"/>
      <c r="AF138" s="42"/>
      <c r="AG138" s="42"/>
      <c r="AH138" s="42"/>
      <c r="AI138" s="42"/>
      <c r="AJ138" s="42"/>
      <c r="AK138" s="42"/>
      <c r="AL138" s="42"/>
      <c r="AM138" s="42"/>
      <c r="AN138" s="42"/>
      <c r="AO138" s="42"/>
      <c r="AP138" s="42"/>
      <c r="AQ138" s="42"/>
      <c r="AR138" s="42"/>
      <c r="AS138" s="42"/>
    </row>
    <row r="139" spans="1:45" x14ac:dyDescent="0.2">
      <c r="A139" s="143">
        <f t="shared" si="68"/>
        <v>117</v>
      </c>
      <c r="B139" s="50" t="s">
        <v>345</v>
      </c>
      <c r="C139" s="115">
        <v>10993563</v>
      </c>
      <c r="D139" s="115">
        <v>6349410</v>
      </c>
      <c r="E139" s="115">
        <f t="shared" si="87"/>
        <v>17342973</v>
      </c>
      <c r="F139" s="115">
        <v>165651.20000000001</v>
      </c>
      <c r="G139" s="142">
        <v>159801.79</v>
      </c>
      <c r="H139" s="115">
        <v>1262443</v>
      </c>
      <c r="I139" s="115">
        <v>-1639442.4</v>
      </c>
      <c r="J139" s="115">
        <v>58135.066999999981</v>
      </c>
      <c r="K139" s="108"/>
      <c r="L139" s="51">
        <f t="shared" si="88"/>
        <v>17349561.657000002</v>
      </c>
      <c r="M139" s="124">
        <f>+'5.Variables'!$J$16</f>
        <v>10.7</v>
      </c>
      <c r="N139" s="121">
        <f>+'5.Variables'!$J$31</f>
        <v>59.79999999999999</v>
      </c>
      <c r="O139" s="523">
        <f t="shared" ref="O139" si="99">AVERAGE(O31,O43,O55,O67,O79,O91,O103,O115,O127)</f>
        <v>12.269999999999998</v>
      </c>
      <c r="P139" s="121">
        <f>+'5.Variables'!$J$61</f>
        <v>9698.5</v>
      </c>
      <c r="Q139" s="124">
        <f t="shared" si="92"/>
        <v>30</v>
      </c>
      <c r="R139" s="124">
        <f t="shared" ref="R139" si="100">+R127</f>
        <v>0</v>
      </c>
      <c r="S139" s="491"/>
      <c r="T139" s="42"/>
      <c r="U139" s="51">
        <f t="shared" si="90"/>
        <v>16963093.407239441</v>
      </c>
      <c r="V139" s="52"/>
      <c r="W139" s="440"/>
      <c r="X139" s="509"/>
      <c r="Y139" s="440"/>
      <c r="Z139" s="42"/>
      <c r="AA139" s="531"/>
      <c r="AB139" s="531"/>
      <c r="AC139" s="531"/>
      <c r="AD139" s="158"/>
      <c r="AE139" s="42"/>
      <c r="AF139" s="42"/>
      <c r="AG139" s="42"/>
      <c r="AH139" s="42"/>
      <c r="AI139" s="42"/>
      <c r="AJ139" s="42"/>
      <c r="AK139" s="42"/>
      <c r="AL139" s="42"/>
      <c r="AM139" s="42"/>
      <c r="AN139" s="42"/>
      <c r="AO139" s="42"/>
      <c r="AP139" s="42"/>
      <c r="AQ139" s="42"/>
      <c r="AR139" s="42"/>
      <c r="AS139" s="42"/>
    </row>
    <row r="140" spans="1:45" x14ac:dyDescent="0.2">
      <c r="A140" s="143">
        <f t="shared" si="68"/>
        <v>118</v>
      </c>
      <c r="B140" s="50" t="s">
        <v>346</v>
      </c>
      <c r="C140" s="115">
        <v>7877977</v>
      </c>
      <c r="D140" s="115">
        <v>8893135</v>
      </c>
      <c r="E140" s="115">
        <f t="shared" si="87"/>
        <v>16771112</v>
      </c>
      <c r="F140" s="115">
        <v>88674.61</v>
      </c>
      <c r="G140" s="142">
        <v>84478.19</v>
      </c>
      <c r="H140" s="115">
        <v>1218054.6000000001</v>
      </c>
      <c r="I140" s="115">
        <v>-2073334.4</v>
      </c>
      <c r="J140" s="115">
        <v>21371.592999999997</v>
      </c>
      <c r="K140" s="108"/>
      <c r="L140" s="51">
        <f t="shared" si="88"/>
        <v>16110356.593000002</v>
      </c>
      <c r="M140" s="124">
        <f>+'5.Variables'!$K$16</f>
        <v>110.19999999999999</v>
      </c>
      <c r="N140" s="121">
        <f>+'5.Variables'!$K$31</f>
        <v>15.4</v>
      </c>
      <c r="O140" s="523">
        <f t="shared" ref="O140:O142" si="101">AVERAGE(O32,O44,O56,O68,O80,O92,O104,O116,O128)</f>
        <v>10.519999999999998</v>
      </c>
      <c r="P140" s="121">
        <f>+'5.Variables'!$K$61</f>
        <v>9708.5</v>
      </c>
      <c r="Q140" s="124">
        <f t="shared" si="92"/>
        <v>31</v>
      </c>
      <c r="R140" s="124">
        <f t="shared" ref="R140" si="102">+R128</f>
        <v>0</v>
      </c>
      <c r="S140" s="491"/>
      <c r="T140" s="42"/>
      <c r="U140" s="51">
        <f t="shared" si="90"/>
        <v>16057083.388088005</v>
      </c>
      <c r="V140" s="52"/>
      <c r="W140" s="440"/>
      <c r="X140" s="509"/>
      <c r="Y140" s="440"/>
      <c r="Z140" s="42"/>
      <c r="AA140" s="531"/>
      <c r="AB140" s="531"/>
      <c r="AC140" s="531"/>
      <c r="AD140" s="158"/>
      <c r="AE140" s="42"/>
      <c r="AF140" s="42"/>
      <c r="AG140" s="42"/>
      <c r="AH140" s="42"/>
      <c r="AI140" s="42"/>
      <c r="AJ140" s="42"/>
      <c r="AK140" s="42"/>
      <c r="AL140" s="42"/>
      <c r="AM140" s="42"/>
      <c r="AN140" s="42"/>
      <c r="AO140" s="42"/>
      <c r="AP140" s="42"/>
      <c r="AQ140" s="42"/>
      <c r="AR140" s="42"/>
      <c r="AS140" s="42"/>
    </row>
    <row r="141" spans="1:45" x14ac:dyDescent="0.2">
      <c r="A141" s="143">
        <f t="shared" si="68"/>
        <v>119</v>
      </c>
      <c r="B141" s="50" t="s">
        <v>347</v>
      </c>
      <c r="C141" s="115">
        <v>9782318</v>
      </c>
      <c r="D141" s="115">
        <v>6091043</v>
      </c>
      <c r="E141" s="115">
        <f t="shared" si="87"/>
        <v>15873361</v>
      </c>
      <c r="F141" s="115">
        <v>76740</v>
      </c>
      <c r="G141" s="142">
        <v>66770.59</v>
      </c>
      <c r="H141" s="115">
        <v>1157313.5</v>
      </c>
      <c r="I141" s="115">
        <v>-1253078.3999999999</v>
      </c>
      <c r="J141" s="115">
        <v>20023.225000000002</v>
      </c>
      <c r="K141" s="108"/>
      <c r="L141" s="51">
        <f t="shared" si="88"/>
        <v>15941129.914999999</v>
      </c>
      <c r="M141" s="124">
        <f>+'5.Variables'!$L$16</f>
        <v>334.2</v>
      </c>
      <c r="N141" s="121">
        <f>+'5.Variables'!$L$31</f>
        <v>0</v>
      </c>
      <c r="O141" s="523">
        <f t="shared" si="101"/>
        <v>9.31</v>
      </c>
      <c r="P141" s="121">
        <f>+'5.Variables'!$L$61</f>
        <v>9719</v>
      </c>
      <c r="Q141" s="124">
        <f t="shared" si="92"/>
        <v>30</v>
      </c>
      <c r="R141" s="124">
        <f t="shared" ref="R141" si="103">+R129</f>
        <v>0</v>
      </c>
      <c r="S141" s="491"/>
      <c r="T141" s="42"/>
      <c r="U141" s="51">
        <f t="shared" si="90"/>
        <v>15761391.672891201</v>
      </c>
      <c r="V141" s="52"/>
      <c r="W141" s="440"/>
      <c r="X141" s="509"/>
      <c r="Y141" s="440"/>
      <c r="Z141" s="42"/>
      <c r="AA141" s="531"/>
      <c r="AB141" s="531"/>
      <c r="AC141" s="531"/>
      <c r="AD141" s="158"/>
      <c r="AE141" s="42"/>
      <c r="AF141" s="42"/>
      <c r="AG141" s="42"/>
      <c r="AH141" s="42"/>
      <c r="AI141" s="42"/>
      <c r="AJ141" s="42"/>
      <c r="AK141" s="42"/>
      <c r="AL141" s="42"/>
      <c r="AM141" s="42"/>
      <c r="AN141" s="42"/>
      <c r="AO141" s="42"/>
      <c r="AP141" s="42"/>
      <c r="AQ141" s="42"/>
      <c r="AR141" s="42"/>
      <c r="AS141" s="42"/>
    </row>
    <row r="142" spans="1:45" x14ac:dyDescent="0.2">
      <c r="A142" s="143">
        <f t="shared" si="68"/>
        <v>120</v>
      </c>
      <c r="B142" s="87" t="s">
        <v>348</v>
      </c>
      <c r="C142" s="105">
        <v>9996695</v>
      </c>
      <c r="D142" s="105">
        <v>6745701</v>
      </c>
      <c r="E142" s="105">
        <f t="shared" si="87"/>
        <v>16742396</v>
      </c>
      <c r="F142" s="105">
        <v>48033.95</v>
      </c>
      <c r="G142" s="105">
        <v>41308.11</v>
      </c>
      <c r="H142" s="105">
        <v>1167806.5</v>
      </c>
      <c r="I142" s="105">
        <v>-389317.6</v>
      </c>
      <c r="J142" s="570">
        <v>8234.3649999999998</v>
      </c>
      <c r="K142" s="110"/>
      <c r="L142" s="51">
        <f t="shared" si="88"/>
        <v>17618461.324999996</v>
      </c>
      <c r="M142" s="124">
        <f>+'5.Variables'!$M$16</f>
        <v>451.90000000000003</v>
      </c>
      <c r="N142" s="121">
        <f>+'5.Variables'!$M$31</f>
        <v>0</v>
      </c>
      <c r="O142" s="523">
        <f t="shared" si="101"/>
        <v>8.5</v>
      </c>
      <c r="P142" s="121">
        <f>+'5.Variables'!$M$61</f>
        <v>9726.5</v>
      </c>
      <c r="Q142" s="121">
        <f t="shared" si="92"/>
        <v>31</v>
      </c>
      <c r="R142" s="121">
        <f t="shared" ref="R142:R178" si="104">+R130</f>
        <v>1</v>
      </c>
      <c r="S142" s="490"/>
      <c r="T142" s="42"/>
      <c r="U142" s="51">
        <f>$AB$37+(M142*$AB$38)+(N142*$AB$39)+(O142*$AB$40)+(P142*$AB$41)+(Q142*$AB$42)+(R142*$AB$43)+(R142*$AB$43)</f>
        <v>18464053.238497328</v>
      </c>
      <c r="V142" s="52">
        <f>SUM(U131:U142)</f>
        <v>217597933.53294417</v>
      </c>
      <c r="W142" s="440"/>
      <c r="X142" s="509"/>
      <c r="Y142" s="440"/>
      <c r="Z142" s="42"/>
      <c r="AA142" s="42"/>
      <c r="AB142" s="42"/>
      <c r="AC142" s="42"/>
      <c r="AD142" s="42"/>
      <c r="AE142" s="42"/>
      <c r="AF142" s="42"/>
      <c r="AG142" s="42"/>
      <c r="AH142" s="42"/>
      <c r="AI142" s="42"/>
      <c r="AJ142" s="42"/>
      <c r="AK142" s="42"/>
      <c r="AL142" s="42"/>
      <c r="AM142" s="42"/>
      <c r="AN142" s="42"/>
      <c r="AO142" s="42"/>
      <c r="AP142" s="42"/>
      <c r="AQ142" s="42"/>
      <c r="AR142" s="42"/>
      <c r="AS142" s="42"/>
    </row>
    <row r="143" spans="1:45" x14ac:dyDescent="0.2">
      <c r="A143" s="143">
        <f t="shared" si="68"/>
        <v>121</v>
      </c>
      <c r="B143" s="50" t="s">
        <v>355</v>
      </c>
      <c r="C143" s="115">
        <v>10729961</v>
      </c>
      <c r="D143" s="142">
        <v>8258072</v>
      </c>
      <c r="E143" s="115">
        <f t="shared" ref="E143:E154" si="105">+C143+D143</f>
        <v>18988033</v>
      </c>
      <c r="F143" s="115">
        <v>38646.76</v>
      </c>
      <c r="G143" s="142">
        <v>31101.13</v>
      </c>
      <c r="H143" s="115">
        <v>285397</v>
      </c>
      <c r="I143" s="115">
        <v>-343459.2</v>
      </c>
      <c r="J143" s="115">
        <v>6593.1299999999992</v>
      </c>
      <c r="K143" s="108"/>
      <c r="L143" s="51">
        <f t="shared" ref="L143:L154" si="106">SUM(E143:K143)</f>
        <v>19006311.82</v>
      </c>
      <c r="M143" s="124">
        <f>+'5.Variables'!$B$17</f>
        <v>700.19999999999993</v>
      </c>
      <c r="N143" s="121">
        <f>+'5.Variables'!$B$32</f>
        <v>0</v>
      </c>
      <c r="O143" s="523">
        <f t="shared" ref="O143" si="107">AVERAGE(O23,O35,O47,O59,O71,O83,O95,O107,O119,O131)</f>
        <v>9.120000000000001</v>
      </c>
      <c r="P143" s="121">
        <f>+'5.Variables'!$B$62</f>
        <v>9734.5</v>
      </c>
      <c r="Q143" s="124">
        <f t="shared" si="92"/>
        <v>31</v>
      </c>
      <c r="R143" s="124">
        <f t="shared" si="104"/>
        <v>1</v>
      </c>
      <c r="S143" s="491"/>
      <c r="T143" s="42"/>
      <c r="U143" s="51">
        <f t="shared" ref="U143:U154" si="108">$AB$37+(M143*$AB$38)+(N143*$AB$39)+(O143*$AB$40)+(P143*$AB$41)+(Q143*$AB$42)+(R143*$AB$43)+(R143*$AB$43)</f>
        <v>19336529.919240531</v>
      </c>
      <c r="V143" s="52"/>
      <c r="W143" s="440"/>
      <c r="X143" s="509"/>
      <c r="Y143" s="440"/>
      <c r="Z143" s="42"/>
      <c r="AA143" s="531"/>
      <c r="AB143" s="531"/>
      <c r="AC143" s="531"/>
      <c r="AD143" s="158"/>
      <c r="AE143" s="42"/>
      <c r="AF143" s="42"/>
      <c r="AG143" s="42"/>
      <c r="AH143" s="42"/>
      <c r="AI143" s="42"/>
      <c r="AJ143" s="42"/>
      <c r="AK143" s="42"/>
      <c r="AL143" s="42"/>
      <c r="AM143" s="42"/>
      <c r="AN143" s="42"/>
      <c r="AO143" s="42"/>
      <c r="AP143" s="42"/>
      <c r="AQ143" s="42"/>
      <c r="AR143" s="42"/>
      <c r="AS143" s="42"/>
    </row>
    <row r="144" spans="1:45" x14ac:dyDescent="0.2">
      <c r="A144" s="143">
        <f t="shared" si="68"/>
        <v>122</v>
      </c>
      <c r="B144" s="50" t="s">
        <v>356</v>
      </c>
      <c r="C144" s="115">
        <v>9404865</v>
      </c>
      <c r="D144" s="115">
        <v>7745534</v>
      </c>
      <c r="E144" s="115">
        <f t="shared" si="105"/>
        <v>17150399</v>
      </c>
      <c r="F144" s="115">
        <v>64405.29</v>
      </c>
      <c r="G144" s="142">
        <v>55923.03</v>
      </c>
      <c r="H144" s="115">
        <v>0</v>
      </c>
      <c r="I144" s="115">
        <v>-191245.6</v>
      </c>
      <c r="J144" s="115">
        <v>16837.11</v>
      </c>
      <c r="K144" s="108"/>
      <c r="L144" s="51">
        <f t="shared" si="106"/>
        <v>17096318.829999998</v>
      </c>
      <c r="M144" s="124">
        <f>+'5.Variables'!$C$17</f>
        <v>557.40000000000009</v>
      </c>
      <c r="N144" s="121">
        <f>+'5.Variables'!$C$32</f>
        <v>0</v>
      </c>
      <c r="O144" s="523">
        <f t="shared" ref="O144" si="109">AVERAGE(O24,O36,O48,O60,O72,O84,O96,O108,O120,O132)</f>
        <v>10.200000000000001</v>
      </c>
      <c r="P144" s="121">
        <f>+'5.Variables'!$C$62</f>
        <v>9741</v>
      </c>
      <c r="Q144" s="508">
        <v>28</v>
      </c>
      <c r="R144" s="124">
        <f t="shared" si="104"/>
        <v>1</v>
      </c>
      <c r="S144" s="491"/>
      <c r="T144" s="42"/>
      <c r="U144" s="51">
        <f t="shared" si="108"/>
        <v>17402362.440002382</v>
      </c>
      <c r="V144" s="52"/>
      <c r="W144" s="440"/>
      <c r="X144" s="509"/>
      <c r="Y144" s="440"/>
      <c r="Z144" s="42"/>
      <c r="AA144" s="42"/>
      <c r="AB144" s="42"/>
      <c r="AC144" s="42"/>
      <c r="AD144" s="158"/>
      <c r="AE144" s="42"/>
      <c r="AF144" s="42"/>
      <c r="AG144" s="42"/>
      <c r="AH144" s="42"/>
      <c r="AI144" s="42"/>
      <c r="AJ144" s="42"/>
      <c r="AK144" s="42"/>
      <c r="AL144" s="42"/>
      <c r="AM144" s="42"/>
      <c r="AN144" s="42"/>
      <c r="AO144" s="42"/>
      <c r="AP144" s="42"/>
      <c r="AQ144" s="42"/>
      <c r="AR144" s="42"/>
      <c r="AS144" s="42"/>
    </row>
    <row r="145" spans="1:45" x14ac:dyDescent="0.2">
      <c r="A145" s="143">
        <f t="shared" si="68"/>
        <v>123</v>
      </c>
      <c r="B145" s="50" t="s">
        <v>357</v>
      </c>
      <c r="C145" s="115">
        <v>9485417</v>
      </c>
      <c r="D145" s="115">
        <v>7026140</v>
      </c>
      <c r="E145" s="115">
        <f t="shared" si="105"/>
        <v>16511557</v>
      </c>
      <c r="F145" s="115">
        <v>124380.49</v>
      </c>
      <c r="G145" s="142">
        <v>121718.57</v>
      </c>
      <c r="H145" s="115">
        <v>883907.5</v>
      </c>
      <c r="I145" s="115">
        <v>-195451.2</v>
      </c>
      <c r="J145" s="115">
        <v>43988.530000000006</v>
      </c>
      <c r="K145" s="108"/>
      <c r="L145" s="51">
        <f t="shared" si="106"/>
        <v>17490100.890000004</v>
      </c>
      <c r="M145" s="124">
        <f>+'5.Variables'!$D$17</f>
        <v>486.20000000000005</v>
      </c>
      <c r="N145" s="121">
        <f>+'5.Variables'!$D$32</f>
        <v>0</v>
      </c>
      <c r="O145" s="523">
        <f t="shared" ref="O145" si="110">AVERAGE(O25,O37,O49,O61,O73,O85,O97,O109,O121,O133)</f>
        <v>11.5</v>
      </c>
      <c r="P145" s="121">
        <f>+'5.Variables'!$D$62</f>
        <v>9749.5</v>
      </c>
      <c r="Q145" s="124">
        <f t="shared" si="92"/>
        <v>31</v>
      </c>
      <c r="R145" s="124">
        <f t="shared" si="104"/>
        <v>0</v>
      </c>
      <c r="S145" s="491"/>
      <c r="T145" s="42"/>
      <c r="U145" s="51">
        <f t="shared" si="108"/>
        <v>16803270.931087766</v>
      </c>
      <c r="V145" s="52"/>
      <c r="W145" s="440"/>
      <c r="X145" s="509"/>
      <c r="Y145" s="440"/>
      <c r="Z145" s="42"/>
      <c r="AA145" s="531"/>
      <c r="AB145" s="531"/>
      <c r="AC145" s="531"/>
      <c r="AD145" s="158"/>
      <c r="AE145" s="42"/>
      <c r="AF145" s="42"/>
      <c r="AG145" s="42"/>
      <c r="AH145" s="42"/>
      <c r="AI145" s="42"/>
      <c r="AJ145" s="42"/>
      <c r="AK145" s="42"/>
      <c r="AL145" s="42"/>
      <c r="AM145" s="42"/>
      <c r="AN145" s="42"/>
      <c r="AO145" s="42"/>
      <c r="AP145" s="42"/>
      <c r="AQ145" s="42"/>
      <c r="AR145" s="42"/>
      <c r="AS145" s="42"/>
    </row>
    <row r="146" spans="1:45" x14ac:dyDescent="0.2">
      <c r="A146" s="143">
        <f t="shared" si="68"/>
        <v>124</v>
      </c>
      <c r="B146" s="50" t="s">
        <v>358</v>
      </c>
      <c r="C146" s="115">
        <v>8227346</v>
      </c>
      <c r="D146" s="115">
        <v>5644329</v>
      </c>
      <c r="E146" s="115">
        <f t="shared" si="105"/>
        <v>13871675</v>
      </c>
      <c r="F146" s="115">
        <v>164690.13</v>
      </c>
      <c r="G146" s="142">
        <v>167020.53</v>
      </c>
      <c r="H146" s="115">
        <v>1153816.3</v>
      </c>
      <c r="I146" s="115">
        <v>-186037.6</v>
      </c>
      <c r="J146" s="115">
        <v>71098.670000000013</v>
      </c>
      <c r="K146" s="108"/>
      <c r="L146" s="51">
        <f t="shared" si="106"/>
        <v>15242263.030000001</v>
      </c>
      <c r="M146" s="124">
        <f>+'5.Variables'!$E$17</f>
        <v>332.90000000000009</v>
      </c>
      <c r="N146" s="121">
        <f>+'5.Variables'!$E$32</f>
        <v>0</v>
      </c>
      <c r="O146" s="523">
        <f t="shared" ref="O146" si="111">AVERAGE(O26,O38,O50,O62,O74,O86,O98,O110,O122,O134)</f>
        <v>13.260000000000002</v>
      </c>
      <c r="P146" s="121">
        <f>+'5.Variables'!$E$62</f>
        <v>9757</v>
      </c>
      <c r="Q146" s="124">
        <f t="shared" si="92"/>
        <v>30</v>
      </c>
      <c r="R146" s="124">
        <f t="shared" si="104"/>
        <v>0</v>
      </c>
      <c r="S146" s="491"/>
      <c r="T146" s="42"/>
      <c r="U146" s="51">
        <f t="shared" si="108"/>
        <v>15796180.709036473</v>
      </c>
      <c r="V146" s="52"/>
      <c r="W146" s="440"/>
      <c r="X146" s="509"/>
      <c r="Y146" s="440"/>
      <c r="Z146" s="42"/>
      <c r="AA146" s="531"/>
      <c r="AB146" s="531"/>
      <c r="AC146" s="531"/>
      <c r="AD146" s="158"/>
      <c r="AE146" s="42"/>
      <c r="AF146" s="42"/>
      <c r="AG146" s="42"/>
      <c r="AH146" s="42"/>
      <c r="AI146" s="42"/>
      <c r="AJ146" s="42"/>
      <c r="AK146" s="42"/>
      <c r="AL146" s="42"/>
      <c r="AM146" s="42"/>
      <c r="AN146" s="42"/>
      <c r="AO146" s="42"/>
      <c r="AP146" s="42"/>
      <c r="AQ146" s="42"/>
      <c r="AR146" s="42"/>
      <c r="AS146" s="42"/>
    </row>
    <row r="147" spans="1:45" x14ac:dyDescent="0.2">
      <c r="A147" s="143">
        <f t="shared" si="68"/>
        <v>125</v>
      </c>
      <c r="B147" s="50" t="s">
        <v>359</v>
      </c>
      <c r="C147" s="115">
        <v>8884815</v>
      </c>
      <c r="D147" s="115">
        <v>6086399</v>
      </c>
      <c r="E147" s="115">
        <f t="shared" si="105"/>
        <v>14971214</v>
      </c>
      <c r="F147" s="115">
        <v>198739.22</v>
      </c>
      <c r="G147" s="142">
        <v>206720.67</v>
      </c>
      <c r="H147" s="115">
        <v>1212207.5</v>
      </c>
      <c r="I147" s="115">
        <v>-173056.8</v>
      </c>
      <c r="J147" s="115">
        <v>84169.9</v>
      </c>
      <c r="K147" s="108"/>
      <c r="L147" s="51">
        <f t="shared" si="106"/>
        <v>16499994.49</v>
      </c>
      <c r="M147" s="124">
        <f>+'5.Variables'!$F$17</f>
        <v>145.1</v>
      </c>
      <c r="N147" s="121">
        <f>+'5.Variables'!$F$32</f>
        <v>14.9</v>
      </c>
      <c r="O147" s="523">
        <f t="shared" ref="O147" si="112">AVERAGE(O27,O39,O51,O63,O75,O87,O99,O111,O123,O135)</f>
        <v>14.470000000000002</v>
      </c>
      <c r="P147" s="121">
        <f>+'5.Variables'!$F$62</f>
        <v>9760.5</v>
      </c>
      <c r="Q147" s="124">
        <f t="shared" si="92"/>
        <v>31</v>
      </c>
      <c r="R147" s="124">
        <f t="shared" si="104"/>
        <v>0</v>
      </c>
      <c r="S147" s="491"/>
      <c r="T147" s="42"/>
      <c r="U147" s="51">
        <f t="shared" si="108"/>
        <v>16212710.183591837</v>
      </c>
      <c r="V147" s="52"/>
      <c r="W147" s="440"/>
      <c r="X147" s="509"/>
      <c r="Y147" s="440"/>
      <c r="Z147" s="42"/>
      <c r="AA147" s="531"/>
      <c r="AB147" s="531"/>
      <c r="AC147" s="531"/>
      <c r="AD147" s="158"/>
      <c r="AE147" s="42"/>
      <c r="AF147" s="42"/>
      <c r="AG147" s="42"/>
      <c r="AH147" s="42"/>
      <c r="AI147" s="42"/>
      <c r="AJ147" s="42"/>
      <c r="AK147" s="42"/>
      <c r="AL147" s="42"/>
      <c r="AM147" s="42"/>
      <c r="AN147" s="42"/>
      <c r="AO147" s="42"/>
      <c r="AP147" s="42"/>
      <c r="AQ147" s="42"/>
      <c r="AR147" s="42"/>
      <c r="AS147" s="42"/>
    </row>
    <row r="148" spans="1:45" x14ac:dyDescent="0.2">
      <c r="A148" s="143">
        <f t="shared" si="68"/>
        <v>126</v>
      </c>
      <c r="B148" s="50" t="s">
        <v>360</v>
      </c>
      <c r="C148" s="115">
        <v>10067871</v>
      </c>
      <c r="D148" s="115">
        <v>6859804</v>
      </c>
      <c r="E148" s="115">
        <f t="shared" si="105"/>
        <v>16927675</v>
      </c>
      <c r="F148" s="115">
        <v>211879.4</v>
      </c>
      <c r="G148" s="142">
        <v>222386.21</v>
      </c>
      <c r="H148" s="115">
        <v>1172456.6000000001</v>
      </c>
      <c r="I148" s="115">
        <v>-161610.4</v>
      </c>
      <c r="J148" s="115">
        <v>86575.780000000013</v>
      </c>
      <c r="K148" s="108"/>
      <c r="L148" s="51">
        <f t="shared" si="106"/>
        <v>18459362.590000004</v>
      </c>
      <c r="M148" s="124">
        <f>+'5.Variables'!$G$17</f>
        <v>9.1000000000000014</v>
      </c>
      <c r="N148" s="121">
        <f>+'5.Variables'!$G$32</f>
        <v>56.4</v>
      </c>
      <c r="O148" s="523">
        <f t="shared" ref="O148" si="113">AVERAGE(O28,O40,O52,O64,O76,O88,O100,O112,O124,O136)</f>
        <v>15.3</v>
      </c>
      <c r="P148" s="121">
        <f>+'5.Variables'!$G$62</f>
        <v>9766</v>
      </c>
      <c r="Q148" s="124">
        <f t="shared" si="92"/>
        <v>30</v>
      </c>
      <c r="R148" s="124">
        <f t="shared" si="104"/>
        <v>1</v>
      </c>
      <c r="S148" s="491"/>
      <c r="T148" s="42"/>
      <c r="U148" s="51">
        <f t="shared" si="108"/>
        <v>18697769.371016096</v>
      </c>
      <c r="V148" s="52"/>
      <c r="W148" s="440"/>
      <c r="X148" s="509"/>
      <c r="Y148" s="440"/>
      <c r="Z148" s="42"/>
      <c r="AA148" s="531"/>
      <c r="AB148" s="531"/>
      <c r="AC148" s="531"/>
      <c r="AD148" s="158"/>
      <c r="AE148" s="42"/>
      <c r="AF148" s="42"/>
      <c r="AG148" s="42"/>
      <c r="AH148" s="42"/>
      <c r="AI148" s="42"/>
      <c r="AJ148" s="42"/>
      <c r="AK148" s="42"/>
      <c r="AL148" s="42"/>
      <c r="AM148" s="42"/>
      <c r="AN148" s="42"/>
      <c r="AO148" s="42"/>
      <c r="AP148" s="42"/>
      <c r="AQ148" s="42"/>
      <c r="AR148" s="42"/>
      <c r="AS148" s="42"/>
    </row>
    <row r="149" spans="1:45" x14ac:dyDescent="0.2">
      <c r="A149" s="143">
        <f t="shared" si="68"/>
        <v>127</v>
      </c>
      <c r="B149" s="50" t="s">
        <v>361</v>
      </c>
      <c r="C149" s="115">
        <v>20551422</v>
      </c>
      <c r="D149" s="115">
        <v>26779</v>
      </c>
      <c r="E149" s="115">
        <f t="shared" si="105"/>
        <v>20578201</v>
      </c>
      <c r="F149" s="115">
        <v>214605.32</v>
      </c>
      <c r="G149" s="142">
        <v>224147.76</v>
      </c>
      <c r="H149" s="115">
        <v>1305604.3</v>
      </c>
      <c r="I149" s="115">
        <v>-167742.39999999999</v>
      </c>
      <c r="J149" s="115">
        <v>79516.320000000007</v>
      </c>
      <c r="K149" s="108"/>
      <c r="L149" s="51">
        <f t="shared" si="106"/>
        <v>22234332.300000004</v>
      </c>
      <c r="M149" s="124">
        <f>+'5.Variables'!$H$17</f>
        <v>0</v>
      </c>
      <c r="N149" s="121">
        <f>+'5.Variables'!$H$32</f>
        <v>143.49999999999997</v>
      </c>
      <c r="O149" s="523">
        <f t="shared" ref="O149" si="114">AVERAGE(O29,O41,O53,O65,O77,O89,O101,O113,O125,O137)</f>
        <v>15.110000000000003</v>
      </c>
      <c r="P149" s="121">
        <f>+'5.Variables'!$H$62</f>
        <v>9774</v>
      </c>
      <c r="Q149" s="124">
        <f t="shared" si="92"/>
        <v>31</v>
      </c>
      <c r="R149" s="124">
        <f t="shared" si="104"/>
        <v>1</v>
      </c>
      <c r="S149" s="491"/>
      <c r="T149" s="42"/>
      <c r="U149" s="51">
        <f t="shared" si="108"/>
        <v>22576806.474785335</v>
      </c>
      <c r="V149" s="52"/>
      <c r="W149" s="440"/>
      <c r="X149" s="509"/>
      <c r="Y149" s="440"/>
      <c r="Z149" s="42"/>
      <c r="AA149" s="531"/>
      <c r="AB149" s="531"/>
      <c r="AC149" s="531"/>
      <c r="AD149" s="158"/>
      <c r="AE149" s="42"/>
      <c r="AF149" s="42"/>
      <c r="AG149" s="42"/>
      <c r="AH149" s="42"/>
      <c r="AI149" s="42"/>
      <c r="AJ149" s="42"/>
      <c r="AK149" s="42"/>
      <c r="AL149" s="42"/>
      <c r="AM149" s="42"/>
      <c r="AN149" s="42"/>
      <c r="AO149" s="42"/>
      <c r="AP149" s="42"/>
      <c r="AQ149" s="42"/>
      <c r="AR149" s="42"/>
      <c r="AS149" s="42"/>
    </row>
    <row r="150" spans="1:45" x14ac:dyDescent="0.2">
      <c r="A150" s="143">
        <f t="shared" si="68"/>
        <v>128</v>
      </c>
      <c r="B150" s="50" t="s">
        <v>362</v>
      </c>
      <c r="C150" s="115">
        <v>15705860</v>
      </c>
      <c r="D150" s="115">
        <v>5250309</v>
      </c>
      <c r="E150" s="115">
        <f t="shared" si="105"/>
        <v>20956169</v>
      </c>
      <c r="F150" s="115">
        <v>195024.85</v>
      </c>
      <c r="G150" s="142">
        <v>197546.78</v>
      </c>
      <c r="H150" s="115">
        <v>1326706.5</v>
      </c>
      <c r="I150" s="115">
        <v>-160087.20000000001</v>
      </c>
      <c r="J150" s="115">
        <v>68287.75999999998</v>
      </c>
      <c r="K150" s="108"/>
      <c r="L150" s="51">
        <f t="shared" si="106"/>
        <v>22583647.690000005</v>
      </c>
      <c r="M150" s="124">
        <f>+'5.Variables'!$I$17</f>
        <v>0</v>
      </c>
      <c r="N150" s="121">
        <f>+'5.Variables'!$I$32</f>
        <v>159.25000000000003</v>
      </c>
      <c r="O150" s="523">
        <f t="shared" ref="O150" si="115">AVERAGE(O30,O42,O54,O66,O78,O90,O102,O114,O126,O138)</f>
        <v>14</v>
      </c>
      <c r="P150" s="121">
        <f>+'5.Variables'!$I$62</f>
        <v>9779.5</v>
      </c>
      <c r="Q150" s="124">
        <f t="shared" si="92"/>
        <v>31</v>
      </c>
      <c r="R150" s="124">
        <f t="shared" si="104"/>
        <v>1</v>
      </c>
      <c r="S150" s="491"/>
      <c r="T150" s="42"/>
      <c r="U150" s="51">
        <f t="shared" si="108"/>
        <v>23201129.665017508</v>
      </c>
      <c r="V150" s="52"/>
      <c r="W150" s="440"/>
      <c r="X150" s="509"/>
      <c r="Y150" s="440"/>
      <c r="Z150" s="42"/>
      <c r="AA150" s="531"/>
      <c r="AB150" s="531"/>
      <c r="AC150" s="531"/>
      <c r="AD150" s="158"/>
      <c r="AE150" s="42"/>
      <c r="AF150" s="42"/>
      <c r="AG150" s="42"/>
      <c r="AH150" s="42"/>
      <c r="AI150" s="42"/>
      <c r="AJ150" s="42"/>
      <c r="AK150" s="42"/>
      <c r="AL150" s="42"/>
      <c r="AM150" s="42"/>
      <c r="AN150" s="42"/>
      <c r="AO150" s="42"/>
      <c r="AP150" s="42"/>
      <c r="AQ150" s="42"/>
      <c r="AR150" s="42"/>
      <c r="AS150" s="42"/>
    </row>
    <row r="151" spans="1:45" x14ac:dyDescent="0.2">
      <c r="A151" s="143">
        <f t="shared" si="68"/>
        <v>129</v>
      </c>
      <c r="B151" s="50" t="s">
        <v>363</v>
      </c>
      <c r="C151" s="115">
        <v>12172329</v>
      </c>
      <c r="D151" s="115">
        <v>4184879</v>
      </c>
      <c r="E151" s="115">
        <f t="shared" si="105"/>
        <v>16357208</v>
      </c>
      <c r="F151" s="115">
        <v>138746.71</v>
      </c>
      <c r="G151" s="142">
        <v>134622.97</v>
      </c>
      <c r="H151" s="115">
        <v>1110561.2</v>
      </c>
      <c r="I151" s="115">
        <v>-134444.79999999999</v>
      </c>
      <c r="J151" s="115">
        <v>43193.97</v>
      </c>
      <c r="K151" s="108"/>
      <c r="L151" s="51">
        <f t="shared" si="106"/>
        <v>17649888.050000001</v>
      </c>
      <c r="M151" s="124">
        <f>+'5.Variables'!$J$17</f>
        <v>38.299999999999997</v>
      </c>
      <c r="N151" s="121">
        <f>+'5.Variables'!$J$32</f>
        <v>58.5</v>
      </c>
      <c r="O151" s="523">
        <f t="shared" ref="O151" si="116">AVERAGE(O31,O43,O55,O67,O79,O91,O103,O115,O127,O139)</f>
        <v>12.269999999999998</v>
      </c>
      <c r="P151" s="121">
        <f>+'5.Variables'!$J$62</f>
        <v>9782.5</v>
      </c>
      <c r="Q151" s="124">
        <f t="shared" si="92"/>
        <v>30</v>
      </c>
      <c r="R151" s="124">
        <f t="shared" si="104"/>
        <v>0</v>
      </c>
      <c r="S151" s="491"/>
      <c r="T151" s="42"/>
      <c r="U151" s="51">
        <f t="shared" si="108"/>
        <v>17094996.383842323</v>
      </c>
      <c r="V151" s="52"/>
      <c r="W151" s="440"/>
      <c r="X151" s="509"/>
      <c r="Y151" s="440"/>
      <c r="Z151" s="42"/>
      <c r="AA151" s="531"/>
      <c r="AB151" s="531"/>
      <c r="AC151" s="531"/>
      <c r="AD151" s="158"/>
      <c r="AE151" s="42"/>
      <c r="AF151" s="42"/>
      <c r="AG151" s="42"/>
      <c r="AH151" s="42"/>
      <c r="AI151" s="42"/>
      <c r="AJ151" s="42"/>
      <c r="AK151" s="42"/>
      <c r="AL151" s="42"/>
      <c r="AM151" s="42"/>
      <c r="AN151" s="42"/>
      <c r="AO151" s="42"/>
      <c r="AP151" s="42"/>
      <c r="AQ151" s="42"/>
      <c r="AR151" s="42"/>
      <c r="AS151" s="42"/>
    </row>
    <row r="152" spans="1:45" x14ac:dyDescent="0.2">
      <c r="A152" s="143">
        <f t="shared" si="68"/>
        <v>130</v>
      </c>
      <c r="B152" s="50" t="s">
        <v>364</v>
      </c>
      <c r="C152" s="115">
        <v>10677006</v>
      </c>
      <c r="D152" s="115">
        <v>3594510</v>
      </c>
      <c r="E152" s="115">
        <f t="shared" si="105"/>
        <v>14271516</v>
      </c>
      <c r="F152" s="115">
        <v>127209.84</v>
      </c>
      <c r="G152" s="142">
        <v>119287.21</v>
      </c>
      <c r="H152" s="115">
        <v>1228993.5</v>
      </c>
      <c r="I152" s="115">
        <v>-136589.6</v>
      </c>
      <c r="J152" s="115">
        <v>40939.31</v>
      </c>
      <c r="K152" s="108"/>
      <c r="L152" s="51">
        <f t="shared" si="106"/>
        <v>15651356.260000002</v>
      </c>
      <c r="M152" s="124">
        <f>+'5.Variables'!$K$17</f>
        <v>200.99999999999997</v>
      </c>
      <c r="N152" s="121">
        <f>+'5.Variables'!$K$32</f>
        <v>0.4</v>
      </c>
      <c r="O152" s="523">
        <f t="shared" ref="O152" si="117">AVERAGE(O32,O44,O56,O68,O80,O92,O104,O116,O128,O140)</f>
        <v>10.519999999999998</v>
      </c>
      <c r="P152" s="121">
        <f>+'5.Variables'!$K$62</f>
        <v>9786</v>
      </c>
      <c r="Q152" s="124">
        <f t="shared" si="92"/>
        <v>31</v>
      </c>
      <c r="R152" s="124">
        <f t="shared" si="104"/>
        <v>0</v>
      </c>
      <c r="S152" s="491"/>
      <c r="T152" s="42"/>
      <c r="U152" s="51">
        <f t="shared" si="108"/>
        <v>15864114.655236237</v>
      </c>
      <c r="V152" s="52"/>
      <c r="W152" s="440"/>
      <c r="X152" s="509"/>
      <c r="Y152" s="440"/>
      <c r="Z152" s="42"/>
      <c r="AA152" s="531"/>
      <c r="AB152" s="531"/>
      <c r="AC152" s="531"/>
      <c r="AD152" s="158"/>
      <c r="AE152" s="42"/>
      <c r="AF152" s="42"/>
      <c r="AG152" s="42"/>
      <c r="AH152" s="42"/>
      <c r="AI152" s="42"/>
      <c r="AJ152" s="42"/>
      <c r="AK152" s="42"/>
      <c r="AL152" s="42"/>
      <c r="AM152" s="42"/>
      <c r="AN152" s="42"/>
      <c r="AO152" s="42"/>
      <c r="AP152" s="42"/>
      <c r="AQ152" s="42"/>
      <c r="AR152" s="42"/>
      <c r="AS152" s="42"/>
    </row>
    <row r="153" spans="1:45" x14ac:dyDescent="0.2">
      <c r="A153" s="143">
        <f t="shared" si="68"/>
        <v>131</v>
      </c>
      <c r="B153" s="50" t="s">
        <v>365</v>
      </c>
      <c r="C153" s="115">
        <v>25917</v>
      </c>
      <c r="D153" s="115">
        <v>15010525</v>
      </c>
      <c r="E153" s="115">
        <f t="shared" si="105"/>
        <v>15036442</v>
      </c>
      <c r="F153" s="115">
        <v>76867.360000000001</v>
      </c>
      <c r="G153" s="142">
        <v>68036.38</v>
      </c>
      <c r="H153" s="115">
        <v>1194016.6000000001</v>
      </c>
      <c r="I153" s="115">
        <v>-146378.4</v>
      </c>
      <c r="J153" s="115">
        <v>1520</v>
      </c>
      <c r="K153" s="108"/>
      <c r="L153" s="51">
        <f t="shared" si="106"/>
        <v>16230503.939999999</v>
      </c>
      <c r="M153" s="124">
        <f>+'5.Variables'!$L$17</f>
        <v>328.5</v>
      </c>
      <c r="N153" s="121">
        <f>+'5.Variables'!$L$32</f>
        <v>2.6</v>
      </c>
      <c r="O153" s="523">
        <f t="shared" ref="O153" si="118">AVERAGE(O33,O45,O57,O69,O81,O93,O105,O117,O129,O141)</f>
        <v>9.31</v>
      </c>
      <c r="P153" s="121">
        <f>+'5.Variables'!$L$62</f>
        <v>9792.5</v>
      </c>
      <c r="Q153" s="124">
        <f t="shared" si="92"/>
        <v>30</v>
      </c>
      <c r="R153" s="124">
        <f t="shared" si="104"/>
        <v>0</v>
      </c>
      <c r="S153" s="491"/>
      <c r="T153" s="42"/>
      <c r="U153" s="51">
        <f t="shared" si="108"/>
        <v>15919717.423783025</v>
      </c>
      <c r="V153" s="52"/>
      <c r="W153" s="440"/>
      <c r="X153" s="509"/>
      <c r="Y153" s="440"/>
      <c r="Z153" s="42"/>
      <c r="AA153" s="531"/>
      <c r="AB153" s="531"/>
      <c r="AC153" s="531"/>
      <c r="AD153" s="158"/>
      <c r="AE153" s="42"/>
      <c r="AF153" s="42"/>
      <c r="AG153" s="42"/>
      <c r="AH153" s="42"/>
      <c r="AI153" s="42"/>
      <c r="AJ153" s="42"/>
      <c r="AK153" s="42"/>
      <c r="AL153" s="42"/>
      <c r="AM153" s="42"/>
      <c r="AN153" s="42"/>
      <c r="AO153" s="42"/>
      <c r="AP153" s="42"/>
      <c r="AQ153" s="42"/>
      <c r="AR153" s="42"/>
      <c r="AS153" s="42"/>
    </row>
    <row r="154" spans="1:45" x14ac:dyDescent="0.2">
      <c r="A154" s="143">
        <f t="shared" si="68"/>
        <v>132</v>
      </c>
      <c r="B154" s="87" t="s">
        <v>366</v>
      </c>
      <c r="C154" s="105">
        <v>10107149</v>
      </c>
      <c r="D154" s="105">
        <v>7036689</v>
      </c>
      <c r="E154" s="105">
        <f t="shared" si="105"/>
        <v>17143838</v>
      </c>
      <c r="F154" s="105">
        <v>48616.94</v>
      </c>
      <c r="G154" s="105">
        <v>41300.92</v>
      </c>
      <c r="H154" s="105">
        <v>1270294.2</v>
      </c>
      <c r="I154" s="105">
        <v>-166824</v>
      </c>
      <c r="J154" s="570">
        <v>8817.0800000000017</v>
      </c>
      <c r="K154" s="110"/>
      <c r="L154" s="51">
        <f t="shared" si="106"/>
        <v>18346043.140000001</v>
      </c>
      <c r="M154" s="124">
        <f>+'5.Variables'!$M$17</f>
        <v>506.5</v>
      </c>
      <c r="N154" s="121">
        <f>+'5.Variables'!$M$32</f>
        <v>0</v>
      </c>
      <c r="O154" s="523">
        <f t="shared" ref="O154" si="119">AVERAGE(O34,O46,O58,O70,O82,O94,O106,O118,O130,O142)</f>
        <v>8.5</v>
      </c>
      <c r="P154" s="121">
        <f>+'5.Variables'!$M$62</f>
        <v>9804.5</v>
      </c>
      <c r="Q154" s="121">
        <f t="shared" si="92"/>
        <v>31</v>
      </c>
      <c r="R154" s="121">
        <f t="shared" si="104"/>
        <v>1</v>
      </c>
      <c r="S154" s="490"/>
      <c r="T154" s="42"/>
      <c r="U154" s="51">
        <f t="shared" si="108"/>
        <v>18734783.201050527</v>
      </c>
      <c r="V154" s="52">
        <f>SUM(U143:U154)</f>
        <v>217640371.35769007</v>
      </c>
      <c r="W154" s="440"/>
      <c r="X154" s="509"/>
      <c r="Y154" s="440"/>
      <c r="Z154" s="42"/>
      <c r="AA154" s="42"/>
      <c r="AB154" s="42"/>
      <c r="AC154" s="42"/>
      <c r="AD154" s="42"/>
      <c r="AE154" s="42"/>
      <c r="AF154" s="42"/>
      <c r="AG154" s="42"/>
      <c r="AH154" s="42"/>
      <c r="AI154" s="42"/>
      <c r="AJ154" s="42"/>
      <c r="AK154" s="42"/>
      <c r="AL154" s="42"/>
      <c r="AM154" s="42"/>
      <c r="AN154" s="42"/>
      <c r="AO154" s="42"/>
      <c r="AP154" s="42"/>
      <c r="AQ154" s="42"/>
      <c r="AR154" s="42"/>
      <c r="AS154" s="42"/>
    </row>
    <row r="155" spans="1:45" x14ac:dyDescent="0.2">
      <c r="A155" s="143">
        <f t="shared" si="68"/>
        <v>133</v>
      </c>
      <c r="B155" s="50" t="s">
        <v>384</v>
      </c>
      <c r="C155" s="115"/>
      <c r="D155" s="115"/>
      <c r="E155" s="115">
        <f t="shared" ref="E155:E162" si="120">+C155+D155</f>
        <v>0</v>
      </c>
      <c r="F155" s="115"/>
      <c r="G155" s="142"/>
      <c r="H155" s="115"/>
      <c r="I155" s="115"/>
      <c r="J155" s="108"/>
      <c r="K155" s="108"/>
      <c r="L155" s="51">
        <f t="shared" ref="L155:L162" si="121">SUM(E155:K155)</f>
        <v>0</v>
      </c>
      <c r="M155" s="499">
        <f>AVERAGE(M35,M47,M59,M71,M83,M95,M107,M119,M131,M143)</f>
        <v>624.93000000000006</v>
      </c>
      <c r="N155" s="499">
        <f>AVERAGE(N35,N47,N59,N71,N83,N95,N107,N119,N131,N143)</f>
        <v>0</v>
      </c>
      <c r="O155" s="523">
        <f t="shared" ref="O155" si="122">AVERAGE(O23,O35,O47,O59,O71,O83,O95,O107,O119,O131,O143)</f>
        <v>9.120000000000001</v>
      </c>
      <c r="P155" s="499">
        <f>+Y155</f>
        <v>9818.25</v>
      </c>
      <c r="Q155" s="124">
        <f t="shared" si="92"/>
        <v>31</v>
      </c>
      <c r="R155" s="124">
        <f t="shared" si="104"/>
        <v>1</v>
      </c>
      <c r="S155" s="491"/>
      <c r="T155" s="42"/>
      <c r="U155" s="51">
        <f t="shared" ref="U155:U162" si="123">$AB$37+(M155*$AB$38)+(N155*$AB$39)+(O155*$AB$40)+(P155*$AB$41)+(Q155*$AB$42)+(R155*$AB$43)+(R155*$AB$43)</f>
        <v>19161200.319739059</v>
      </c>
      <c r="V155" s="52"/>
      <c r="W155" s="440"/>
      <c r="X155" s="509"/>
      <c r="Y155" s="157">
        <f>+'12c. Monthly Customer Forecast'!$C$51</f>
        <v>9818.25</v>
      </c>
      <c r="Z155" s="42"/>
      <c r="AA155" s="531"/>
      <c r="AB155" s="531"/>
      <c r="AC155" s="531"/>
      <c r="AD155" s="158"/>
      <c r="AE155" s="42"/>
      <c r="AF155" s="42"/>
      <c r="AG155" s="42"/>
      <c r="AH155" s="42"/>
      <c r="AI155" s="42"/>
      <c r="AJ155" s="42"/>
      <c r="AK155" s="42"/>
      <c r="AL155" s="42"/>
      <c r="AM155" s="42"/>
      <c r="AN155" s="42"/>
      <c r="AO155" s="42"/>
      <c r="AP155" s="42"/>
      <c r="AQ155" s="42"/>
      <c r="AR155" s="42"/>
      <c r="AS155" s="42"/>
    </row>
    <row r="156" spans="1:45" x14ac:dyDescent="0.2">
      <c r="A156" s="143">
        <f t="shared" si="68"/>
        <v>134</v>
      </c>
      <c r="B156" s="50" t="s">
        <v>385</v>
      </c>
      <c r="C156" s="115"/>
      <c r="D156" s="115"/>
      <c r="E156" s="115">
        <f t="shared" si="120"/>
        <v>0</v>
      </c>
      <c r="F156" s="115"/>
      <c r="G156" s="142"/>
      <c r="H156" s="115"/>
      <c r="I156" s="115"/>
      <c r="J156" s="108"/>
      <c r="K156" s="108"/>
      <c r="L156" s="51">
        <f t="shared" si="121"/>
        <v>0</v>
      </c>
      <c r="M156" s="499">
        <f t="shared" ref="M156:N156" si="124">AVERAGE(M36,M48,M60,M72,M84,M96,M108,M120,M132,M144)</f>
        <v>572.13000000000011</v>
      </c>
      <c r="N156" s="499">
        <f t="shared" si="124"/>
        <v>0</v>
      </c>
      <c r="O156" s="523">
        <f t="shared" ref="O156:O166" si="125">AVERAGE(O24,O36,O48,O60,O72,O84,O96,O108,O120,O132,O144)</f>
        <v>10.200000000000001</v>
      </c>
      <c r="P156" s="499">
        <f t="shared" ref="P156:P162" si="126">+Y156</f>
        <v>9832</v>
      </c>
      <c r="Q156" s="124">
        <f t="shared" si="92"/>
        <v>28</v>
      </c>
      <c r="R156" s="124">
        <f t="shared" si="104"/>
        <v>1</v>
      </c>
      <c r="S156" s="491"/>
      <c r="T156" s="42"/>
      <c r="U156" s="51">
        <f t="shared" si="123"/>
        <v>17547775.560860857</v>
      </c>
      <c r="V156" s="52"/>
      <c r="W156" s="440"/>
      <c r="X156" s="509"/>
      <c r="Y156" s="157">
        <f>+'12c. Monthly Customer Forecast'!$D$51</f>
        <v>9832</v>
      </c>
      <c r="Z156" s="42"/>
      <c r="AA156" s="531"/>
      <c r="AB156" s="531"/>
      <c r="AC156" s="531"/>
      <c r="AD156" s="158"/>
      <c r="AE156" s="42"/>
      <c r="AF156" s="42"/>
      <c r="AG156" s="42"/>
      <c r="AH156" s="42"/>
      <c r="AI156" s="42"/>
      <c r="AJ156" s="42"/>
      <c r="AK156" s="42"/>
      <c r="AL156" s="42"/>
      <c r="AM156" s="42"/>
      <c r="AN156" s="42"/>
      <c r="AO156" s="42"/>
      <c r="AP156" s="42"/>
      <c r="AQ156" s="42"/>
      <c r="AR156" s="42"/>
      <c r="AS156" s="42"/>
    </row>
    <row r="157" spans="1:45" x14ac:dyDescent="0.2">
      <c r="A157" s="143">
        <f t="shared" si="68"/>
        <v>135</v>
      </c>
      <c r="B157" s="50" t="s">
        <v>386</v>
      </c>
      <c r="C157" s="115"/>
      <c r="D157" s="115"/>
      <c r="E157" s="115">
        <f t="shared" si="120"/>
        <v>0</v>
      </c>
      <c r="F157" s="115"/>
      <c r="G157" s="142"/>
      <c r="H157" s="115"/>
      <c r="I157" s="115"/>
      <c r="J157" s="108"/>
      <c r="K157" s="108"/>
      <c r="L157" s="51">
        <f t="shared" si="121"/>
        <v>0</v>
      </c>
      <c r="M157" s="499">
        <f t="shared" ref="M157:N157" si="127">AVERAGE(M37,M49,M61,M73,M85,M97,M109,M121,M133,M145)</f>
        <v>512.56000000000006</v>
      </c>
      <c r="N157" s="499">
        <f t="shared" si="127"/>
        <v>0</v>
      </c>
      <c r="O157" s="523">
        <f t="shared" si="125"/>
        <v>11.5</v>
      </c>
      <c r="P157" s="499">
        <f t="shared" si="126"/>
        <v>9845.75</v>
      </c>
      <c r="Q157" s="124">
        <f t="shared" si="92"/>
        <v>31</v>
      </c>
      <c r="R157" s="124">
        <f t="shared" si="104"/>
        <v>0</v>
      </c>
      <c r="S157" s="491"/>
      <c r="T157" s="42"/>
      <c r="U157" s="51">
        <f t="shared" si="123"/>
        <v>16994593.381331138</v>
      </c>
      <c r="V157" s="52"/>
      <c r="W157" s="440"/>
      <c r="X157" s="509"/>
      <c r="Y157" s="157">
        <f>+'12c. Monthly Customer Forecast'!$E$51</f>
        <v>9845.75</v>
      </c>
      <c r="Z157" s="42"/>
      <c r="AA157" s="531"/>
      <c r="AB157" s="531"/>
      <c r="AC157" s="531"/>
      <c r="AD157" s="158"/>
      <c r="AE157" s="42"/>
      <c r="AF157" s="42"/>
      <c r="AG157" s="42"/>
      <c r="AH157" s="42"/>
      <c r="AI157" s="42"/>
      <c r="AJ157" s="42"/>
      <c r="AK157" s="42"/>
      <c r="AL157" s="42"/>
      <c r="AM157" s="42"/>
      <c r="AN157" s="42"/>
      <c r="AO157" s="42"/>
      <c r="AP157" s="42"/>
      <c r="AQ157" s="42"/>
      <c r="AR157" s="42"/>
      <c r="AS157" s="42"/>
    </row>
    <row r="158" spans="1:45" x14ac:dyDescent="0.2">
      <c r="A158" s="143">
        <f t="shared" si="68"/>
        <v>136</v>
      </c>
      <c r="B158" s="50" t="s">
        <v>387</v>
      </c>
      <c r="C158" s="115"/>
      <c r="D158" s="115"/>
      <c r="E158" s="115">
        <f t="shared" si="120"/>
        <v>0</v>
      </c>
      <c r="F158" s="115"/>
      <c r="G158" s="142"/>
      <c r="H158" s="115"/>
      <c r="I158" s="115"/>
      <c r="J158" s="108"/>
      <c r="K158" s="108"/>
      <c r="L158" s="51">
        <f t="shared" si="121"/>
        <v>0</v>
      </c>
      <c r="M158" s="499">
        <f t="shared" ref="M158:N158" si="128">AVERAGE(M38,M50,M62,M74,M86,M98,M110,M122,M134,M146)</f>
        <v>345.43999999999994</v>
      </c>
      <c r="N158" s="499">
        <f t="shared" si="128"/>
        <v>0</v>
      </c>
      <c r="O158" s="523">
        <f t="shared" si="125"/>
        <v>13.260000000000002</v>
      </c>
      <c r="P158" s="499">
        <f t="shared" si="126"/>
        <v>9859.5</v>
      </c>
      <c r="Q158" s="124">
        <f t="shared" si="92"/>
        <v>30</v>
      </c>
      <c r="R158" s="124">
        <f t="shared" si="104"/>
        <v>0</v>
      </c>
      <c r="S158" s="491"/>
      <c r="T158" s="42"/>
      <c r="U158" s="51">
        <f t="shared" si="123"/>
        <v>15945869.155878976</v>
      </c>
      <c r="V158" s="52"/>
      <c r="W158" s="440"/>
      <c r="X158" s="509"/>
      <c r="Y158" s="157">
        <f>+'12c. Monthly Customer Forecast'!$F$51</f>
        <v>9859.5</v>
      </c>
      <c r="Z158" s="42"/>
      <c r="AA158" s="531"/>
      <c r="AB158" s="531"/>
      <c r="AC158" s="531"/>
      <c r="AD158" s="158"/>
      <c r="AE158" s="42"/>
      <c r="AF158" s="42"/>
      <c r="AG158" s="42"/>
      <c r="AH158" s="42"/>
      <c r="AI158" s="42"/>
      <c r="AJ158" s="42"/>
      <c r="AK158" s="42"/>
      <c r="AL158" s="42"/>
      <c r="AM158" s="42"/>
      <c r="AN158" s="42"/>
      <c r="AO158" s="42"/>
      <c r="AP158" s="42"/>
      <c r="AQ158" s="42"/>
      <c r="AR158" s="42"/>
      <c r="AS158" s="42"/>
    </row>
    <row r="159" spans="1:45" x14ac:dyDescent="0.2">
      <c r="A159" s="143">
        <f t="shared" si="68"/>
        <v>137</v>
      </c>
      <c r="B159" s="50" t="s">
        <v>388</v>
      </c>
      <c r="C159" s="115"/>
      <c r="D159" s="115"/>
      <c r="E159" s="115">
        <f t="shared" si="120"/>
        <v>0</v>
      </c>
      <c r="F159" s="115"/>
      <c r="G159" s="142"/>
      <c r="H159" s="115"/>
      <c r="I159" s="115"/>
      <c r="J159" s="108"/>
      <c r="K159" s="108"/>
      <c r="L159" s="51">
        <f t="shared" si="121"/>
        <v>0</v>
      </c>
      <c r="M159" s="499">
        <f t="shared" ref="M159:N159" si="129">AVERAGE(M39,M51,M63,M75,M87,M99,M111,M123,M135,M147)</f>
        <v>166.96999999999997</v>
      </c>
      <c r="N159" s="499">
        <f t="shared" si="129"/>
        <v>10.635</v>
      </c>
      <c r="O159" s="523">
        <f t="shared" si="125"/>
        <v>14.47</v>
      </c>
      <c r="P159" s="499">
        <f t="shared" si="126"/>
        <v>9873.25</v>
      </c>
      <c r="Q159" s="124">
        <f t="shared" si="92"/>
        <v>31</v>
      </c>
      <c r="R159" s="124">
        <f t="shared" si="104"/>
        <v>0</v>
      </c>
      <c r="S159" s="491"/>
      <c r="T159" s="42"/>
      <c r="U159" s="51">
        <f t="shared" si="123"/>
        <v>16237953.827924179</v>
      </c>
      <c r="V159" s="52"/>
      <c r="W159" s="440"/>
      <c r="X159" s="509"/>
      <c r="Y159" s="157">
        <f>+'12c. Monthly Customer Forecast'!$G$51</f>
        <v>9873.25</v>
      </c>
      <c r="Z159" s="42"/>
      <c r="AA159" s="531"/>
      <c r="AB159" s="531"/>
      <c r="AC159" s="531"/>
      <c r="AD159" s="158"/>
      <c r="AE159" s="42"/>
      <c r="AF159" s="42"/>
      <c r="AG159" s="42"/>
      <c r="AH159" s="42"/>
      <c r="AI159" s="42"/>
      <c r="AJ159" s="42"/>
      <c r="AK159" s="42"/>
      <c r="AL159" s="42"/>
      <c r="AM159" s="42"/>
      <c r="AN159" s="42"/>
      <c r="AO159" s="42"/>
      <c r="AP159" s="42"/>
      <c r="AQ159" s="42"/>
      <c r="AR159" s="42"/>
      <c r="AS159" s="42"/>
    </row>
    <row r="160" spans="1:45" x14ac:dyDescent="0.2">
      <c r="A160" s="143">
        <f t="shared" si="68"/>
        <v>138</v>
      </c>
      <c r="B160" s="50" t="s">
        <v>389</v>
      </c>
      <c r="C160" s="115"/>
      <c r="D160" s="115"/>
      <c r="E160" s="115">
        <f t="shared" si="120"/>
        <v>0</v>
      </c>
      <c r="F160" s="115"/>
      <c r="G160" s="142"/>
      <c r="H160" s="115"/>
      <c r="I160" s="115"/>
      <c r="J160" s="108"/>
      <c r="K160" s="108"/>
      <c r="L160" s="51">
        <f t="shared" si="121"/>
        <v>0</v>
      </c>
      <c r="M160" s="499">
        <f t="shared" ref="M160:N160" si="130">AVERAGE(M40,M52,M64,M76,M88,M100,M112,M124,M136,M148)</f>
        <v>30.620000000000005</v>
      </c>
      <c r="N160" s="499">
        <f t="shared" si="130"/>
        <v>54.42</v>
      </c>
      <c r="O160" s="523">
        <f t="shared" si="125"/>
        <v>15.3</v>
      </c>
      <c r="P160" s="499">
        <f t="shared" si="126"/>
        <v>9887</v>
      </c>
      <c r="Q160" s="124">
        <f t="shared" si="92"/>
        <v>30</v>
      </c>
      <c r="R160" s="124">
        <f t="shared" si="104"/>
        <v>1</v>
      </c>
      <c r="S160" s="491"/>
      <c r="T160" s="42"/>
      <c r="U160" s="51">
        <f t="shared" si="123"/>
        <v>18820080.9419186</v>
      </c>
      <c r="V160" s="52"/>
      <c r="W160" s="440"/>
      <c r="X160" s="509"/>
      <c r="Y160" s="157">
        <f>+'12c. Monthly Customer Forecast'!$H$51</f>
        <v>9887</v>
      </c>
      <c r="Z160" s="42"/>
      <c r="AA160" s="531"/>
      <c r="AB160" s="531"/>
      <c r="AC160" s="531"/>
      <c r="AD160" s="158"/>
      <c r="AE160" s="42"/>
      <c r="AF160" s="42"/>
      <c r="AG160" s="42"/>
      <c r="AH160" s="42"/>
      <c r="AI160" s="42"/>
      <c r="AJ160" s="42"/>
      <c r="AK160" s="42"/>
      <c r="AL160" s="42"/>
      <c r="AM160" s="42"/>
      <c r="AN160" s="42"/>
      <c r="AO160" s="42"/>
      <c r="AP160" s="42"/>
      <c r="AQ160" s="42"/>
      <c r="AR160" s="42"/>
      <c r="AS160" s="42"/>
    </row>
    <row r="161" spans="1:45" x14ac:dyDescent="0.2">
      <c r="A161" s="143">
        <f t="shared" si="68"/>
        <v>139</v>
      </c>
      <c r="B161" s="50" t="s">
        <v>390</v>
      </c>
      <c r="C161" s="115"/>
      <c r="D161" s="115"/>
      <c r="E161" s="115">
        <f t="shared" si="120"/>
        <v>0</v>
      </c>
      <c r="F161" s="115"/>
      <c r="G161" s="142"/>
      <c r="H161" s="115"/>
      <c r="I161" s="115"/>
      <c r="J161" s="108"/>
      <c r="K161" s="108"/>
      <c r="L161" s="51">
        <f t="shared" si="121"/>
        <v>0</v>
      </c>
      <c r="M161" s="499">
        <f t="shared" ref="M161:N161" si="131">AVERAGE(M41,M53,M65,M77,M89,M101,M113,M125,M137,M149)</f>
        <v>0.65</v>
      </c>
      <c r="N161" s="499">
        <f t="shared" si="131"/>
        <v>144.6</v>
      </c>
      <c r="O161" s="523">
        <f t="shared" si="125"/>
        <v>15.110000000000003</v>
      </c>
      <c r="P161" s="499">
        <f t="shared" si="126"/>
        <v>9900.75</v>
      </c>
      <c r="Q161" s="124">
        <f t="shared" si="92"/>
        <v>31</v>
      </c>
      <c r="R161" s="124">
        <f t="shared" si="104"/>
        <v>1</v>
      </c>
      <c r="S161" s="491"/>
      <c r="T161" s="42"/>
      <c r="U161" s="51">
        <f t="shared" si="123"/>
        <v>22753406.591626532</v>
      </c>
      <c r="V161" s="52"/>
      <c r="W161" s="440"/>
      <c r="X161" s="509"/>
      <c r="Y161" s="157">
        <f>+'12c. Monthly Customer Forecast'!$I$51</f>
        <v>9900.75</v>
      </c>
      <c r="Z161" s="42"/>
      <c r="AA161" s="531"/>
      <c r="AB161" s="531"/>
      <c r="AC161" s="531"/>
      <c r="AD161" s="158"/>
      <c r="AE161" s="42"/>
      <c r="AF161" s="42"/>
      <c r="AG161" s="42"/>
      <c r="AH161" s="42"/>
      <c r="AI161" s="42"/>
      <c r="AJ161" s="42"/>
      <c r="AK161" s="42"/>
      <c r="AL161" s="42"/>
      <c r="AM161" s="42"/>
      <c r="AN161" s="42"/>
      <c r="AO161" s="42"/>
      <c r="AP161" s="42"/>
      <c r="AQ161" s="42"/>
      <c r="AR161" s="42"/>
      <c r="AS161" s="42"/>
    </row>
    <row r="162" spans="1:45" x14ac:dyDescent="0.2">
      <c r="A162" s="143">
        <f t="shared" si="68"/>
        <v>140</v>
      </c>
      <c r="B162" s="50" t="s">
        <v>391</v>
      </c>
      <c r="C162" s="115"/>
      <c r="D162" s="115"/>
      <c r="E162" s="115">
        <f t="shared" si="120"/>
        <v>0</v>
      </c>
      <c r="F162" s="115"/>
      <c r="G162" s="142"/>
      <c r="H162" s="115"/>
      <c r="I162" s="115"/>
      <c r="J162" s="108"/>
      <c r="K162" s="108"/>
      <c r="L162" s="51">
        <f t="shared" si="121"/>
        <v>0</v>
      </c>
      <c r="M162" s="499">
        <f t="shared" ref="M162:N162" si="132">AVERAGE(M42,M54,M66,M78,M90,M102,M114,M126,M138,M150)</f>
        <v>0.43</v>
      </c>
      <c r="N162" s="499">
        <f t="shared" si="132"/>
        <v>139.77500000000001</v>
      </c>
      <c r="O162" s="523">
        <f t="shared" si="125"/>
        <v>14</v>
      </c>
      <c r="P162" s="499">
        <f t="shared" si="126"/>
        <v>9914.5</v>
      </c>
      <c r="Q162" s="124">
        <f t="shared" si="92"/>
        <v>31</v>
      </c>
      <c r="R162" s="124">
        <f t="shared" si="104"/>
        <v>1</v>
      </c>
      <c r="S162" s="491"/>
      <c r="T162" s="42"/>
      <c r="U162" s="51">
        <f t="shared" si="123"/>
        <v>22577348.474297702</v>
      </c>
      <c r="V162" s="52"/>
      <c r="W162" s="440"/>
      <c r="X162" s="509"/>
      <c r="Y162" s="157">
        <f>+'12c. Monthly Customer Forecast'!$J$51</f>
        <v>9914.5</v>
      </c>
      <c r="Z162" s="42"/>
      <c r="AA162" s="531"/>
      <c r="AB162" s="531"/>
      <c r="AC162" s="531"/>
      <c r="AD162" s="158"/>
      <c r="AE162" s="42"/>
      <c r="AF162" s="42"/>
      <c r="AG162" s="42"/>
      <c r="AH162" s="42"/>
      <c r="AI162" s="42"/>
      <c r="AJ162" s="42"/>
      <c r="AK162" s="42"/>
      <c r="AL162" s="42"/>
      <c r="AM162" s="42"/>
      <c r="AN162" s="42"/>
      <c r="AO162" s="42"/>
      <c r="AP162" s="42"/>
      <c r="AQ162" s="42"/>
      <c r="AR162" s="42"/>
      <c r="AS162" s="42"/>
    </row>
    <row r="163" spans="1:45" x14ac:dyDescent="0.2">
      <c r="A163" s="143">
        <f t="shared" si="68"/>
        <v>141</v>
      </c>
      <c r="B163" s="50" t="s">
        <v>392</v>
      </c>
      <c r="C163" s="115"/>
      <c r="D163" s="115"/>
      <c r="E163" s="115">
        <f t="shared" ref="E163:E174" si="133">+C163+D163</f>
        <v>0</v>
      </c>
      <c r="F163" s="115"/>
      <c r="G163" s="142"/>
      <c r="H163" s="115"/>
      <c r="I163" s="115"/>
      <c r="J163" s="108"/>
      <c r="K163" s="108"/>
      <c r="L163" s="51">
        <f t="shared" ref="L163:L166" si="134">SUM(E163:K163)</f>
        <v>0</v>
      </c>
      <c r="M163" s="499">
        <f t="shared" ref="M163:N163" si="135">AVERAGE(M43,M55,M67,M79,M91,M103,M115,M127,M139,M151)</f>
        <v>28.264999999999997</v>
      </c>
      <c r="N163" s="499">
        <f t="shared" si="135"/>
        <v>59.640000000000008</v>
      </c>
      <c r="O163" s="523">
        <f t="shared" si="125"/>
        <v>12.269999999999998</v>
      </c>
      <c r="P163" s="499">
        <f t="shared" ref="P163:P178" si="136">+Y163</f>
        <v>9928.25</v>
      </c>
      <c r="Q163" s="124">
        <f t="shared" si="92"/>
        <v>30</v>
      </c>
      <c r="R163" s="124">
        <f t="shared" si="104"/>
        <v>0</v>
      </c>
      <c r="S163" s="491"/>
      <c r="T163" s="42"/>
      <c r="U163" s="51">
        <f t="shared" ref="U163:U178" si="137">$AB$37+(M163*$AB$38)+(N163*$AB$39)+(O163*$AB$40)+(P163*$AB$41)+(Q163*$AB$42)+(R163*$AB$43)+(R163*$AB$43)</f>
        <v>17255635.65719673</v>
      </c>
      <c r="V163" s="52"/>
      <c r="W163" s="440"/>
      <c r="X163" s="509"/>
      <c r="Y163" s="157">
        <f>+'12c. Monthly Customer Forecast'!$K$51</f>
        <v>9928.25</v>
      </c>
      <c r="Z163" s="42"/>
      <c r="AA163" s="531"/>
      <c r="AB163" s="531"/>
      <c r="AC163" s="531"/>
      <c r="AD163" s="158"/>
      <c r="AE163" s="42"/>
      <c r="AF163" s="42"/>
      <c r="AG163" s="42"/>
      <c r="AH163" s="42"/>
      <c r="AI163" s="42"/>
      <c r="AJ163" s="42"/>
      <c r="AK163" s="42"/>
      <c r="AL163" s="42"/>
      <c r="AM163" s="42"/>
      <c r="AN163" s="42"/>
      <c r="AO163" s="42"/>
      <c r="AP163" s="42"/>
      <c r="AQ163" s="42"/>
      <c r="AR163" s="42"/>
      <c r="AS163" s="42"/>
    </row>
    <row r="164" spans="1:45" x14ac:dyDescent="0.2">
      <c r="A164" s="143">
        <f t="shared" si="68"/>
        <v>142</v>
      </c>
      <c r="B164" s="50" t="s">
        <v>377</v>
      </c>
      <c r="C164" s="115"/>
      <c r="D164" s="115"/>
      <c r="E164" s="115">
        <f t="shared" si="133"/>
        <v>0</v>
      </c>
      <c r="F164" s="115"/>
      <c r="G164" s="142"/>
      <c r="H164" s="115"/>
      <c r="I164" s="115"/>
      <c r="J164" s="108"/>
      <c r="K164" s="108"/>
      <c r="L164" s="51">
        <f t="shared" si="134"/>
        <v>0</v>
      </c>
      <c r="M164" s="499">
        <f t="shared" ref="M164:N164" si="138">AVERAGE(M44,M56,M68,M80,M92,M104,M116,M128,M140,M152)</f>
        <v>163.01500000000001</v>
      </c>
      <c r="N164" s="499">
        <f t="shared" si="138"/>
        <v>6.8250000000000011</v>
      </c>
      <c r="O164" s="523">
        <f t="shared" si="125"/>
        <v>10.519999999999998</v>
      </c>
      <c r="P164" s="499">
        <f t="shared" si="136"/>
        <v>9942</v>
      </c>
      <c r="Q164" s="124">
        <f t="shared" si="92"/>
        <v>31</v>
      </c>
      <c r="R164" s="124">
        <f t="shared" si="104"/>
        <v>0</v>
      </c>
      <c r="S164" s="491"/>
      <c r="T164" s="42"/>
      <c r="U164" s="51">
        <f t="shared" si="137"/>
        <v>16145664.954553647</v>
      </c>
      <c r="V164" s="52"/>
      <c r="W164" s="440"/>
      <c r="X164" s="509"/>
      <c r="Y164" s="157">
        <f>+'12c. Monthly Customer Forecast'!$L$51</f>
        <v>9942</v>
      </c>
      <c r="Z164" s="42"/>
      <c r="AA164" s="531"/>
      <c r="AB164" s="531"/>
      <c r="AC164" s="531"/>
      <c r="AD164" s="158"/>
      <c r="AE164" s="42"/>
      <c r="AF164" s="42"/>
      <c r="AG164" s="42"/>
      <c r="AH164" s="42"/>
      <c r="AI164" s="42"/>
      <c r="AJ164" s="42"/>
      <c r="AK164" s="42"/>
      <c r="AL164" s="42"/>
      <c r="AM164" s="42"/>
      <c r="AN164" s="42"/>
      <c r="AO164" s="42"/>
      <c r="AP164" s="42"/>
      <c r="AQ164" s="42"/>
      <c r="AR164" s="42"/>
      <c r="AS164" s="42"/>
    </row>
    <row r="165" spans="1:45" x14ac:dyDescent="0.2">
      <c r="A165" s="143">
        <f t="shared" si="68"/>
        <v>143</v>
      </c>
      <c r="B165" s="50" t="s">
        <v>378</v>
      </c>
      <c r="C165" s="115"/>
      <c r="D165" s="115"/>
      <c r="E165" s="115">
        <f t="shared" si="133"/>
        <v>0</v>
      </c>
      <c r="F165" s="115"/>
      <c r="G165" s="142"/>
      <c r="H165" s="115"/>
      <c r="I165" s="115"/>
      <c r="J165" s="108"/>
      <c r="K165" s="108"/>
      <c r="L165" s="51">
        <f t="shared" si="134"/>
        <v>0</v>
      </c>
      <c r="M165" s="499">
        <f t="shared" ref="M165:N165" si="139">AVERAGE(M45,M57,M69,M81,M93,M105,M117,M129,M141,M153)</f>
        <v>359.57</v>
      </c>
      <c r="N165" s="499">
        <f t="shared" si="139"/>
        <v>0.26</v>
      </c>
      <c r="O165" s="523">
        <f t="shared" si="125"/>
        <v>9.31</v>
      </c>
      <c r="P165" s="499">
        <f t="shared" si="136"/>
        <v>9955.75</v>
      </c>
      <c r="Q165" s="124">
        <f t="shared" si="92"/>
        <v>30</v>
      </c>
      <c r="R165" s="124">
        <f t="shared" si="104"/>
        <v>0</v>
      </c>
      <c r="S165" s="491"/>
      <c r="T165" s="42"/>
      <c r="U165" s="51">
        <f t="shared" si="137"/>
        <v>16104837.841673652</v>
      </c>
      <c r="V165" s="52"/>
      <c r="W165" s="440"/>
      <c r="X165" s="509"/>
      <c r="Y165" s="157">
        <f>+'12c. Monthly Customer Forecast'!$M$51</f>
        <v>9955.75</v>
      </c>
      <c r="Z165" s="42"/>
      <c r="AA165" s="531"/>
      <c r="AB165" s="531"/>
      <c r="AC165" s="531"/>
      <c r="AD165" s="158"/>
      <c r="AE165" s="42"/>
      <c r="AF165" s="42"/>
      <c r="AG165" s="42"/>
      <c r="AH165" s="42"/>
      <c r="AI165" s="42"/>
      <c r="AJ165" s="42"/>
      <c r="AK165" s="42"/>
      <c r="AL165" s="42"/>
      <c r="AM165" s="42"/>
      <c r="AN165" s="42"/>
      <c r="AO165" s="42"/>
      <c r="AP165" s="42"/>
      <c r="AQ165" s="42"/>
      <c r="AR165" s="42"/>
      <c r="AS165" s="42"/>
    </row>
    <row r="166" spans="1:45" x14ac:dyDescent="0.2">
      <c r="A166" s="143">
        <f t="shared" si="68"/>
        <v>144</v>
      </c>
      <c r="B166" s="87" t="s">
        <v>379</v>
      </c>
      <c r="C166" s="105"/>
      <c r="D166" s="105"/>
      <c r="E166" s="105">
        <f t="shared" si="133"/>
        <v>0</v>
      </c>
      <c r="F166" s="105"/>
      <c r="G166" s="105"/>
      <c r="H166" s="105"/>
      <c r="I166" s="105"/>
      <c r="J166" s="110"/>
      <c r="K166" s="110"/>
      <c r="L166" s="51">
        <f t="shared" si="134"/>
        <v>0</v>
      </c>
      <c r="M166" s="499">
        <f t="shared" ref="M166:N166" si="140">AVERAGE(M46,M58,M70,M82,M94,M106,M118,M130,M142,M154)</f>
        <v>510.02999999999992</v>
      </c>
      <c r="N166" s="499">
        <f t="shared" si="140"/>
        <v>0</v>
      </c>
      <c r="O166" s="523">
        <f t="shared" si="125"/>
        <v>8.5</v>
      </c>
      <c r="P166" s="499">
        <f t="shared" si="136"/>
        <v>9969.5</v>
      </c>
      <c r="Q166" s="121">
        <f t="shared" si="92"/>
        <v>31</v>
      </c>
      <c r="R166" s="121">
        <f t="shared" si="104"/>
        <v>1</v>
      </c>
      <c r="S166" s="490"/>
      <c r="T166" s="42"/>
      <c r="U166" s="51">
        <f t="shared" si="137"/>
        <v>18917773.233016819</v>
      </c>
      <c r="V166" s="52">
        <f>SUM(U155:U166)</f>
        <v>218462139.94001785</v>
      </c>
      <c r="W166" s="440"/>
      <c r="X166" s="509"/>
      <c r="Y166" s="157">
        <f>+'12c. Monthly Customer Forecast'!$N$51</f>
        <v>9969.5</v>
      </c>
      <c r="Z166" s="42"/>
      <c r="AA166" s="42"/>
      <c r="AB166" s="42"/>
      <c r="AC166" s="42"/>
      <c r="AD166" s="42"/>
      <c r="AE166" s="42"/>
      <c r="AF166" s="42"/>
      <c r="AG166" s="42"/>
      <c r="AH166" s="42"/>
      <c r="AI166" s="42"/>
      <c r="AJ166" s="42"/>
      <c r="AK166" s="42"/>
      <c r="AL166" s="42"/>
      <c r="AM166" s="42"/>
      <c r="AN166" s="42"/>
      <c r="AO166" s="42"/>
      <c r="AP166" s="42"/>
      <c r="AQ166" s="42"/>
      <c r="AR166" s="42"/>
      <c r="AS166" s="42"/>
    </row>
    <row r="167" spans="1:45" x14ac:dyDescent="0.2">
      <c r="A167" s="143">
        <f t="shared" si="68"/>
        <v>145</v>
      </c>
      <c r="B167" s="50" t="s">
        <v>395</v>
      </c>
      <c r="C167" s="115"/>
      <c r="D167" s="115"/>
      <c r="E167" s="115">
        <f t="shared" si="133"/>
        <v>0</v>
      </c>
      <c r="F167" s="115"/>
      <c r="G167" s="142"/>
      <c r="H167" s="115"/>
      <c r="I167" s="115"/>
      <c r="J167" s="108"/>
      <c r="K167" s="108"/>
      <c r="L167" s="51">
        <f t="shared" ref="L167:L174" si="141">SUM(E167:K167)</f>
        <v>0</v>
      </c>
      <c r="M167" s="499">
        <f t="shared" ref="M167:N167" si="142">+M155</f>
        <v>624.93000000000006</v>
      </c>
      <c r="N167" s="499">
        <f t="shared" si="142"/>
        <v>0</v>
      </c>
      <c r="O167" s="529"/>
      <c r="P167" s="499">
        <f t="shared" si="136"/>
        <v>9982.3333333333339</v>
      </c>
      <c r="Q167" s="121">
        <f t="shared" si="92"/>
        <v>31</v>
      </c>
      <c r="R167" s="121">
        <f t="shared" si="104"/>
        <v>1</v>
      </c>
      <c r="S167" s="530"/>
      <c r="T167" s="42"/>
      <c r="U167" s="51">
        <f t="shared" si="137"/>
        <v>19330955.945356783</v>
      </c>
      <c r="V167" s="440"/>
      <c r="W167" s="440"/>
      <c r="X167" s="509"/>
      <c r="Y167" s="157">
        <f>+'12c. Monthly Customer Forecast'!$C$63</f>
        <v>9982.3333333333339</v>
      </c>
      <c r="Z167" s="42"/>
      <c r="AE167" s="42"/>
      <c r="AF167" s="42"/>
      <c r="AG167" s="42"/>
      <c r="AH167" s="42"/>
      <c r="AI167" s="42"/>
      <c r="AJ167" s="42"/>
      <c r="AK167" s="42"/>
      <c r="AL167" s="42"/>
      <c r="AM167" s="42"/>
      <c r="AN167" s="42"/>
      <c r="AO167" s="42"/>
      <c r="AP167" s="42"/>
      <c r="AQ167" s="42"/>
      <c r="AR167" s="42"/>
      <c r="AS167" s="42"/>
    </row>
    <row r="168" spans="1:45" x14ac:dyDescent="0.2">
      <c r="A168" s="143">
        <f t="shared" si="68"/>
        <v>146</v>
      </c>
      <c r="B168" s="50" t="s">
        <v>396</v>
      </c>
      <c r="C168" s="115"/>
      <c r="D168" s="115"/>
      <c r="E168" s="115">
        <f t="shared" si="133"/>
        <v>0</v>
      </c>
      <c r="F168" s="115"/>
      <c r="G168" s="142"/>
      <c r="H168" s="115"/>
      <c r="I168" s="115"/>
      <c r="J168" s="108"/>
      <c r="K168" s="108"/>
      <c r="L168" s="51">
        <f t="shared" si="141"/>
        <v>0</v>
      </c>
      <c r="M168" s="499">
        <f t="shared" ref="M168:N168" si="143">+M156</f>
        <v>572.13000000000011</v>
      </c>
      <c r="N168" s="499">
        <f t="shared" si="143"/>
        <v>0</v>
      </c>
      <c r="O168" s="529"/>
      <c r="P168" s="499">
        <f t="shared" si="136"/>
        <v>9995.1666666666679</v>
      </c>
      <c r="Q168" s="540">
        <v>29</v>
      </c>
      <c r="R168" s="121">
        <f t="shared" si="104"/>
        <v>1</v>
      </c>
      <c r="S168" s="530"/>
      <c r="T168" s="42"/>
      <c r="U168" s="51">
        <f t="shared" si="137"/>
        <v>18197876.630132355</v>
      </c>
      <c r="V168" s="440"/>
      <c r="W168" s="440"/>
      <c r="X168" s="509"/>
      <c r="Y168" s="157">
        <f>+'12c. Monthly Customer Forecast'!$D$63</f>
        <v>9995.1666666666679</v>
      </c>
      <c r="Z168" s="42"/>
      <c r="AE168" s="42"/>
      <c r="AF168" s="42"/>
      <c r="AG168" s="42"/>
      <c r="AH168" s="42"/>
      <c r="AI168" s="42"/>
      <c r="AJ168" s="42"/>
      <c r="AK168" s="42"/>
      <c r="AL168" s="42"/>
      <c r="AM168" s="42"/>
      <c r="AN168" s="42"/>
      <c r="AO168" s="42"/>
      <c r="AP168" s="42"/>
      <c r="AQ168" s="42"/>
      <c r="AR168" s="42"/>
      <c r="AS168" s="42"/>
    </row>
    <row r="169" spans="1:45" x14ac:dyDescent="0.2">
      <c r="A169" s="143">
        <f t="shared" si="68"/>
        <v>147</v>
      </c>
      <c r="B169" s="50" t="s">
        <v>397</v>
      </c>
      <c r="C169" s="115"/>
      <c r="D169" s="115"/>
      <c r="E169" s="115">
        <f t="shared" si="133"/>
        <v>0</v>
      </c>
      <c r="F169" s="115"/>
      <c r="G169" s="142"/>
      <c r="H169" s="115"/>
      <c r="I169" s="115"/>
      <c r="J169" s="108"/>
      <c r="K169" s="108"/>
      <c r="L169" s="51">
        <f t="shared" si="141"/>
        <v>0</v>
      </c>
      <c r="M169" s="499">
        <f t="shared" ref="M169:N169" si="144">+M157</f>
        <v>512.56000000000006</v>
      </c>
      <c r="N169" s="499">
        <f t="shared" si="144"/>
        <v>0</v>
      </c>
      <c r="O169" s="529"/>
      <c r="P169" s="499">
        <f t="shared" si="136"/>
        <v>10008.000000000002</v>
      </c>
      <c r="Q169" s="121">
        <f t="shared" si="92"/>
        <v>31</v>
      </c>
      <c r="R169" s="121">
        <f t="shared" si="104"/>
        <v>0</v>
      </c>
      <c r="S169" s="530"/>
      <c r="T169" s="42"/>
      <c r="U169" s="51">
        <f t="shared" si="137"/>
        <v>17162452.296048105</v>
      </c>
      <c r="V169" s="440"/>
      <c r="W169" s="440"/>
      <c r="X169" s="509"/>
      <c r="Y169" s="157">
        <f>+'12c. Monthly Customer Forecast'!$E$63</f>
        <v>10008.000000000002</v>
      </c>
      <c r="Z169" s="42"/>
      <c r="AA169" s="531"/>
      <c r="AB169" s="531"/>
      <c r="AC169" s="531"/>
      <c r="AD169" s="158"/>
      <c r="AE169" s="42"/>
      <c r="AF169" s="42"/>
      <c r="AG169" s="42"/>
      <c r="AH169" s="42"/>
      <c r="AI169" s="42"/>
      <c r="AJ169" s="42"/>
      <c r="AK169" s="42"/>
      <c r="AL169" s="42"/>
      <c r="AM169" s="42"/>
      <c r="AN169" s="42"/>
      <c r="AO169" s="42"/>
      <c r="AP169" s="42"/>
      <c r="AQ169" s="42"/>
      <c r="AR169" s="42"/>
      <c r="AS169" s="42"/>
    </row>
    <row r="170" spans="1:45" x14ac:dyDescent="0.2">
      <c r="A170" s="143">
        <f t="shared" si="68"/>
        <v>148</v>
      </c>
      <c r="B170" s="50" t="s">
        <v>398</v>
      </c>
      <c r="C170" s="115"/>
      <c r="D170" s="115"/>
      <c r="E170" s="115">
        <f t="shared" si="133"/>
        <v>0</v>
      </c>
      <c r="F170" s="115"/>
      <c r="G170" s="142"/>
      <c r="H170" s="115"/>
      <c r="I170" s="115"/>
      <c r="J170" s="108"/>
      <c r="K170" s="108"/>
      <c r="L170" s="51">
        <f t="shared" si="141"/>
        <v>0</v>
      </c>
      <c r="M170" s="499">
        <f t="shared" ref="M170:N170" si="145">+M158</f>
        <v>345.43999999999994</v>
      </c>
      <c r="N170" s="499">
        <f t="shared" si="145"/>
        <v>0</v>
      </c>
      <c r="O170" s="529"/>
      <c r="P170" s="499">
        <f t="shared" si="136"/>
        <v>10020.833333333336</v>
      </c>
      <c r="Q170" s="121">
        <f t="shared" si="92"/>
        <v>30</v>
      </c>
      <c r="R170" s="121">
        <f t="shared" si="104"/>
        <v>0</v>
      </c>
      <c r="S170" s="530"/>
      <c r="T170" s="42"/>
      <c r="U170" s="51">
        <f t="shared" si="137"/>
        <v>16112779.715145564</v>
      </c>
      <c r="V170" s="440"/>
      <c r="W170" s="440"/>
      <c r="X170" s="509"/>
      <c r="Y170" s="157">
        <f>+'12c. Monthly Customer Forecast'!$F$63</f>
        <v>10020.833333333336</v>
      </c>
      <c r="Z170" s="42"/>
      <c r="AA170" s="531"/>
      <c r="AB170" s="531"/>
      <c r="AC170" s="531"/>
      <c r="AD170" s="158"/>
      <c r="AE170" s="42"/>
      <c r="AF170" s="42"/>
      <c r="AG170" s="42"/>
      <c r="AH170" s="42"/>
      <c r="AI170" s="42"/>
      <c r="AJ170" s="42"/>
      <c r="AK170" s="42"/>
      <c r="AL170" s="42"/>
      <c r="AM170" s="42"/>
      <c r="AN170" s="42"/>
      <c r="AO170" s="42"/>
      <c r="AP170" s="42"/>
      <c r="AQ170" s="42"/>
      <c r="AR170" s="42"/>
      <c r="AS170" s="42"/>
    </row>
    <row r="171" spans="1:45" x14ac:dyDescent="0.2">
      <c r="A171" s="143">
        <f t="shared" si="68"/>
        <v>149</v>
      </c>
      <c r="B171" s="50" t="s">
        <v>399</v>
      </c>
      <c r="C171" s="115"/>
      <c r="D171" s="115"/>
      <c r="E171" s="115">
        <f t="shared" si="133"/>
        <v>0</v>
      </c>
      <c r="F171" s="115"/>
      <c r="G171" s="142"/>
      <c r="H171" s="115"/>
      <c r="I171" s="115"/>
      <c r="J171" s="108"/>
      <c r="K171" s="108"/>
      <c r="L171" s="51">
        <f t="shared" si="141"/>
        <v>0</v>
      </c>
      <c r="M171" s="499">
        <f t="shared" ref="M171:N171" si="146">+M159</f>
        <v>166.96999999999997</v>
      </c>
      <c r="N171" s="499">
        <f t="shared" si="146"/>
        <v>10.635</v>
      </c>
      <c r="O171" s="529"/>
      <c r="P171" s="499">
        <f t="shared" si="136"/>
        <v>10033.66666666667</v>
      </c>
      <c r="Q171" s="121">
        <f t="shared" si="92"/>
        <v>31</v>
      </c>
      <c r="R171" s="121">
        <f t="shared" si="104"/>
        <v>0</v>
      </c>
      <c r="S171" s="530"/>
      <c r="T171" s="42"/>
      <c r="U171" s="51">
        <f t="shared" si="137"/>
        <v>16403916.03174039</v>
      </c>
      <c r="V171" s="440"/>
      <c r="W171" s="440"/>
      <c r="X171" s="509"/>
      <c r="Y171" s="157">
        <f>+'12c. Monthly Customer Forecast'!$G$63</f>
        <v>10033.66666666667</v>
      </c>
      <c r="Z171" s="42"/>
      <c r="AA171" s="531"/>
      <c r="AB171" s="531"/>
      <c r="AC171" s="531"/>
      <c r="AD171" s="158"/>
      <c r="AE171" s="42"/>
      <c r="AF171" s="42"/>
      <c r="AG171" s="42"/>
      <c r="AH171" s="42"/>
      <c r="AI171" s="42"/>
      <c r="AJ171" s="42"/>
      <c r="AK171" s="42"/>
      <c r="AL171" s="42"/>
      <c r="AM171" s="42"/>
      <c r="AN171" s="42"/>
      <c r="AO171" s="42"/>
      <c r="AP171" s="42"/>
      <c r="AQ171" s="42"/>
      <c r="AR171" s="42"/>
      <c r="AS171" s="42"/>
    </row>
    <row r="172" spans="1:45" x14ac:dyDescent="0.2">
      <c r="A172" s="143">
        <f t="shared" si="68"/>
        <v>150</v>
      </c>
      <c r="B172" s="50" t="s">
        <v>400</v>
      </c>
      <c r="C172" s="115"/>
      <c r="D172" s="115"/>
      <c r="E172" s="115">
        <f t="shared" si="133"/>
        <v>0</v>
      </c>
      <c r="F172" s="115"/>
      <c r="G172" s="142"/>
      <c r="H172" s="115"/>
      <c r="I172" s="115"/>
      <c r="J172" s="108"/>
      <c r="K172" s="108"/>
      <c r="L172" s="51">
        <f t="shared" si="141"/>
        <v>0</v>
      </c>
      <c r="M172" s="499">
        <f t="shared" ref="M172:N172" si="147">+M160</f>
        <v>30.620000000000005</v>
      </c>
      <c r="N172" s="499">
        <f t="shared" si="147"/>
        <v>54.42</v>
      </c>
      <c r="O172" s="529"/>
      <c r="P172" s="499">
        <f t="shared" si="136"/>
        <v>10046.500000000004</v>
      </c>
      <c r="Q172" s="121">
        <f t="shared" si="92"/>
        <v>30</v>
      </c>
      <c r="R172" s="121">
        <f t="shared" si="104"/>
        <v>1</v>
      </c>
      <c r="S172" s="530"/>
      <c r="T172" s="42"/>
      <c r="U172" s="51">
        <f t="shared" si="137"/>
        <v>18985094.790284436</v>
      </c>
      <c r="V172" s="440"/>
      <c r="W172" s="440"/>
      <c r="X172" s="509"/>
      <c r="Y172" s="157">
        <f>+'12c. Monthly Customer Forecast'!$H$63</f>
        <v>10046.500000000004</v>
      </c>
      <c r="Z172" s="42"/>
      <c r="AA172" s="531"/>
      <c r="AB172" s="531"/>
      <c r="AC172" s="531"/>
      <c r="AD172" s="158"/>
      <c r="AE172" s="42"/>
      <c r="AF172" s="42"/>
      <c r="AG172" s="42"/>
      <c r="AH172" s="42"/>
      <c r="AI172" s="42"/>
      <c r="AJ172" s="42"/>
      <c r="AK172" s="42"/>
      <c r="AL172" s="42"/>
      <c r="AM172" s="42"/>
      <c r="AN172" s="42"/>
      <c r="AO172" s="42"/>
      <c r="AP172" s="42"/>
      <c r="AQ172" s="42"/>
      <c r="AR172" s="42"/>
      <c r="AS172" s="42"/>
    </row>
    <row r="173" spans="1:45" x14ac:dyDescent="0.2">
      <c r="A173" s="143">
        <f t="shared" si="68"/>
        <v>151</v>
      </c>
      <c r="B173" s="50" t="s">
        <v>401</v>
      </c>
      <c r="C173" s="115"/>
      <c r="D173" s="115"/>
      <c r="E173" s="115">
        <f t="shared" si="133"/>
        <v>0</v>
      </c>
      <c r="F173" s="115"/>
      <c r="G173" s="142"/>
      <c r="H173" s="115"/>
      <c r="I173" s="115"/>
      <c r="J173" s="108"/>
      <c r="K173" s="108"/>
      <c r="L173" s="51">
        <f t="shared" si="141"/>
        <v>0</v>
      </c>
      <c r="M173" s="499">
        <f t="shared" ref="M173:N173" si="148">+M161</f>
        <v>0.65</v>
      </c>
      <c r="N173" s="499">
        <f t="shared" si="148"/>
        <v>144.6</v>
      </c>
      <c r="O173" s="529"/>
      <c r="P173" s="499">
        <f t="shared" si="136"/>
        <v>10059.333333333338</v>
      </c>
      <c r="Q173" s="121">
        <f t="shared" si="92"/>
        <v>31</v>
      </c>
      <c r="R173" s="121">
        <f t="shared" si="104"/>
        <v>1</v>
      </c>
      <c r="S173" s="530"/>
      <c r="T173" s="42"/>
      <c r="U173" s="51">
        <f t="shared" si="137"/>
        <v>22917472.084541991</v>
      </c>
      <c r="V173" s="440"/>
      <c r="W173" s="440"/>
      <c r="X173" s="509"/>
      <c r="Y173" s="157">
        <f>+'12c. Monthly Customer Forecast'!$I$63</f>
        <v>10059.333333333338</v>
      </c>
      <c r="Z173" s="42"/>
      <c r="AA173" s="531"/>
      <c r="AB173" s="531"/>
      <c r="AC173" s="531"/>
      <c r="AD173" s="158"/>
      <c r="AE173" s="42"/>
      <c r="AF173" s="42"/>
      <c r="AG173" s="42"/>
      <c r="AH173" s="42"/>
      <c r="AI173" s="42"/>
      <c r="AJ173" s="42"/>
      <c r="AK173" s="42"/>
      <c r="AL173" s="42"/>
      <c r="AM173" s="42"/>
      <c r="AN173" s="42"/>
      <c r="AO173" s="42"/>
      <c r="AP173" s="42"/>
      <c r="AQ173" s="42"/>
      <c r="AR173" s="42"/>
      <c r="AS173" s="42"/>
    </row>
    <row r="174" spans="1:45" x14ac:dyDescent="0.2">
      <c r="A174" s="143">
        <f t="shared" si="68"/>
        <v>152</v>
      </c>
      <c r="B174" s="50" t="s">
        <v>402</v>
      </c>
      <c r="C174" s="115"/>
      <c r="D174" s="115"/>
      <c r="E174" s="115">
        <f t="shared" si="133"/>
        <v>0</v>
      </c>
      <c r="F174" s="115"/>
      <c r="G174" s="142"/>
      <c r="H174" s="115"/>
      <c r="I174" s="115"/>
      <c r="J174" s="108"/>
      <c r="K174" s="108"/>
      <c r="L174" s="51">
        <f t="shared" si="141"/>
        <v>0</v>
      </c>
      <c r="M174" s="499">
        <f t="shared" ref="M174:N174" si="149">+M162</f>
        <v>0.43</v>
      </c>
      <c r="N174" s="499">
        <f t="shared" si="149"/>
        <v>139.77500000000001</v>
      </c>
      <c r="O174" s="529"/>
      <c r="P174" s="499">
        <f t="shared" si="136"/>
        <v>10072.166666666672</v>
      </c>
      <c r="Q174" s="121">
        <f t="shared" si="92"/>
        <v>31</v>
      </c>
      <c r="R174" s="121">
        <f t="shared" si="104"/>
        <v>1</v>
      </c>
      <c r="S174" s="530"/>
      <c r="T174" s="42"/>
      <c r="U174" s="51">
        <f t="shared" si="137"/>
        <v>22740465.611762777</v>
      </c>
      <c r="V174" s="440"/>
      <c r="W174" s="440"/>
      <c r="X174" s="509"/>
      <c r="Y174" s="157">
        <f>+'12c. Monthly Customer Forecast'!$J$63</f>
        <v>10072.166666666672</v>
      </c>
      <c r="Z174" s="42"/>
      <c r="AA174" s="531"/>
      <c r="AB174" s="531"/>
      <c r="AC174" s="531"/>
      <c r="AD174" s="158"/>
      <c r="AE174" s="42"/>
      <c r="AF174" s="42"/>
      <c r="AG174" s="42"/>
      <c r="AH174" s="42"/>
      <c r="AI174" s="42"/>
      <c r="AJ174" s="42"/>
      <c r="AK174" s="42"/>
      <c r="AL174" s="42"/>
      <c r="AM174" s="42"/>
      <c r="AN174" s="42"/>
      <c r="AO174" s="42"/>
      <c r="AP174" s="42"/>
      <c r="AQ174" s="42"/>
      <c r="AR174" s="42"/>
      <c r="AS174" s="42"/>
    </row>
    <row r="175" spans="1:45" x14ac:dyDescent="0.2">
      <c r="A175" s="143">
        <f t="shared" si="68"/>
        <v>153</v>
      </c>
      <c r="B175" s="50" t="s">
        <v>403</v>
      </c>
      <c r="C175" s="115"/>
      <c r="D175" s="115"/>
      <c r="E175" s="115">
        <f t="shared" ref="E175:E178" si="150">+C175+D175</f>
        <v>0</v>
      </c>
      <c r="F175" s="115"/>
      <c r="G175" s="142"/>
      <c r="H175" s="115"/>
      <c r="I175" s="115"/>
      <c r="J175" s="108"/>
      <c r="K175" s="108"/>
      <c r="L175" s="51">
        <f t="shared" ref="L175:L178" si="151">SUM(E175:K175)</f>
        <v>0</v>
      </c>
      <c r="M175" s="499">
        <f t="shared" ref="M175:N175" si="152">+M163</f>
        <v>28.264999999999997</v>
      </c>
      <c r="N175" s="499">
        <f t="shared" si="152"/>
        <v>59.640000000000008</v>
      </c>
      <c r="O175" s="529"/>
      <c r="P175" s="499">
        <f t="shared" si="136"/>
        <v>10085.000000000005</v>
      </c>
      <c r="Q175" s="121">
        <f t="shared" si="92"/>
        <v>30</v>
      </c>
      <c r="R175" s="121">
        <f t="shared" si="104"/>
        <v>0</v>
      </c>
      <c r="S175" s="530"/>
      <c r="T175" s="42"/>
      <c r="U175" s="51">
        <f t="shared" si="137"/>
        <v>17417804.439211436</v>
      </c>
      <c r="V175" s="440"/>
      <c r="W175" s="440"/>
      <c r="X175" s="509"/>
      <c r="Y175" s="157">
        <f>+'12c. Monthly Customer Forecast'!$K$63</f>
        <v>10085.000000000005</v>
      </c>
      <c r="Z175" s="42"/>
      <c r="AA175" s="531"/>
      <c r="AB175" s="531"/>
      <c r="AC175" s="531"/>
      <c r="AD175" s="158"/>
      <c r="AE175" s="42"/>
      <c r="AF175" s="42"/>
      <c r="AG175" s="42"/>
      <c r="AH175" s="42"/>
      <c r="AI175" s="42"/>
      <c r="AJ175" s="42"/>
      <c r="AK175" s="42"/>
      <c r="AL175" s="42"/>
      <c r="AM175" s="42"/>
      <c r="AN175" s="42"/>
      <c r="AO175" s="42"/>
      <c r="AP175" s="42"/>
      <c r="AQ175" s="42"/>
      <c r="AR175" s="42"/>
      <c r="AS175" s="42"/>
    </row>
    <row r="176" spans="1:45" x14ac:dyDescent="0.2">
      <c r="A176" s="143">
        <f t="shared" si="68"/>
        <v>154</v>
      </c>
      <c r="B176" s="50" t="s">
        <v>404</v>
      </c>
      <c r="C176" s="115"/>
      <c r="D176" s="115"/>
      <c r="E176" s="115">
        <f t="shared" si="150"/>
        <v>0</v>
      </c>
      <c r="F176" s="115"/>
      <c r="G176" s="142"/>
      <c r="H176" s="115"/>
      <c r="I176" s="115"/>
      <c r="J176" s="108"/>
      <c r="K176" s="108"/>
      <c r="L176" s="51">
        <f t="shared" si="151"/>
        <v>0</v>
      </c>
      <c r="M176" s="499">
        <f t="shared" ref="M176:N176" si="153">+M164</f>
        <v>163.01500000000001</v>
      </c>
      <c r="N176" s="499">
        <f t="shared" si="153"/>
        <v>6.8250000000000011</v>
      </c>
      <c r="O176" s="529"/>
      <c r="P176" s="499">
        <f t="shared" si="136"/>
        <v>10097.833333333339</v>
      </c>
      <c r="Q176" s="121">
        <f t="shared" si="92"/>
        <v>31</v>
      </c>
      <c r="R176" s="121">
        <f t="shared" si="104"/>
        <v>0</v>
      </c>
      <c r="S176" s="530"/>
      <c r="T176" s="42"/>
      <c r="U176" s="51">
        <f t="shared" si="137"/>
        <v>16306885.38111797</v>
      </c>
      <c r="V176" s="440"/>
      <c r="W176" s="440"/>
      <c r="X176" s="509"/>
      <c r="Y176" s="157">
        <f>+'12c. Monthly Customer Forecast'!$L$63</f>
        <v>10097.833333333339</v>
      </c>
      <c r="Z176" s="42"/>
      <c r="AA176" s="531"/>
      <c r="AB176" s="531"/>
      <c r="AC176" s="531"/>
      <c r="AD176" s="158"/>
      <c r="AE176" s="42"/>
      <c r="AF176" s="42"/>
      <c r="AG176" s="42"/>
      <c r="AH176" s="42"/>
      <c r="AI176" s="42"/>
      <c r="AJ176" s="42"/>
      <c r="AK176" s="42"/>
      <c r="AL176" s="42"/>
      <c r="AM176" s="42"/>
      <c r="AN176" s="42"/>
      <c r="AO176" s="42"/>
      <c r="AP176" s="42"/>
      <c r="AQ176" s="42"/>
      <c r="AR176" s="42"/>
      <c r="AS176" s="42"/>
    </row>
    <row r="177" spans="1:45" x14ac:dyDescent="0.2">
      <c r="A177" s="143">
        <f t="shared" si="68"/>
        <v>155</v>
      </c>
      <c r="B177" s="50" t="s">
        <v>405</v>
      </c>
      <c r="C177" s="115"/>
      <c r="D177" s="115"/>
      <c r="E177" s="115">
        <f t="shared" si="150"/>
        <v>0</v>
      </c>
      <c r="F177" s="115"/>
      <c r="G177" s="142"/>
      <c r="H177" s="115"/>
      <c r="I177" s="115"/>
      <c r="J177" s="108"/>
      <c r="K177" s="108"/>
      <c r="L177" s="51">
        <f t="shared" si="151"/>
        <v>0</v>
      </c>
      <c r="M177" s="499">
        <f t="shared" ref="M177:N177" si="154">+M165</f>
        <v>359.57</v>
      </c>
      <c r="N177" s="499">
        <f t="shared" si="154"/>
        <v>0.26</v>
      </c>
      <c r="O177" s="529"/>
      <c r="P177" s="499">
        <f t="shared" si="136"/>
        <v>10110.666666666673</v>
      </c>
      <c r="Q177" s="121">
        <f t="shared" si="92"/>
        <v>30</v>
      </c>
      <c r="R177" s="121">
        <f t="shared" si="104"/>
        <v>0</v>
      </c>
      <c r="S177" s="530"/>
      <c r="T177" s="42"/>
      <c r="U177" s="51">
        <f t="shared" si="137"/>
        <v>16265109.912787596</v>
      </c>
      <c r="V177" s="440"/>
      <c r="W177" s="440"/>
      <c r="X177" s="509"/>
      <c r="Y177" s="157">
        <f>+'12c. Monthly Customer Forecast'!$M$63</f>
        <v>10110.666666666673</v>
      </c>
      <c r="Z177" s="42"/>
      <c r="AA177" s="531"/>
      <c r="AB177" s="531"/>
      <c r="AC177" s="531"/>
      <c r="AD177" s="158"/>
      <c r="AE177" s="42"/>
      <c r="AF177" s="42"/>
      <c r="AG177" s="42"/>
      <c r="AH177" s="42"/>
      <c r="AI177" s="42"/>
      <c r="AJ177" s="42"/>
      <c r="AK177" s="42"/>
      <c r="AL177" s="42"/>
      <c r="AM177" s="42"/>
      <c r="AN177" s="42"/>
      <c r="AO177" s="42"/>
      <c r="AP177" s="42"/>
      <c r="AQ177" s="42"/>
      <c r="AR177" s="42"/>
      <c r="AS177" s="42"/>
    </row>
    <row r="178" spans="1:45" x14ac:dyDescent="0.2">
      <c r="A178" s="143">
        <f t="shared" si="68"/>
        <v>156</v>
      </c>
      <c r="B178" s="87" t="s">
        <v>406</v>
      </c>
      <c r="C178" s="105"/>
      <c r="D178" s="105"/>
      <c r="E178" s="105">
        <f t="shared" si="150"/>
        <v>0</v>
      </c>
      <c r="F178" s="105"/>
      <c r="G178" s="105"/>
      <c r="H178" s="105"/>
      <c r="I178" s="105"/>
      <c r="J178" s="110"/>
      <c r="K178" s="110"/>
      <c r="L178" s="51">
        <f t="shared" si="151"/>
        <v>0</v>
      </c>
      <c r="M178" s="499">
        <f t="shared" ref="M178:N178" si="155">+M166</f>
        <v>510.02999999999992</v>
      </c>
      <c r="N178" s="499">
        <f t="shared" si="155"/>
        <v>0</v>
      </c>
      <c r="O178" s="529"/>
      <c r="P178" s="499">
        <f t="shared" si="136"/>
        <v>10123.500000000007</v>
      </c>
      <c r="Q178" s="121">
        <f t="shared" si="92"/>
        <v>31</v>
      </c>
      <c r="R178" s="121">
        <f t="shared" si="104"/>
        <v>1</v>
      </c>
      <c r="S178" s="530"/>
      <c r="T178" s="42"/>
      <c r="U178" s="51">
        <f t="shared" si="137"/>
        <v>19077096.948680386</v>
      </c>
      <c r="V178" s="52">
        <f>SUM(U167:U178)</f>
        <v>220917909.7868098</v>
      </c>
      <c r="W178" s="440"/>
      <c r="X178" s="509"/>
      <c r="Y178" s="157">
        <f>+'12c. Monthly Customer Forecast'!$N$63</f>
        <v>10123.500000000007</v>
      </c>
      <c r="Z178" s="42"/>
      <c r="AA178" s="531"/>
      <c r="AB178" s="531"/>
      <c r="AC178" s="531"/>
      <c r="AD178" s="158"/>
      <c r="AE178" s="42"/>
      <c r="AF178" s="42"/>
      <c r="AG178" s="42"/>
      <c r="AH178" s="42"/>
      <c r="AI178" s="42"/>
      <c r="AJ178" s="42"/>
      <c r="AK178" s="42"/>
      <c r="AL178" s="42"/>
      <c r="AM178" s="42"/>
      <c r="AN178" s="42"/>
      <c r="AO178" s="42"/>
      <c r="AP178" s="42"/>
      <c r="AQ178" s="42"/>
      <c r="AR178" s="42"/>
      <c r="AS178" s="42"/>
    </row>
    <row r="179" spans="1:45" x14ac:dyDescent="0.2">
      <c r="B179" s="32"/>
      <c r="C179" s="32"/>
      <c r="D179" s="32"/>
      <c r="E179" s="116"/>
      <c r="F179" s="23"/>
      <c r="G179" s="23"/>
      <c r="H179" s="23"/>
      <c r="I179" s="23"/>
      <c r="J179" s="23"/>
      <c r="K179" s="23"/>
      <c r="AA179" s="531"/>
      <c r="AB179" s="531"/>
      <c r="AC179" s="531"/>
      <c r="AD179" s="158"/>
      <c r="AE179" s="42"/>
      <c r="AF179" s="42"/>
    </row>
    <row r="180" spans="1:45" x14ac:dyDescent="0.2">
      <c r="B180" s="32"/>
      <c r="C180" s="32"/>
      <c r="D180" s="32"/>
      <c r="E180" s="116"/>
      <c r="F180" s="23"/>
      <c r="G180" s="23"/>
      <c r="H180" s="23"/>
      <c r="I180" s="23"/>
      <c r="J180" s="23"/>
      <c r="K180" s="23"/>
      <c r="AA180" s="531"/>
      <c r="AB180" s="531"/>
      <c r="AC180" s="531"/>
      <c r="AD180" s="158"/>
      <c r="AE180" s="42"/>
    </row>
    <row r="181" spans="1:45" x14ac:dyDescent="0.2">
      <c r="B181" s="32"/>
      <c r="C181" s="32"/>
      <c r="D181" s="32"/>
      <c r="E181" s="116"/>
      <c r="F181" s="23"/>
      <c r="G181" s="23"/>
      <c r="H181" s="23"/>
      <c r="I181" s="23"/>
      <c r="J181" s="23"/>
      <c r="K181" s="23"/>
    </row>
    <row r="182" spans="1:45" x14ac:dyDescent="0.2">
      <c r="B182" s="32"/>
      <c r="C182" s="32"/>
      <c r="D182" s="32"/>
      <c r="E182" s="116"/>
      <c r="F182" s="23"/>
      <c r="G182" s="23"/>
      <c r="H182" s="23"/>
      <c r="I182" s="23"/>
      <c r="J182" s="23"/>
      <c r="K182" s="23"/>
    </row>
    <row r="183" spans="1:45" x14ac:dyDescent="0.2">
      <c r="B183" s="32"/>
      <c r="C183" s="32"/>
      <c r="D183" s="32"/>
      <c r="E183" s="116"/>
      <c r="F183" s="23"/>
      <c r="G183" s="23"/>
      <c r="H183" s="23"/>
      <c r="I183" s="23"/>
      <c r="J183" s="23"/>
      <c r="K183" s="23"/>
    </row>
    <row r="184" spans="1:45" x14ac:dyDescent="0.2">
      <c r="B184" s="32"/>
      <c r="C184" s="32"/>
      <c r="D184" s="32"/>
      <c r="E184" s="116"/>
      <c r="F184" s="23"/>
      <c r="G184" s="23"/>
      <c r="H184" s="23"/>
      <c r="I184" s="23"/>
      <c r="J184" s="23"/>
      <c r="K184" s="23"/>
    </row>
    <row r="185" spans="1:45" x14ac:dyDescent="0.2">
      <c r="B185" s="32"/>
      <c r="C185" s="32"/>
      <c r="D185" s="32"/>
      <c r="E185" s="116"/>
      <c r="F185" s="23"/>
      <c r="G185" s="23"/>
      <c r="H185" s="23"/>
      <c r="I185" s="23"/>
      <c r="J185" s="23"/>
      <c r="K185" s="23"/>
    </row>
    <row r="186" spans="1:45" x14ac:dyDescent="0.2">
      <c r="B186" s="32"/>
      <c r="C186" s="32"/>
      <c r="D186" s="32"/>
      <c r="E186" s="116"/>
      <c r="F186" s="23"/>
      <c r="G186" s="23"/>
      <c r="H186" s="23"/>
      <c r="I186" s="23"/>
      <c r="J186" s="23"/>
      <c r="K186" s="23"/>
    </row>
    <row r="187" spans="1:45" x14ac:dyDescent="0.2">
      <c r="B187" s="32"/>
      <c r="C187" s="32"/>
      <c r="D187" s="32"/>
      <c r="E187" s="116"/>
      <c r="F187" s="23"/>
      <c r="G187" s="23"/>
      <c r="H187" s="23"/>
      <c r="I187" s="23"/>
      <c r="J187" s="23"/>
      <c r="K187" s="23"/>
    </row>
    <row r="188" spans="1:45" x14ac:dyDescent="0.2">
      <c r="V188" s="36" t="s">
        <v>160</v>
      </c>
      <c r="W188" s="36"/>
      <c r="X188" s="36"/>
      <c r="Y188" s="36"/>
      <c r="Z188" s="696">
        <v>-7.8</v>
      </c>
    </row>
    <row r="189" spans="1:45" ht="13.5" hidden="1" thickBot="1" x14ac:dyDescent="0.25">
      <c r="V189" s="36" t="s">
        <v>161</v>
      </c>
      <c r="W189" s="36"/>
      <c r="X189" s="36"/>
      <c r="Y189" s="36"/>
      <c r="Z189" s="36">
        <v>-2.25</v>
      </c>
    </row>
    <row r="190" spans="1:45" hidden="1" x14ac:dyDescent="0.2">
      <c r="B190" s="14"/>
      <c r="C190" s="482"/>
      <c r="D190" s="482"/>
      <c r="E190" s="144"/>
      <c r="F190" s="128"/>
    </row>
    <row r="191" spans="1:45" hidden="1" x14ac:dyDescent="0.2">
      <c r="B191" s="145" t="s">
        <v>103</v>
      </c>
      <c r="C191" s="483"/>
      <c r="D191" s="483"/>
      <c r="E191" s="117"/>
      <c r="F191" s="146"/>
      <c r="N191" s="122"/>
    </row>
    <row r="192" spans="1:45" hidden="1" x14ac:dyDescent="0.2">
      <c r="B192" s="147" t="s">
        <v>101</v>
      </c>
      <c r="C192" s="484"/>
      <c r="D192" s="484"/>
      <c r="E192" s="118"/>
      <c r="F192" s="146"/>
    </row>
    <row r="193" spans="2:21" hidden="1" x14ac:dyDescent="0.2">
      <c r="B193" s="148" t="s">
        <v>102</v>
      </c>
      <c r="C193" s="485"/>
      <c r="D193" s="485"/>
      <c r="E193" s="119"/>
      <c r="F193" s="146"/>
    </row>
    <row r="194" spans="2:21" hidden="1" x14ac:dyDescent="0.2">
      <c r="B194" s="149" t="s">
        <v>126</v>
      </c>
      <c r="C194" s="486"/>
      <c r="D194" s="486"/>
      <c r="E194" s="118"/>
      <c r="F194" s="146"/>
    </row>
    <row r="195" spans="2:21" hidden="1" x14ac:dyDescent="0.2">
      <c r="B195" s="150"/>
      <c r="C195" s="487"/>
      <c r="D195" s="487"/>
      <c r="E195" s="123"/>
      <c r="F195" s="151"/>
      <c r="G195" s="1"/>
      <c r="H195" s="1"/>
      <c r="I195" s="1"/>
      <c r="J195" s="1"/>
      <c r="K195" s="1"/>
      <c r="L195" s="1"/>
      <c r="U195" s="1"/>
    </row>
    <row r="196" spans="2:21" hidden="1" x14ac:dyDescent="0.2">
      <c r="B196" s="150"/>
      <c r="C196" s="487"/>
      <c r="D196" s="487"/>
      <c r="E196" s="123"/>
      <c r="F196" s="151"/>
      <c r="G196" s="1"/>
      <c r="H196" s="1"/>
      <c r="I196" s="1"/>
      <c r="J196" s="1"/>
      <c r="K196" s="1"/>
      <c r="L196" s="1"/>
      <c r="U196" s="1"/>
    </row>
    <row r="197" spans="2:21" hidden="1" x14ac:dyDescent="0.2">
      <c r="B197" s="619" t="s">
        <v>127</v>
      </c>
      <c r="C197" s="620"/>
      <c r="D197" s="620"/>
      <c r="E197" s="621"/>
      <c r="F197" s="622"/>
      <c r="G197" s="1"/>
      <c r="H197" s="1"/>
      <c r="I197" s="1"/>
      <c r="J197" s="1"/>
      <c r="K197" s="1"/>
      <c r="L197" s="1"/>
      <c r="U197" s="1"/>
    </row>
    <row r="198" spans="2:21" hidden="1" x14ac:dyDescent="0.2">
      <c r="B198" s="152" t="s">
        <v>88</v>
      </c>
      <c r="C198" s="488"/>
      <c r="D198" s="488"/>
      <c r="E198" s="120" t="s">
        <v>128</v>
      </c>
      <c r="F198" s="153" t="s">
        <v>129</v>
      </c>
      <c r="G198" s="1"/>
      <c r="H198" s="1"/>
      <c r="I198" s="1"/>
      <c r="J198" s="1"/>
      <c r="K198" s="1"/>
      <c r="L198" s="1"/>
      <c r="U198" s="1"/>
    </row>
    <row r="199" spans="2:21" hidden="1" x14ac:dyDescent="0.2">
      <c r="B199" s="152" t="s">
        <v>74</v>
      </c>
      <c r="C199" s="488"/>
      <c r="D199" s="488"/>
      <c r="E199" s="421">
        <f>INDEX(LINEST($P$23:$P106,$A$23:$A$106,TRUE,FALSE),1)</f>
        <v>19.144331518089409</v>
      </c>
      <c r="F199" s="422">
        <f>INDEX(LINEST($P$23:$P106,$A$23:$A$106,TRUE,FALSE),2)</f>
        <v>7968.7885295288188</v>
      </c>
      <c r="G199" s="1"/>
      <c r="H199" s="1"/>
      <c r="I199" s="1"/>
      <c r="J199" s="1"/>
      <c r="K199" s="1"/>
      <c r="L199" s="1"/>
      <c r="U199" s="1"/>
    </row>
    <row r="200" spans="2:21" ht="13.5" hidden="1" thickBot="1" x14ac:dyDescent="0.25">
      <c r="B200" s="154"/>
      <c r="C200" s="489"/>
      <c r="D200" s="489"/>
      <c r="E200" s="155"/>
      <c r="F200" s="156"/>
      <c r="G200" s="1"/>
      <c r="H200" s="1"/>
      <c r="I200" s="1"/>
      <c r="J200" s="1"/>
      <c r="K200" s="1"/>
      <c r="L200" s="1"/>
      <c r="U200" s="1"/>
    </row>
    <row r="201" spans="2:21" hidden="1" x14ac:dyDescent="0.2"/>
    <row r="202" spans="2:21" hidden="1" x14ac:dyDescent="0.2"/>
  </sheetData>
  <mergeCells count="4">
    <mergeCell ref="M20:S20"/>
    <mergeCell ref="F20:K20"/>
    <mergeCell ref="T22:V22"/>
    <mergeCell ref="B197:F197"/>
  </mergeCells>
  <phoneticPr fontId="0" type="noConversion"/>
  <pageMargins left="0.7" right="0.7" top="0.75" bottom="0.75" header="0.3" footer="0.3"/>
  <pageSetup orientation="portrait" r:id="rId1"/>
  <ignoredErrors>
    <ignoredError sqref="A107:B126 R119 R107 R108 R109 R110 R111 R112 R113 R114 R115 R116 R117 R118 T119:V130 T107:V107 T108:V108 T109:V109 T110:V110 T111:V111 T112:V112 T113:V113 T114:V114 T115:V115 T116:V116 T117:V117 T118:V118 K130 R130 R120 R121 R122 R123 R124 R125 R126 R127 R128 R129 B127:B130 M141 AA50:AF95" unlockedFormula="1"/>
    <ignoredError sqref="C6:L11 C12:L17" formulaRang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U33"/>
  <sheetViews>
    <sheetView showGridLines="0" zoomScaleNormal="100" workbookViewId="0"/>
  </sheetViews>
  <sheetFormatPr defaultColWidth="11.1640625" defaultRowHeight="12.75" x14ac:dyDescent="0.2"/>
  <cols>
    <col min="1" max="1" width="15" style="22" customWidth="1"/>
    <col min="2" max="2" width="16" style="22" customWidth="1"/>
    <col min="3" max="7" width="15" style="22" customWidth="1"/>
    <col min="8" max="8" width="15" style="1" customWidth="1"/>
    <col min="9" max="9" width="3.33203125" style="1" customWidth="1"/>
    <col min="10" max="17" width="15" style="1" customWidth="1"/>
    <col min="18" max="18" width="3.1640625" style="1" customWidth="1"/>
    <col min="19" max="19" width="3.83203125" style="1" customWidth="1"/>
    <col min="20" max="20" width="13" style="1" bestFit="1" customWidth="1"/>
    <col min="21" max="16384" width="11.1640625" style="1"/>
  </cols>
  <sheetData>
    <row r="1" spans="1:21" x14ac:dyDescent="0.2">
      <c r="A1" s="1" t="str">
        <f>+'1. Assumptions'!A1</f>
        <v>Niagara-on-the-Lake Hydro Inc.</v>
      </c>
    </row>
    <row r="2" spans="1:21" x14ac:dyDescent="0.2">
      <c r="A2" s="33" t="s">
        <v>213</v>
      </c>
    </row>
    <row r="3" spans="1:21" x14ac:dyDescent="0.2">
      <c r="A3" s="1" t="str">
        <f>+'1. Assumptions'!A3</f>
        <v>2024 Test &amp; 2023 Bridge</v>
      </c>
    </row>
    <row r="5" spans="1:21" x14ac:dyDescent="0.2">
      <c r="A5" s="22" t="s">
        <v>382</v>
      </c>
      <c r="B5" s="22">
        <f>+'1. Assumptions'!B13</f>
        <v>12</v>
      </c>
    </row>
    <row r="6" spans="1:21" ht="12.75" customHeight="1" thickBot="1" x14ac:dyDescent="0.25"/>
    <row r="7" spans="1:21" ht="14.25" customHeight="1" thickBot="1" x14ac:dyDescent="0.25">
      <c r="A7" s="623" t="s">
        <v>5</v>
      </c>
      <c r="B7" s="624"/>
      <c r="C7" s="624"/>
      <c r="D7" s="624"/>
      <c r="E7" s="624"/>
      <c r="F7" s="624"/>
      <c r="G7" s="624"/>
      <c r="H7" s="625"/>
      <c r="I7" s="22"/>
      <c r="J7" s="623" t="s">
        <v>48</v>
      </c>
      <c r="K7" s="624"/>
      <c r="L7" s="624"/>
      <c r="M7" s="624"/>
      <c r="N7" s="624"/>
      <c r="O7" s="624"/>
      <c r="P7" s="624"/>
      <c r="Q7" s="625"/>
      <c r="R7" s="22"/>
    </row>
    <row r="8" spans="1:21" ht="59.25" customHeight="1" thickBot="1" x14ac:dyDescent="0.25">
      <c r="A8" s="285" t="s">
        <v>31</v>
      </c>
      <c r="B8" s="286" t="s">
        <v>92</v>
      </c>
      <c r="C8" s="286" t="s">
        <v>90</v>
      </c>
      <c r="D8" s="286" t="s">
        <v>87</v>
      </c>
      <c r="E8" s="287" t="s">
        <v>91</v>
      </c>
      <c r="F8" s="287" t="s">
        <v>32</v>
      </c>
      <c r="G8" s="288" t="s">
        <v>162</v>
      </c>
      <c r="H8" s="289" t="s">
        <v>35</v>
      </c>
      <c r="I8" s="166"/>
      <c r="J8" s="285" t="s">
        <v>31</v>
      </c>
      <c r="K8" s="286" t="s">
        <v>93</v>
      </c>
      <c r="L8" s="286" t="s">
        <v>90</v>
      </c>
      <c r="M8" s="286" t="s">
        <v>87</v>
      </c>
      <c r="N8" s="287" t="s">
        <v>91</v>
      </c>
      <c r="O8" s="287" t="s">
        <v>32</v>
      </c>
      <c r="P8" s="288" t="s">
        <v>162</v>
      </c>
      <c r="Q8" s="289" t="s">
        <v>35</v>
      </c>
      <c r="R8" s="166"/>
    </row>
    <row r="9" spans="1:21" x14ac:dyDescent="0.2">
      <c r="A9" s="160" t="s">
        <v>318</v>
      </c>
      <c r="B9" s="171">
        <f>+'3. Consumption by Rate Class'!C167</f>
        <v>67086975.060000002</v>
      </c>
      <c r="C9" s="258">
        <f>+'6. WS Regression Analysis'!L6</f>
        <v>189169072.93239999</v>
      </c>
      <c r="D9" s="258">
        <f>+'6. WS Regression Analysis'!U6</f>
        <v>199851515.10739517</v>
      </c>
      <c r="E9" s="161">
        <f t="shared" ref="E9:E14" si="0">B9/C9</f>
        <v>0.35464029093156096</v>
      </c>
      <c r="F9" s="258">
        <f t="shared" ref="F9:F22" si="1">D9*E9</f>
        <v>70875399.460799873</v>
      </c>
      <c r="G9" s="171">
        <f>+'3. Consumption by Rate Class'!D167</f>
        <v>6715.833333333333</v>
      </c>
      <c r="H9" s="544">
        <f t="shared" ref="H9:H22" si="2">+F9/G9</f>
        <v>10553.478018731834</v>
      </c>
      <c r="I9" s="167"/>
      <c r="J9" s="160" t="str">
        <f t="shared" ref="J9:J18" si="3">A9</f>
        <v>2012</v>
      </c>
      <c r="K9" s="171">
        <f>+'3. Consumption by Rate Class'!E167</f>
        <v>35374878.009999998</v>
      </c>
      <c r="L9" s="258">
        <f t="shared" ref="L9:L19" si="4">C9</f>
        <v>189169072.93239999</v>
      </c>
      <c r="M9" s="258">
        <f t="shared" ref="M9:M19" si="5">D9</f>
        <v>199851515.10739517</v>
      </c>
      <c r="N9" s="161">
        <f t="shared" ref="N9:N19" si="6">K9/L9</f>
        <v>0.18700138168273042</v>
      </c>
      <c r="O9" s="258">
        <f t="shared" ref="O9:O22" si="7">M9*N9</f>
        <v>37372509.456469968</v>
      </c>
      <c r="P9" s="171">
        <f>+'3. Consumption by Rate Class'!F167</f>
        <v>1270.5416666666667</v>
      </c>
      <c r="Q9" s="544">
        <f t="shared" ref="Q9:Q22" si="8">+O9/P9</f>
        <v>29414.6271916597</v>
      </c>
      <c r="R9" s="167"/>
      <c r="T9" s="140">
        <f>+O9+F9</f>
        <v>108247908.91726984</v>
      </c>
      <c r="U9" s="427">
        <f>+E9+N9</f>
        <v>0.54164167261429141</v>
      </c>
    </row>
    <row r="10" spans="1:21" x14ac:dyDescent="0.2">
      <c r="A10" s="160" t="s">
        <v>327</v>
      </c>
      <c r="B10" s="171">
        <f>+'3. Consumption by Rate Class'!C168</f>
        <v>68126808.569999993</v>
      </c>
      <c r="C10" s="258">
        <f>+'6. WS Regression Analysis'!L7</f>
        <v>189823053.13865024</v>
      </c>
      <c r="D10" s="258">
        <f>+'6. WS Regression Analysis'!U7</f>
        <v>195558511.30286601</v>
      </c>
      <c r="E10" s="161">
        <f>B10/C10</f>
        <v>0.35889639031482085</v>
      </c>
      <c r="F10" s="258">
        <f t="shared" si="1"/>
        <v>70185243.801938698</v>
      </c>
      <c r="G10" s="171">
        <f>+'3. Consumption by Rate Class'!D168</f>
        <v>6912.208333333333</v>
      </c>
      <c r="H10" s="544">
        <f t="shared" si="2"/>
        <v>10153.809089271572</v>
      </c>
      <c r="I10" s="167"/>
      <c r="J10" s="160" t="str">
        <f t="shared" si="3"/>
        <v>2013</v>
      </c>
      <c r="K10" s="171">
        <f>+'3. Consumption by Rate Class'!E168</f>
        <v>35291130.910000004</v>
      </c>
      <c r="L10" s="258">
        <f t="shared" si="4"/>
        <v>189823053.13865024</v>
      </c>
      <c r="M10" s="258">
        <f t="shared" si="5"/>
        <v>195558511.30286601</v>
      </c>
      <c r="N10" s="161">
        <f t="shared" si="6"/>
        <v>0.1859159376402123</v>
      </c>
      <c r="O10" s="258">
        <f t="shared" si="7"/>
        <v>36357443.992396392</v>
      </c>
      <c r="P10" s="171">
        <f>+'3. Consumption by Rate Class'!F168</f>
        <v>1219.5416666666667</v>
      </c>
      <c r="Q10" s="544">
        <f t="shared" si="8"/>
        <v>29812.383607827851</v>
      </c>
      <c r="R10" s="167"/>
      <c r="T10" s="140">
        <f t="shared" ref="T10:T18" si="9">+O10+F10</f>
        <v>106542687.7943351</v>
      </c>
      <c r="U10" s="427">
        <f t="shared" ref="U10:U22" si="10">+E10+N10</f>
        <v>0.5448123279550332</v>
      </c>
    </row>
    <row r="11" spans="1:21" x14ac:dyDescent="0.2">
      <c r="A11" s="160" t="s">
        <v>328</v>
      </c>
      <c r="B11" s="171">
        <f>+'3. Consumption by Rate Class'!C169</f>
        <v>68599527.920000017</v>
      </c>
      <c r="C11" s="258">
        <f>+'6. WS Regression Analysis'!L8</f>
        <v>196598603.14219356</v>
      </c>
      <c r="D11" s="258">
        <f>+'6. WS Regression Analysis'!U8</f>
        <v>196752311.711725</v>
      </c>
      <c r="E11" s="161">
        <f t="shared" si="0"/>
        <v>0.34893191926894895</v>
      </c>
      <c r="F11" s="258">
        <f t="shared" si="1"/>
        <v>68653161.746174708</v>
      </c>
      <c r="G11" s="171">
        <f>+'3. Consumption by Rate Class'!D169</f>
        <v>7105.125</v>
      </c>
      <c r="H11" s="544">
        <f t="shared" si="2"/>
        <v>9662.4847199978485</v>
      </c>
      <c r="I11" s="167"/>
      <c r="J11" s="160" t="str">
        <f t="shared" si="3"/>
        <v>2014</v>
      </c>
      <c r="K11" s="171">
        <f>+'3. Consumption by Rate Class'!E169</f>
        <v>39288460.370000005</v>
      </c>
      <c r="L11" s="258">
        <f t="shared" si="4"/>
        <v>196598603.14219356</v>
      </c>
      <c r="M11" s="258">
        <f t="shared" si="5"/>
        <v>196752311.711725</v>
      </c>
      <c r="N11" s="161">
        <f t="shared" si="6"/>
        <v>0.19984099450383125</v>
      </c>
      <c r="O11" s="258">
        <f t="shared" si="7"/>
        <v>39319177.643398926</v>
      </c>
      <c r="P11" s="171">
        <f>+'3. Consumption by Rate Class'!F169</f>
        <v>1303.4166666666667</v>
      </c>
      <c r="Q11" s="544">
        <f t="shared" si="8"/>
        <v>30166.238202211309</v>
      </c>
      <c r="R11" s="167"/>
      <c r="T11" s="140">
        <f t="shared" si="9"/>
        <v>107972339.38957363</v>
      </c>
      <c r="U11" s="427">
        <f t="shared" si="10"/>
        <v>0.54877291377278015</v>
      </c>
    </row>
    <row r="12" spans="1:21" x14ac:dyDescent="0.2">
      <c r="A12" s="160" t="s">
        <v>329</v>
      </c>
      <c r="B12" s="171">
        <f>+'3. Consumption by Rate Class'!C170</f>
        <v>69624978.280000001</v>
      </c>
      <c r="C12" s="258">
        <f>+'6. WS Regression Analysis'!L9</f>
        <v>201311529.5372414</v>
      </c>
      <c r="D12" s="258">
        <f>+'6. WS Regression Analysis'!U9</f>
        <v>202773256.87510347</v>
      </c>
      <c r="E12" s="161">
        <f t="shared" si="0"/>
        <v>0.34585688380614987</v>
      </c>
      <c r="F12" s="258">
        <f t="shared" si="1"/>
        <v>70130526.74204725</v>
      </c>
      <c r="G12" s="171">
        <f>+'3. Consumption by Rate Class'!D170</f>
        <v>7380.791666666667</v>
      </c>
      <c r="H12" s="544">
        <f t="shared" si="2"/>
        <v>9501.7621292269578</v>
      </c>
      <c r="I12" s="167"/>
      <c r="J12" s="160" t="str">
        <f t="shared" si="3"/>
        <v>2015</v>
      </c>
      <c r="K12" s="171">
        <f>+'3. Consumption by Rate Class'!E170</f>
        <v>41172287.869999997</v>
      </c>
      <c r="L12" s="258">
        <f t="shared" si="4"/>
        <v>201311529.5372414</v>
      </c>
      <c r="M12" s="258">
        <f t="shared" si="5"/>
        <v>202773256.87510347</v>
      </c>
      <c r="N12" s="161">
        <f t="shared" si="6"/>
        <v>0.2045202674911045</v>
      </c>
      <c r="O12" s="258">
        <f t="shared" si="7"/>
        <v>41471240.736138605</v>
      </c>
      <c r="P12" s="171">
        <f>+'3. Consumption by Rate Class'!F170</f>
        <v>1322.875</v>
      </c>
      <c r="Q12" s="544">
        <f t="shared" si="8"/>
        <v>31349.326834461765</v>
      </c>
      <c r="R12" s="167"/>
      <c r="T12" s="140">
        <f t="shared" si="9"/>
        <v>111601767.47818586</v>
      </c>
      <c r="U12" s="427">
        <f t="shared" si="10"/>
        <v>0.5503771512972544</v>
      </c>
    </row>
    <row r="13" spans="1:21" x14ac:dyDescent="0.2">
      <c r="A13" s="160" t="s">
        <v>330</v>
      </c>
      <c r="B13" s="171">
        <f>+'3. Consumption by Rate Class'!C171</f>
        <v>74189661.459999993</v>
      </c>
      <c r="C13" s="258">
        <f>+'6. WS Regression Analysis'!L10</f>
        <v>207648847.01895002</v>
      </c>
      <c r="D13" s="258">
        <f>+'6. WS Regression Analysis'!U10</f>
        <v>214005327.3685981</v>
      </c>
      <c r="E13" s="161">
        <f t="shared" si="0"/>
        <v>0.35728424465188313</v>
      </c>
      <c r="F13" s="258">
        <f t="shared" si="1"/>
        <v>76460731.740368545</v>
      </c>
      <c r="G13" s="171">
        <f>+'3. Consumption by Rate Class'!D171</f>
        <v>7655.958333333333</v>
      </c>
      <c r="H13" s="544">
        <f t="shared" si="2"/>
        <v>9987.0882796560691</v>
      </c>
      <c r="I13" s="167"/>
      <c r="J13" s="160" t="str">
        <f t="shared" si="3"/>
        <v>2016</v>
      </c>
      <c r="K13" s="171">
        <f>+'3. Consumption by Rate Class'!E171</f>
        <v>43510840.949999996</v>
      </c>
      <c r="L13" s="258">
        <f t="shared" si="4"/>
        <v>207648847.01895002</v>
      </c>
      <c r="M13" s="258">
        <f t="shared" si="5"/>
        <v>214005327.3685981</v>
      </c>
      <c r="N13" s="161">
        <f t="shared" si="6"/>
        <v>0.20954048902582734</v>
      </c>
      <c r="O13" s="258">
        <f t="shared" si="7"/>
        <v>44842780.95094832</v>
      </c>
      <c r="P13" s="171">
        <f>+'3. Consumption by Rate Class'!F171</f>
        <v>1313.0416666666667</v>
      </c>
      <c r="Q13" s="544">
        <f t="shared" si="8"/>
        <v>34151.833935923576</v>
      </c>
      <c r="R13" s="167"/>
      <c r="T13" s="140">
        <f t="shared" si="9"/>
        <v>121303512.69131687</v>
      </c>
      <c r="U13" s="427">
        <f t="shared" si="10"/>
        <v>0.56682473367771047</v>
      </c>
    </row>
    <row r="14" spans="1:21" x14ac:dyDescent="0.2">
      <c r="A14" s="160" t="s">
        <v>331</v>
      </c>
      <c r="B14" s="171">
        <f>+'3. Consumption by Rate Class'!C172</f>
        <v>71056558.450000003</v>
      </c>
      <c r="C14" s="258">
        <f>+'6. WS Regression Analysis'!L11</f>
        <v>201142654.82493001</v>
      </c>
      <c r="D14" s="258">
        <f>+'6. WS Regression Analysis'!U11</f>
        <v>207962088.84304467</v>
      </c>
      <c r="E14" s="161">
        <f t="shared" si="0"/>
        <v>0.35326449534956178</v>
      </c>
      <c r="F14" s="258">
        <f t="shared" si="1"/>
        <v>73465622.366978914</v>
      </c>
      <c r="G14" s="171">
        <f>+'3. Consumption by Rate Class'!D172</f>
        <v>7832.25</v>
      </c>
      <c r="H14" s="544">
        <f t="shared" si="2"/>
        <v>9379.8873078590332</v>
      </c>
      <c r="I14" s="167"/>
      <c r="J14" s="160" t="str">
        <f t="shared" si="3"/>
        <v>2017</v>
      </c>
      <c r="K14" s="171">
        <f>+'3. Consumption by Rate Class'!E172</f>
        <v>40903499.839999996</v>
      </c>
      <c r="L14" s="258">
        <f t="shared" si="4"/>
        <v>201142654.82493001</v>
      </c>
      <c r="M14" s="258">
        <f t="shared" si="5"/>
        <v>207962088.84304467</v>
      </c>
      <c r="N14" s="161">
        <f t="shared" si="6"/>
        <v>0.20335567249821512</v>
      </c>
      <c r="O14" s="258">
        <f t="shared" si="7"/>
        <v>42290270.430810906</v>
      </c>
      <c r="P14" s="171">
        <f>+'3. Consumption by Rate Class'!F172</f>
        <v>1329.6666666666667</v>
      </c>
      <c r="Q14" s="544">
        <f t="shared" si="8"/>
        <v>31805.167032447407</v>
      </c>
      <c r="R14" s="167"/>
      <c r="T14" s="140">
        <f t="shared" si="9"/>
        <v>115755892.79778981</v>
      </c>
      <c r="U14" s="427">
        <f t="shared" si="10"/>
        <v>0.5566201678477769</v>
      </c>
    </row>
    <row r="15" spans="1:21" x14ac:dyDescent="0.2">
      <c r="A15" s="160" t="s">
        <v>332</v>
      </c>
      <c r="B15" s="171">
        <f>+'3. Consumption by Rate Class'!C173</f>
        <v>76998170.200000003</v>
      </c>
      <c r="C15" s="258">
        <f>+'6. WS Regression Analysis'!L12</f>
        <v>214357375.32877001</v>
      </c>
      <c r="D15" s="258">
        <f>+'6. WS Regression Analysis'!U12</f>
        <v>216453357.83650899</v>
      </c>
      <c r="E15" s="161">
        <f>B15/C15</f>
        <v>0.35920466968726539</v>
      </c>
      <c r="F15" s="258">
        <f t="shared" si="1"/>
        <v>77751056.904362664</v>
      </c>
      <c r="G15" s="171">
        <f>+'3. Consumption by Rate Class'!D173</f>
        <v>7917.458333333333</v>
      </c>
      <c r="H15" s="544">
        <f t="shared" si="2"/>
        <v>9820.2041148764274</v>
      </c>
      <c r="I15" s="167"/>
      <c r="J15" s="160" t="str">
        <f t="shared" si="3"/>
        <v>2018</v>
      </c>
      <c r="K15" s="171">
        <f>+'3. Consumption by Rate Class'!E173</f>
        <v>42666832.449999996</v>
      </c>
      <c r="L15" s="258">
        <f t="shared" si="4"/>
        <v>214357375.32877001</v>
      </c>
      <c r="M15" s="258">
        <f t="shared" si="5"/>
        <v>216453357.83650899</v>
      </c>
      <c r="N15" s="161">
        <f t="shared" si="6"/>
        <v>0.19904532038871936</v>
      </c>
      <c r="O15" s="258">
        <f t="shared" si="7"/>
        <v>43084027.959782049</v>
      </c>
      <c r="P15" s="171">
        <f>+'3. Consumption by Rate Class'!F173</f>
        <v>1335.4166666666667</v>
      </c>
      <c r="Q15" s="544">
        <f t="shared" si="8"/>
        <v>32262.610640710423</v>
      </c>
      <c r="R15" s="167"/>
      <c r="T15" s="140">
        <f>+O15+F15</f>
        <v>120835084.86414471</v>
      </c>
      <c r="U15" s="427">
        <f t="shared" si="10"/>
        <v>0.55824999007598475</v>
      </c>
    </row>
    <row r="16" spans="1:21" x14ac:dyDescent="0.2">
      <c r="A16" s="160" t="s">
        <v>145</v>
      </c>
      <c r="B16" s="171">
        <f>+'3. Consumption by Rate Class'!C174</f>
        <v>75007657.649999991</v>
      </c>
      <c r="C16" s="258">
        <f>+'6. WS Regression Analysis'!L13</f>
        <v>211297311.30446997</v>
      </c>
      <c r="D16" s="258">
        <f>+'6. WS Regression Analysis'!U13</f>
        <v>211860362.50979912</v>
      </c>
      <c r="E16" s="161">
        <f>B16/C16</f>
        <v>0.35498633270310437</v>
      </c>
      <c r="F16" s="258">
        <f t="shared" si="1"/>
        <v>75207533.132503852</v>
      </c>
      <c r="G16" s="171">
        <f>+'3. Consumption by Rate Class'!D174</f>
        <v>8011.291666666667</v>
      </c>
      <c r="H16" s="544">
        <f t="shared" si="2"/>
        <v>9387.6913064377495</v>
      </c>
      <c r="I16" s="167"/>
      <c r="J16" s="160" t="str">
        <f t="shared" si="3"/>
        <v>2019</v>
      </c>
      <c r="K16" s="171">
        <f>+'3. Consumption by Rate Class'!E174</f>
        <v>42173377.249999993</v>
      </c>
      <c r="L16" s="258">
        <f t="shared" si="4"/>
        <v>211297311.30446997</v>
      </c>
      <c r="M16" s="258">
        <f t="shared" si="5"/>
        <v>211860362.50979912</v>
      </c>
      <c r="N16" s="161">
        <f t="shared" si="6"/>
        <v>0.19959258823331663</v>
      </c>
      <c r="O16" s="258">
        <f t="shared" si="7"/>
        <v>42285758.097379528</v>
      </c>
      <c r="P16" s="171">
        <f>+'3. Consumption by Rate Class'!F174</f>
        <v>1363.125</v>
      </c>
      <c r="Q16" s="544">
        <f t="shared" si="8"/>
        <v>31021.188883909788</v>
      </c>
      <c r="R16" s="167"/>
      <c r="T16" s="140">
        <f t="shared" si="9"/>
        <v>117493291.22988337</v>
      </c>
      <c r="U16" s="427">
        <f t="shared" si="10"/>
        <v>0.55457892093642103</v>
      </c>
    </row>
    <row r="17" spans="1:21" ht="14.25" customHeight="1" x14ac:dyDescent="0.2">
      <c r="A17" s="160" t="s">
        <v>317</v>
      </c>
      <c r="B17" s="171">
        <f>+'3. Consumption by Rate Class'!C175</f>
        <v>79728512.560000017</v>
      </c>
      <c r="C17" s="258">
        <f>+'6. WS Regression Analysis'!L14</f>
        <v>204721526.64264002</v>
      </c>
      <c r="D17" s="258">
        <f>+'6. WS Regression Analysis'!U14</f>
        <v>217694347.29207727</v>
      </c>
      <c r="E17" s="161">
        <f>B17/C17</f>
        <v>0.3894486030244067</v>
      </c>
      <c r="F17" s="258">
        <f t="shared" si="1"/>
        <v>84780759.439209536</v>
      </c>
      <c r="G17" s="171">
        <f>+'3. Consumption by Rate Class'!D175</f>
        <v>8075.541666666667</v>
      </c>
      <c r="H17" s="544">
        <f t="shared" si="2"/>
        <v>10498.461024497989</v>
      </c>
      <c r="I17" s="167"/>
      <c r="J17" s="160" t="str">
        <f t="shared" si="3"/>
        <v>2020</v>
      </c>
      <c r="K17" s="171">
        <f>+'3. Consumption by Rate Class'!E175</f>
        <v>40043494.759999998</v>
      </c>
      <c r="L17" s="258">
        <f t="shared" si="4"/>
        <v>204721526.64264002</v>
      </c>
      <c r="M17" s="258">
        <f t="shared" si="5"/>
        <v>217694347.29207727</v>
      </c>
      <c r="N17" s="161">
        <f t="shared" si="6"/>
        <v>0.1955998248777206</v>
      </c>
      <c r="O17" s="258">
        <f t="shared" si="7"/>
        <v>42580976.207200006</v>
      </c>
      <c r="P17" s="171">
        <f>+'3. Consumption by Rate Class'!F175</f>
        <v>1388</v>
      </c>
      <c r="Q17" s="544">
        <f t="shared" si="8"/>
        <v>30677.936748703174</v>
      </c>
      <c r="R17" s="167"/>
      <c r="T17" s="140">
        <f t="shared" si="9"/>
        <v>127361735.64640954</v>
      </c>
      <c r="U17" s="427">
        <f t="shared" si="10"/>
        <v>0.5850484279021273</v>
      </c>
    </row>
    <row r="18" spans="1:21" ht="14.25" customHeight="1" x14ac:dyDescent="0.2">
      <c r="A18" s="160" t="s">
        <v>349</v>
      </c>
      <c r="B18" s="171">
        <f>+'3. Consumption by Rate Class'!C176</f>
        <v>78645720.670000002</v>
      </c>
      <c r="C18" s="258">
        <f>+'6. WS Regression Analysis'!L15</f>
        <v>206058691.01699999</v>
      </c>
      <c r="D18" s="258">
        <f>+'6. WS Regression Analysis'!U15</f>
        <v>217597933.53294417</v>
      </c>
      <c r="E18" s="161">
        <f>B18/C18</f>
        <v>0.38166660324708979</v>
      </c>
      <c r="F18" s="258">
        <f t="shared" si="1"/>
        <v>83049864.165104821</v>
      </c>
      <c r="G18" s="171">
        <f>+'3. Consumption by Rate Class'!D176</f>
        <v>8116.833333333333</v>
      </c>
      <c r="H18" s="544">
        <f t="shared" si="2"/>
        <v>10231.806020217839</v>
      </c>
      <c r="I18" s="167"/>
      <c r="J18" s="160" t="str">
        <f t="shared" si="3"/>
        <v>2021</v>
      </c>
      <c r="K18" s="171">
        <f>+'3. Consumption by Rate Class'!E176</f>
        <v>41952896.950000003</v>
      </c>
      <c r="L18" s="258">
        <f t="shared" si="4"/>
        <v>206058691.01699999</v>
      </c>
      <c r="M18" s="258">
        <f t="shared" si="5"/>
        <v>217597933.53294417</v>
      </c>
      <c r="N18" s="161">
        <f t="shared" si="6"/>
        <v>0.20359683322718408</v>
      </c>
      <c r="O18" s="258">
        <f t="shared" si="7"/>
        <v>44302250.184086725</v>
      </c>
      <c r="P18" s="171">
        <f>+'3. Consumption by Rate Class'!F176</f>
        <v>1437.0416666666667</v>
      </c>
      <c r="Q18" s="544">
        <f t="shared" si="8"/>
        <v>30828.786117837029</v>
      </c>
      <c r="R18" s="167"/>
      <c r="T18" s="140">
        <f t="shared" si="9"/>
        <v>127352114.34919155</v>
      </c>
      <c r="U18" s="427">
        <f t="shared" si="10"/>
        <v>0.58526343647427392</v>
      </c>
    </row>
    <row r="19" spans="1:21" ht="14.25" customHeight="1" x14ac:dyDescent="0.2">
      <c r="A19" s="160" t="s">
        <v>350</v>
      </c>
      <c r="B19" s="171">
        <f>+'3. Consumption by Rate Class'!C177</f>
        <v>78058328.330000013</v>
      </c>
      <c r="C19" s="258">
        <f>+'6. WS Regression Analysis'!L16</f>
        <v>216490123.03</v>
      </c>
      <c r="D19" s="258">
        <f>SUM('6. WS Regression Analysis'!U143:U154)</f>
        <v>217640371.35769007</v>
      </c>
      <c r="E19" s="161">
        <f>B19/C19</f>
        <v>0.36056300046161055</v>
      </c>
      <c r="F19" s="258">
        <f t="shared" si="1"/>
        <v>78473065.318307891</v>
      </c>
      <c r="G19" s="171">
        <f>+'3. Consumption by Rate Class'!D177</f>
        <v>8172.791666666667</v>
      </c>
      <c r="H19" s="544">
        <f>+F19/G19/B5*12</f>
        <v>9601.7454645719245</v>
      </c>
      <c r="I19" s="167"/>
      <c r="J19" s="160" t="str">
        <f>+A19</f>
        <v>2022</v>
      </c>
      <c r="K19" s="171">
        <f>+'3. Consumption by Rate Class'!E177</f>
        <v>44408170.609999999</v>
      </c>
      <c r="L19" s="258">
        <f t="shared" si="4"/>
        <v>216490123.03</v>
      </c>
      <c r="M19" s="258">
        <f t="shared" si="5"/>
        <v>217640371.35769007</v>
      </c>
      <c r="N19" s="161">
        <f t="shared" si="6"/>
        <v>0.20512792911040179</v>
      </c>
      <c r="O19" s="258">
        <f t="shared" si="7"/>
        <v>44644118.667421766</v>
      </c>
      <c r="P19" s="171">
        <f>+'3. Consumption by Rate Class'!F177</f>
        <v>1470.1666666666667</v>
      </c>
      <c r="Q19" s="544">
        <f>+O19/P19/B5*12</f>
        <v>30366.705816180773</v>
      </c>
      <c r="R19" s="167"/>
      <c r="T19" s="140">
        <f t="shared" ref="T19:T22" si="11">+O19+F19</f>
        <v>123117183.98572966</v>
      </c>
      <c r="U19" s="427">
        <f t="shared" si="10"/>
        <v>0.56569092957201228</v>
      </c>
    </row>
    <row r="20" spans="1:21" ht="14.25" customHeight="1" x14ac:dyDescent="0.2">
      <c r="A20" s="160"/>
      <c r="B20" s="532"/>
      <c r="C20" s="513"/>
      <c r="D20" s="258"/>
      <c r="E20" s="514"/>
      <c r="F20" s="513"/>
      <c r="G20" s="171"/>
      <c r="H20" s="544"/>
      <c r="I20" s="167"/>
      <c r="J20" s="160"/>
      <c r="K20" s="532"/>
      <c r="L20" s="258"/>
      <c r="M20" s="258"/>
      <c r="N20" s="161"/>
      <c r="O20" s="258"/>
      <c r="P20" s="171"/>
      <c r="Q20" s="544"/>
      <c r="R20" s="167"/>
      <c r="T20" s="140"/>
      <c r="U20" s="427"/>
    </row>
    <row r="21" spans="1:21" ht="14.25" customHeight="1" x14ac:dyDescent="0.2">
      <c r="A21" s="160" t="s">
        <v>350</v>
      </c>
      <c r="B21" s="258"/>
      <c r="C21" s="513"/>
      <c r="D21" s="258">
        <f>+'6. WS Regression Analysis'!U16</f>
        <v>217640371.35769007</v>
      </c>
      <c r="E21" s="514">
        <f>E19</f>
        <v>0.36056300046161055</v>
      </c>
      <c r="F21" s="513">
        <f>D21*E21</f>
        <v>78473065.318307891</v>
      </c>
      <c r="G21" s="171">
        <f>+'4. Customer Growth'!B18</f>
        <v>8172.791666666667</v>
      </c>
      <c r="H21" s="544">
        <f t="shared" si="2"/>
        <v>9601.7454645719245</v>
      </c>
      <c r="I21" s="167"/>
      <c r="J21" s="160" t="str">
        <f>+A21</f>
        <v>2022</v>
      </c>
      <c r="K21" s="515"/>
      <c r="L21" s="258"/>
      <c r="M21" s="258">
        <f t="shared" ref="M21:M22" si="12">D21</f>
        <v>217640371.35769007</v>
      </c>
      <c r="N21" s="161">
        <f>N19</f>
        <v>0.20512792911040179</v>
      </c>
      <c r="O21" s="258">
        <f t="shared" si="7"/>
        <v>44644118.667421766</v>
      </c>
      <c r="P21" s="171">
        <f>+'4. Customer Growth'!D18</f>
        <v>1470.1666666666667</v>
      </c>
      <c r="Q21" s="544">
        <f t="shared" si="8"/>
        <v>30366.705816180773</v>
      </c>
      <c r="R21" s="167"/>
      <c r="T21" s="140">
        <f t="shared" si="11"/>
        <v>123117183.98572966</v>
      </c>
      <c r="U21" s="427">
        <f t="shared" si="10"/>
        <v>0.56569092957201228</v>
      </c>
    </row>
    <row r="22" spans="1:21" ht="14.25" customHeight="1" x14ac:dyDescent="0.2">
      <c r="A22" s="160" t="s">
        <v>351</v>
      </c>
      <c r="B22" s="294"/>
      <c r="C22" s="294"/>
      <c r="D22" s="258">
        <f>+'6. WS Regression Analysis'!U17</f>
        <v>218462139.94001785</v>
      </c>
      <c r="E22" s="161">
        <f>AVERAGE(E19,E21)</f>
        <v>0.36056300046161055</v>
      </c>
      <c r="F22" s="258">
        <f t="shared" si="1"/>
        <v>78769364.664037079</v>
      </c>
      <c r="G22" s="171">
        <f>+'4. Customer Growth'!B27</f>
        <v>8282.375</v>
      </c>
      <c r="H22" s="544">
        <f t="shared" si="2"/>
        <v>9510.4803470063944</v>
      </c>
      <c r="I22" s="167"/>
      <c r="J22" s="164" t="str">
        <f>+A22</f>
        <v>2023</v>
      </c>
      <c r="K22" s="294"/>
      <c r="L22" s="258"/>
      <c r="M22" s="258">
        <f t="shared" si="12"/>
        <v>218462139.94001785</v>
      </c>
      <c r="N22" s="161">
        <f>+E21+N21-E22</f>
        <v>0.20512792911040173</v>
      </c>
      <c r="O22" s="258">
        <f t="shared" si="7"/>
        <v>44812686.354922645</v>
      </c>
      <c r="P22" s="258">
        <f>+'4. Customer Growth'!D27</f>
        <v>1486.5</v>
      </c>
      <c r="Q22" s="290">
        <f t="shared" si="8"/>
        <v>30146.442216564174</v>
      </c>
      <c r="R22" s="167"/>
      <c r="T22" s="140">
        <f t="shared" si="11"/>
        <v>123582051.01895973</v>
      </c>
      <c r="U22" s="427">
        <f t="shared" si="10"/>
        <v>0.56569092957201228</v>
      </c>
    </row>
    <row r="23" spans="1:21" ht="14.25" customHeight="1" thickBot="1" x14ac:dyDescent="0.25">
      <c r="A23" s="545" t="s">
        <v>351</v>
      </c>
      <c r="B23" s="162"/>
      <c r="C23" s="162"/>
      <c r="D23" s="535">
        <f>+'6. WS Regression Analysis'!U18</f>
        <v>220917909.7868098</v>
      </c>
      <c r="E23" s="163">
        <f>E22</f>
        <v>0.36056300046161055</v>
      </c>
      <c r="F23" s="535">
        <f t="shared" ref="F23" si="13">D23*E23</f>
        <v>79654824.408439547</v>
      </c>
      <c r="G23" s="535">
        <f>+'4. Customer Growth'!B28</f>
        <v>8403.7916666666715</v>
      </c>
      <c r="H23" s="546">
        <f t="shared" ref="H23" si="14">+F23/G23</f>
        <v>9478.4387295543584</v>
      </c>
      <c r="I23" s="167"/>
      <c r="J23" s="165" t="str">
        <f>+A23</f>
        <v>2023</v>
      </c>
      <c r="K23" s="162"/>
      <c r="L23" s="535"/>
      <c r="M23" s="535">
        <f t="shared" ref="M23" si="15">D23</f>
        <v>220917909.7868098</v>
      </c>
      <c r="N23" s="163">
        <f>+E22+N22-E23</f>
        <v>0.20512792911040173</v>
      </c>
      <c r="O23" s="535">
        <f t="shared" ref="O23" si="16">M23*N23</f>
        <v>45316433.337966844</v>
      </c>
      <c r="P23" s="535">
        <f>+'4. Customer Growth'!D28</f>
        <v>1522.5</v>
      </c>
      <c r="Q23" s="291">
        <f t="shared" ref="Q23" si="17">+O23/P23</f>
        <v>29764.488235117795</v>
      </c>
      <c r="R23" s="167"/>
      <c r="T23" s="140">
        <f t="shared" ref="T23" si="18">+O23+F23</f>
        <v>124971257.74640639</v>
      </c>
      <c r="U23" s="427">
        <f t="shared" ref="U23" si="19">+E23+N23</f>
        <v>0.56569092957201228</v>
      </c>
    </row>
    <row r="24" spans="1:21" ht="13.5" customHeight="1" x14ac:dyDescent="0.2">
      <c r="A24" s="1"/>
      <c r="B24" s="1"/>
      <c r="C24" s="1"/>
      <c r="D24" s="1"/>
      <c r="E24" s="1"/>
      <c r="F24" s="1"/>
      <c r="G24" s="1"/>
      <c r="J24" s="630"/>
      <c r="K24" s="630"/>
      <c r="L24" s="630"/>
      <c r="M24" s="630"/>
      <c r="N24" s="630"/>
      <c r="O24" s="630"/>
      <c r="P24" s="630"/>
      <c r="Q24" s="630"/>
    </row>
    <row r="25" spans="1:21" ht="13.5" thickBot="1" x14ac:dyDescent="0.25">
      <c r="A25" s="166"/>
      <c r="B25" s="167"/>
      <c r="C25" s="167"/>
      <c r="D25" s="167"/>
      <c r="E25" s="167"/>
      <c r="F25" s="167"/>
      <c r="G25" s="167"/>
      <c r="H25" s="167"/>
      <c r="I25" s="167"/>
      <c r="J25" s="166"/>
      <c r="K25" s="167"/>
      <c r="L25" s="167"/>
      <c r="M25" s="167"/>
      <c r="N25" s="167"/>
      <c r="O25" s="167"/>
      <c r="P25" s="167"/>
      <c r="Q25" s="167"/>
      <c r="R25" s="167"/>
    </row>
    <row r="26" spans="1:21" ht="14.25" customHeight="1" thickBot="1" x14ac:dyDescent="0.25">
      <c r="A26" s="626" t="str">
        <f>A7&amp;" Adjustments"</f>
        <v>Residential Adjustments</v>
      </c>
      <c r="B26" s="627"/>
      <c r="C26" s="627"/>
      <c r="D26" s="627"/>
      <c r="E26" s="627"/>
      <c r="F26" s="627"/>
      <c r="G26" s="628"/>
      <c r="H26" s="629"/>
      <c r="I26" s="22"/>
      <c r="J26" s="626" t="str">
        <f>J7&amp;" Adjustments"</f>
        <v>General Service &lt; 50 kW Adjustments</v>
      </c>
      <c r="K26" s="627"/>
      <c r="L26" s="627"/>
      <c r="M26" s="627"/>
      <c r="N26" s="627"/>
      <c r="O26" s="627"/>
      <c r="P26" s="628"/>
      <c r="Q26" s="629"/>
      <c r="R26" s="22"/>
    </row>
    <row r="27" spans="1:21" ht="42" customHeight="1" x14ac:dyDescent="0.2">
      <c r="A27" s="549" t="s">
        <v>31</v>
      </c>
      <c r="B27" s="550" t="s">
        <v>37</v>
      </c>
      <c r="C27" s="641" t="s">
        <v>215</v>
      </c>
      <c r="D27" s="641"/>
      <c r="E27" s="639" t="s">
        <v>36</v>
      </c>
      <c r="F27" s="640"/>
      <c r="G27" s="551"/>
      <c r="H27" s="552" t="s">
        <v>15</v>
      </c>
      <c r="I27" s="166"/>
      <c r="J27" s="168" t="s">
        <v>31</v>
      </c>
      <c r="K27" s="536" t="s">
        <v>37</v>
      </c>
      <c r="L27" s="637" t="s">
        <v>96</v>
      </c>
      <c r="M27" s="637"/>
      <c r="N27" s="631" t="s">
        <v>36</v>
      </c>
      <c r="O27" s="632"/>
      <c r="P27" s="284"/>
      <c r="Q27" s="169" t="s">
        <v>15</v>
      </c>
      <c r="R27" s="166"/>
    </row>
    <row r="28" spans="1:21" ht="14.25" customHeight="1" x14ac:dyDescent="0.2">
      <c r="A28" s="541" t="str">
        <f>A21</f>
        <v>2022</v>
      </c>
      <c r="B28" s="542">
        <v>0</v>
      </c>
      <c r="C28" s="638"/>
      <c r="D28" s="638"/>
      <c r="E28" s="633">
        <f>B28*C28</f>
        <v>0</v>
      </c>
      <c r="F28" s="634"/>
      <c r="G28" s="547"/>
      <c r="H28" s="543">
        <f>F21+E28</f>
        <v>78473065.318307891</v>
      </c>
      <c r="I28" s="167"/>
      <c r="J28" s="541" t="str">
        <f>A28</f>
        <v>2022</v>
      </c>
      <c r="K28" s="542">
        <v>0</v>
      </c>
      <c r="L28" s="638"/>
      <c r="M28" s="638"/>
      <c r="N28" s="633">
        <f>K28*L28</f>
        <v>0</v>
      </c>
      <c r="O28" s="634"/>
      <c r="P28" s="547"/>
      <c r="Q28" s="543">
        <f>O21+N28</f>
        <v>44644118.667421766</v>
      </c>
      <c r="R28" s="167"/>
    </row>
    <row r="29" spans="1:21" x14ac:dyDescent="0.2">
      <c r="A29" s="164" t="str">
        <f>A22</f>
        <v>2023</v>
      </c>
      <c r="B29" s="493">
        <v>0</v>
      </c>
      <c r="C29" s="636"/>
      <c r="D29" s="636"/>
      <c r="E29" s="635">
        <f>B29*C29</f>
        <v>0</v>
      </c>
      <c r="F29" s="635"/>
      <c r="G29" s="258"/>
      <c r="H29" s="290">
        <f>F22+E29</f>
        <v>78769364.664037079</v>
      </c>
      <c r="I29" s="167"/>
      <c r="J29" s="164" t="str">
        <f>A29</f>
        <v>2023</v>
      </c>
      <c r="K29" s="493">
        <v>0</v>
      </c>
      <c r="L29" s="636"/>
      <c r="M29" s="636"/>
      <c r="N29" s="635">
        <f>K29*L29</f>
        <v>0</v>
      </c>
      <c r="O29" s="635"/>
      <c r="P29" s="258"/>
      <c r="Q29" s="290">
        <f>O22+N29</f>
        <v>44812686.354922645</v>
      </c>
      <c r="R29" s="167"/>
    </row>
    <row r="30" spans="1:21" ht="13.5" thickBot="1" x14ac:dyDescent="0.25">
      <c r="A30" s="545" t="s">
        <v>394</v>
      </c>
      <c r="B30" s="548">
        <v>0</v>
      </c>
      <c r="C30" s="642"/>
      <c r="D30" s="642"/>
      <c r="E30" s="643">
        <f>B30*C30</f>
        <v>0</v>
      </c>
      <c r="F30" s="644"/>
      <c r="G30" s="172"/>
      <c r="H30" s="546">
        <f>F23+E30</f>
        <v>79654824.408439547</v>
      </c>
      <c r="I30" s="167"/>
      <c r="J30" s="545" t="str">
        <f>A30</f>
        <v>2024</v>
      </c>
      <c r="K30" s="548">
        <v>0</v>
      </c>
      <c r="L30" s="642"/>
      <c r="M30" s="642"/>
      <c r="N30" s="643">
        <f>K30*L30</f>
        <v>0</v>
      </c>
      <c r="O30" s="644"/>
      <c r="P30" s="172"/>
      <c r="Q30" s="546">
        <f>O23+N30</f>
        <v>45316433.337966844</v>
      </c>
      <c r="R30" s="167"/>
    </row>
    <row r="31" spans="1:21" x14ac:dyDescent="0.2">
      <c r="A31" s="1"/>
      <c r="B31" s="1"/>
      <c r="C31" s="1"/>
      <c r="D31" s="1"/>
      <c r="E31" s="1"/>
      <c r="F31" s="1"/>
      <c r="G31" s="1"/>
    </row>
    <row r="33" spans="1:8" ht="12.75" customHeight="1" x14ac:dyDescent="0.2">
      <c r="A33" s="269" t="s">
        <v>214</v>
      </c>
      <c r="B33" s="292"/>
      <c r="C33" s="292"/>
      <c r="D33" s="292"/>
      <c r="E33" s="292"/>
      <c r="F33" s="292"/>
      <c r="G33" s="292"/>
      <c r="H33" s="292"/>
    </row>
  </sheetData>
  <mergeCells count="21">
    <mergeCell ref="C30:D30"/>
    <mergeCell ref="E30:F30"/>
    <mergeCell ref="L30:M30"/>
    <mergeCell ref="N30:O30"/>
    <mergeCell ref="E29:F29"/>
    <mergeCell ref="N27:O27"/>
    <mergeCell ref="N28:O28"/>
    <mergeCell ref="N29:O29"/>
    <mergeCell ref="C29:D29"/>
    <mergeCell ref="L27:M27"/>
    <mergeCell ref="L28:M28"/>
    <mergeCell ref="L29:M29"/>
    <mergeCell ref="E27:F27"/>
    <mergeCell ref="E28:F28"/>
    <mergeCell ref="C27:D27"/>
    <mergeCell ref="C28:D28"/>
    <mergeCell ref="J7:Q7"/>
    <mergeCell ref="A7:H7"/>
    <mergeCell ref="A26:H26"/>
    <mergeCell ref="J26:Q26"/>
    <mergeCell ref="J24:Q24"/>
  </mergeCells>
  <phoneticPr fontId="87" type="noConversion"/>
  <pageMargins left="0.7" right="0.7" top="0.75" bottom="0.75" header="0.3" footer="0.3"/>
  <pageSetup scale="44" orientation="landscape" horizontalDpi="429496729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64"/>
  <sheetViews>
    <sheetView showGridLines="0" workbookViewId="0"/>
  </sheetViews>
  <sheetFormatPr defaultColWidth="11.1640625" defaultRowHeight="12.75" x14ac:dyDescent="0.2"/>
  <cols>
    <col min="1" max="5" width="15.1640625" style="22" customWidth="1"/>
    <col min="6" max="6" width="17" style="22" customWidth="1"/>
    <col min="7" max="7" width="16.6640625" style="22" customWidth="1"/>
    <col min="8" max="8" width="17.83203125" style="22" customWidth="1"/>
    <col min="9" max="9" width="16.1640625" style="22" customWidth="1"/>
    <col min="10" max="10" width="4.33203125" style="22" customWidth="1"/>
    <col min="11" max="16" width="15.1640625" style="1" customWidth="1"/>
    <col min="17" max="17" width="16.33203125" style="1" bestFit="1" customWidth="1"/>
    <col min="18" max="19" width="13.83203125" style="1" customWidth="1"/>
    <col min="20" max="20" width="2.33203125" style="1" customWidth="1"/>
    <col min="21" max="26" width="15.1640625" style="1" customWidth="1"/>
    <col min="27" max="27" width="16.33203125" style="1" bestFit="1" customWidth="1"/>
    <col min="28" max="28" width="15.1640625" style="1" customWidth="1"/>
    <col min="29" max="29" width="20.33203125" style="1" customWidth="1"/>
    <col min="30" max="16384" width="11.1640625" style="1"/>
  </cols>
  <sheetData>
    <row r="1" spans="1:19" x14ac:dyDescent="0.2">
      <c r="A1" s="1" t="str">
        <f>+'1. Assumptions'!A1</f>
        <v>Niagara-on-the-Lake Hydro Inc.</v>
      </c>
    </row>
    <row r="2" spans="1:19" x14ac:dyDescent="0.2">
      <c r="A2" s="263" t="s">
        <v>49</v>
      </c>
    </row>
    <row r="3" spans="1:19" x14ac:dyDescent="0.2">
      <c r="A3" s="1" t="str">
        <f>+'1. Assumptions'!A3</f>
        <v>2024 Test &amp; 2023 Bridge</v>
      </c>
    </row>
    <row r="5" spans="1:19" x14ac:dyDescent="0.2">
      <c r="A5" s="22" t="s">
        <v>382</v>
      </c>
      <c r="B5" s="22">
        <f>+'1. Assumptions'!B13</f>
        <v>12</v>
      </c>
    </row>
    <row r="6" spans="1:19" ht="13.5" thickBot="1" x14ac:dyDescent="0.25">
      <c r="A6" s="24"/>
      <c r="K6" s="22"/>
      <c r="L6" s="22"/>
      <c r="M6" s="22"/>
      <c r="N6" s="22"/>
      <c r="O6" s="22"/>
      <c r="P6" s="22"/>
    </row>
    <row r="7" spans="1:19" ht="12.75" customHeight="1" thickBot="1" x14ac:dyDescent="0.25">
      <c r="A7" s="623" t="s">
        <v>466</v>
      </c>
      <c r="B7" s="624"/>
      <c r="C7" s="624"/>
      <c r="D7" s="624"/>
      <c r="E7" s="624"/>
      <c r="F7" s="624"/>
      <c r="G7" s="624"/>
      <c r="H7" s="624"/>
      <c r="I7" s="625"/>
      <c r="J7" s="166"/>
      <c r="K7" s="623" t="s">
        <v>147</v>
      </c>
      <c r="L7" s="624"/>
      <c r="M7" s="624"/>
      <c r="N7" s="624"/>
      <c r="O7" s="624"/>
      <c r="P7" s="624"/>
      <c r="Q7" s="624"/>
      <c r="R7" s="624"/>
      <c r="S7" s="625"/>
    </row>
    <row r="8" spans="1:19" ht="25.5" x14ac:dyDescent="0.2">
      <c r="A8" s="305" t="s">
        <v>31</v>
      </c>
      <c r="B8" s="306" t="s">
        <v>33</v>
      </c>
      <c r="C8" s="306" t="s">
        <v>125</v>
      </c>
      <c r="D8" s="307" t="s">
        <v>33</v>
      </c>
      <c r="E8" s="307" t="s">
        <v>34</v>
      </c>
      <c r="F8" s="307" t="s">
        <v>107</v>
      </c>
      <c r="G8" s="307" t="s">
        <v>105</v>
      </c>
      <c r="H8" s="307" t="s">
        <v>106</v>
      </c>
      <c r="I8" s="308" t="s">
        <v>38</v>
      </c>
      <c r="J8" s="166"/>
      <c r="K8" s="305" t="s">
        <v>31</v>
      </c>
      <c r="L8" s="306" t="s">
        <v>33</v>
      </c>
      <c r="M8" s="306" t="s">
        <v>125</v>
      </c>
      <c r="N8" s="310" t="s">
        <v>33</v>
      </c>
      <c r="O8" s="307" t="s">
        <v>34</v>
      </c>
      <c r="P8" s="307" t="s">
        <v>107</v>
      </c>
      <c r="Q8" s="307" t="s">
        <v>105</v>
      </c>
      <c r="R8" s="307" t="s">
        <v>106</v>
      </c>
      <c r="S8" s="308" t="s">
        <v>38</v>
      </c>
    </row>
    <row r="9" spans="1:19" x14ac:dyDescent="0.2">
      <c r="A9" s="293" t="s">
        <v>28</v>
      </c>
      <c r="B9" s="239"/>
      <c r="C9" s="239"/>
      <c r="D9" s="294"/>
      <c r="E9" s="294"/>
      <c r="F9" s="295"/>
      <c r="G9" s="295"/>
      <c r="H9" s="258"/>
      <c r="I9" s="71"/>
      <c r="J9" s="166"/>
      <c r="K9" s="293" t="s">
        <v>28</v>
      </c>
      <c r="L9" s="239"/>
      <c r="M9" s="239"/>
      <c r="N9" s="294"/>
      <c r="O9" s="294"/>
      <c r="P9" s="294"/>
      <c r="Q9" s="294"/>
      <c r="R9" s="294"/>
      <c r="S9" s="39"/>
    </row>
    <row r="10" spans="1:19" ht="12.75" customHeight="1" x14ac:dyDescent="0.2">
      <c r="A10" s="164" t="str">
        <f>+'7. Weather Senstive Class'!A9</f>
        <v>2012</v>
      </c>
      <c r="B10" s="171">
        <f>+'3. Consumption by Rate Class'!L167</f>
        <v>79052380.799999997</v>
      </c>
      <c r="C10" s="78"/>
      <c r="D10" s="171">
        <f t="shared" ref="D10:D20" si="0">+C10+B10</f>
        <v>79052380.799999997</v>
      </c>
      <c r="E10" s="171">
        <f>+'3. Consumption by Rate Class'!M167</f>
        <v>202737.81</v>
      </c>
      <c r="F10" s="171">
        <f>+'3. Consumption by Rate Class'!K167</f>
        <v>118.04166666666667</v>
      </c>
      <c r="G10" s="236">
        <f t="shared" ref="G10:G19" si="1">IF(E10&gt;0,+D10/F10,0)</f>
        <v>669698.9548888104</v>
      </c>
      <c r="H10" s="237">
        <f t="shared" ref="H10:H24" si="2">IF(E10&gt;0,+E10/F10,0)</f>
        <v>1717.5105683021532</v>
      </c>
      <c r="I10" s="64">
        <f t="shared" ref="I10:I20" si="3">IF(E10&gt;0,+E10/D10,0)</f>
        <v>2.5646009386222053E-3</v>
      </c>
      <c r="J10" s="297"/>
      <c r="K10" s="298" t="str">
        <f t="shared" ref="K10:K24" si="4">+A10</f>
        <v>2012</v>
      </c>
      <c r="L10" s="171">
        <f>+'3. Consumption by Rate Class'!R167</f>
        <v>0</v>
      </c>
      <c r="M10" s="78"/>
      <c r="N10" s="171">
        <f t="shared" ref="N10:N24" si="5">+L10+M10</f>
        <v>0</v>
      </c>
      <c r="O10" s="258">
        <f>+'3. Consumption by Rate Class'!S167</f>
        <v>0</v>
      </c>
      <c r="P10" s="171">
        <f>+'3. Consumption by Rate Class'!T167</f>
        <v>0</v>
      </c>
      <c r="Q10" s="236">
        <f t="shared" ref="Q10:Q23" si="6">IF(O10&gt;0,+N10/P10,0)</f>
        <v>0</v>
      </c>
      <c r="R10" s="237">
        <f t="shared" ref="R10:R23" si="7">IF(O10&gt;0,+O10/P10,0)</f>
        <v>0</v>
      </c>
      <c r="S10" s="64">
        <f t="shared" ref="S10" si="8">IF(O10&gt;0,+O10/N10,0)</f>
        <v>0</v>
      </c>
    </row>
    <row r="11" spans="1:19" ht="12.75" customHeight="1" x14ac:dyDescent="0.2">
      <c r="A11" s="164" t="str">
        <f>+'7. Weather Senstive Class'!A10</f>
        <v>2013</v>
      </c>
      <c r="B11" s="171">
        <f>+'3. Consumption by Rate Class'!L168</f>
        <v>79002498.220000014</v>
      </c>
      <c r="C11" s="78"/>
      <c r="D11" s="171">
        <f t="shared" si="0"/>
        <v>79002498.220000014</v>
      </c>
      <c r="E11" s="171">
        <f>+'3. Consumption by Rate Class'!M168</f>
        <v>204592.81999999998</v>
      </c>
      <c r="F11" s="171">
        <f>+'3. Consumption by Rate Class'!K168</f>
        <v>117.41666666666667</v>
      </c>
      <c r="G11" s="236">
        <f t="shared" si="1"/>
        <v>672838.87767210801</v>
      </c>
      <c r="H11" s="237">
        <f t="shared" si="2"/>
        <v>1742.4512704045419</v>
      </c>
      <c r="I11" s="64">
        <f t="shared" si="3"/>
        <v>2.5897006374439677E-3</v>
      </c>
      <c r="J11" s="297"/>
      <c r="K11" s="298" t="str">
        <f t="shared" si="4"/>
        <v>2013</v>
      </c>
      <c r="L11" s="171">
        <f>+'3. Consumption by Rate Class'!R168</f>
        <v>0</v>
      </c>
      <c r="M11" s="78"/>
      <c r="N11" s="171">
        <f t="shared" si="5"/>
        <v>0</v>
      </c>
      <c r="O11" s="258">
        <f>+'3. Consumption by Rate Class'!S168</f>
        <v>0</v>
      </c>
      <c r="P11" s="171">
        <f>+'3. Consumption by Rate Class'!T168</f>
        <v>0</v>
      </c>
      <c r="Q11" s="236">
        <f t="shared" ref="Q11:Q19" si="9">IF(O11&gt;0,+N11/P11,0)</f>
        <v>0</v>
      </c>
      <c r="R11" s="237">
        <f t="shared" ref="R11:R19" si="10">IF(O11&gt;0,+O11/P11,0)</f>
        <v>0</v>
      </c>
      <c r="S11" s="64">
        <f t="shared" ref="S11:S20" si="11">IF(O11&gt;0,+O11/N11,0)</f>
        <v>0</v>
      </c>
    </row>
    <row r="12" spans="1:19" ht="12.75" customHeight="1" x14ac:dyDescent="0.2">
      <c r="A12" s="164" t="str">
        <f>+'7. Weather Senstive Class'!A11</f>
        <v>2014</v>
      </c>
      <c r="B12" s="171">
        <f>+'3. Consumption by Rate Class'!L169</f>
        <v>81059408.360000014</v>
      </c>
      <c r="C12" s="78"/>
      <c r="D12" s="171">
        <f t="shared" si="0"/>
        <v>81059408.360000014</v>
      </c>
      <c r="E12" s="171">
        <f>+'3. Consumption by Rate Class'!M169</f>
        <v>207725.21000000002</v>
      </c>
      <c r="F12" s="171">
        <f>+'3. Consumption by Rate Class'!K169</f>
        <v>128.41666666666666</v>
      </c>
      <c r="G12" s="236">
        <f t="shared" si="1"/>
        <v>631221.86912394559</v>
      </c>
      <c r="H12" s="237">
        <f t="shared" si="2"/>
        <v>1617.5876184295914</v>
      </c>
      <c r="I12" s="64">
        <f t="shared" si="3"/>
        <v>2.5626292395011501E-3</v>
      </c>
      <c r="J12" s="297"/>
      <c r="K12" s="298" t="str">
        <f t="shared" si="4"/>
        <v>2014</v>
      </c>
      <c r="L12" s="171">
        <f>+'3. Consumption by Rate Class'!R169</f>
        <v>0</v>
      </c>
      <c r="M12" s="78"/>
      <c r="N12" s="171">
        <f t="shared" si="5"/>
        <v>0</v>
      </c>
      <c r="O12" s="258">
        <f>+'3. Consumption by Rate Class'!S169</f>
        <v>0</v>
      </c>
      <c r="P12" s="171">
        <f>+'3. Consumption by Rate Class'!T169</f>
        <v>0</v>
      </c>
      <c r="Q12" s="236">
        <f t="shared" si="9"/>
        <v>0</v>
      </c>
      <c r="R12" s="237">
        <f t="shared" si="10"/>
        <v>0</v>
      </c>
      <c r="S12" s="64">
        <f t="shared" si="11"/>
        <v>0</v>
      </c>
    </row>
    <row r="13" spans="1:19" ht="12.75" customHeight="1" x14ac:dyDescent="0.2">
      <c r="A13" s="164" t="str">
        <f>+'7. Weather Senstive Class'!A12</f>
        <v>2015</v>
      </c>
      <c r="B13" s="171">
        <f>+'3. Consumption by Rate Class'!L170</f>
        <v>82154482.049999997</v>
      </c>
      <c r="C13" s="78"/>
      <c r="D13" s="171">
        <f t="shared" si="0"/>
        <v>82154482.049999997</v>
      </c>
      <c r="E13" s="171">
        <f>+'3. Consumption by Rate Class'!M170</f>
        <v>211971.81999999995</v>
      </c>
      <c r="F13" s="171">
        <f>+'3. Consumption by Rate Class'!K170</f>
        <v>126.66666666666667</v>
      </c>
      <c r="G13" s="236">
        <f t="shared" si="1"/>
        <v>648588.01618421043</v>
      </c>
      <c r="H13" s="237">
        <f t="shared" si="2"/>
        <v>1673.4617368421048</v>
      </c>
      <c r="I13" s="64">
        <f t="shared" si="3"/>
        <v>2.5801613583418602E-3</v>
      </c>
      <c r="J13" s="297"/>
      <c r="K13" s="298" t="str">
        <f t="shared" si="4"/>
        <v>2015</v>
      </c>
      <c r="L13" s="171">
        <f>+'3. Consumption by Rate Class'!R170</f>
        <v>0</v>
      </c>
      <c r="M13" s="78"/>
      <c r="N13" s="171">
        <f t="shared" si="5"/>
        <v>0</v>
      </c>
      <c r="O13" s="258">
        <f>+'3. Consumption by Rate Class'!S170</f>
        <v>0</v>
      </c>
      <c r="P13" s="171">
        <f>+'3. Consumption by Rate Class'!T170</f>
        <v>0</v>
      </c>
      <c r="Q13" s="236">
        <f t="shared" si="9"/>
        <v>0</v>
      </c>
      <c r="R13" s="237">
        <f t="shared" si="10"/>
        <v>0</v>
      </c>
      <c r="S13" s="64">
        <f t="shared" si="11"/>
        <v>0</v>
      </c>
    </row>
    <row r="14" spans="1:19" ht="12.75" customHeight="1" x14ac:dyDescent="0.2">
      <c r="A14" s="164" t="str">
        <f>+'7. Weather Senstive Class'!A13</f>
        <v>2016</v>
      </c>
      <c r="B14" s="171">
        <f>+'3. Consumption by Rate Class'!L171</f>
        <v>82141168.920000002</v>
      </c>
      <c r="C14" s="78"/>
      <c r="D14" s="171">
        <f t="shared" si="0"/>
        <v>82141168.920000002</v>
      </c>
      <c r="E14" s="171">
        <f>+'3. Consumption by Rate Class'!M171</f>
        <v>205191.06</v>
      </c>
      <c r="F14" s="171">
        <f>+'3. Consumption by Rate Class'!K171</f>
        <v>118.08333333333333</v>
      </c>
      <c r="G14" s="236">
        <f t="shared" si="1"/>
        <v>695620.34371206781</v>
      </c>
      <c r="H14" s="237">
        <f t="shared" si="2"/>
        <v>1737.6801129146083</v>
      </c>
      <c r="I14" s="64">
        <f t="shared" si="3"/>
        <v>2.4980294619357359E-3</v>
      </c>
      <c r="J14" s="297"/>
      <c r="K14" s="298" t="str">
        <f t="shared" si="4"/>
        <v>2016</v>
      </c>
      <c r="L14" s="171">
        <f>+'3. Consumption by Rate Class'!R171</f>
        <v>0</v>
      </c>
      <c r="M14" s="78"/>
      <c r="N14" s="171">
        <f t="shared" si="5"/>
        <v>0</v>
      </c>
      <c r="O14" s="258">
        <f>+'3. Consumption by Rate Class'!S171</f>
        <v>0</v>
      </c>
      <c r="P14" s="171">
        <f>+'3. Consumption by Rate Class'!T171</f>
        <v>0</v>
      </c>
      <c r="Q14" s="236">
        <f t="shared" si="9"/>
        <v>0</v>
      </c>
      <c r="R14" s="237">
        <f t="shared" si="10"/>
        <v>0</v>
      </c>
      <c r="S14" s="64">
        <f t="shared" si="11"/>
        <v>0</v>
      </c>
    </row>
    <row r="15" spans="1:19" ht="12.75" customHeight="1" x14ac:dyDescent="0.2">
      <c r="A15" s="164" t="str">
        <f>+'7. Weather Senstive Class'!A14</f>
        <v>2017</v>
      </c>
      <c r="B15" s="171">
        <f>+'3. Consumption by Rate Class'!L172</f>
        <v>81615396.029999986</v>
      </c>
      <c r="C15" s="78"/>
      <c r="D15" s="171">
        <f t="shared" si="0"/>
        <v>81615396.029999986</v>
      </c>
      <c r="E15" s="171">
        <f>+'3. Consumption by Rate Class'!M172</f>
        <v>203219.85</v>
      </c>
      <c r="F15" s="171">
        <f>+'3. Consumption by Rate Class'!K172</f>
        <v>128.45833333333334</v>
      </c>
      <c r="G15" s="236">
        <f t="shared" si="1"/>
        <v>635345.28210184874</v>
      </c>
      <c r="H15" s="237">
        <f t="shared" si="2"/>
        <v>1581.9903989620498</v>
      </c>
      <c r="I15" s="64">
        <f t="shared" si="3"/>
        <v>2.4899695386554387E-3</v>
      </c>
      <c r="J15" s="297"/>
      <c r="K15" s="298" t="str">
        <f t="shared" si="4"/>
        <v>2017</v>
      </c>
      <c r="L15" s="171">
        <f>+'3. Consumption by Rate Class'!R172</f>
        <v>0</v>
      </c>
      <c r="M15" s="78"/>
      <c r="N15" s="171">
        <f t="shared" si="5"/>
        <v>0</v>
      </c>
      <c r="O15" s="258">
        <f>+'3. Consumption by Rate Class'!S172</f>
        <v>0</v>
      </c>
      <c r="P15" s="171">
        <f>+'3. Consumption by Rate Class'!T172</f>
        <v>0</v>
      </c>
      <c r="Q15" s="236">
        <f t="shared" si="9"/>
        <v>0</v>
      </c>
      <c r="R15" s="237">
        <f t="shared" si="10"/>
        <v>0</v>
      </c>
      <c r="S15" s="64">
        <f t="shared" si="11"/>
        <v>0</v>
      </c>
    </row>
    <row r="16" spans="1:19" ht="12.75" customHeight="1" x14ac:dyDescent="0.2">
      <c r="A16" s="164" t="str">
        <f>+'7. Weather Senstive Class'!A15</f>
        <v>2018</v>
      </c>
      <c r="B16" s="171">
        <f>+'3. Consumption by Rate Class'!L173</f>
        <v>85949902.679999992</v>
      </c>
      <c r="C16" s="78"/>
      <c r="D16" s="171">
        <f t="shared" si="0"/>
        <v>85949902.679999992</v>
      </c>
      <c r="E16" s="171">
        <f>+'3. Consumption by Rate Class'!M173</f>
        <v>218902.42</v>
      </c>
      <c r="F16" s="171">
        <f>+'3. Consumption by Rate Class'!K173</f>
        <v>125.75</v>
      </c>
      <c r="G16" s="236">
        <f t="shared" si="1"/>
        <v>683498.23204771371</v>
      </c>
      <c r="H16" s="237">
        <f t="shared" si="2"/>
        <v>1740.7747117296224</v>
      </c>
      <c r="I16" s="64">
        <f t="shared" si="3"/>
        <v>2.5468605917448846E-3</v>
      </c>
      <c r="J16" s="297"/>
      <c r="K16" s="298" t="str">
        <f t="shared" si="4"/>
        <v>2018</v>
      </c>
      <c r="L16" s="171">
        <f>+'3. Consumption by Rate Class'!R173</f>
        <v>0</v>
      </c>
      <c r="M16" s="78"/>
      <c r="N16" s="171">
        <f t="shared" si="5"/>
        <v>0</v>
      </c>
      <c r="O16" s="258">
        <f>+'3. Consumption by Rate Class'!S173</f>
        <v>0</v>
      </c>
      <c r="P16" s="171">
        <f>+'3. Consumption by Rate Class'!T173</f>
        <v>0</v>
      </c>
      <c r="Q16" s="236">
        <f t="shared" si="9"/>
        <v>0</v>
      </c>
      <c r="R16" s="237">
        <f t="shared" si="10"/>
        <v>0</v>
      </c>
      <c r="S16" s="64">
        <f t="shared" si="11"/>
        <v>0</v>
      </c>
    </row>
    <row r="17" spans="1:19" ht="12.75" customHeight="1" x14ac:dyDescent="0.2">
      <c r="A17" s="164" t="str">
        <f>+'7. Weather Senstive Class'!A16</f>
        <v>2019</v>
      </c>
      <c r="B17" s="171">
        <f>+'3. Consumption by Rate Class'!L174</f>
        <v>85448962.169999987</v>
      </c>
      <c r="C17" s="78"/>
      <c r="D17" s="171">
        <f t="shared" si="0"/>
        <v>85448962.169999987</v>
      </c>
      <c r="E17" s="171">
        <f>+'3. Consumption by Rate Class'!M174</f>
        <v>217248.15000000002</v>
      </c>
      <c r="F17" s="171">
        <f>+'3. Consumption by Rate Class'!K174</f>
        <v>126.125</v>
      </c>
      <c r="G17" s="236">
        <f t="shared" si="1"/>
        <v>677494.24911793845</v>
      </c>
      <c r="H17" s="237">
        <f t="shared" si="2"/>
        <v>1722.4828543111994</v>
      </c>
      <c r="I17" s="64">
        <f t="shared" si="3"/>
        <v>2.5424316982081848E-3</v>
      </c>
      <c r="J17" s="297"/>
      <c r="K17" s="298" t="str">
        <f t="shared" si="4"/>
        <v>2019</v>
      </c>
      <c r="L17" s="171">
        <f>+'3. Consumption by Rate Class'!R174</f>
        <v>17267572</v>
      </c>
      <c r="M17" s="78"/>
      <c r="N17" s="171">
        <f t="shared" si="5"/>
        <v>17267572</v>
      </c>
      <c r="O17" s="258">
        <f>+'3. Consumption by Rate Class'!S174</f>
        <v>56470.400000000009</v>
      </c>
      <c r="P17" s="171">
        <f>+'3. Consumption by Rate Class'!T174</f>
        <v>0.66666666666666663</v>
      </c>
      <c r="Q17" s="236">
        <f t="shared" si="9"/>
        <v>25901358</v>
      </c>
      <c r="R17" s="237">
        <f t="shared" si="10"/>
        <v>84705.60000000002</v>
      </c>
      <c r="S17" s="64">
        <f t="shared" si="11"/>
        <v>3.2703150159153821E-3</v>
      </c>
    </row>
    <row r="18" spans="1:19" ht="12.75" customHeight="1" x14ac:dyDescent="0.2">
      <c r="A18" s="164" t="str">
        <f>+'7. Weather Senstive Class'!A17</f>
        <v>2020</v>
      </c>
      <c r="B18" s="171">
        <f>+'3. Consumption by Rate Class'!L175</f>
        <v>75559207.680000007</v>
      </c>
      <c r="C18" s="78"/>
      <c r="D18" s="171">
        <f t="shared" si="0"/>
        <v>75559207.680000007</v>
      </c>
      <c r="E18" s="171">
        <f>+'3. Consumption by Rate Class'!M175</f>
        <v>192751.03</v>
      </c>
      <c r="F18" s="171">
        <f>+'3. Consumption by Rate Class'!K175</f>
        <v>123.875</v>
      </c>
      <c r="G18" s="236">
        <f t="shared" si="1"/>
        <v>609963.33142280532</v>
      </c>
      <c r="H18" s="237">
        <f t="shared" si="2"/>
        <v>1556.012351160444</v>
      </c>
      <c r="I18" s="64">
        <f t="shared" si="3"/>
        <v>2.5509932663179561E-3</v>
      </c>
      <c r="J18" s="297"/>
      <c r="K18" s="298" t="str">
        <f t="shared" si="4"/>
        <v>2020</v>
      </c>
      <c r="L18" s="171">
        <f>+'3. Consumption by Rate Class'!R175</f>
        <v>25776833.599999994</v>
      </c>
      <c r="M18" s="78"/>
      <c r="N18" s="171">
        <f t="shared" si="5"/>
        <v>25776833.599999994</v>
      </c>
      <c r="O18" s="258">
        <f>+'3. Consumption by Rate Class'!S175</f>
        <v>87942.399999999994</v>
      </c>
      <c r="P18" s="171">
        <f>+'3. Consumption by Rate Class'!T175</f>
        <v>1</v>
      </c>
      <c r="Q18" s="236">
        <f t="shared" si="9"/>
        <v>25776833.599999994</v>
      </c>
      <c r="R18" s="237">
        <f t="shared" si="10"/>
        <v>87942.399999999994</v>
      </c>
      <c r="S18" s="64">
        <f t="shared" si="11"/>
        <v>3.4116835824241818E-3</v>
      </c>
    </row>
    <row r="19" spans="1:19" ht="12.75" customHeight="1" x14ac:dyDescent="0.2">
      <c r="A19" s="164" t="str">
        <f>+'7. Weather Senstive Class'!A18</f>
        <v>2021</v>
      </c>
      <c r="B19" s="171">
        <f>+'3. Consumption by Rate Class'!L176</f>
        <v>76914640.730000004</v>
      </c>
      <c r="C19" s="78"/>
      <c r="D19" s="171">
        <f t="shared" si="0"/>
        <v>76914640.730000004</v>
      </c>
      <c r="E19" s="171">
        <f>+'3. Consumption by Rate Class'!M176</f>
        <v>195348.2</v>
      </c>
      <c r="F19" s="171">
        <f>+'3. Consumption by Rate Class'!K176</f>
        <v>124.625</v>
      </c>
      <c r="G19" s="236">
        <f t="shared" si="1"/>
        <v>617168.63173520565</v>
      </c>
      <c r="H19" s="237">
        <f t="shared" si="2"/>
        <v>1567.4880641925779</v>
      </c>
      <c r="I19" s="64">
        <f t="shared" si="3"/>
        <v>2.5398051417251937E-3</v>
      </c>
      <c r="J19" s="297"/>
      <c r="K19" s="298" t="str">
        <f t="shared" si="4"/>
        <v>2021</v>
      </c>
      <c r="L19" s="171">
        <f>+'3. Consumption by Rate Class'!R176</f>
        <v>19135793.599999998</v>
      </c>
      <c r="M19" s="78"/>
      <c r="N19" s="171">
        <f t="shared" si="5"/>
        <v>19135793.599999998</v>
      </c>
      <c r="O19" s="258">
        <f>+'3. Consumption by Rate Class'!S176</f>
        <v>67379.199999999997</v>
      </c>
      <c r="P19" s="171">
        <f>+'3. Consumption by Rate Class'!T176</f>
        <v>1</v>
      </c>
      <c r="Q19" s="236">
        <f t="shared" si="9"/>
        <v>19135793.599999998</v>
      </c>
      <c r="R19" s="237">
        <f t="shared" si="10"/>
        <v>67379.199999999997</v>
      </c>
      <c r="S19" s="64">
        <f t="shared" si="11"/>
        <v>3.5211082126220261E-3</v>
      </c>
    </row>
    <row r="20" spans="1:19" ht="12.75" customHeight="1" x14ac:dyDescent="0.2">
      <c r="A20" s="164" t="str">
        <f>+'7. Weather Senstive Class'!A19</f>
        <v>2022</v>
      </c>
      <c r="B20" s="171">
        <f>+'3. Consumption by Rate Class'!L177</f>
        <v>86314881.909999996</v>
      </c>
      <c r="C20" s="78"/>
      <c r="D20" s="171">
        <f t="shared" si="0"/>
        <v>86314881.909999996</v>
      </c>
      <c r="E20" s="171">
        <f>+'3. Consumption by Rate Class'!M177</f>
        <v>221358.69999999998</v>
      </c>
      <c r="F20" s="171">
        <f>+'3. Consumption by Rate Class'!K177</f>
        <v>126</v>
      </c>
      <c r="G20" s="567">
        <f>IF(D20&gt;0,+D20/F20,0)/$B$5*12</f>
        <v>685038.74531746027</v>
      </c>
      <c r="H20" s="568">
        <f>IF(E20&gt;0,+E20/F20,0)/$B$5*12</f>
        <v>1756.8150793650793</v>
      </c>
      <c r="I20" s="64">
        <f t="shared" si="3"/>
        <v>2.5645484892258714E-3</v>
      </c>
      <c r="J20" s="297"/>
      <c r="K20" s="298" t="str">
        <f t="shared" si="4"/>
        <v>2022</v>
      </c>
      <c r="L20" s="171">
        <f>+'3. Consumption by Rate Class'!R177</f>
        <v>1250860.7999999998</v>
      </c>
      <c r="M20" s="78"/>
      <c r="N20" s="171">
        <f t="shared" si="5"/>
        <v>1250860.7999999998</v>
      </c>
      <c r="O20" s="258">
        <f>+'3. Consumption by Rate Class'!S177</f>
        <v>8525.4000000000015</v>
      </c>
      <c r="P20" s="171">
        <f>+'3. Consumption by Rate Class'!T177</f>
        <v>0.5</v>
      </c>
      <c r="Q20" s="567">
        <f>IF(N20&gt;0,+N20/P20,0)/B5*12</f>
        <v>2501721.5999999996</v>
      </c>
      <c r="R20" s="568">
        <f>IF(O20&gt;0,+O20/P20,0)/B5*12</f>
        <v>17050.800000000003</v>
      </c>
      <c r="S20" s="64">
        <f t="shared" si="11"/>
        <v>6.8156264869760107E-3</v>
      </c>
    </row>
    <row r="21" spans="1:19" ht="12.75" customHeight="1" x14ac:dyDescent="0.2">
      <c r="A21" s="164"/>
      <c r="B21" s="171"/>
      <c r="C21" s="78"/>
      <c r="D21" s="171"/>
      <c r="E21" s="171"/>
      <c r="F21" s="171"/>
      <c r="G21" s="236"/>
      <c r="H21" s="237"/>
      <c r="I21" s="64"/>
      <c r="J21" s="297"/>
      <c r="K21" s="298"/>
      <c r="L21" s="171"/>
      <c r="M21" s="78"/>
      <c r="N21" s="171"/>
      <c r="O21" s="258"/>
      <c r="P21" s="171"/>
      <c r="Q21" s="516"/>
      <c r="R21" s="237"/>
      <c r="S21" s="64"/>
    </row>
    <row r="22" spans="1:19" ht="12.75" customHeight="1" x14ac:dyDescent="0.2">
      <c r="A22" s="164" t="str">
        <f>+'7. Weather Senstive Class'!A21</f>
        <v>2022</v>
      </c>
      <c r="B22" s="258">
        <f>+B20/'6. WS Regression Analysis'!AC74*'6. WS Regression Analysis'!AC75</f>
        <v>86314881.909999996</v>
      </c>
      <c r="C22" s="501"/>
      <c r="D22" s="703">
        <f>+G22*F22</f>
        <v>86314881.909999996</v>
      </c>
      <c r="E22" s="258">
        <f>+D22*I26</f>
        <v>219944.56334445722</v>
      </c>
      <c r="F22" s="258">
        <f>+'4. Customer Growth'!H18</f>
        <v>126</v>
      </c>
      <c r="G22" s="236">
        <f>G20</f>
        <v>685038.74531746027</v>
      </c>
      <c r="H22" s="237">
        <f t="shared" si="2"/>
        <v>1745.5917725750573</v>
      </c>
      <c r="I22" s="71"/>
      <c r="J22" s="167"/>
      <c r="K22" s="298" t="str">
        <f t="shared" si="4"/>
        <v>2022</v>
      </c>
      <c r="L22" s="258">
        <f>+O22/S26</f>
        <v>2003768.4005620196</v>
      </c>
      <c r="M22" s="78"/>
      <c r="N22" s="171">
        <f>+N20</f>
        <v>1250860.7999999998</v>
      </c>
      <c r="O22" s="493">
        <f>+O20</f>
        <v>8525.4000000000015</v>
      </c>
      <c r="P22" s="697">
        <f>1/12*6</f>
        <v>0.5</v>
      </c>
      <c r="Q22" s="698">
        <f t="shared" si="6"/>
        <v>2501721.5999999996</v>
      </c>
      <c r="R22" s="699">
        <f t="shared" si="7"/>
        <v>17050.800000000003</v>
      </c>
      <c r="S22" s="238">
        <f>+R22/Q22</f>
        <v>6.8156264869760107E-3</v>
      </c>
    </row>
    <row r="23" spans="1:19" x14ac:dyDescent="0.2">
      <c r="A23" s="164" t="str">
        <f>+'7. Weather Senstive Class'!A22</f>
        <v>2023</v>
      </c>
      <c r="B23" s="500"/>
      <c r="C23" s="501"/>
      <c r="D23" s="703">
        <f>+G23*F23</f>
        <v>85629843.164682537</v>
      </c>
      <c r="E23" s="258">
        <f>+D23*I26</f>
        <v>218198.97157188217</v>
      </c>
      <c r="F23" s="258">
        <f>+'4. Customer Growth'!H27</f>
        <v>125</v>
      </c>
      <c r="G23" s="236">
        <f>+G22</f>
        <v>685038.74531746027</v>
      </c>
      <c r="H23" s="237">
        <f t="shared" si="2"/>
        <v>1745.5917725750573</v>
      </c>
      <c r="I23" s="71"/>
      <c r="J23" s="167"/>
      <c r="K23" s="298" t="str">
        <f t="shared" si="4"/>
        <v>2023</v>
      </c>
      <c r="L23" s="258">
        <f>5000*24*365*0.9/2</f>
        <v>19710000</v>
      </c>
      <c r="M23" s="78"/>
      <c r="N23" s="171">
        <f t="shared" si="5"/>
        <v>19710000</v>
      </c>
      <c r="O23" s="493">
        <f>5000*6</f>
        <v>30000</v>
      </c>
      <c r="P23" s="697">
        <v>0.5</v>
      </c>
      <c r="Q23" s="698">
        <f t="shared" si="6"/>
        <v>39420000</v>
      </c>
      <c r="R23" s="699">
        <f t="shared" si="7"/>
        <v>60000</v>
      </c>
      <c r="S23" s="238">
        <f>+R23/Q23</f>
        <v>1.5220700152207001E-3</v>
      </c>
    </row>
    <row r="24" spans="1:19" x14ac:dyDescent="0.2">
      <c r="A24" s="164" t="s">
        <v>394</v>
      </c>
      <c r="B24" s="553"/>
      <c r="C24" s="554"/>
      <c r="D24" s="703">
        <f>+G24*F24</f>
        <v>86743031.125823408</v>
      </c>
      <c r="E24" s="258">
        <f>+D24*I26</f>
        <v>221035.55820231661</v>
      </c>
      <c r="F24" s="258">
        <f>+'4. Customer Growth'!H28</f>
        <v>126.625</v>
      </c>
      <c r="G24" s="236">
        <f>+G23</f>
        <v>685038.74531746027</v>
      </c>
      <c r="H24" s="237">
        <f t="shared" si="2"/>
        <v>1745.5917725750571</v>
      </c>
      <c r="I24" s="71"/>
      <c r="J24" s="167"/>
      <c r="K24" s="298" t="str">
        <f t="shared" si="4"/>
        <v>2024</v>
      </c>
      <c r="L24" s="258">
        <f>5000*24*365*0.9</f>
        <v>39420000</v>
      </c>
      <c r="M24" s="700"/>
      <c r="N24" s="171">
        <f t="shared" si="5"/>
        <v>39420000</v>
      </c>
      <c r="O24" s="493">
        <f>5000*12</f>
        <v>60000</v>
      </c>
      <c r="P24" s="697">
        <v>1</v>
      </c>
      <c r="Q24" s="698">
        <f t="shared" ref="Q24" si="12">IF(O24&gt;0,+N24/P24,0)</f>
        <v>39420000</v>
      </c>
      <c r="R24" s="699">
        <f t="shared" ref="R24" si="13">IF(O24&gt;0,+O24/P24,0)</f>
        <v>60000</v>
      </c>
      <c r="S24" s="238">
        <f>+R24/Q24</f>
        <v>1.5220700152207001E-3</v>
      </c>
    </row>
    <row r="25" spans="1:19" x14ac:dyDescent="0.2">
      <c r="A25" s="293"/>
      <c r="B25" s="239"/>
      <c r="C25" s="239"/>
      <c r="D25" s="258"/>
      <c r="E25" s="258"/>
      <c r="F25" s="257"/>
      <c r="G25" s="257"/>
      <c r="H25" s="258"/>
      <c r="I25" s="71"/>
      <c r="J25" s="167"/>
      <c r="K25" s="293"/>
      <c r="L25" s="239"/>
      <c r="M25" s="239"/>
      <c r="N25" s="258"/>
      <c r="O25" s="258"/>
      <c r="P25" s="258"/>
      <c r="Q25" s="258"/>
      <c r="R25" s="494"/>
      <c r="S25" s="39"/>
    </row>
    <row r="26" spans="1:19" ht="16.5" customHeight="1" x14ac:dyDescent="0.2">
      <c r="A26" s="299" t="s">
        <v>97</v>
      </c>
      <c r="B26" s="300"/>
      <c r="C26" s="300"/>
      <c r="D26" s="493">
        <v>10</v>
      </c>
      <c r="E26" s="258"/>
      <c r="F26" s="257"/>
      <c r="G26" s="533">
        <f>AVERAGE(G10:G20)</f>
        <v>656952.41212037404</v>
      </c>
      <c r="H26" s="301">
        <f>AVERAGE(H10:H20)</f>
        <v>1674.0231606012699</v>
      </c>
      <c r="I26" s="701">
        <f>+H26/G26</f>
        <v>2.5481650264411191E-3</v>
      </c>
      <c r="J26" s="297"/>
      <c r="K26" s="299" t="s">
        <v>97</v>
      </c>
      <c r="L26" s="302"/>
      <c r="M26" s="302"/>
      <c r="N26" s="127"/>
      <c r="O26" s="258"/>
      <c r="P26" s="258"/>
      <c r="Q26" s="301">
        <f>IF($N$26=1,+AVERAGE(Q16:Q16),+IF($N$26=2,+AVERAGE(Q15:Q16),+IF($N$26=3,+AVERAGE(Q14:Q16),+IF($N$26=4,+AVERAGE(Q13:Q16),+IF($N$26=5,+AVERAGE(Q12:Q16),+IF($N$26=6,+AVERAGE(Q11:Q16),+IF($N$26=7,+AVERAGE(Q10:Q16),+IF($N$26=8,+AVERAGE(Q10:Q16),+IF($N$26=9,+AVERAGE(Q10:Q16),+IF($N$26=10,+AVERAGE(Q10:Q16),0))))))))))</f>
        <v>0</v>
      </c>
      <c r="R26" s="494">
        <f>IF($N$26=1,+AVERAGE(R16:R16),+IF($N$26=2,+AVERAGE(R15:R16),+IF($N$26=3,+AVERAGE(R14:R16),+IF($N$26=4,+AVERAGE(R13:R16),+IF($N$26=5,+AVERAGE(R12:R16),+IF($N$26=6,+AVERAGE(R11:R16),+IF($N$26=7,+AVERAGE(R10:R16),+IF($N$26=8,+AVERAGE(R10:R16),+IF($N$26=9,+AVERAGE(R10:R16),+IF($N$26=10,+AVERAGE(R10:R16),0))))))))))</f>
        <v>0</v>
      </c>
      <c r="S26" s="238">
        <f>AVERAGE(S17:S20)</f>
        <v>4.2546833244843998E-3</v>
      </c>
    </row>
    <row r="27" spans="1:19" ht="13.5" thickBot="1" x14ac:dyDescent="0.25">
      <c r="A27" s="18"/>
      <c r="B27" s="86"/>
      <c r="C27" s="86"/>
      <c r="D27" s="8"/>
      <c r="E27" s="8"/>
      <c r="F27" s="63"/>
      <c r="G27" s="63"/>
      <c r="H27" s="8"/>
      <c r="I27" s="73"/>
      <c r="K27" s="25"/>
      <c r="L27" s="85"/>
      <c r="M27" s="85"/>
      <c r="N27" s="26"/>
      <c r="O27" s="26"/>
      <c r="P27" s="26"/>
      <c r="Q27" s="26"/>
      <c r="R27" s="26"/>
      <c r="S27" s="35"/>
    </row>
    <row r="28" spans="1:19" x14ac:dyDescent="0.2">
      <c r="A28" s="315"/>
      <c r="B28" s="315"/>
      <c r="C28" s="315"/>
      <c r="D28" s="315"/>
      <c r="E28" s="315"/>
      <c r="F28" s="315"/>
      <c r="G28" s="315"/>
      <c r="H28" s="315"/>
      <c r="I28" s="315"/>
      <c r="K28" s="315"/>
      <c r="L28" s="315"/>
      <c r="M28" s="315"/>
      <c r="N28" s="315"/>
      <c r="O28" s="315"/>
      <c r="P28" s="315"/>
      <c r="Q28" s="315"/>
      <c r="R28" s="315"/>
      <c r="S28" s="315"/>
    </row>
    <row r="29" spans="1:19" ht="13.5" thickBot="1" x14ac:dyDescent="0.25">
      <c r="I29" s="62"/>
    </row>
    <row r="30" spans="1:19" ht="13.5" thickBot="1" x14ac:dyDescent="0.25">
      <c r="A30" s="645" t="str">
        <f>+A7</f>
        <v>General Service &gt; 50 kW - 4999 kW (excluding Large Use while in GS&gt;50 class)</v>
      </c>
      <c r="B30" s="646"/>
      <c r="C30" s="646"/>
      <c r="D30" s="646"/>
      <c r="E30" s="646"/>
      <c r="F30" s="646"/>
      <c r="G30" s="646"/>
      <c r="H30" s="646"/>
      <c r="I30" s="647"/>
      <c r="K30" s="645" t="str">
        <f>+K7</f>
        <v>Large User</v>
      </c>
      <c r="L30" s="646"/>
      <c r="M30" s="646"/>
      <c r="N30" s="646"/>
      <c r="O30" s="646"/>
      <c r="P30" s="646"/>
      <c r="Q30" s="646"/>
      <c r="R30" s="646"/>
      <c r="S30" s="647"/>
    </row>
    <row r="31" spans="1:19" ht="29.25" customHeight="1" x14ac:dyDescent="0.2">
      <c r="A31" s="66" t="s">
        <v>31</v>
      </c>
      <c r="B31" s="67" t="s">
        <v>37</v>
      </c>
      <c r="C31" s="67" t="s">
        <v>108</v>
      </c>
      <c r="D31" s="67" t="s">
        <v>216</v>
      </c>
      <c r="E31" s="316"/>
      <c r="F31" s="67" t="s">
        <v>109</v>
      </c>
      <c r="G31" s="67" t="s">
        <v>217</v>
      </c>
      <c r="H31" s="67" t="s">
        <v>110</v>
      </c>
      <c r="I31" s="68" t="s">
        <v>111</v>
      </c>
      <c r="J31" s="61"/>
      <c r="K31" s="66" t="s">
        <v>31</v>
      </c>
      <c r="L31" s="67" t="s">
        <v>37</v>
      </c>
      <c r="M31" s="67" t="s">
        <v>108</v>
      </c>
      <c r="N31" s="67" t="s">
        <v>216</v>
      </c>
      <c r="O31" s="316"/>
      <c r="P31" s="67" t="s">
        <v>109</v>
      </c>
      <c r="Q31" s="67" t="s">
        <v>217</v>
      </c>
      <c r="R31" s="67" t="s">
        <v>110</v>
      </c>
      <c r="S31" s="68" t="s">
        <v>111</v>
      </c>
    </row>
    <row r="32" spans="1:19" ht="12.75" customHeight="1" x14ac:dyDescent="0.2">
      <c r="A32" s="2" t="str">
        <f>+A22</f>
        <v>2022</v>
      </c>
      <c r="B32" s="312">
        <v>0</v>
      </c>
      <c r="C32" s="65">
        <f>+G26</f>
        <v>656952.41212037404</v>
      </c>
      <c r="D32" s="65">
        <f>+B32*C32</f>
        <v>0</v>
      </c>
      <c r="E32" s="317"/>
      <c r="F32" s="555">
        <f>+H26</f>
        <v>1674.0231606012699</v>
      </c>
      <c r="G32" s="65">
        <f>+B32*F32</f>
        <v>0</v>
      </c>
      <c r="H32" s="556">
        <f>D22+D32</f>
        <v>86314881.909999996</v>
      </c>
      <c r="I32" s="557">
        <f>E22+G32</f>
        <v>219944.56334445722</v>
      </c>
      <c r="K32" s="2" t="str">
        <f>+K22</f>
        <v>2022</v>
      </c>
      <c r="L32" s="312">
        <v>0</v>
      </c>
      <c r="M32" s="65">
        <f>+Q26</f>
        <v>0</v>
      </c>
      <c r="N32" s="65">
        <f>+L32*M32</f>
        <v>0</v>
      </c>
      <c r="O32" s="317"/>
      <c r="P32" s="69">
        <f>+R26</f>
        <v>0</v>
      </c>
      <c r="Q32" s="65">
        <f>+L32*P32</f>
        <v>0</v>
      </c>
      <c r="R32" s="70">
        <f>N22+N32</f>
        <v>1250860.7999999998</v>
      </c>
      <c r="S32" s="314">
        <f>O22+Q32</f>
        <v>8525.4000000000015</v>
      </c>
    </row>
    <row r="33" spans="1:19" ht="13.5" customHeight="1" x14ac:dyDescent="0.2">
      <c r="A33" s="2" t="str">
        <f>+A23</f>
        <v>2023</v>
      </c>
      <c r="B33" s="312">
        <v>0</v>
      </c>
      <c r="C33" s="65">
        <f>+G26</f>
        <v>656952.41212037404</v>
      </c>
      <c r="D33" s="65">
        <f>+B33*C33</f>
        <v>0</v>
      </c>
      <c r="E33" s="317"/>
      <c r="F33" s="555">
        <f>+H26</f>
        <v>1674.0231606012699</v>
      </c>
      <c r="G33" s="65">
        <f>+B33*F33</f>
        <v>0</v>
      </c>
      <c r="H33" s="556">
        <f>D23+D33</f>
        <v>85629843.164682537</v>
      </c>
      <c r="I33" s="557">
        <f>E23+G33</f>
        <v>218198.97157188217</v>
      </c>
      <c r="K33" s="2" t="str">
        <f>+K23</f>
        <v>2023</v>
      </c>
      <c r="L33" s="312">
        <v>0</v>
      </c>
      <c r="M33" s="65">
        <f>+Q26</f>
        <v>0</v>
      </c>
      <c r="N33" s="65">
        <f>+L33*M33</f>
        <v>0</v>
      </c>
      <c r="O33" s="317"/>
      <c r="P33" s="555">
        <f>+R26</f>
        <v>0</v>
      </c>
      <c r="Q33" s="65">
        <f>+L33*P33</f>
        <v>0</v>
      </c>
      <c r="R33" s="556">
        <f>N23+N33</f>
        <v>19710000</v>
      </c>
      <c r="S33" s="557">
        <f>O23+Q33</f>
        <v>30000</v>
      </c>
    </row>
    <row r="34" spans="1:19" ht="13.5" customHeight="1" thickBot="1" x14ac:dyDescent="0.25">
      <c r="A34" s="7" t="str">
        <f>+A24</f>
        <v>2024</v>
      </c>
      <c r="B34" s="313">
        <v>0</v>
      </c>
      <c r="C34" s="72">
        <f>+G27</f>
        <v>0</v>
      </c>
      <c r="D34" s="72">
        <f>+B34*C34</f>
        <v>0</v>
      </c>
      <c r="E34" s="318"/>
      <c r="F34" s="558">
        <f>+H27</f>
        <v>0</v>
      </c>
      <c r="G34" s="72">
        <f>+B34*F34</f>
        <v>0</v>
      </c>
      <c r="H34" s="559">
        <f>D24+D34</f>
        <v>86743031.125823408</v>
      </c>
      <c r="I34" s="560">
        <f>E24+G34</f>
        <v>221035.55820231661</v>
      </c>
      <c r="K34" s="7" t="str">
        <f>+K24</f>
        <v>2024</v>
      </c>
      <c r="L34" s="313">
        <v>0</v>
      </c>
      <c r="M34" s="72">
        <f>+Q27</f>
        <v>0</v>
      </c>
      <c r="N34" s="72">
        <f>+L34*M34</f>
        <v>0</v>
      </c>
      <c r="O34" s="318"/>
      <c r="P34" s="558">
        <f>+R27</f>
        <v>0</v>
      </c>
      <c r="Q34" s="72">
        <f>+L34*P34</f>
        <v>0</v>
      </c>
      <c r="R34" s="559">
        <f>N24+N34</f>
        <v>39420000</v>
      </c>
      <c r="S34" s="560">
        <f>O24+Q34</f>
        <v>60000</v>
      </c>
    </row>
    <row r="35" spans="1:19" x14ac:dyDescent="0.2">
      <c r="I35" s="62"/>
    </row>
    <row r="36" spans="1:19" ht="13.5" thickBot="1" x14ac:dyDescent="0.25">
      <c r="A36" s="24"/>
      <c r="B36" s="24"/>
      <c r="C36" s="24"/>
    </row>
    <row r="37" spans="1:19" ht="13.5" thickBot="1" x14ac:dyDescent="0.25">
      <c r="A37" s="623" t="s">
        <v>51</v>
      </c>
      <c r="B37" s="624"/>
      <c r="C37" s="624"/>
      <c r="D37" s="624"/>
      <c r="E37" s="624"/>
      <c r="F37" s="624"/>
      <c r="G37" s="624"/>
      <c r="H37" s="624"/>
      <c r="I37" s="625"/>
      <c r="K37" s="623" t="s">
        <v>52</v>
      </c>
      <c r="L37" s="624"/>
      <c r="M37" s="624"/>
      <c r="N37" s="624"/>
      <c r="O37" s="624"/>
      <c r="P37" s="624"/>
      <c r="Q37" s="624"/>
      <c r="R37" s="624"/>
      <c r="S37" s="625"/>
    </row>
    <row r="38" spans="1:19" ht="25.5" x14ac:dyDescent="0.2">
      <c r="A38" s="305" t="s">
        <v>31</v>
      </c>
      <c r="B38" s="306" t="s">
        <v>33</v>
      </c>
      <c r="C38" s="306" t="s">
        <v>125</v>
      </c>
      <c r="D38" s="307" t="s">
        <v>33</v>
      </c>
      <c r="E38" s="307" t="s">
        <v>34</v>
      </c>
      <c r="F38" s="307" t="s">
        <v>107</v>
      </c>
      <c r="G38" s="307" t="s">
        <v>105</v>
      </c>
      <c r="H38" s="307" t="s">
        <v>106</v>
      </c>
      <c r="I38" s="308" t="s">
        <v>38</v>
      </c>
      <c r="K38" s="309" t="s">
        <v>31</v>
      </c>
      <c r="L38" s="306" t="s">
        <v>33</v>
      </c>
      <c r="M38" s="306" t="s">
        <v>125</v>
      </c>
      <c r="N38" s="310" t="s">
        <v>33</v>
      </c>
      <c r="O38" s="310" t="s">
        <v>34</v>
      </c>
      <c r="P38" s="310" t="s">
        <v>107</v>
      </c>
      <c r="Q38" s="310" t="s">
        <v>105</v>
      </c>
      <c r="R38" s="310" t="s">
        <v>106</v>
      </c>
      <c r="S38" s="311" t="s">
        <v>38</v>
      </c>
    </row>
    <row r="39" spans="1:19" x14ac:dyDescent="0.2">
      <c r="A39" s="293" t="s">
        <v>28</v>
      </c>
      <c r="B39" s="239"/>
      <c r="C39" s="239"/>
      <c r="D39" s="294"/>
      <c r="E39" s="294"/>
      <c r="F39" s="294"/>
      <c r="G39" s="294"/>
      <c r="H39" s="294"/>
      <c r="I39" s="296"/>
      <c r="K39" s="293" t="s">
        <v>28</v>
      </c>
      <c r="L39" s="239"/>
      <c r="M39" s="239"/>
      <c r="N39" s="294"/>
      <c r="O39" s="294"/>
      <c r="P39" s="294"/>
      <c r="Q39" s="294"/>
      <c r="R39" s="294"/>
      <c r="S39" s="39"/>
    </row>
    <row r="40" spans="1:19" x14ac:dyDescent="0.2">
      <c r="A40" s="164" t="str">
        <f t="shared" ref="A40:A50" si="14">A10</f>
        <v>2012</v>
      </c>
      <c r="B40" s="171">
        <f>+'3. Consumption by Rate Class'!O167</f>
        <v>1163464.3800000001</v>
      </c>
      <c r="C40" s="78"/>
      <c r="D40" s="171">
        <f t="shared" ref="D40:D50" si="15">+B40+C40</f>
        <v>1163464.3800000001</v>
      </c>
      <c r="E40" s="171">
        <f>+'3. Consumption by Rate Class'!P167</f>
        <v>3238.8</v>
      </c>
      <c r="F40" s="171">
        <f>+'3. Consumption by Rate Class'!Q167</f>
        <v>1946.75</v>
      </c>
      <c r="G40" s="236">
        <f t="shared" ref="G40:G49" si="16">IF(E40&gt;0,+D40/F40,0)</f>
        <v>597.64447412353934</v>
      </c>
      <c r="H40" s="237">
        <f t="shared" ref="H40:H53" si="17">IF(E40&gt;0,+E40/F40,0)</f>
        <v>1.6636959034287917</v>
      </c>
      <c r="I40" s="64">
        <f t="shared" ref="I40:I46" si="18">IF(E40&gt;0,+E40/D40,0)</f>
        <v>2.7837551846666762E-3</v>
      </c>
      <c r="K40" s="164" t="str">
        <f t="shared" ref="K40:K50" si="19">A10</f>
        <v>2012</v>
      </c>
      <c r="L40" s="171">
        <f>+'3. Consumption by Rate Class'!G167</f>
        <v>226393.8</v>
      </c>
      <c r="M40" s="78"/>
      <c r="N40" s="171">
        <f t="shared" ref="N40:N54" si="20">+L40+M40</f>
        <v>226393.8</v>
      </c>
      <c r="O40" s="258"/>
      <c r="P40" s="171">
        <f>+'3. Consumption by Rate Class'!H167</f>
        <v>20.791666666666668</v>
      </c>
      <c r="Q40" s="236">
        <f>+N40/P40</f>
        <v>10888.679759519036</v>
      </c>
      <c r="R40" s="237">
        <f t="shared" ref="R40:R53" si="21">IF(O40&gt;0,+O40/P40,0)</f>
        <v>0</v>
      </c>
      <c r="S40" s="64">
        <f t="shared" ref="S40:S53" si="22">IF(O40&gt;0,+O40/N40,0)</f>
        <v>0</v>
      </c>
    </row>
    <row r="41" spans="1:19" x14ac:dyDescent="0.2">
      <c r="A41" s="164" t="str">
        <f t="shared" si="14"/>
        <v>2013</v>
      </c>
      <c r="B41" s="171">
        <f>+'3. Consumption by Rate Class'!O168</f>
        <v>1160023.9100000001</v>
      </c>
      <c r="C41" s="78"/>
      <c r="D41" s="171">
        <f t="shared" si="15"/>
        <v>1160023.9100000001</v>
      </c>
      <c r="E41" s="171">
        <f>+'3. Consumption by Rate Class'!P168</f>
        <v>3256.79</v>
      </c>
      <c r="F41" s="171">
        <f>+'3. Consumption by Rate Class'!Q168</f>
        <v>1948.75</v>
      </c>
      <c r="G41" s="236">
        <f t="shared" si="16"/>
        <v>595.26563694676076</v>
      </c>
      <c r="H41" s="237">
        <f t="shared" si="17"/>
        <v>1.6712200128287364</v>
      </c>
      <c r="I41" s="64">
        <f t="shared" si="18"/>
        <v>2.8075197174168586E-3</v>
      </c>
      <c r="K41" s="164" t="str">
        <f t="shared" si="19"/>
        <v>2013</v>
      </c>
      <c r="L41" s="171">
        <f>+'3. Consumption by Rate Class'!G168</f>
        <v>234467.23</v>
      </c>
      <c r="M41" s="78"/>
      <c r="N41" s="171">
        <f t="shared" si="20"/>
        <v>234467.23</v>
      </c>
      <c r="O41" s="258"/>
      <c r="P41" s="171">
        <f>+'3. Consumption by Rate Class'!H168</f>
        <v>20.125</v>
      </c>
      <c r="Q41" s="236">
        <f t="shared" ref="Q41:Q49" si="23">+N41/P41</f>
        <v>11650.545590062113</v>
      </c>
      <c r="R41" s="237">
        <f t="shared" si="21"/>
        <v>0</v>
      </c>
      <c r="S41" s="64">
        <f t="shared" si="22"/>
        <v>0</v>
      </c>
    </row>
    <row r="42" spans="1:19" x14ac:dyDescent="0.2">
      <c r="A42" s="164" t="str">
        <f t="shared" si="14"/>
        <v>2014</v>
      </c>
      <c r="B42" s="171">
        <f>+'3. Consumption by Rate Class'!O169</f>
        <v>1160025.06</v>
      </c>
      <c r="C42" s="78"/>
      <c r="D42" s="171">
        <f t="shared" si="15"/>
        <v>1160025.06</v>
      </c>
      <c r="E42" s="171">
        <f>+'3. Consumption by Rate Class'!P169</f>
        <v>3238.8</v>
      </c>
      <c r="F42" s="171">
        <f>+'3. Consumption by Rate Class'!Q169</f>
        <v>2051.3333333333335</v>
      </c>
      <c r="G42" s="236">
        <f t="shared" si="16"/>
        <v>565.4980792980175</v>
      </c>
      <c r="H42" s="237">
        <f t="shared" si="17"/>
        <v>1.5788755281117972</v>
      </c>
      <c r="I42" s="64">
        <f t="shared" si="18"/>
        <v>2.7920086485028178E-3</v>
      </c>
      <c r="K42" s="164" t="str">
        <f t="shared" si="19"/>
        <v>2014</v>
      </c>
      <c r="L42" s="171">
        <f>+'3. Consumption by Rate Class'!G169</f>
        <v>230816.74</v>
      </c>
      <c r="M42" s="78"/>
      <c r="N42" s="171">
        <f t="shared" si="20"/>
        <v>230816.74</v>
      </c>
      <c r="O42" s="258"/>
      <c r="P42" s="171">
        <f>+'3. Consumption by Rate Class'!H169</f>
        <v>19.541666666666668</v>
      </c>
      <c r="Q42" s="236">
        <f t="shared" si="23"/>
        <v>11811.517611940297</v>
      </c>
      <c r="R42" s="237">
        <f t="shared" si="21"/>
        <v>0</v>
      </c>
      <c r="S42" s="64">
        <f t="shared" si="22"/>
        <v>0</v>
      </c>
    </row>
    <row r="43" spans="1:19" x14ac:dyDescent="0.2">
      <c r="A43" s="164" t="str">
        <f t="shared" si="14"/>
        <v>2015</v>
      </c>
      <c r="B43" s="171">
        <f>+'3. Consumption by Rate Class'!O170</f>
        <v>974371.32000000007</v>
      </c>
      <c r="C43" s="78"/>
      <c r="D43" s="171">
        <f t="shared" si="15"/>
        <v>974371.32000000007</v>
      </c>
      <c r="E43" s="171">
        <f>+'3. Consumption by Rate Class'!P170</f>
        <v>2742.9900000000007</v>
      </c>
      <c r="F43" s="171">
        <f>+'3. Consumption by Rate Class'!Q170</f>
        <v>2080.75</v>
      </c>
      <c r="G43" s="236">
        <f t="shared" si="16"/>
        <v>468.27889943529982</v>
      </c>
      <c r="H43" s="237">
        <f t="shared" si="17"/>
        <v>1.3182698546197289</v>
      </c>
      <c r="I43" s="64">
        <f t="shared" si="18"/>
        <v>2.8151382780847866E-3</v>
      </c>
      <c r="K43" s="164" t="str">
        <f t="shared" si="19"/>
        <v>2015</v>
      </c>
      <c r="L43" s="171">
        <f>+'3. Consumption by Rate Class'!G170</f>
        <v>224901.2</v>
      </c>
      <c r="M43" s="78"/>
      <c r="N43" s="171">
        <f t="shared" si="20"/>
        <v>224901.2</v>
      </c>
      <c r="O43" s="258"/>
      <c r="P43" s="171">
        <f>+'3. Consumption by Rate Class'!H170</f>
        <v>18.25</v>
      </c>
      <c r="Q43" s="236">
        <f t="shared" si="23"/>
        <v>12323.353424657535</v>
      </c>
      <c r="R43" s="237">
        <f t="shared" si="21"/>
        <v>0</v>
      </c>
      <c r="S43" s="64">
        <f t="shared" si="22"/>
        <v>0</v>
      </c>
    </row>
    <row r="44" spans="1:19" x14ac:dyDescent="0.2">
      <c r="A44" s="164" t="str">
        <f t="shared" si="14"/>
        <v>2016</v>
      </c>
      <c r="B44" s="171">
        <f>+'3. Consumption by Rate Class'!O171</f>
        <v>861899.34000000008</v>
      </c>
      <c r="C44" s="78"/>
      <c r="D44" s="171">
        <f t="shared" si="15"/>
        <v>861899.34000000008</v>
      </c>
      <c r="E44" s="171">
        <f>+'3. Consumption by Rate Class'!P171</f>
        <v>2373.42</v>
      </c>
      <c r="F44" s="171">
        <f>+'3. Consumption by Rate Class'!Q171</f>
        <v>2120.1666666666665</v>
      </c>
      <c r="G44" s="236">
        <f t="shared" si="16"/>
        <v>406.52433299268932</v>
      </c>
      <c r="H44" s="237">
        <f t="shared" si="17"/>
        <v>1.1194497287949061</v>
      </c>
      <c r="I44" s="64">
        <f t="shared" si="18"/>
        <v>2.7537090352105385E-3</v>
      </c>
      <c r="K44" s="164" t="str">
        <f t="shared" si="19"/>
        <v>2016</v>
      </c>
      <c r="L44" s="171">
        <f>+'3. Consumption by Rate Class'!G171</f>
        <v>224075.16999999998</v>
      </c>
      <c r="M44" s="78"/>
      <c r="N44" s="171">
        <f t="shared" si="20"/>
        <v>224075.16999999998</v>
      </c>
      <c r="O44" s="258"/>
      <c r="P44" s="171">
        <f>+'3. Consumption by Rate Class'!H171</f>
        <v>16.833333333333332</v>
      </c>
      <c r="Q44" s="236">
        <f t="shared" si="23"/>
        <v>13311.396237623763</v>
      </c>
      <c r="R44" s="237">
        <f t="shared" si="21"/>
        <v>0</v>
      </c>
      <c r="S44" s="64">
        <f t="shared" si="22"/>
        <v>0</v>
      </c>
    </row>
    <row r="45" spans="1:19" x14ac:dyDescent="0.2">
      <c r="A45" s="164" t="str">
        <f t="shared" si="14"/>
        <v>2017</v>
      </c>
      <c r="B45" s="171">
        <f>+'3. Consumption by Rate Class'!O172</f>
        <v>858843.55</v>
      </c>
      <c r="C45" s="78"/>
      <c r="D45" s="171">
        <f t="shared" si="15"/>
        <v>858843.55</v>
      </c>
      <c r="E45" s="171">
        <f>+'3. Consumption by Rate Class'!P172</f>
        <v>2399.7999999999997</v>
      </c>
      <c r="F45" s="171">
        <f>+'3. Consumption by Rate Class'!Q172</f>
        <v>2123.9166666666665</v>
      </c>
      <c r="G45" s="236">
        <f t="shared" si="16"/>
        <v>404.36781888806064</v>
      </c>
      <c r="H45" s="237">
        <f t="shared" si="17"/>
        <v>1.1298936712833993</v>
      </c>
      <c r="I45" s="64">
        <f t="shared" si="18"/>
        <v>2.7942225333123824E-3</v>
      </c>
      <c r="K45" s="164" t="str">
        <f t="shared" si="19"/>
        <v>2017</v>
      </c>
      <c r="L45" s="171">
        <f>+'3. Consumption by Rate Class'!G172</f>
        <v>250759.37</v>
      </c>
      <c r="M45" s="78"/>
      <c r="N45" s="171">
        <f t="shared" si="20"/>
        <v>250759.37</v>
      </c>
      <c r="O45" s="258"/>
      <c r="P45" s="171">
        <f>+'3. Consumption by Rate Class'!H172</f>
        <v>24.416666666666668</v>
      </c>
      <c r="Q45" s="236">
        <f t="shared" si="23"/>
        <v>10270.008327645051</v>
      </c>
      <c r="R45" s="237">
        <f t="shared" si="21"/>
        <v>0</v>
      </c>
      <c r="S45" s="64">
        <f t="shared" si="22"/>
        <v>0</v>
      </c>
    </row>
    <row r="46" spans="1:19" x14ac:dyDescent="0.2">
      <c r="A46" s="164" t="str">
        <f t="shared" si="14"/>
        <v>2018</v>
      </c>
      <c r="B46" s="171">
        <f>+'3. Consumption by Rate Class'!O173</f>
        <v>856925.36999999988</v>
      </c>
      <c r="C46" s="78"/>
      <c r="D46" s="171">
        <f t="shared" si="15"/>
        <v>856925.36999999988</v>
      </c>
      <c r="E46" s="171">
        <f>+'3. Consumption by Rate Class'!P173</f>
        <v>2390.9999999999995</v>
      </c>
      <c r="F46" s="171">
        <f>+'3. Consumption by Rate Class'!Q173</f>
        <v>2116</v>
      </c>
      <c r="G46" s="236">
        <f t="shared" si="16"/>
        <v>404.97418241965966</v>
      </c>
      <c r="H46" s="237">
        <f t="shared" si="17"/>
        <v>1.129962192816635</v>
      </c>
      <c r="I46" s="64">
        <f t="shared" si="18"/>
        <v>2.7902079734201356E-3</v>
      </c>
      <c r="K46" s="164" t="str">
        <f t="shared" si="19"/>
        <v>2018</v>
      </c>
      <c r="L46" s="171">
        <f>+'3. Consumption by Rate Class'!G173</f>
        <v>264992.59000000003</v>
      </c>
      <c r="M46" s="78"/>
      <c r="N46" s="171">
        <f t="shared" si="20"/>
        <v>264992.59000000003</v>
      </c>
      <c r="O46" s="258"/>
      <c r="P46" s="171">
        <f>+'3. Consumption by Rate Class'!H173</f>
        <v>27.083333333333332</v>
      </c>
      <c r="Q46" s="236">
        <f t="shared" si="23"/>
        <v>9784.3417846153861</v>
      </c>
      <c r="R46" s="237">
        <f t="shared" si="21"/>
        <v>0</v>
      </c>
      <c r="S46" s="64">
        <f t="shared" si="22"/>
        <v>0</v>
      </c>
    </row>
    <row r="47" spans="1:19" x14ac:dyDescent="0.2">
      <c r="A47" s="164" t="str">
        <f t="shared" si="14"/>
        <v>2019</v>
      </c>
      <c r="B47" s="171">
        <f>+'3. Consumption by Rate Class'!O174</f>
        <v>854489.3600000001</v>
      </c>
      <c r="C47" s="78"/>
      <c r="D47" s="171">
        <f t="shared" si="15"/>
        <v>854489.3600000001</v>
      </c>
      <c r="E47" s="171">
        <f>+'3. Consumption by Rate Class'!P174</f>
        <v>2389.4600000000005</v>
      </c>
      <c r="F47" s="171">
        <f>+'3. Consumption by Rate Class'!Q174</f>
        <v>2153.3333333333335</v>
      </c>
      <c r="G47" s="236">
        <f t="shared" si="16"/>
        <v>396.82168421052631</v>
      </c>
      <c r="H47" s="237">
        <f t="shared" si="17"/>
        <v>1.1096563467492262</v>
      </c>
      <c r="I47" s="64">
        <f t="shared" ref="I47" si="24">IF(E47&gt;0,+E47/D47,0)</f>
        <v>2.7963601559649618E-3</v>
      </c>
      <c r="K47" s="164" t="str">
        <f t="shared" si="19"/>
        <v>2019</v>
      </c>
      <c r="L47" s="171">
        <f>+'3. Consumption by Rate Class'!G174</f>
        <v>254507.88999999998</v>
      </c>
      <c r="M47" s="78"/>
      <c r="N47" s="171">
        <f t="shared" si="20"/>
        <v>254507.88999999998</v>
      </c>
      <c r="O47" s="258"/>
      <c r="P47" s="171">
        <f>+'3. Consumption by Rate Class'!H174</f>
        <v>29.708333333333332</v>
      </c>
      <c r="Q47" s="236">
        <f t="shared" si="23"/>
        <v>8566.8854978962136</v>
      </c>
      <c r="R47" s="237"/>
      <c r="S47" s="64"/>
    </row>
    <row r="48" spans="1:19" x14ac:dyDescent="0.2">
      <c r="A48" s="164" t="str">
        <f t="shared" si="14"/>
        <v>2020</v>
      </c>
      <c r="B48" s="171">
        <f>+'3. Consumption by Rate Class'!O175</f>
        <v>840174.8600000001</v>
      </c>
      <c r="C48" s="78"/>
      <c r="D48" s="171">
        <f t="shared" si="15"/>
        <v>840174.8600000001</v>
      </c>
      <c r="E48" s="171">
        <f>+'3. Consumption by Rate Class'!P175</f>
        <v>2338.8000000000006</v>
      </c>
      <c r="F48" s="171">
        <f>+'3. Consumption by Rate Class'!Q175</f>
        <v>2148</v>
      </c>
      <c r="G48" s="236">
        <f t="shared" si="16"/>
        <v>391.14285847299817</v>
      </c>
      <c r="H48" s="237">
        <f t="shared" si="17"/>
        <v>1.0888268156424583</v>
      </c>
      <c r="I48" s="64">
        <f t="shared" ref="I48:I50" si="25">IF(E48&gt;0,+E48/D48,0)</f>
        <v>2.7837062394368717E-3</v>
      </c>
      <c r="K48" s="164" t="str">
        <f t="shared" si="19"/>
        <v>2020</v>
      </c>
      <c r="L48" s="171">
        <f>+'3. Consumption by Rate Class'!G175</f>
        <v>247075.17</v>
      </c>
      <c r="M48" s="78"/>
      <c r="N48" s="171">
        <f t="shared" si="20"/>
        <v>247075.17</v>
      </c>
      <c r="O48" s="258"/>
      <c r="P48" s="171">
        <f>+'3. Consumption by Rate Class'!H175</f>
        <v>30.041666666666668</v>
      </c>
      <c r="Q48" s="236">
        <f t="shared" si="23"/>
        <v>8224.4161997226074</v>
      </c>
      <c r="R48" s="237"/>
      <c r="S48" s="64"/>
    </row>
    <row r="49" spans="1:19" x14ac:dyDescent="0.2">
      <c r="A49" s="164" t="str">
        <f t="shared" si="14"/>
        <v>2021</v>
      </c>
      <c r="B49" s="171">
        <f>+'3. Consumption by Rate Class'!O176</f>
        <v>561900.85</v>
      </c>
      <c r="C49" s="78"/>
      <c r="D49" s="171">
        <f t="shared" si="15"/>
        <v>561900.85</v>
      </c>
      <c r="E49" s="171">
        <f>+'3. Consumption by Rate Class'!P176</f>
        <v>1568.4</v>
      </c>
      <c r="F49" s="171">
        <f>+'3. Consumption by Rate Class'!Q176</f>
        <v>2245.3333333333335</v>
      </c>
      <c r="G49" s="236">
        <f t="shared" si="16"/>
        <v>250.25275385985745</v>
      </c>
      <c r="H49" s="237">
        <f t="shared" si="17"/>
        <v>0.69851543942992878</v>
      </c>
      <c r="I49" s="64">
        <f t="shared" si="25"/>
        <v>2.7912397712158651E-3</v>
      </c>
      <c r="K49" s="164" t="str">
        <f t="shared" si="19"/>
        <v>2021</v>
      </c>
      <c r="L49" s="171">
        <f>+'3. Consumption by Rate Class'!G176</f>
        <v>262765.23</v>
      </c>
      <c r="M49" s="78"/>
      <c r="N49" s="171">
        <f t="shared" si="20"/>
        <v>262765.23</v>
      </c>
      <c r="O49" s="258"/>
      <c r="P49" s="171">
        <f>+'3. Consumption by Rate Class'!H176</f>
        <v>31.916666666666668</v>
      </c>
      <c r="Q49" s="236">
        <f t="shared" si="23"/>
        <v>8232.8531592689287</v>
      </c>
      <c r="R49" s="237"/>
      <c r="S49" s="64"/>
    </row>
    <row r="50" spans="1:19" x14ac:dyDescent="0.2">
      <c r="A50" s="164" t="str">
        <f t="shared" si="14"/>
        <v>2022</v>
      </c>
      <c r="B50" s="171">
        <f>+'3. Consumption by Rate Class'!O177</f>
        <v>563345.13</v>
      </c>
      <c r="C50" s="78"/>
      <c r="D50" s="171">
        <f t="shared" si="15"/>
        <v>563345.13</v>
      </c>
      <c r="E50" s="171">
        <f>+'3. Consumption by Rate Class'!P177</f>
        <v>1572</v>
      </c>
      <c r="F50" s="171">
        <f>+'3. Consumption by Rate Class'!Q177</f>
        <v>2254</v>
      </c>
      <c r="G50" s="567">
        <f>IF(D50&gt;0,+D50/F50,0)/$B$5*12</f>
        <v>249.93129103815437</v>
      </c>
      <c r="H50" s="568">
        <f>IF(E50&gt;0,+E50/F50,0)/$B$5*12</f>
        <v>0.69742679680567876</v>
      </c>
      <c r="I50" s="64">
        <f t="shared" si="25"/>
        <v>2.7904741095392091E-3</v>
      </c>
      <c r="K50" s="164" t="str">
        <f t="shared" si="19"/>
        <v>2022</v>
      </c>
      <c r="L50" s="171">
        <f>+'3. Consumption by Rate Class'!G177</f>
        <v>315376.28000000003</v>
      </c>
      <c r="M50" s="78"/>
      <c r="N50" s="171">
        <f t="shared" si="20"/>
        <v>315376.28000000003</v>
      </c>
      <c r="O50" s="258"/>
      <c r="P50" s="171">
        <f>+'3. Consumption by Rate Class'!H177</f>
        <v>49.916666666666664</v>
      </c>
      <c r="Q50" s="567">
        <f>IF(P50&gt;0,+N50/P50,0)/$B$5*12</f>
        <v>6318.05569282137</v>
      </c>
      <c r="R50" s="237"/>
      <c r="S50" s="64"/>
    </row>
    <row r="51" spans="1:19" x14ac:dyDescent="0.2">
      <c r="A51" s="164"/>
      <c r="B51" s="171"/>
      <c r="C51" s="78"/>
      <c r="D51" s="171"/>
      <c r="E51" s="171"/>
      <c r="F51" s="171"/>
      <c r="G51" s="236"/>
      <c r="H51" s="237"/>
      <c r="I51" s="64"/>
      <c r="K51" s="164"/>
      <c r="L51" s="171"/>
      <c r="M51" s="78"/>
      <c r="N51" s="171"/>
      <c r="O51" s="258"/>
      <c r="P51" s="171"/>
      <c r="Q51" s="236"/>
      <c r="R51" s="237"/>
      <c r="S51" s="64"/>
    </row>
    <row r="52" spans="1:19" s="505" customFormat="1" x14ac:dyDescent="0.2">
      <c r="A52" s="164" t="str">
        <f>A22</f>
        <v>2022</v>
      </c>
      <c r="B52" s="258"/>
      <c r="C52" s="78"/>
      <c r="D52" s="171">
        <f>G52*F52</f>
        <v>563345.13</v>
      </c>
      <c r="E52" s="258">
        <f>D52*$I$56</f>
        <v>1572</v>
      </c>
      <c r="F52" s="258">
        <f>+'4. Customer Growth'!J18</f>
        <v>2254</v>
      </c>
      <c r="G52" s="236">
        <f>+G50</f>
        <v>249.93129103815437</v>
      </c>
      <c r="H52" s="237">
        <f t="shared" si="17"/>
        <v>0.69742679680567876</v>
      </c>
      <c r="I52" s="238"/>
      <c r="J52" s="22"/>
      <c r="K52" s="164" t="str">
        <f>A22</f>
        <v>2022</v>
      </c>
      <c r="L52" s="258">
        <f>+P52*Q56</f>
        <v>315376.28000000003</v>
      </c>
      <c r="M52" s="78"/>
      <c r="N52" s="171">
        <f t="shared" si="20"/>
        <v>315376.28000000003</v>
      </c>
      <c r="O52" s="258"/>
      <c r="P52" s="258">
        <f>+'4. Customer Growth'!F18</f>
        <v>49.916666666666664</v>
      </c>
      <c r="Q52" s="236">
        <f t="shared" ref="Q52:Q53" si="26">+N52/P52</f>
        <v>6318.05569282137</v>
      </c>
      <c r="R52" s="502">
        <f t="shared" si="21"/>
        <v>0</v>
      </c>
      <c r="S52" s="504">
        <f t="shared" si="22"/>
        <v>0</v>
      </c>
    </row>
    <row r="53" spans="1:19" s="505" customFormat="1" x14ac:dyDescent="0.2">
      <c r="A53" s="164" t="str">
        <f>A23</f>
        <v>2023</v>
      </c>
      <c r="B53" s="258"/>
      <c r="C53" s="78"/>
      <c r="D53" s="171">
        <f>G53*F53</f>
        <v>563345.13</v>
      </c>
      <c r="E53" s="258">
        <f>D53*$I$56</f>
        <v>1572</v>
      </c>
      <c r="F53" s="258">
        <f>+'4. Customer Growth'!J27</f>
        <v>2254</v>
      </c>
      <c r="G53" s="236">
        <f>+G50</f>
        <v>249.93129103815437</v>
      </c>
      <c r="H53" s="237">
        <f t="shared" si="17"/>
        <v>0.69742679680567876</v>
      </c>
      <c r="I53" s="238"/>
      <c r="J53" s="22"/>
      <c r="K53" s="164" t="str">
        <f>A23</f>
        <v>2023</v>
      </c>
      <c r="L53" s="258">
        <f>+P53*Q56</f>
        <v>379083.34156928223</v>
      </c>
      <c r="M53" s="78"/>
      <c r="N53" s="171">
        <f t="shared" si="20"/>
        <v>379083.34156928223</v>
      </c>
      <c r="O53" s="258"/>
      <c r="P53" s="258">
        <f>+'4. Customer Growth'!F27</f>
        <v>60</v>
      </c>
      <c r="Q53" s="236">
        <f t="shared" si="26"/>
        <v>6318.0556928213709</v>
      </c>
      <c r="R53" s="502">
        <f t="shared" si="21"/>
        <v>0</v>
      </c>
      <c r="S53" s="504">
        <f t="shared" si="22"/>
        <v>0</v>
      </c>
    </row>
    <row r="54" spans="1:19" s="505" customFormat="1" x14ac:dyDescent="0.2">
      <c r="A54" s="164" t="str">
        <f>A24</f>
        <v>2024</v>
      </c>
      <c r="B54" s="702"/>
      <c r="C54" s="700"/>
      <c r="D54" s="171">
        <f>G54*F54</f>
        <v>563345.13</v>
      </c>
      <c r="E54" s="258">
        <f>D54*$I$56</f>
        <v>1572</v>
      </c>
      <c r="F54" s="258">
        <f>+'4. Customer Growth'!J28</f>
        <v>2254</v>
      </c>
      <c r="G54" s="236">
        <f>+G53</f>
        <v>249.93129103815437</v>
      </c>
      <c r="H54" s="237">
        <f t="shared" ref="H54" si="27">IF(E54&gt;0,+E54/F54,0)</f>
        <v>0.69742679680567876</v>
      </c>
      <c r="I54" s="238"/>
      <c r="J54" s="22"/>
      <c r="K54" s="164" t="str">
        <f>A24</f>
        <v>2024</v>
      </c>
      <c r="L54" s="258">
        <f>+P54*Q56</f>
        <v>379083.34156928223</v>
      </c>
      <c r="M54" s="700"/>
      <c r="N54" s="171">
        <f t="shared" si="20"/>
        <v>379083.34156928223</v>
      </c>
      <c r="O54" s="258"/>
      <c r="P54" s="258">
        <f>+'4. Customer Growth'!F28</f>
        <v>60</v>
      </c>
      <c r="Q54" s="236">
        <f t="shared" ref="Q54" si="28">+N54/P54</f>
        <v>6318.0556928213709</v>
      </c>
      <c r="R54" s="502"/>
      <c r="S54" s="504"/>
    </row>
    <row r="55" spans="1:19" x14ac:dyDescent="0.2">
      <c r="A55" s="293"/>
      <c r="B55" s="239"/>
      <c r="C55" s="239"/>
      <c r="D55" s="258"/>
      <c r="E55" s="258"/>
      <c r="F55" s="258"/>
      <c r="G55" s="258"/>
      <c r="H55" s="258"/>
      <c r="I55" s="290"/>
      <c r="K55" s="293"/>
      <c r="L55" s="239"/>
      <c r="M55" s="239"/>
      <c r="N55" s="258"/>
      <c r="O55" s="258"/>
      <c r="P55" s="258"/>
      <c r="Q55" s="258"/>
      <c r="R55" s="258"/>
      <c r="S55" s="39"/>
    </row>
    <row r="56" spans="1:19" x14ac:dyDescent="0.2">
      <c r="A56" s="299" t="s">
        <v>97</v>
      </c>
      <c r="B56" s="302"/>
      <c r="C56" s="302"/>
      <c r="D56" s="493">
        <v>10</v>
      </c>
      <c r="E56" s="258"/>
      <c r="F56" s="258"/>
      <c r="G56" s="534">
        <f>+G50</f>
        <v>249.93129103815437</v>
      </c>
      <c r="H56" s="303">
        <f>+H47</f>
        <v>1.1096563467492262</v>
      </c>
      <c r="I56" s="517">
        <f>+I50</f>
        <v>2.7904741095392091E-3</v>
      </c>
      <c r="K56" s="299" t="s">
        <v>97</v>
      </c>
      <c r="L56" s="302"/>
      <c r="M56" s="302"/>
      <c r="N56" s="493">
        <v>10</v>
      </c>
      <c r="O56" s="258"/>
      <c r="P56" s="258"/>
      <c r="Q56" s="534">
        <f>+Q50</f>
        <v>6318.05569282137</v>
      </c>
      <c r="R56" s="301">
        <f>AVERAGE(R40:R46)</f>
        <v>0</v>
      </c>
      <c r="S56" s="304">
        <f>AVERAGE(S40:S46)</f>
        <v>0</v>
      </c>
    </row>
    <row r="57" spans="1:19" ht="13.5" thickBot="1" x14ac:dyDescent="0.25">
      <c r="A57" s="18"/>
      <c r="B57" s="86"/>
      <c r="C57" s="86"/>
      <c r="D57" s="8"/>
      <c r="E57" s="26"/>
      <c r="F57" s="26"/>
      <c r="G57" s="26"/>
      <c r="H57" s="26"/>
      <c r="I57" s="35"/>
      <c r="K57" s="25"/>
      <c r="L57" s="85"/>
      <c r="M57" s="85"/>
      <c r="N57" s="26"/>
      <c r="O57" s="26"/>
      <c r="P57" s="26"/>
      <c r="Q57" s="26"/>
      <c r="R57" s="26"/>
      <c r="S57" s="35"/>
    </row>
    <row r="58" spans="1:19" x14ac:dyDescent="0.2">
      <c r="A58" s="315"/>
      <c r="B58" s="315"/>
      <c r="C58" s="315"/>
      <c r="D58" s="315"/>
      <c r="E58" s="315"/>
      <c r="F58" s="315"/>
      <c r="G58" s="315"/>
      <c r="H58" s="315"/>
      <c r="I58" s="315"/>
      <c r="K58" s="315"/>
      <c r="L58" s="315"/>
      <c r="M58" s="315"/>
      <c r="N58" s="315"/>
      <c r="O58" s="315"/>
      <c r="P58" s="315"/>
      <c r="Q58" s="315"/>
      <c r="R58" s="315"/>
      <c r="S58" s="315"/>
    </row>
    <row r="59" spans="1:19" ht="13.5" thickBot="1" x14ac:dyDescent="0.25">
      <c r="E59" s="1"/>
      <c r="F59" s="1"/>
      <c r="G59" s="1"/>
      <c r="H59" s="1"/>
      <c r="I59" s="1"/>
    </row>
    <row r="60" spans="1:19" ht="13.5" thickBot="1" x14ac:dyDescent="0.25">
      <c r="A60" s="645" t="str">
        <f>+A37</f>
        <v>Streetlighting</v>
      </c>
      <c r="B60" s="646"/>
      <c r="C60" s="646"/>
      <c r="D60" s="646"/>
      <c r="E60" s="646"/>
      <c r="F60" s="646"/>
      <c r="G60" s="646"/>
      <c r="H60" s="646"/>
      <c r="I60" s="647"/>
      <c r="K60" s="645" t="str">
        <f>+K37</f>
        <v>Unmetered Scattered Load</v>
      </c>
      <c r="L60" s="646"/>
      <c r="M60" s="646"/>
      <c r="N60" s="646"/>
      <c r="O60" s="646"/>
      <c r="P60" s="646"/>
      <c r="Q60" s="646"/>
      <c r="R60" s="646"/>
      <c r="S60" s="647"/>
    </row>
    <row r="61" spans="1:19" ht="25.5" x14ac:dyDescent="0.2">
      <c r="A61" s="66" t="s">
        <v>31</v>
      </c>
      <c r="B61" s="67" t="s">
        <v>37</v>
      </c>
      <c r="C61" s="67" t="s">
        <v>108</v>
      </c>
      <c r="D61" s="67" t="s">
        <v>216</v>
      </c>
      <c r="E61" s="316"/>
      <c r="F61" s="67" t="s">
        <v>109</v>
      </c>
      <c r="G61" s="67" t="s">
        <v>217</v>
      </c>
      <c r="H61" s="67" t="s">
        <v>110</v>
      </c>
      <c r="I61" s="68" t="s">
        <v>111</v>
      </c>
      <c r="K61" s="66" t="s">
        <v>31</v>
      </c>
      <c r="L61" s="67" t="s">
        <v>37</v>
      </c>
      <c r="M61" s="67" t="s">
        <v>108</v>
      </c>
      <c r="N61" s="67" t="s">
        <v>216</v>
      </c>
      <c r="O61" s="316"/>
      <c r="P61" s="67" t="s">
        <v>109</v>
      </c>
      <c r="Q61" s="67" t="s">
        <v>217</v>
      </c>
      <c r="R61" s="67" t="s">
        <v>110</v>
      </c>
      <c r="S61" s="68" t="s">
        <v>111</v>
      </c>
    </row>
    <row r="62" spans="1:19" x14ac:dyDescent="0.2">
      <c r="A62" s="2" t="str">
        <f>+A52</f>
        <v>2022</v>
      </c>
      <c r="B62" s="312">
        <v>0</v>
      </c>
      <c r="C62" s="65">
        <f>+G56</f>
        <v>249.93129103815437</v>
      </c>
      <c r="D62" s="65">
        <f>+B62*C62</f>
        <v>0</v>
      </c>
      <c r="E62" s="317"/>
      <c r="F62" s="69">
        <f>+H56</f>
        <v>1.1096563467492262</v>
      </c>
      <c r="G62" s="65">
        <f>+B62*F62</f>
        <v>0</v>
      </c>
      <c r="H62" s="70">
        <f>D52+D62</f>
        <v>563345.13</v>
      </c>
      <c r="I62" s="314">
        <f>E52+G62</f>
        <v>1572</v>
      </c>
      <c r="K62" s="2" t="str">
        <f>+K52</f>
        <v>2022</v>
      </c>
      <c r="L62" s="312">
        <v>0</v>
      </c>
      <c r="M62" s="65">
        <f>+Q56</f>
        <v>6318.05569282137</v>
      </c>
      <c r="N62" s="65">
        <f>+L62*M62</f>
        <v>0</v>
      </c>
      <c r="O62" s="317"/>
      <c r="P62" s="69">
        <f>+R56</f>
        <v>0</v>
      </c>
      <c r="Q62" s="65">
        <f>+L62*P62</f>
        <v>0</v>
      </c>
      <c r="R62" s="70">
        <f>N52+N62</f>
        <v>315376.28000000003</v>
      </c>
      <c r="S62" s="314">
        <f>O52+Q62</f>
        <v>0</v>
      </c>
    </row>
    <row r="63" spans="1:19" x14ac:dyDescent="0.2">
      <c r="A63" s="2" t="str">
        <f>+A53</f>
        <v>2023</v>
      </c>
      <c r="B63" s="312">
        <v>0</v>
      </c>
      <c r="C63" s="65">
        <f>+G56</f>
        <v>249.93129103815437</v>
      </c>
      <c r="D63" s="65">
        <f>+B63*C63</f>
        <v>0</v>
      </c>
      <c r="E63" s="317"/>
      <c r="F63" s="555">
        <f>+H56</f>
        <v>1.1096563467492262</v>
      </c>
      <c r="G63" s="65">
        <f>+B63*F63</f>
        <v>0</v>
      </c>
      <c r="H63" s="556">
        <f>D53+D63</f>
        <v>563345.13</v>
      </c>
      <c r="I63" s="557">
        <f>E53+G63</f>
        <v>1572</v>
      </c>
      <c r="K63" s="2" t="str">
        <f>+K53</f>
        <v>2023</v>
      </c>
      <c r="L63" s="312">
        <v>0</v>
      </c>
      <c r="M63" s="65">
        <f>+Q56</f>
        <v>6318.05569282137</v>
      </c>
      <c r="N63" s="65">
        <f>+L63*M63</f>
        <v>0</v>
      </c>
      <c r="O63" s="317"/>
      <c r="P63" s="555">
        <f>+R56</f>
        <v>0</v>
      </c>
      <c r="Q63" s="65">
        <f>+L63*P63</f>
        <v>0</v>
      </c>
      <c r="R63" s="556">
        <f>N53+N63</f>
        <v>379083.34156928223</v>
      </c>
      <c r="S63" s="557">
        <f>O53+Q63</f>
        <v>0</v>
      </c>
    </row>
    <row r="64" spans="1:19" ht="13.5" thickBot="1" x14ac:dyDescent="0.25">
      <c r="A64" s="7" t="str">
        <f>+A54</f>
        <v>2024</v>
      </c>
      <c r="B64" s="313">
        <v>0</v>
      </c>
      <c r="C64" s="72">
        <f>+G56</f>
        <v>249.93129103815437</v>
      </c>
      <c r="D64" s="72">
        <f>+B64*C64</f>
        <v>0</v>
      </c>
      <c r="E64" s="318"/>
      <c r="F64" s="558">
        <f>+H56</f>
        <v>1.1096563467492262</v>
      </c>
      <c r="G64" s="72">
        <f>+B64*F64</f>
        <v>0</v>
      </c>
      <c r="H64" s="559">
        <f>D54+D64</f>
        <v>563345.13</v>
      </c>
      <c r="I64" s="560">
        <f>E54+G64</f>
        <v>1572</v>
      </c>
      <c r="K64" s="7" t="str">
        <f>+K54</f>
        <v>2024</v>
      </c>
      <c r="L64" s="313">
        <v>0</v>
      </c>
      <c r="M64" s="72">
        <f>+Q56</f>
        <v>6318.05569282137</v>
      </c>
      <c r="N64" s="72">
        <f>+L64*M64</f>
        <v>0</v>
      </c>
      <c r="O64" s="318"/>
      <c r="P64" s="558">
        <f>+R56</f>
        <v>0</v>
      </c>
      <c r="Q64" s="72">
        <f>+L64*P64</f>
        <v>0</v>
      </c>
      <c r="R64" s="559">
        <f>N54+N64</f>
        <v>379083.34156928223</v>
      </c>
      <c r="S64" s="560">
        <f>O54+Q64</f>
        <v>0</v>
      </c>
    </row>
  </sheetData>
  <mergeCells count="8">
    <mergeCell ref="A60:I60"/>
    <mergeCell ref="K60:S60"/>
    <mergeCell ref="K30:S30"/>
    <mergeCell ref="A7:I7"/>
    <mergeCell ref="A37:I37"/>
    <mergeCell ref="K37:S37"/>
    <mergeCell ref="K7:S7"/>
    <mergeCell ref="A30:I30"/>
  </mergeCells>
  <dataValidations disablePrompts="1" count="1">
    <dataValidation type="list" allowBlank="1" showInputMessage="1" showErrorMessage="1" sqref="N26" xr:uid="{F43182C1-C935-43B8-8DBF-7956EA2B363F}">
      <formula1>#REF!</formula1>
    </dataValidation>
  </dataValidations>
  <pageMargins left="0.7" right="0.7" top="0.75" bottom="0.75" header="0.3" footer="0.3"/>
  <pageSetup orientation="portrait" horizontalDpi="4294967293" verticalDpi="3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O51"/>
  <sheetViews>
    <sheetView showGridLines="0" zoomScaleNormal="100" workbookViewId="0"/>
  </sheetViews>
  <sheetFormatPr defaultColWidth="10.5" defaultRowHeight="12.75" outlineLevelCol="1" x14ac:dyDescent="0.2"/>
  <cols>
    <col min="1" max="1" width="50.1640625" style="1" customWidth="1"/>
    <col min="2" max="2" width="12.5" style="1" bestFit="1" customWidth="1"/>
    <col min="3" max="9" width="16.33203125" style="1" hidden="1" customWidth="1" outlineLevel="1"/>
    <col min="10" max="10" width="16.33203125" style="1" customWidth="1" collapsed="1"/>
    <col min="11" max="13" width="16.33203125" style="1" customWidth="1"/>
    <col min="14" max="15" width="16.33203125" style="1" bestFit="1" customWidth="1"/>
    <col min="16" max="17" width="10.5" style="1"/>
    <col min="18" max="19" width="1.83203125" style="1" bestFit="1" customWidth="1"/>
    <col min="20" max="16384" width="10.5" style="1"/>
  </cols>
  <sheetData>
    <row r="1" spans="1:15" x14ac:dyDescent="0.2">
      <c r="A1" s="1" t="str">
        <f>+'1. Assumptions'!A1</f>
        <v>Niagara-on-the-Lake Hydro Inc.</v>
      </c>
    </row>
    <row r="2" spans="1:15" x14ac:dyDescent="0.2">
      <c r="A2" s="263" t="s">
        <v>50</v>
      </c>
    </row>
    <row r="3" spans="1:15" x14ac:dyDescent="0.2">
      <c r="A3" s="1" t="str">
        <f>+'1. Assumptions'!A3</f>
        <v>2024 Test &amp; 2023 Bridge</v>
      </c>
    </row>
    <row r="5" spans="1:15" ht="13.5" thickBot="1" x14ac:dyDescent="0.25"/>
    <row r="6" spans="1:15" ht="13.5" customHeight="1" thickBot="1" x14ac:dyDescent="0.25">
      <c r="N6" s="648" t="s">
        <v>369</v>
      </c>
      <c r="O6" s="649"/>
    </row>
    <row r="7" spans="1:15" x14ac:dyDescent="0.2">
      <c r="A7" s="209"/>
      <c r="B7" s="210" t="s">
        <v>31</v>
      </c>
      <c r="C7" s="506" t="str">
        <f>'4. Customer Growth'!A8</f>
        <v>2012</v>
      </c>
      <c r="D7" s="506" t="str">
        <f>'4. Customer Growth'!A9</f>
        <v>2013</v>
      </c>
      <c r="E7" s="506" t="str">
        <f>'4. Customer Growth'!A10</f>
        <v>2014</v>
      </c>
      <c r="F7" s="506" t="str">
        <f>'4. Customer Growth'!A11</f>
        <v>2015</v>
      </c>
      <c r="G7" s="506" t="str">
        <f>'4. Customer Growth'!A12</f>
        <v>2016</v>
      </c>
      <c r="H7" s="506" t="str">
        <f>'4. Customer Growth'!A13</f>
        <v>2017</v>
      </c>
      <c r="I7" s="506" t="str">
        <f>'4. Customer Growth'!A14</f>
        <v>2018</v>
      </c>
      <c r="J7" s="506" t="str">
        <f>'4. Customer Growth'!A15</f>
        <v>2019</v>
      </c>
      <c r="K7" s="506">
        <v>2020</v>
      </c>
      <c r="L7" s="506">
        <v>2021</v>
      </c>
      <c r="M7" s="506">
        <v>2022</v>
      </c>
      <c r="N7" s="518">
        <f>'4. Customer Growth'!A22</f>
        <v>2023</v>
      </c>
      <c r="O7" s="519">
        <f>'4. Customer Growth'!A23</f>
        <v>2024</v>
      </c>
    </row>
    <row r="8" spans="1:15" x14ac:dyDescent="0.2">
      <c r="A8" s="195" t="s">
        <v>5</v>
      </c>
      <c r="B8" s="196" t="s">
        <v>73</v>
      </c>
      <c r="C8" s="197">
        <f>+'7. Weather Senstive Class'!$G9</f>
        <v>6715.833333333333</v>
      </c>
      <c r="D8" s="197">
        <f>+'7. Weather Senstive Class'!$G10</f>
        <v>6912.208333333333</v>
      </c>
      <c r="E8" s="197">
        <f>+'7. Weather Senstive Class'!$G11</f>
        <v>7105.125</v>
      </c>
      <c r="F8" s="197">
        <f>+'7. Weather Senstive Class'!$G12</f>
        <v>7380.791666666667</v>
      </c>
      <c r="G8" s="197">
        <f>+'7. Weather Senstive Class'!$G13</f>
        <v>7655.958333333333</v>
      </c>
      <c r="H8" s="197">
        <f>+'7. Weather Senstive Class'!$G14</f>
        <v>7832.25</v>
      </c>
      <c r="I8" s="197">
        <f>+'7. Weather Senstive Class'!$G15</f>
        <v>7917.458333333333</v>
      </c>
      <c r="J8" s="197">
        <f>+'7. Weather Senstive Class'!$G16</f>
        <v>8011.291666666667</v>
      </c>
      <c r="K8" s="197">
        <f>+'7. Weather Senstive Class'!$G17</f>
        <v>8075.541666666667</v>
      </c>
      <c r="L8" s="197">
        <f>+'7. Weather Senstive Class'!$G18</f>
        <v>8116.833333333333</v>
      </c>
      <c r="M8" s="197">
        <f>+'7. Weather Senstive Class'!$G21</f>
        <v>8172.791666666667</v>
      </c>
      <c r="N8" s="197">
        <f>+'7. Weather Senstive Class'!$G22</f>
        <v>8282.375</v>
      </c>
      <c r="O8" s="198">
        <f>+'7. Weather Senstive Class'!$G23</f>
        <v>8403.7916666666715</v>
      </c>
    </row>
    <row r="9" spans="1:15" x14ac:dyDescent="0.2">
      <c r="A9" s="189"/>
      <c r="B9" s="1" t="s">
        <v>33</v>
      </c>
      <c r="C9" s="190">
        <f>+'7. Weather Senstive Class'!$B9</f>
        <v>67086975.060000002</v>
      </c>
      <c r="D9" s="190">
        <f>+'7. Weather Senstive Class'!$B10</f>
        <v>68126808.569999993</v>
      </c>
      <c r="E9" s="190">
        <f>+'7. Weather Senstive Class'!$B11</f>
        <v>68599527.920000017</v>
      </c>
      <c r="F9" s="190">
        <f>+'7. Weather Senstive Class'!$B12</f>
        <v>69624978.280000001</v>
      </c>
      <c r="G9" s="190">
        <f>+'7. Weather Senstive Class'!$B13</f>
        <v>74189661.459999993</v>
      </c>
      <c r="H9" s="190">
        <f>+'7. Weather Senstive Class'!$B14</f>
        <v>71056558.450000003</v>
      </c>
      <c r="I9" s="190">
        <f>+'7. Weather Senstive Class'!$B15</f>
        <v>76998170.200000003</v>
      </c>
      <c r="J9" s="190">
        <f>+'7. Weather Senstive Class'!$B16</f>
        <v>75007657.649999991</v>
      </c>
      <c r="K9" s="190">
        <f>+'7. Weather Senstive Class'!$B17</f>
        <v>79728512.560000017</v>
      </c>
      <c r="L9" s="190">
        <f>+'7. Weather Senstive Class'!$B18</f>
        <v>78645720.670000002</v>
      </c>
      <c r="M9" s="190">
        <f>+'7. Weather Senstive Class'!$H28</f>
        <v>78473065.318307891</v>
      </c>
      <c r="N9" s="190">
        <f>+'7. Weather Senstive Class'!H29</f>
        <v>78769364.664037079</v>
      </c>
      <c r="O9" s="199">
        <f>+'7. Weather Senstive Class'!H30</f>
        <v>79654824.408439547</v>
      </c>
    </row>
    <row r="10" spans="1:15" x14ac:dyDescent="0.2">
      <c r="A10" s="189"/>
      <c r="B10" s="1" t="s">
        <v>34</v>
      </c>
      <c r="C10" s="191"/>
      <c r="D10" s="191"/>
      <c r="E10" s="191"/>
      <c r="F10" s="191"/>
      <c r="G10" s="191"/>
      <c r="H10" s="191"/>
      <c r="I10" s="191"/>
      <c r="J10" s="191"/>
      <c r="K10" s="191"/>
      <c r="L10" s="191"/>
      <c r="M10" s="191"/>
      <c r="N10" s="191"/>
      <c r="O10" s="200"/>
    </row>
    <row r="11" spans="1:15" x14ac:dyDescent="0.2">
      <c r="A11" s="189"/>
      <c r="C11" s="191"/>
      <c r="D11" s="191"/>
      <c r="E11" s="191"/>
      <c r="F11" s="191"/>
      <c r="G11" s="191"/>
      <c r="H11" s="191"/>
      <c r="I11" s="191"/>
      <c r="J11" s="191"/>
      <c r="K11" s="191"/>
      <c r="L11" s="191"/>
      <c r="M11" s="191"/>
      <c r="N11" s="192"/>
      <c r="O11" s="201"/>
    </row>
    <row r="12" spans="1:15" x14ac:dyDescent="0.2">
      <c r="A12" s="202" t="s">
        <v>48</v>
      </c>
      <c r="B12" s="1" t="s">
        <v>73</v>
      </c>
      <c r="C12" s="190">
        <f>+'7. Weather Senstive Class'!$P9</f>
        <v>1270.5416666666667</v>
      </c>
      <c r="D12" s="190">
        <f>+'7. Weather Senstive Class'!$P10</f>
        <v>1219.5416666666667</v>
      </c>
      <c r="E12" s="190">
        <f>+'7. Weather Senstive Class'!$P11</f>
        <v>1303.4166666666667</v>
      </c>
      <c r="F12" s="190">
        <f>+'7. Weather Senstive Class'!$P12</f>
        <v>1322.875</v>
      </c>
      <c r="G12" s="190">
        <f>+'7. Weather Senstive Class'!$P13</f>
        <v>1313.0416666666667</v>
      </c>
      <c r="H12" s="190">
        <f>+'7. Weather Senstive Class'!$P14</f>
        <v>1329.6666666666667</v>
      </c>
      <c r="I12" s="190">
        <f>+'7. Weather Senstive Class'!$P15</f>
        <v>1335.4166666666667</v>
      </c>
      <c r="J12" s="190">
        <f>+'7. Weather Senstive Class'!$P16</f>
        <v>1363.125</v>
      </c>
      <c r="K12" s="190">
        <f>+'7. Weather Senstive Class'!$P17</f>
        <v>1388</v>
      </c>
      <c r="L12" s="190">
        <f>+'7. Weather Senstive Class'!$P18</f>
        <v>1437.0416666666667</v>
      </c>
      <c r="M12" s="190">
        <f>+'7. Weather Senstive Class'!$P21</f>
        <v>1470.1666666666667</v>
      </c>
      <c r="N12" s="190">
        <f>+'7. Weather Senstive Class'!$P22</f>
        <v>1486.5</v>
      </c>
      <c r="O12" s="199">
        <f>+'7. Weather Senstive Class'!$P23</f>
        <v>1522.5</v>
      </c>
    </row>
    <row r="13" spans="1:15" x14ac:dyDescent="0.2">
      <c r="A13" s="189"/>
      <c r="B13" s="1" t="s">
        <v>33</v>
      </c>
      <c r="C13" s="190">
        <f>+'7. Weather Senstive Class'!$K9</f>
        <v>35374878.009999998</v>
      </c>
      <c r="D13" s="190">
        <f>+'7. Weather Senstive Class'!$K10</f>
        <v>35291130.910000004</v>
      </c>
      <c r="E13" s="190">
        <f>+'7. Weather Senstive Class'!$K11</f>
        <v>39288460.370000005</v>
      </c>
      <c r="F13" s="190">
        <f>+'7. Weather Senstive Class'!$K12</f>
        <v>41172287.869999997</v>
      </c>
      <c r="G13" s="190">
        <f>+'7. Weather Senstive Class'!$K13</f>
        <v>43510840.949999996</v>
      </c>
      <c r="H13" s="190">
        <f>+'7. Weather Senstive Class'!$K14</f>
        <v>40903499.839999996</v>
      </c>
      <c r="I13" s="190">
        <f>+'7. Weather Senstive Class'!$K15</f>
        <v>42666832.449999996</v>
      </c>
      <c r="J13" s="190">
        <f>+'7. Weather Senstive Class'!$K16</f>
        <v>42173377.249999993</v>
      </c>
      <c r="K13" s="190">
        <f>+'7. Weather Senstive Class'!$K17</f>
        <v>40043494.759999998</v>
      </c>
      <c r="L13" s="190">
        <f>+'7. Weather Senstive Class'!$K18</f>
        <v>41952896.950000003</v>
      </c>
      <c r="M13" s="190">
        <f>+'7. Weather Senstive Class'!$Q28</f>
        <v>44644118.667421766</v>
      </c>
      <c r="N13" s="190">
        <f>+'7. Weather Senstive Class'!Q29</f>
        <v>44812686.354922645</v>
      </c>
      <c r="O13" s="199">
        <f>+'7. Weather Senstive Class'!$Q30</f>
        <v>45316433.337966844</v>
      </c>
    </row>
    <row r="14" spans="1:15" x14ac:dyDescent="0.2">
      <c r="A14" s="189"/>
      <c r="B14" s="1" t="s">
        <v>34</v>
      </c>
      <c r="C14" s="191"/>
      <c r="D14" s="191"/>
      <c r="E14" s="191"/>
      <c r="F14" s="191"/>
      <c r="G14" s="191"/>
      <c r="H14" s="191"/>
      <c r="I14" s="191"/>
      <c r="J14" s="191"/>
      <c r="K14" s="191"/>
      <c r="L14" s="191"/>
      <c r="M14" s="191"/>
      <c r="N14" s="191"/>
      <c r="O14" s="200"/>
    </row>
    <row r="15" spans="1:15" x14ac:dyDescent="0.2">
      <c r="A15" s="189"/>
      <c r="C15" s="191"/>
      <c r="D15" s="191"/>
      <c r="E15" s="191"/>
      <c r="F15" s="191"/>
      <c r="G15" s="191"/>
      <c r="H15" s="191"/>
      <c r="I15" s="191"/>
      <c r="J15" s="191"/>
      <c r="K15" s="191"/>
      <c r="L15" s="191"/>
      <c r="M15" s="191"/>
      <c r="N15" s="192"/>
      <c r="O15" s="201"/>
    </row>
    <row r="16" spans="1:15" x14ac:dyDescent="0.2">
      <c r="A16" s="202" t="s">
        <v>132</v>
      </c>
      <c r="B16" s="1" t="s">
        <v>73</v>
      </c>
      <c r="C16" s="190">
        <f>+'8. KW and Non-Weather Sensitive'!$F10</f>
        <v>118.04166666666667</v>
      </c>
      <c r="D16" s="190">
        <f>+'8. KW and Non-Weather Sensitive'!$F11</f>
        <v>117.41666666666667</v>
      </c>
      <c r="E16" s="190">
        <f>+'8. KW and Non-Weather Sensitive'!$F12</f>
        <v>128.41666666666666</v>
      </c>
      <c r="F16" s="190">
        <f>+'8. KW and Non-Weather Sensitive'!$F13</f>
        <v>126.66666666666667</v>
      </c>
      <c r="G16" s="190">
        <f>+'8. KW and Non-Weather Sensitive'!$F14</f>
        <v>118.08333333333333</v>
      </c>
      <c r="H16" s="190">
        <f>+'8. KW and Non-Weather Sensitive'!$F15</f>
        <v>128.45833333333334</v>
      </c>
      <c r="I16" s="190">
        <f>+'8. KW and Non-Weather Sensitive'!$F16</f>
        <v>125.75</v>
      </c>
      <c r="J16" s="190">
        <f>+'8. KW and Non-Weather Sensitive'!$F17</f>
        <v>126.125</v>
      </c>
      <c r="K16" s="190">
        <f>+'8. KW and Non-Weather Sensitive'!$F18</f>
        <v>123.875</v>
      </c>
      <c r="L16" s="190">
        <f>+'8. KW and Non-Weather Sensitive'!$F19</f>
        <v>124.625</v>
      </c>
      <c r="M16" s="190">
        <f>+'8. KW and Non-Weather Sensitive'!F22</f>
        <v>126</v>
      </c>
      <c r="N16" s="190">
        <f>+'8. KW and Non-Weather Sensitive'!F23</f>
        <v>125</v>
      </c>
      <c r="O16" s="199">
        <f>+'8. KW and Non-Weather Sensitive'!$F24</f>
        <v>126.625</v>
      </c>
    </row>
    <row r="17" spans="1:15" x14ac:dyDescent="0.2">
      <c r="A17" s="189"/>
      <c r="B17" s="1" t="s">
        <v>33</v>
      </c>
      <c r="C17" s="581">
        <f>+'8. KW and Non-Weather Sensitive'!$D10+C38</f>
        <v>79052380.799999997</v>
      </c>
      <c r="D17" s="581">
        <f>+'8. KW and Non-Weather Sensitive'!$D11+D38</f>
        <v>79002498.220000014</v>
      </c>
      <c r="E17" s="581">
        <f>+'8. KW and Non-Weather Sensitive'!$D12+E38</f>
        <v>81212452.610000014</v>
      </c>
      <c r="F17" s="581">
        <f>+'8. KW and Non-Weather Sensitive'!$D13+F38</f>
        <v>82616767.769999996</v>
      </c>
      <c r="G17" s="581">
        <f>+'8. KW and Non-Weather Sensitive'!$D14+G38</f>
        <v>83681623.590000004</v>
      </c>
      <c r="H17" s="581">
        <f>+'8. KW and Non-Weather Sensitive'!$D15+H38</f>
        <v>84208017.00999999</v>
      </c>
      <c r="I17" s="581">
        <f>+'8. KW and Non-Weather Sensitive'!$D16+I38</f>
        <v>97006700.459999993</v>
      </c>
      <c r="J17" s="581">
        <f>+'8. KW and Non-Weather Sensitive'!$D17+J38</f>
        <v>94000918.169999987</v>
      </c>
      <c r="K17" s="581">
        <f>+'8. KW and Non-Weather Sensitive'!$D18+K38</f>
        <v>75559207.680000007</v>
      </c>
      <c r="L17" s="581">
        <f>+'8. KW and Non-Weather Sensitive'!$D19+L38</f>
        <v>76914640.730000004</v>
      </c>
      <c r="M17" s="581">
        <f>+'8. KW and Non-Weather Sensitive'!$H32+M38</f>
        <v>86913745.909999996</v>
      </c>
      <c r="N17" s="581">
        <f>+'8. KW and Non-Weather Sensitive'!H33+N38</f>
        <v>85629843.164682537</v>
      </c>
      <c r="O17" s="199">
        <f>+'8. KW and Non-Weather Sensitive'!H34</f>
        <v>86743031.125823408</v>
      </c>
    </row>
    <row r="18" spans="1:15" x14ac:dyDescent="0.2">
      <c r="A18" s="189"/>
      <c r="B18" s="1" t="s">
        <v>34</v>
      </c>
      <c r="C18" s="581">
        <f>+'8. KW and Non-Weather Sensitive'!$E10+C39</f>
        <v>202737.81</v>
      </c>
      <c r="D18" s="581">
        <f>+'8. KW and Non-Weather Sensitive'!$E11+D39</f>
        <v>204592.81999999998</v>
      </c>
      <c r="E18" s="581">
        <f>+'8. KW and Non-Weather Sensitive'!$E12+E39</f>
        <v>208042.52000000002</v>
      </c>
      <c r="F18" s="581">
        <f>+'8. KW and Non-Weather Sensitive'!$E13+F39</f>
        <v>212938.04999999996</v>
      </c>
      <c r="G18" s="581">
        <f>+'8. KW and Non-Weather Sensitive'!$E14+G39</f>
        <v>208695.71</v>
      </c>
      <c r="H18" s="581">
        <f>+'8. KW and Non-Weather Sensitive'!$E15+H39</f>
        <v>209336.49</v>
      </c>
      <c r="I18" s="581">
        <f>+'8. KW and Non-Weather Sensitive'!$E16+I39</f>
        <v>254384.34000000003</v>
      </c>
      <c r="J18" s="581">
        <f>+'8. KW and Non-Weather Sensitive'!$E17+J39</f>
        <v>252730.07</v>
      </c>
      <c r="K18" s="581">
        <f>+'8. KW and Non-Weather Sensitive'!$E18+K39</f>
        <v>192751.03</v>
      </c>
      <c r="L18" s="581">
        <f>+'8. KW and Non-Weather Sensitive'!$E19+L39</f>
        <v>195348.2</v>
      </c>
      <c r="M18" s="581">
        <f>+'8. KW and Non-Weather Sensitive'!$I32+M39</f>
        <v>219944.56334445722</v>
      </c>
      <c r="N18" s="581">
        <f>+'8. KW and Non-Weather Sensitive'!I33+N39</f>
        <v>218198.97157188217</v>
      </c>
      <c r="O18" s="199">
        <f>+'8. KW and Non-Weather Sensitive'!$I34</f>
        <v>221035.55820231661</v>
      </c>
    </row>
    <row r="19" spans="1:15" x14ac:dyDescent="0.2">
      <c r="A19" s="189"/>
      <c r="C19" s="191"/>
      <c r="D19" s="191"/>
      <c r="E19" s="191"/>
      <c r="F19" s="191"/>
      <c r="G19" s="191"/>
      <c r="H19" s="191"/>
      <c r="I19" s="191"/>
      <c r="J19" s="191"/>
      <c r="K19" s="191"/>
      <c r="L19" s="191"/>
      <c r="M19" s="191"/>
      <c r="N19" s="192"/>
      <c r="O19" s="201"/>
    </row>
    <row r="20" spans="1:15" x14ac:dyDescent="0.2">
      <c r="A20" s="202" t="s">
        <v>52</v>
      </c>
      <c r="B20" s="1" t="s">
        <v>73</v>
      </c>
      <c r="C20" s="190">
        <f>+'8. KW and Non-Weather Sensitive'!$P40</f>
        <v>20.791666666666668</v>
      </c>
      <c r="D20" s="190">
        <f>+'8. KW and Non-Weather Sensitive'!$P41</f>
        <v>20.125</v>
      </c>
      <c r="E20" s="190">
        <f>+'8. KW and Non-Weather Sensitive'!$P42</f>
        <v>19.541666666666668</v>
      </c>
      <c r="F20" s="190">
        <f>+'8. KW and Non-Weather Sensitive'!$P43</f>
        <v>18.25</v>
      </c>
      <c r="G20" s="190">
        <f>+'8. KW and Non-Weather Sensitive'!$P44</f>
        <v>16.833333333333332</v>
      </c>
      <c r="H20" s="190">
        <f>+'8. KW and Non-Weather Sensitive'!$P45</f>
        <v>24.416666666666668</v>
      </c>
      <c r="I20" s="190">
        <f>+'8. KW and Non-Weather Sensitive'!$P46</f>
        <v>27.083333333333332</v>
      </c>
      <c r="J20" s="190">
        <f>+'8. KW and Non-Weather Sensitive'!$P47</f>
        <v>29.708333333333332</v>
      </c>
      <c r="K20" s="190">
        <f>+'8. KW and Non-Weather Sensitive'!$P48</f>
        <v>30.041666666666668</v>
      </c>
      <c r="L20" s="190">
        <f>+'8. KW and Non-Weather Sensitive'!$P49</f>
        <v>31.916666666666668</v>
      </c>
      <c r="M20" s="190">
        <f>+'8. KW and Non-Weather Sensitive'!$P52</f>
        <v>49.916666666666664</v>
      </c>
      <c r="N20" s="190">
        <f>+'8. KW and Non-Weather Sensitive'!P53</f>
        <v>60</v>
      </c>
      <c r="O20" s="199">
        <f>+'8. KW and Non-Weather Sensitive'!P54</f>
        <v>60</v>
      </c>
    </row>
    <row r="21" spans="1:15" x14ac:dyDescent="0.2">
      <c r="A21" s="189"/>
      <c r="B21" s="1" t="s">
        <v>33</v>
      </c>
      <c r="C21" s="190">
        <f>+'8. KW and Non-Weather Sensitive'!$N40</f>
        <v>226393.8</v>
      </c>
      <c r="D21" s="190">
        <f>+'8. KW and Non-Weather Sensitive'!$N41</f>
        <v>234467.23</v>
      </c>
      <c r="E21" s="190">
        <f>+'8. KW and Non-Weather Sensitive'!$N42</f>
        <v>230816.74</v>
      </c>
      <c r="F21" s="190">
        <f>+'8. KW and Non-Weather Sensitive'!$N43</f>
        <v>224901.2</v>
      </c>
      <c r="G21" s="190">
        <f>+'8. KW and Non-Weather Sensitive'!$N44</f>
        <v>224075.16999999998</v>
      </c>
      <c r="H21" s="190">
        <f>+'8. KW and Non-Weather Sensitive'!$N45</f>
        <v>250759.37</v>
      </c>
      <c r="I21" s="190">
        <f>+'8. KW and Non-Weather Sensitive'!$N46</f>
        <v>264992.59000000003</v>
      </c>
      <c r="J21" s="190">
        <f>+'8. KW and Non-Weather Sensitive'!$N47</f>
        <v>254507.88999999998</v>
      </c>
      <c r="K21" s="190">
        <f>+'8. KW and Non-Weather Sensitive'!$N48</f>
        <v>247075.17</v>
      </c>
      <c r="L21" s="190">
        <f>+'8. KW and Non-Weather Sensitive'!$N49</f>
        <v>262765.23</v>
      </c>
      <c r="M21" s="190">
        <f>+'8. KW and Non-Weather Sensitive'!$R62</f>
        <v>315376.28000000003</v>
      </c>
      <c r="N21" s="190">
        <f>+'8. KW and Non-Weather Sensitive'!R63</f>
        <v>379083.34156928223</v>
      </c>
      <c r="O21" s="199">
        <f>+'8. KW and Non-Weather Sensitive'!R64</f>
        <v>379083.34156928223</v>
      </c>
    </row>
    <row r="22" spans="1:15" x14ac:dyDescent="0.2">
      <c r="A22" s="189"/>
      <c r="B22" s="1" t="s">
        <v>34</v>
      </c>
      <c r="C22" s="191"/>
      <c r="D22" s="191"/>
      <c r="E22" s="191"/>
      <c r="F22" s="191"/>
      <c r="G22" s="191"/>
      <c r="H22" s="191"/>
      <c r="I22" s="191"/>
      <c r="J22" s="191"/>
      <c r="K22" s="191"/>
      <c r="L22" s="191"/>
      <c r="M22" s="191"/>
      <c r="N22" s="191"/>
      <c r="O22" s="200"/>
    </row>
    <row r="23" spans="1:15" x14ac:dyDescent="0.2">
      <c r="A23" s="189"/>
      <c r="C23" s="191"/>
      <c r="D23" s="191"/>
      <c r="E23" s="191"/>
      <c r="F23" s="191"/>
      <c r="G23" s="191"/>
      <c r="H23" s="191"/>
      <c r="I23" s="191"/>
      <c r="J23" s="191"/>
      <c r="K23" s="191"/>
      <c r="L23" s="191"/>
      <c r="M23" s="191"/>
      <c r="N23" s="192"/>
      <c r="O23" s="201"/>
    </row>
    <row r="24" spans="1:15" x14ac:dyDescent="0.2">
      <c r="A24" s="202" t="s">
        <v>163</v>
      </c>
      <c r="B24" s="1" t="s">
        <v>73</v>
      </c>
      <c r="C24" s="190">
        <f>+'8. KW and Non-Weather Sensitive'!$F40</f>
        <v>1946.75</v>
      </c>
      <c r="D24" s="190">
        <f>+'8. KW and Non-Weather Sensitive'!$F41</f>
        <v>1948.75</v>
      </c>
      <c r="E24" s="193">
        <f>+'8. KW and Non-Weather Sensitive'!$F42</f>
        <v>2051.3333333333335</v>
      </c>
      <c r="F24" s="190">
        <f>+'8. KW and Non-Weather Sensitive'!$F43</f>
        <v>2080.75</v>
      </c>
      <c r="G24" s="190">
        <f>+'8. KW and Non-Weather Sensitive'!$F44</f>
        <v>2120.1666666666665</v>
      </c>
      <c r="H24" s="190">
        <f>+'8. KW and Non-Weather Sensitive'!$F45</f>
        <v>2123.9166666666665</v>
      </c>
      <c r="I24" s="190">
        <f>+'8. KW and Non-Weather Sensitive'!$F46</f>
        <v>2116</v>
      </c>
      <c r="J24" s="190">
        <f>+'8. KW and Non-Weather Sensitive'!$F47</f>
        <v>2153.3333333333335</v>
      </c>
      <c r="K24" s="190">
        <f>+'8. KW and Non-Weather Sensitive'!$F48</f>
        <v>2148</v>
      </c>
      <c r="L24" s="190">
        <f>+'8. KW and Non-Weather Sensitive'!$F49</f>
        <v>2245.3333333333335</v>
      </c>
      <c r="M24" s="190">
        <f>+'8. KW and Non-Weather Sensitive'!$F52</f>
        <v>2254</v>
      </c>
      <c r="N24" s="190">
        <f>+'8. KW and Non-Weather Sensitive'!$F53</f>
        <v>2254</v>
      </c>
      <c r="O24" s="200">
        <f>+'8. KW and Non-Weather Sensitive'!$F54</f>
        <v>2254</v>
      </c>
    </row>
    <row r="25" spans="1:15" x14ac:dyDescent="0.2">
      <c r="A25" s="189"/>
      <c r="B25" s="1" t="s">
        <v>33</v>
      </c>
      <c r="C25" s="190">
        <f>+'8. KW and Non-Weather Sensitive'!$D40</f>
        <v>1163464.3800000001</v>
      </c>
      <c r="D25" s="190">
        <f>+'8. KW and Non-Weather Sensitive'!$D41</f>
        <v>1160023.9100000001</v>
      </c>
      <c r="E25" s="190">
        <f>+'8. KW and Non-Weather Sensitive'!$D42</f>
        <v>1160025.06</v>
      </c>
      <c r="F25" s="190">
        <f>+'8. KW and Non-Weather Sensitive'!$D43</f>
        <v>974371.32000000007</v>
      </c>
      <c r="G25" s="190">
        <f>+'8. KW and Non-Weather Sensitive'!$D44</f>
        <v>861899.34000000008</v>
      </c>
      <c r="H25" s="190">
        <f>+'8. KW and Non-Weather Sensitive'!$D45</f>
        <v>858843.55</v>
      </c>
      <c r="I25" s="190">
        <f>+'8. KW and Non-Weather Sensitive'!$D46</f>
        <v>856925.36999999988</v>
      </c>
      <c r="J25" s="190">
        <f>+'8. KW and Non-Weather Sensitive'!$D47</f>
        <v>854489.3600000001</v>
      </c>
      <c r="K25" s="190">
        <f>+'8. KW and Non-Weather Sensitive'!$D48</f>
        <v>840174.8600000001</v>
      </c>
      <c r="L25" s="190">
        <f>+'8. KW and Non-Weather Sensitive'!$D49</f>
        <v>561900.85</v>
      </c>
      <c r="M25" s="190">
        <f>+'8. KW and Non-Weather Sensitive'!$H62</f>
        <v>563345.13</v>
      </c>
      <c r="N25" s="190">
        <f>+'8. KW and Non-Weather Sensitive'!$H63</f>
        <v>563345.13</v>
      </c>
      <c r="O25" s="199">
        <f>+'8. KW and Non-Weather Sensitive'!$H64</f>
        <v>563345.13</v>
      </c>
    </row>
    <row r="26" spans="1:15" x14ac:dyDescent="0.2">
      <c r="A26" s="189"/>
      <c r="B26" s="1" t="s">
        <v>34</v>
      </c>
      <c r="C26" s="190">
        <f>+'8. KW and Non-Weather Sensitive'!$E40</f>
        <v>3238.8</v>
      </c>
      <c r="D26" s="190">
        <f>+'8. KW and Non-Weather Sensitive'!$E41</f>
        <v>3256.79</v>
      </c>
      <c r="E26" s="190">
        <f>+'8. KW and Non-Weather Sensitive'!$E42</f>
        <v>3238.8</v>
      </c>
      <c r="F26" s="190">
        <f>+'8. KW and Non-Weather Sensitive'!$E43</f>
        <v>2742.9900000000007</v>
      </c>
      <c r="G26" s="190">
        <f>+'8. KW and Non-Weather Sensitive'!$E44</f>
        <v>2373.42</v>
      </c>
      <c r="H26" s="190">
        <f>+'8. KW and Non-Weather Sensitive'!$E45</f>
        <v>2399.7999999999997</v>
      </c>
      <c r="I26" s="190">
        <f>+'8. KW and Non-Weather Sensitive'!$E46</f>
        <v>2390.9999999999995</v>
      </c>
      <c r="J26" s="190">
        <f>+'8. KW and Non-Weather Sensitive'!$E47</f>
        <v>2389.4600000000005</v>
      </c>
      <c r="K26" s="190">
        <f>+'8. KW and Non-Weather Sensitive'!$E48</f>
        <v>2338.8000000000006</v>
      </c>
      <c r="L26" s="190">
        <f>+'8. KW and Non-Weather Sensitive'!$E49</f>
        <v>1568.4</v>
      </c>
      <c r="M26" s="190">
        <f>+'8. KW and Non-Weather Sensitive'!$E49</f>
        <v>1568.4</v>
      </c>
      <c r="N26" s="190">
        <f>+'8. KW and Non-Weather Sensitive'!$I62</f>
        <v>1572</v>
      </c>
      <c r="O26" s="199">
        <f>+'8. KW and Non-Weather Sensitive'!$I63</f>
        <v>1572</v>
      </c>
    </row>
    <row r="27" spans="1:15" x14ac:dyDescent="0.2">
      <c r="A27" s="189"/>
      <c r="C27" s="191"/>
      <c r="D27" s="191"/>
      <c r="E27" s="191"/>
      <c r="F27" s="191"/>
      <c r="G27" s="191"/>
      <c r="H27" s="191"/>
      <c r="I27" s="191"/>
      <c r="J27" s="191"/>
      <c r="K27" s="191"/>
      <c r="L27" s="191"/>
      <c r="M27" s="191"/>
      <c r="N27" s="192"/>
      <c r="O27" s="201"/>
    </row>
    <row r="28" spans="1:15" x14ac:dyDescent="0.2">
      <c r="A28" s="202" t="s">
        <v>147</v>
      </c>
      <c r="B28" s="1" t="s">
        <v>73</v>
      </c>
      <c r="C28" s="190">
        <f>+'8. KW and Non-Weather Sensitive'!$P$10</f>
        <v>0</v>
      </c>
      <c r="D28" s="190">
        <f>+'8. KW and Non-Weather Sensitive'!$P$11</f>
        <v>0</v>
      </c>
      <c r="E28" s="190">
        <f>+'8. KW and Non-Weather Sensitive'!$P$12</f>
        <v>0</v>
      </c>
      <c r="F28" s="190">
        <f>+'8. KW and Non-Weather Sensitive'!$P$13</f>
        <v>0</v>
      </c>
      <c r="G28" s="190">
        <f>+'8. KW and Non-Weather Sensitive'!$P$14</f>
        <v>0</v>
      </c>
      <c r="H28" s="190">
        <f>+'8. KW and Non-Weather Sensitive'!$P$15</f>
        <v>0</v>
      </c>
      <c r="I28" s="190">
        <f>+'8. KW and Non-Weather Sensitive'!$P$16</f>
        <v>0</v>
      </c>
      <c r="J28" s="190">
        <f>+'8. KW and Non-Weather Sensitive'!$P$17</f>
        <v>0.66666666666666663</v>
      </c>
      <c r="K28" s="190">
        <f>+'8. KW and Non-Weather Sensitive'!$P$18</f>
        <v>1</v>
      </c>
      <c r="L28" s="190">
        <f>+'8. KW and Non-Weather Sensitive'!$P$19</f>
        <v>1</v>
      </c>
      <c r="M28" s="190">
        <f>+'8. KW and Non-Weather Sensitive'!P22</f>
        <v>0.5</v>
      </c>
      <c r="N28" s="190">
        <f>+'8. KW and Non-Weather Sensitive'!$P$23</f>
        <v>0.5</v>
      </c>
      <c r="O28" s="199">
        <f>+'8. KW and Non-Weather Sensitive'!$P$24</f>
        <v>1</v>
      </c>
    </row>
    <row r="29" spans="1:15" x14ac:dyDescent="0.2">
      <c r="A29" s="189"/>
      <c r="B29" s="1" t="s">
        <v>33</v>
      </c>
      <c r="C29" s="190">
        <f>+'8. KW and Non-Weather Sensitive'!$N$10</f>
        <v>0</v>
      </c>
      <c r="D29" s="190">
        <f>+'8. KW and Non-Weather Sensitive'!$N$11</f>
        <v>0</v>
      </c>
      <c r="E29" s="190">
        <f>+'8. KW and Non-Weather Sensitive'!$N$12</f>
        <v>0</v>
      </c>
      <c r="F29" s="190">
        <f>+'8. KW and Non-Weather Sensitive'!$N$13</f>
        <v>0</v>
      </c>
      <c r="G29" s="190">
        <f>+'8. KW and Non-Weather Sensitive'!$N$14</f>
        <v>0</v>
      </c>
      <c r="H29" s="190">
        <f>+'8. KW and Non-Weather Sensitive'!$N$15</f>
        <v>0</v>
      </c>
      <c r="I29" s="190">
        <f>+'8. KW and Non-Weather Sensitive'!$N$16</f>
        <v>0</v>
      </c>
      <c r="J29" s="190">
        <f>+'8. KW and Non-Weather Sensitive'!$N$17</f>
        <v>17267572</v>
      </c>
      <c r="K29" s="190">
        <f>+'8. KW and Non-Weather Sensitive'!$N$18</f>
        <v>25776833.599999994</v>
      </c>
      <c r="L29" s="190">
        <f>+'8. KW and Non-Weather Sensitive'!$N$19</f>
        <v>19135793.599999998</v>
      </c>
      <c r="M29" s="190">
        <f>+'8. KW and Non-Weather Sensitive'!$R32</f>
        <v>1250860.7999999998</v>
      </c>
      <c r="N29" s="190">
        <f>+'8. KW and Non-Weather Sensitive'!$R$33</f>
        <v>19710000</v>
      </c>
      <c r="O29" s="199">
        <f>+'8. KW and Non-Weather Sensitive'!$R$34</f>
        <v>39420000</v>
      </c>
    </row>
    <row r="30" spans="1:15" x14ac:dyDescent="0.2">
      <c r="A30" s="189"/>
      <c r="B30" s="1" t="s">
        <v>34</v>
      </c>
      <c r="C30" s="190">
        <f>+'8. KW and Non-Weather Sensitive'!$O$10</f>
        <v>0</v>
      </c>
      <c r="D30" s="190">
        <f>+'8. KW and Non-Weather Sensitive'!$O$11</f>
        <v>0</v>
      </c>
      <c r="E30" s="190">
        <f>+'8. KW and Non-Weather Sensitive'!$O$12</f>
        <v>0</v>
      </c>
      <c r="F30" s="190">
        <f>+'8. KW and Non-Weather Sensitive'!$O$13</f>
        <v>0</v>
      </c>
      <c r="G30" s="190">
        <f>+'8. KW and Non-Weather Sensitive'!$O$14</f>
        <v>0</v>
      </c>
      <c r="H30" s="190">
        <f>+'8. KW and Non-Weather Sensitive'!$O$15</f>
        <v>0</v>
      </c>
      <c r="I30" s="190">
        <f>+'8. KW and Non-Weather Sensitive'!$O$16</f>
        <v>0</v>
      </c>
      <c r="J30" s="190">
        <f>+'8. KW and Non-Weather Sensitive'!$O$17</f>
        <v>56470.400000000009</v>
      </c>
      <c r="K30" s="190">
        <f>+'8. KW and Non-Weather Sensitive'!$O$18</f>
        <v>87942.399999999994</v>
      </c>
      <c r="L30" s="190">
        <f>+'8. KW and Non-Weather Sensitive'!$O$19</f>
        <v>67379.199999999997</v>
      </c>
      <c r="M30" s="190">
        <f>+'8. KW and Non-Weather Sensitive'!S32</f>
        <v>8525.4000000000015</v>
      </c>
      <c r="N30" s="190">
        <f>+'8. KW and Non-Weather Sensitive'!$S$33</f>
        <v>30000</v>
      </c>
      <c r="O30" s="199">
        <f>+'8. KW and Non-Weather Sensitive'!$S$34</f>
        <v>60000</v>
      </c>
    </row>
    <row r="31" spans="1:15" x14ac:dyDescent="0.2">
      <c r="A31" s="189"/>
      <c r="C31" s="191"/>
      <c r="D31" s="191"/>
      <c r="E31" s="191"/>
      <c r="F31" s="191"/>
      <c r="G31" s="191"/>
      <c r="H31" s="191"/>
      <c r="I31" s="191"/>
      <c r="J31" s="191"/>
      <c r="K31" s="191"/>
      <c r="L31" s="191"/>
      <c r="M31" s="191"/>
      <c r="N31" s="192"/>
      <c r="O31" s="201"/>
    </row>
    <row r="32" spans="1:15" x14ac:dyDescent="0.2">
      <c r="A32" s="211" t="s">
        <v>15</v>
      </c>
      <c r="B32" s="212" t="s">
        <v>73</v>
      </c>
      <c r="C32" s="213">
        <f t="shared" ref="C32:O32" si="0">C8+C12+C16+C20+C24+C28</f>
        <v>10071.958333333334</v>
      </c>
      <c r="D32" s="213">
        <f t="shared" si="0"/>
        <v>10218.041666666666</v>
      </c>
      <c r="E32" s="213">
        <f t="shared" si="0"/>
        <v>10607.833333333332</v>
      </c>
      <c r="F32" s="213">
        <f t="shared" si="0"/>
        <v>10929.333333333334</v>
      </c>
      <c r="G32" s="213">
        <f t="shared" si="0"/>
        <v>11224.083333333334</v>
      </c>
      <c r="H32" s="213">
        <f t="shared" si="0"/>
        <v>11438.708333333332</v>
      </c>
      <c r="I32" s="213">
        <f t="shared" si="0"/>
        <v>11521.708333333334</v>
      </c>
      <c r="J32" s="213">
        <f t="shared" ref="J32:K32" si="1">J8+J12+J16+J20+J24+J28</f>
        <v>11684.250000000002</v>
      </c>
      <c r="K32" s="213">
        <f t="shared" si="1"/>
        <v>11766.458333333334</v>
      </c>
      <c r="L32" s="213">
        <f t="shared" ref="L32:M32" si="2">L8+L12+L16+L20+L24+L28</f>
        <v>11956.75</v>
      </c>
      <c r="M32" s="213">
        <f t="shared" si="2"/>
        <v>12073.375</v>
      </c>
      <c r="N32" s="213">
        <f t="shared" si="0"/>
        <v>12208.375</v>
      </c>
      <c r="O32" s="214">
        <f t="shared" si="0"/>
        <v>12367.916666666672</v>
      </c>
    </row>
    <row r="33" spans="1:15" x14ac:dyDescent="0.2">
      <c r="A33" s="203"/>
      <c r="B33" s="33" t="s">
        <v>33</v>
      </c>
      <c r="C33" s="194">
        <f t="shared" ref="C33:O33" si="3">C9+C13+C17+C21+C25+C29</f>
        <v>182904092.05000001</v>
      </c>
      <c r="D33" s="194">
        <f t="shared" si="3"/>
        <v>183814928.83999997</v>
      </c>
      <c r="E33" s="194">
        <f t="shared" si="3"/>
        <v>190491282.70000005</v>
      </c>
      <c r="F33" s="194">
        <f t="shared" si="3"/>
        <v>194613306.44</v>
      </c>
      <c r="G33" s="194">
        <f t="shared" si="3"/>
        <v>202468100.50999999</v>
      </c>
      <c r="H33" s="194">
        <f t="shared" si="3"/>
        <v>197277678.22</v>
      </c>
      <c r="I33" s="194">
        <f t="shared" si="3"/>
        <v>217793621.07000002</v>
      </c>
      <c r="J33" s="194">
        <f t="shared" ref="J33:K33" si="4">J9+J13+J17+J21+J25+J29</f>
        <v>229558522.31999996</v>
      </c>
      <c r="K33" s="194">
        <f t="shared" si="4"/>
        <v>222195298.63000003</v>
      </c>
      <c r="L33" s="194">
        <f>L9+L13+L17+L21+L25+L29</f>
        <v>217473718.03</v>
      </c>
      <c r="M33" s="194">
        <f>M9+M13+M17+M21+M25+M29</f>
        <v>212160512.10572967</v>
      </c>
      <c r="N33" s="194">
        <f t="shared" si="3"/>
        <v>229864322.65521154</v>
      </c>
      <c r="O33" s="204">
        <f t="shared" si="3"/>
        <v>252076717.34379908</v>
      </c>
    </row>
    <row r="34" spans="1:15" x14ac:dyDescent="0.2">
      <c r="A34" s="205"/>
      <c r="B34" s="206" t="s">
        <v>34</v>
      </c>
      <c r="C34" s="207">
        <f t="shared" ref="C34:O34" si="5">C10+C14+C18+C22+C26+C30</f>
        <v>205976.61</v>
      </c>
      <c r="D34" s="207">
        <f t="shared" si="5"/>
        <v>207849.61</v>
      </c>
      <c r="E34" s="207">
        <f t="shared" si="5"/>
        <v>211281.32</v>
      </c>
      <c r="F34" s="207">
        <f t="shared" si="5"/>
        <v>215681.03999999995</v>
      </c>
      <c r="G34" s="207">
        <f t="shared" si="5"/>
        <v>211069.13</v>
      </c>
      <c r="H34" s="207">
        <f t="shared" si="5"/>
        <v>211736.28999999998</v>
      </c>
      <c r="I34" s="207">
        <f t="shared" si="5"/>
        <v>256775.34000000003</v>
      </c>
      <c r="J34" s="207">
        <f t="shared" ref="J34:K34" si="6">J10+J14+J18+J22+J26+J30</f>
        <v>311589.93</v>
      </c>
      <c r="K34" s="207">
        <f t="shared" si="6"/>
        <v>283032.23</v>
      </c>
      <c r="L34" s="207">
        <f t="shared" ref="L34:M34" si="7">L10+L14+L18+L22+L26+L30</f>
        <v>264295.8</v>
      </c>
      <c r="M34" s="207">
        <f t="shared" si="7"/>
        <v>230038.3633444572</v>
      </c>
      <c r="N34" s="207">
        <f t="shared" si="5"/>
        <v>249770.97157188217</v>
      </c>
      <c r="O34" s="208">
        <f t="shared" si="5"/>
        <v>282607.55820231664</v>
      </c>
    </row>
    <row r="37" spans="1:15" hidden="1" x14ac:dyDescent="0.2">
      <c r="A37" s="24" t="s">
        <v>446</v>
      </c>
      <c r="B37" s="1" t="s">
        <v>73</v>
      </c>
      <c r="C37" s="1">
        <v>0</v>
      </c>
      <c r="D37" s="1">
        <v>0</v>
      </c>
      <c r="E37" s="1">
        <v>1</v>
      </c>
      <c r="F37" s="1">
        <v>1</v>
      </c>
      <c r="G37" s="1">
        <v>1</v>
      </c>
      <c r="H37" s="1">
        <v>1</v>
      </c>
      <c r="I37" s="1">
        <v>1</v>
      </c>
      <c r="J37" s="1">
        <v>1</v>
      </c>
    </row>
    <row r="38" spans="1:15" hidden="1" x14ac:dyDescent="0.2">
      <c r="B38" s="1" t="s">
        <v>33</v>
      </c>
      <c r="C38" s="37">
        <f>+'SQL Data kWh'!$X$163</f>
        <v>0</v>
      </c>
      <c r="D38" s="37">
        <f>+'SQL Data kWh'!$X$164</f>
        <v>0</v>
      </c>
      <c r="E38" s="37">
        <f>+'SQL Data kWh'!$X$165</f>
        <v>153044.25</v>
      </c>
      <c r="F38" s="37">
        <f>+'SQL Data kWh'!$X$166</f>
        <v>462285.72</v>
      </c>
      <c r="G38" s="37">
        <f>+'SQL Data kWh'!$X$167</f>
        <v>1540454.67</v>
      </c>
      <c r="H38" s="37">
        <f>+'SQL Data kWh'!$X$168</f>
        <v>2592620.9800000004</v>
      </c>
      <c r="I38" s="37">
        <f>+'SQL Data kWh'!$X$169</f>
        <v>11056797.779999997</v>
      </c>
      <c r="J38" s="37">
        <f>+'SQL Data kWh'!$X$170</f>
        <v>8551956</v>
      </c>
      <c r="K38" s="37">
        <f>+'SQL Data kWh'!$X$171</f>
        <v>0</v>
      </c>
      <c r="L38" s="37">
        <f>+'SQL Data kWh'!$X$172</f>
        <v>0</v>
      </c>
      <c r="M38" s="37">
        <f>+'SQL Data kWh'!$X$173</f>
        <v>598864</v>
      </c>
      <c r="N38" s="37">
        <f>+'SQL Data kWh'!$X$174</f>
        <v>0</v>
      </c>
      <c r="O38" s="37">
        <f>+'SQL Data kWh'!$X$175</f>
        <v>0</v>
      </c>
    </row>
    <row r="39" spans="1:15" hidden="1" x14ac:dyDescent="0.2">
      <c r="B39" s="1" t="s">
        <v>34</v>
      </c>
      <c r="C39" s="37">
        <f>+'Harris Data kW'!$S$163</f>
        <v>0</v>
      </c>
      <c r="D39" s="37">
        <f>+'Harris Data kW'!$S$164</f>
        <v>0</v>
      </c>
      <c r="E39" s="37">
        <f>+'Harris Data kW'!$S$165</f>
        <v>317.31000000000006</v>
      </c>
      <c r="F39" s="37">
        <f>+'Harris Data kW'!$S$166</f>
        <v>966.23000000000013</v>
      </c>
      <c r="G39" s="37">
        <f>+'Harris Data kW'!$S$167</f>
        <v>3504.6500000000005</v>
      </c>
      <c r="H39" s="37">
        <f>+'Harris Data kW'!$S$168</f>
        <v>6116.6399999999994</v>
      </c>
      <c r="I39" s="37">
        <f>+'Harris Data kW'!$S$169</f>
        <v>35481.919999999998</v>
      </c>
      <c r="J39" s="37">
        <f>+'Harris Data kW'!$S$169</f>
        <v>35481.919999999998</v>
      </c>
      <c r="K39" s="37"/>
      <c r="L39" s="37"/>
      <c r="M39" s="37"/>
      <c r="N39" s="37"/>
      <c r="O39" s="37"/>
    </row>
    <row r="40" spans="1:15" hidden="1" x14ac:dyDescent="0.2"/>
    <row r="41" spans="1:15" hidden="1" x14ac:dyDescent="0.2">
      <c r="A41" s="1" t="s">
        <v>413</v>
      </c>
      <c r="C41" s="60">
        <f>+C8+C12+C16+C20+C24-C37</f>
        <v>10071.958333333334</v>
      </c>
      <c r="D41" s="60">
        <f t="shared" ref="D41:I41" si="8">+D8+D12+D16+D20+D24-D37</f>
        <v>10218.041666666666</v>
      </c>
      <c r="E41" s="60">
        <f t="shared" si="8"/>
        <v>10606.833333333332</v>
      </c>
      <c r="F41" s="60">
        <f t="shared" si="8"/>
        <v>10928.333333333334</v>
      </c>
      <c r="G41" s="60">
        <f t="shared" si="8"/>
        <v>11223.083333333334</v>
      </c>
      <c r="H41" s="60">
        <f t="shared" si="8"/>
        <v>11437.708333333332</v>
      </c>
      <c r="I41" s="60">
        <f t="shared" si="8"/>
        <v>11520.708333333334</v>
      </c>
      <c r="J41" s="60">
        <f>+J8+J12+J16+J20+J24-J37</f>
        <v>11682.583333333336</v>
      </c>
      <c r="K41" s="60">
        <f t="shared" ref="K41:O41" si="9">+K8+K12+K16+K20+K24-K37</f>
        <v>11765.458333333334</v>
      </c>
      <c r="L41" s="60">
        <f t="shared" ref="L41:M41" si="10">+L8+L12+L16+L20+L24-L37</f>
        <v>11955.75</v>
      </c>
      <c r="M41" s="60">
        <f t="shared" si="10"/>
        <v>12072.875</v>
      </c>
      <c r="N41" s="60">
        <f t="shared" si="9"/>
        <v>12207.875</v>
      </c>
      <c r="O41" s="60">
        <f t="shared" si="9"/>
        <v>12366.916666666672</v>
      </c>
    </row>
    <row r="42" spans="1:15" hidden="1" x14ac:dyDescent="0.2">
      <c r="C42" s="60">
        <f t="shared" ref="C42:I42" si="11">+C9+C13+C17+C21+C25-C38</f>
        <v>182904092.05000001</v>
      </c>
      <c r="D42" s="60">
        <f t="shared" si="11"/>
        <v>183814928.83999997</v>
      </c>
      <c r="E42" s="60">
        <f t="shared" si="11"/>
        <v>190338238.45000005</v>
      </c>
      <c r="F42" s="60">
        <f t="shared" si="11"/>
        <v>194151020.72</v>
      </c>
      <c r="G42" s="60">
        <f t="shared" si="11"/>
        <v>200927645.84</v>
      </c>
      <c r="H42" s="60">
        <f t="shared" si="11"/>
        <v>194685057.24000001</v>
      </c>
      <c r="I42" s="60">
        <f t="shared" si="11"/>
        <v>206736823.29000002</v>
      </c>
      <c r="J42" s="60">
        <f t="shared" ref="J42:O43" si="12">+J9+J13+J17+J21+J25-J38</f>
        <v>203738994.31999996</v>
      </c>
      <c r="K42" s="60">
        <f t="shared" si="12"/>
        <v>196418465.03000003</v>
      </c>
      <c r="L42" s="60">
        <f t="shared" ref="L42:M42" si="13">+L9+L13+L17+L21+L25-L38</f>
        <v>198337924.43000001</v>
      </c>
      <c r="M42" s="60">
        <f t="shared" si="13"/>
        <v>210310787.30572966</v>
      </c>
      <c r="N42" s="60">
        <f t="shared" si="12"/>
        <v>210154322.65521154</v>
      </c>
      <c r="O42" s="60">
        <f t="shared" si="12"/>
        <v>212656717.34379908</v>
      </c>
    </row>
    <row r="43" spans="1:15" hidden="1" x14ac:dyDescent="0.2">
      <c r="C43" s="60">
        <f t="shared" ref="C43:I43" si="14">+C10+C14+C18+C22+C26-C39</f>
        <v>205976.61</v>
      </c>
      <c r="D43" s="60">
        <f t="shared" si="14"/>
        <v>207849.61</v>
      </c>
      <c r="E43" s="60">
        <f t="shared" si="14"/>
        <v>210964.01</v>
      </c>
      <c r="F43" s="60">
        <f t="shared" si="14"/>
        <v>214714.80999999994</v>
      </c>
      <c r="G43" s="60">
        <f t="shared" si="14"/>
        <v>207564.48</v>
      </c>
      <c r="H43" s="60">
        <f t="shared" si="14"/>
        <v>205619.64999999997</v>
      </c>
      <c r="I43" s="60">
        <f t="shared" si="14"/>
        <v>221293.42000000004</v>
      </c>
      <c r="J43" s="60">
        <f t="shared" si="12"/>
        <v>219637.61</v>
      </c>
      <c r="K43" s="60">
        <f t="shared" si="12"/>
        <v>195089.83</v>
      </c>
      <c r="L43" s="60">
        <f t="shared" ref="L43:M43" si="15">+L10+L14+L18+L22+L26-L39</f>
        <v>196916.6</v>
      </c>
      <c r="M43" s="60">
        <f t="shared" si="15"/>
        <v>221512.96334445721</v>
      </c>
      <c r="N43" s="60">
        <f t="shared" si="12"/>
        <v>219770.97157188217</v>
      </c>
      <c r="O43" s="60">
        <f t="shared" si="12"/>
        <v>222607.55820231661</v>
      </c>
    </row>
    <row r="44" spans="1:15" hidden="1" x14ac:dyDescent="0.2"/>
    <row r="45" spans="1:15" hidden="1" x14ac:dyDescent="0.2">
      <c r="A45" s="1" t="s">
        <v>449</v>
      </c>
      <c r="C45" s="60">
        <f>+C33-C29</f>
        <v>182904092.05000001</v>
      </c>
      <c r="D45" s="60">
        <f t="shared" ref="D45:O45" si="16">+D33-D29</f>
        <v>183814928.83999997</v>
      </c>
      <c r="E45" s="60">
        <f t="shared" si="16"/>
        <v>190491282.70000005</v>
      </c>
      <c r="F45" s="60">
        <f t="shared" si="16"/>
        <v>194613306.44</v>
      </c>
      <c r="G45" s="60">
        <f t="shared" si="16"/>
        <v>202468100.50999999</v>
      </c>
      <c r="H45" s="60">
        <f t="shared" si="16"/>
        <v>197277678.22</v>
      </c>
      <c r="I45" s="60">
        <f t="shared" si="16"/>
        <v>217793621.07000002</v>
      </c>
      <c r="J45" s="60">
        <f t="shared" si="16"/>
        <v>212290950.31999996</v>
      </c>
      <c r="K45" s="60">
        <f t="shared" si="16"/>
        <v>196418465.03000003</v>
      </c>
      <c r="L45" s="60">
        <f t="shared" si="16"/>
        <v>198337924.43000001</v>
      </c>
      <c r="M45" s="60">
        <f t="shared" si="16"/>
        <v>210909651.30572966</v>
      </c>
      <c r="N45" s="60">
        <f t="shared" si="16"/>
        <v>210154322.65521154</v>
      </c>
      <c r="O45" s="60">
        <f t="shared" si="16"/>
        <v>212656717.34379908</v>
      </c>
    </row>
    <row r="46" spans="1:15" hidden="1" x14ac:dyDescent="0.2">
      <c r="A46" s="1" t="s">
        <v>5</v>
      </c>
      <c r="C46" s="583">
        <f>C9/C45</f>
        <v>0.36678772086553763</v>
      </c>
      <c r="D46" s="583">
        <f t="shared" ref="D46:O46" si="17">D9/D45</f>
        <v>0.37062717919555027</v>
      </c>
      <c r="E46" s="583">
        <f t="shared" si="17"/>
        <v>0.36011898784909596</v>
      </c>
      <c r="F46" s="583">
        <f t="shared" si="17"/>
        <v>0.35776062569218842</v>
      </c>
      <c r="G46" s="583">
        <f t="shared" si="17"/>
        <v>0.36642642111583268</v>
      </c>
      <c r="H46" s="583">
        <f t="shared" si="17"/>
        <v>0.36018549635787578</v>
      </c>
      <c r="I46" s="583">
        <f t="shared" si="17"/>
        <v>0.35353730665625133</v>
      </c>
      <c r="J46" s="583">
        <f t="shared" si="17"/>
        <v>0.35332480040687586</v>
      </c>
      <c r="K46" s="583">
        <f t="shared" si="17"/>
        <v>0.4059114938497389</v>
      </c>
      <c r="L46" s="583">
        <f t="shared" si="17"/>
        <v>0.39652386650721794</v>
      </c>
      <c r="M46" s="583">
        <f t="shared" si="17"/>
        <v>0.37206957971095966</v>
      </c>
      <c r="N46" s="583">
        <f t="shared" si="17"/>
        <v>0.37481677116520501</v>
      </c>
      <c r="O46" s="583">
        <f t="shared" si="17"/>
        <v>0.37456998962164328</v>
      </c>
    </row>
    <row r="47" spans="1:15" hidden="1" x14ac:dyDescent="0.2">
      <c r="A47" s="1" t="s">
        <v>172</v>
      </c>
      <c r="C47" s="583">
        <f>C13/C$45</f>
        <v>0.19340670628806741</v>
      </c>
      <c r="D47" s="583">
        <f t="shared" ref="D47:O47" si="18">D13/D$45</f>
        <v>0.19199273493568547</v>
      </c>
      <c r="E47" s="583">
        <f t="shared" si="18"/>
        <v>0.20624807504642834</v>
      </c>
      <c r="F47" s="583">
        <f t="shared" si="18"/>
        <v>0.21155946950982801</v>
      </c>
      <c r="G47" s="583">
        <f t="shared" si="18"/>
        <v>0.21490220355897977</v>
      </c>
      <c r="H47" s="583">
        <f t="shared" si="18"/>
        <v>0.20733972646608936</v>
      </c>
      <c r="I47" s="583">
        <f t="shared" si="18"/>
        <v>0.19590487655415145</v>
      </c>
      <c r="J47" s="583">
        <f t="shared" si="18"/>
        <v>0.19865838457282006</v>
      </c>
      <c r="K47" s="583">
        <f t="shared" si="18"/>
        <v>0.20386828068269419</v>
      </c>
      <c r="L47" s="583">
        <f t="shared" si="18"/>
        <v>0.21152231511228989</v>
      </c>
      <c r="M47" s="583">
        <f t="shared" si="18"/>
        <v>0.21167413814888303</v>
      </c>
      <c r="N47" s="583">
        <f t="shared" si="18"/>
        <v>0.2132370430868763</v>
      </c>
      <c r="O47" s="583">
        <f t="shared" si="18"/>
        <v>0.21309664657667227</v>
      </c>
    </row>
    <row r="48" spans="1:15" hidden="1" x14ac:dyDescent="0.2">
      <c r="A48" s="1" t="s">
        <v>173</v>
      </c>
      <c r="C48" s="583">
        <f>C17/C$45</f>
        <v>0.43220673695146011</v>
      </c>
      <c r="D48" s="583">
        <f t="shared" ref="D48:O48" si="19">D17/D$45</f>
        <v>0.42979369912205018</v>
      </c>
      <c r="E48" s="583">
        <f t="shared" si="19"/>
        <v>0.426331596170201</v>
      </c>
      <c r="F48" s="583">
        <f t="shared" si="19"/>
        <v>0.42451756912866107</v>
      </c>
      <c r="G48" s="583">
        <f t="shared" si="19"/>
        <v>0.41330769330681272</v>
      </c>
      <c r="H48" s="583">
        <f t="shared" si="19"/>
        <v>0.42685020307311677</v>
      </c>
      <c r="I48" s="583">
        <f t="shared" si="19"/>
        <v>0.44540652744288378</v>
      </c>
      <c r="J48" s="583">
        <f t="shared" si="19"/>
        <v>0.44279286530257783</v>
      </c>
      <c r="K48" s="583">
        <f t="shared" si="19"/>
        <v>0.38468484960647387</v>
      </c>
      <c r="L48" s="583">
        <f t="shared" si="19"/>
        <v>0.38779593439350385</v>
      </c>
      <c r="M48" s="583">
        <f t="shared" si="19"/>
        <v>0.41208994169741375</v>
      </c>
      <c r="N48" s="583">
        <f t="shared" si="19"/>
        <v>0.40746172661492497</v>
      </c>
      <c r="O48" s="583">
        <f t="shared" si="19"/>
        <v>0.40790167462985516</v>
      </c>
    </row>
    <row r="49" spans="1:15" hidden="1" x14ac:dyDescent="0.2">
      <c r="A49" s="1" t="s">
        <v>174</v>
      </c>
      <c r="C49" s="583">
        <f>C21/C$45</f>
        <v>1.237773291250976E-3</v>
      </c>
      <c r="D49" s="583">
        <f t="shared" ref="D49:O49" si="20">D21/D$45</f>
        <v>1.2755614110325601E-3</v>
      </c>
      <c r="E49" s="583">
        <f t="shared" si="20"/>
        <v>1.2116918775937242E-3</v>
      </c>
      <c r="F49" s="583">
        <f t="shared" si="20"/>
        <v>1.1556311544880817E-3</v>
      </c>
      <c r="G49" s="583">
        <f t="shared" si="20"/>
        <v>1.1067183888996519E-3</v>
      </c>
      <c r="H49" s="583">
        <f t="shared" si="20"/>
        <v>1.2710985462853954E-3</v>
      </c>
      <c r="I49" s="583">
        <f t="shared" si="20"/>
        <v>1.2167141934557855E-3</v>
      </c>
      <c r="J49" s="583">
        <f t="shared" si="20"/>
        <v>1.1988635861131323E-3</v>
      </c>
      <c r="K49" s="583">
        <f t="shared" si="20"/>
        <v>1.2579019490976213E-3</v>
      </c>
      <c r="L49" s="583">
        <f t="shared" si="20"/>
        <v>1.3248360380656221E-3</v>
      </c>
      <c r="M49" s="583">
        <f t="shared" si="20"/>
        <v>1.495314595835342E-3</v>
      </c>
      <c r="N49" s="583">
        <f t="shared" si="20"/>
        <v>1.8038331868682192E-3</v>
      </c>
      <c r="O49" s="583">
        <f t="shared" si="20"/>
        <v>1.7826069465580229E-3</v>
      </c>
    </row>
    <row r="50" spans="1:15" hidden="1" x14ac:dyDescent="0.2">
      <c r="A50" s="1" t="s">
        <v>450</v>
      </c>
      <c r="C50" s="583">
        <f>C25/C$45</f>
        <v>6.361062603683831E-3</v>
      </c>
      <c r="D50" s="583">
        <f t="shared" ref="D50:O50" si="21">D25/D$45</f>
        <v>6.3108253356816977E-3</v>
      </c>
      <c r="E50" s="583">
        <f t="shared" si="21"/>
        <v>6.0896490566809533E-3</v>
      </c>
      <c r="F50" s="583">
        <f t="shared" si="21"/>
        <v>5.0067045148344076E-3</v>
      </c>
      <c r="G50" s="583">
        <f t="shared" si="21"/>
        <v>4.2569636294752045E-3</v>
      </c>
      <c r="H50" s="583">
        <f t="shared" si="21"/>
        <v>4.3534755566325932E-3</v>
      </c>
      <c r="I50" s="583">
        <f t="shared" si="21"/>
        <v>3.9345751532574936E-3</v>
      </c>
      <c r="J50" s="583">
        <f t="shared" si="21"/>
        <v>4.0250861316131125E-3</v>
      </c>
      <c r="K50" s="583">
        <f t="shared" si="21"/>
        <v>4.2774739119953702E-3</v>
      </c>
      <c r="L50" s="583">
        <f t="shared" si="21"/>
        <v>2.8330479489227151E-3</v>
      </c>
      <c r="M50" s="583">
        <f t="shared" si="21"/>
        <v>2.6710258469082016E-3</v>
      </c>
      <c r="N50" s="583">
        <f t="shared" si="21"/>
        <v>2.6806259461255475E-3</v>
      </c>
      <c r="O50" s="583">
        <f t="shared" si="21"/>
        <v>2.6490822252712948E-3</v>
      </c>
    </row>
    <row r="51" spans="1:15" hidden="1" x14ac:dyDescent="0.2">
      <c r="C51" s="583">
        <f t="shared" ref="C51:O51" si="22">SUM(C46:C50)</f>
        <v>1</v>
      </c>
      <c r="D51" s="583">
        <f t="shared" si="22"/>
        <v>1.0000000000000002</v>
      </c>
      <c r="E51" s="583">
        <f t="shared" si="22"/>
        <v>1</v>
      </c>
      <c r="F51" s="583">
        <f t="shared" si="22"/>
        <v>1</v>
      </c>
      <c r="G51" s="583">
        <f t="shared" si="22"/>
        <v>1</v>
      </c>
      <c r="H51" s="583">
        <f t="shared" si="22"/>
        <v>0.99999999999999978</v>
      </c>
      <c r="I51" s="583">
        <f t="shared" si="22"/>
        <v>0.99999999999999989</v>
      </c>
      <c r="J51" s="583">
        <f t="shared" si="22"/>
        <v>1</v>
      </c>
      <c r="K51" s="583">
        <f t="shared" si="22"/>
        <v>1</v>
      </c>
      <c r="L51" s="583">
        <f t="shared" si="22"/>
        <v>1.0000000000000002</v>
      </c>
      <c r="M51" s="583">
        <f t="shared" si="22"/>
        <v>0.99999999999999989</v>
      </c>
      <c r="N51" s="583">
        <f t="shared" si="22"/>
        <v>0.99999999999999989</v>
      </c>
      <c r="O51" s="583">
        <f t="shared" si="22"/>
        <v>1.0000000000000002</v>
      </c>
    </row>
  </sheetData>
  <mergeCells count="1">
    <mergeCell ref="N6:O6"/>
  </mergeCells>
  <pageMargins left="0.7" right="0.7" top="0.75" bottom="0.75" header="0.3" footer="0.3"/>
  <pageSetup scale="53"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vt:i4>
      </vt:variant>
    </vt:vector>
  </HeadingPairs>
  <TitlesOfParts>
    <vt:vector size="25" baseType="lpstr">
      <vt:lpstr>1. Assumptions</vt:lpstr>
      <vt:lpstr>2. Customer Classes</vt:lpstr>
      <vt:lpstr>3. Consumption by Rate Class</vt:lpstr>
      <vt:lpstr>4. Customer Growth</vt:lpstr>
      <vt:lpstr>5.Variables</vt:lpstr>
      <vt:lpstr>6. WS Regression Analysis</vt:lpstr>
      <vt:lpstr>7. Weather Senstive Class</vt:lpstr>
      <vt:lpstr>8. KW and Non-Weather Sensitive</vt:lpstr>
      <vt:lpstr>9. Weather Adj LF</vt:lpstr>
      <vt:lpstr>10. CDM Adjustment</vt:lpstr>
      <vt:lpstr>10.1 CDM Allocation</vt:lpstr>
      <vt:lpstr>10.2 CDM Allocation %</vt:lpstr>
      <vt:lpstr>10. Final Load Forecast</vt:lpstr>
      <vt:lpstr>12. Load Forecast by Month</vt:lpstr>
      <vt:lpstr>12b. Monthly kW Forecast</vt:lpstr>
      <vt:lpstr>12c. Monthly Customer Forecast</vt:lpstr>
      <vt:lpstr>13. Budget Input</vt:lpstr>
      <vt:lpstr>14. Transformer Allowance</vt:lpstr>
      <vt:lpstr>SQL Data kWh</vt:lpstr>
      <vt:lpstr>Query Results</vt:lpstr>
      <vt:lpstr>Query Results (2)</vt:lpstr>
      <vt:lpstr>Hotel kW</vt:lpstr>
      <vt:lpstr>Harris Data kW</vt:lpstr>
      <vt:lpstr>Customer Counts</vt:lpstr>
      <vt:lpstr>'12c. Monthly Customer Forecast'!Print_Area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Jeff Klassen</cp:lastModifiedBy>
  <cp:lastPrinted>2021-10-13T19:59:17Z</cp:lastPrinted>
  <dcterms:created xsi:type="dcterms:W3CDTF">2008-02-27T14:40:29Z</dcterms:created>
  <dcterms:modified xsi:type="dcterms:W3CDTF">2023-04-26T13:48:23Z</dcterms:modified>
</cp:coreProperties>
</file>