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Interrogatory Responses/"/>
    </mc:Choice>
  </mc:AlternateContent>
  <xr:revisionPtr revIDLastSave="2" documentId="13_ncr:1_{C646601A-5555-47BF-995C-BAC208ED9FEE}" xr6:coauthVersionLast="47" xr6:coauthVersionMax="47" xr10:uidLastSave="{7D248DD0-B104-46AD-976E-7F15DBDFBA9C}"/>
  <bookViews>
    <workbookView xWindow="-120" yWindow="-120" windowWidth="29040" windowHeight="15840" xr2:uid="{99F201B8-D305-49BE-A724-50517CFADF7F}"/>
  </bookViews>
  <sheets>
    <sheet name="Sheet1" sheetId="4" r:id="rId1"/>
  </sheets>
  <externalReferences>
    <externalReference r:id="rId2"/>
    <externalReference r:id="rId3"/>
  </externalReferences>
  <definedNames>
    <definedName name="CurrentYear">[1]Input!$B$6</definedName>
    <definedName name="Demand_Dawn_to_Parkway">'[2]Detail Model'!$U$26</definedName>
    <definedName name="Demand_FromDawn_Ojibway">'[2]Detail Model'!$U$85</definedName>
    <definedName name="Demand_Rate_M12_Dawn_to_Kirkwall">'[2]Detail Model'!$U$23</definedName>
    <definedName name="EV__EVCOM_OPTIONS__" hidden="1">8</definedName>
    <definedName name="EV__EXPOPTIONS__" hidden="1">0</definedName>
    <definedName name="EV__LASTREFTIME__" hidden="1">41247.4113888889</definedName>
    <definedName name="EV__MAXEXPCOLS__" hidden="1">100</definedName>
    <definedName name="EV__MAXEXPROWS__" hidden="1">200000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Fuel_UFG_West_to_Dawn_M16">#REF!</definedName>
    <definedName name="fuel_UFG_West_to_Pool_M16">#REF!</definedName>
    <definedName name="GSAdminChg">#REF!</definedName>
    <definedName name="Monthly_Fixed_Charge_M13_Large">'[2]Detail Model'!$U$181</definedName>
    <definedName name="Monthly_Fixed_Charge_M13_Typical">'[2]Detail Model'!$U$180</definedName>
    <definedName name="paolo" hidden="1">{#N/A,#N/A,FALSE,"H3 Tab 1"}</definedName>
    <definedName name="_xlnm.Print_Area" localSheetId="0">Sheet1!$B$1:$Q$186</definedName>
    <definedName name="wrn.Backup." localSheetId="0" hidden="1">{#N/A,#N/A,FALSE,"Margins";#N/A,#N/A,FALSE,"Fuel $";#N/A,#N/A,FALSE,"Fuel";#N/A,#N/A,FALSE,"M12 Storage";#N/A,#N/A,FALSE,"M12 Transport";#N/A,#N/A,FALSE,"M12 OR";#N/A,#N/A,FALSE,"C1 OR"}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h3T1S1." hidden="1">{#N/A,#N/A,FALSE,"H3 Tab 1"}</definedName>
    <definedName name="wrn.H3T1S2." hidden="1">{#N/A,#N/A,FALSE,"H3 Tab 1"}</definedName>
    <definedName name="wrn.H3T2S3." hidden="1">{#N/A,#N/A,FALSE,"H3 Tab 2";#N/A,#N/A,FALSE,"H3 Tab 2"}</definedName>
    <definedName name="wrn.Print._.All.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RevProof." hidden="1">{#N/A,#N/A,FALSE,"RevProof"}</definedName>
    <definedName name="wrn.Schedules." localSheetId="0" hidden="1">{#N/A,#N/A,FALSE,"Filed Sheet";#N/A,#N/A,FALSE,"Schedule C";#N/A,#N/A,FALSE,"Appendix A"}</definedName>
    <definedName name="wrn.Schedules." hidden="1">{#N/A,#N/A,FALSE,"Filed Sheet";#N/A,#N/A,FALSE,"Schedule C";#N/A,#N/A,FALSE,"Appendix A"}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8" i="4" l="1"/>
  <c r="K176" i="4" l="1"/>
  <c r="G176" i="4" l="1"/>
  <c r="M132" i="4" l="1"/>
  <c r="I132" i="4"/>
  <c r="F132" i="4"/>
  <c r="M70" i="4"/>
  <c r="I70" i="4"/>
  <c r="F70" i="4"/>
  <c r="B129" i="4"/>
  <c r="B67" i="4"/>
  <c r="J120" i="4" l="1"/>
  <c r="N120" i="4" l="1"/>
  <c r="J169" i="4" l="1"/>
  <c r="J157" i="4"/>
  <c r="J149" i="4"/>
  <c r="J171" i="4" l="1"/>
  <c r="N182" i="4" l="1"/>
  <c r="J182" i="4"/>
  <c r="J186" i="4" s="1"/>
  <c r="K184" i="4"/>
  <c r="G184" i="4" l="1"/>
  <c r="O184" i="4"/>
  <c r="Q184" i="4" s="1"/>
  <c r="J58" i="4"/>
  <c r="B15" i="4" l="1"/>
  <c r="B16" i="4" l="1"/>
  <c r="B17" i="4" l="1"/>
  <c r="B18" i="4" l="1"/>
  <c r="B19" i="4" l="1"/>
  <c r="B20" i="4" l="1"/>
  <c r="B21" i="4" l="1"/>
  <c r="B22" i="4" l="1"/>
  <c r="B23" i="4" s="1"/>
  <c r="B24" i="4" s="1"/>
  <c r="B25" i="4" s="1"/>
  <c r="B28" i="4" l="1"/>
  <c r="B29" i="4" s="1"/>
  <c r="B30" i="4" s="1"/>
  <c r="B31" i="4" s="1"/>
  <c r="B32" i="4" s="1"/>
  <c r="B33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7" i="4" l="1"/>
  <c r="B50" i="4" s="1"/>
  <c r="B51" i="4" s="1"/>
  <c r="B52" i="4" s="1"/>
  <c r="B53" i="4" s="1"/>
  <c r="B54" i="4" s="1"/>
  <c r="B55" i="4" s="1"/>
  <c r="B56" i="4" s="1"/>
  <c r="B57" i="4" s="1"/>
  <c r="B58" i="4" s="1"/>
  <c r="B60" i="4" l="1"/>
  <c r="B62" i="4" s="1"/>
  <c r="M169" i="4" l="1"/>
  <c r="N169" i="4" l="1"/>
  <c r="M157" i="4" l="1"/>
  <c r="M149" i="4" l="1"/>
  <c r="M171" i="4" s="1"/>
  <c r="N149" i="4" l="1"/>
  <c r="B77" i="4" l="1"/>
  <c r="B78" i="4" l="1"/>
  <c r="B79" i="4" s="1"/>
  <c r="B80" i="4" l="1"/>
  <c r="B81" i="4" s="1"/>
  <c r="B82" i="4" l="1"/>
  <c r="B83" i="4" l="1"/>
  <c r="B84" i="4" s="1"/>
  <c r="B85" i="4" s="1"/>
  <c r="B86" i="4" l="1"/>
  <c r="B87" i="4" l="1"/>
  <c r="B90" i="4" s="1"/>
  <c r="B91" i="4" l="1"/>
  <c r="B92" i="4" l="1"/>
  <c r="B93" i="4" l="1"/>
  <c r="B94" i="4" s="1"/>
  <c r="B95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9" i="4" s="1"/>
  <c r="B112" i="4" s="1"/>
  <c r="B113" i="4" s="1"/>
  <c r="B114" i="4" s="1"/>
  <c r="B115" i="4" s="1"/>
  <c r="B116" i="4" s="1"/>
  <c r="B117" i="4" s="1"/>
  <c r="B118" i="4" s="1"/>
  <c r="B119" i="4" s="1"/>
  <c r="B120" i="4" s="1"/>
  <c r="B122" i="4" s="1"/>
  <c r="B124" i="4" s="1"/>
  <c r="B139" i="4" l="1"/>
  <c r="B140" i="4" s="1"/>
  <c r="B141" i="4" l="1"/>
  <c r="B142" i="4" s="1"/>
  <c r="B143" i="4" l="1"/>
  <c r="B144" i="4" s="1"/>
  <c r="B145" i="4" s="1"/>
  <c r="B146" i="4" l="1"/>
  <c r="B147" i="4" s="1"/>
  <c r="B148" i="4" l="1"/>
  <c r="B149" i="4" s="1"/>
  <c r="B152" i="4" l="1"/>
  <c r="B153" i="4" s="1"/>
  <c r="B154" i="4" s="1"/>
  <c r="B155" i="4" s="1"/>
  <c r="B156" i="4" s="1"/>
  <c r="B157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1" i="4" s="1"/>
  <c r="B174" i="4" s="1"/>
  <c r="B175" i="4" s="1"/>
  <c r="B176" i="4" s="1"/>
  <c r="B177" i="4" s="1"/>
  <c r="B178" i="4" s="1"/>
  <c r="B179" i="4" s="1"/>
  <c r="B180" i="4" s="1"/>
  <c r="B181" i="4" s="1"/>
  <c r="B182" i="4" s="1"/>
  <c r="B184" i="4" s="1"/>
  <c r="B186" i="4" s="1"/>
  <c r="K175" i="4" l="1"/>
  <c r="K122" i="4"/>
  <c r="K118" i="4"/>
  <c r="K117" i="4"/>
  <c r="K116" i="4"/>
  <c r="K115" i="4"/>
  <c r="K114" i="4"/>
  <c r="K113" i="4"/>
  <c r="K60" i="4"/>
  <c r="K52" i="4"/>
  <c r="K51" i="4"/>
  <c r="G175" i="4" l="1"/>
  <c r="K50" i="4"/>
  <c r="G114" i="4"/>
  <c r="G52" i="4"/>
  <c r="K174" i="4"/>
  <c r="G174" i="4" s="1"/>
  <c r="K112" i="4"/>
  <c r="O176" i="4" l="1"/>
  <c r="P176" i="4" l="1"/>
  <c r="Q176" i="4"/>
  <c r="G115" i="4" l="1"/>
  <c r="G112" i="4" l="1"/>
  <c r="G50" i="4"/>
  <c r="G113" i="4" l="1"/>
  <c r="G51" i="4"/>
  <c r="G60" i="4" l="1"/>
  <c r="K119" i="4" l="1"/>
  <c r="I120" i="4"/>
  <c r="K120" i="4" l="1"/>
  <c r="G119" i="4"/>
  <c r="G117" i="4" l="1"/>
  <c r="G118" i="4" l="1"/>
  <c r="G116" i="4" l="1"/>
  <c r="G120" i="4" s="1"/>
  <c r="F120" i="4"/>
  <c r="F58" i="4"/>
  <c r="F182" i="4" l="1"/>
  <c r="K181" i="4" l="1"/>
  <c r="G181" i="4" s="1"/>
  <c r="K57" i="4"/>
  <c r="G57" i="4" s="1"/>
  <c r="K55" i="4" l="1"/>
  <c r="G55" i="4" s="1"/>
  <c r="K179" i="4"/>
  <c r="G179" i="4" s="1"/>
  <c r="K180" i="4" l="1"/>
  <c r="G180" i="4" s="1"/>
  <c r="K56" i="4"/>
  <c r="G56" i="4" s="1"/>
  <c r="K178" i="4" l="1"/>
  <c r="K54" i="4"/>
  <c r="G54" i="4" s="1"/>
  <c r="G178" i="4" l="1"/>
  <c r="K53" i="4" l="1"/>
  <c r="I58" i="4"/>
  <c r="K177" i="4"/>
  <c r="I182" i="4"/>
  <c r="K182" i="4" l="1"/>
  <c r="G177" i="4"/>
  <c r="G182" i="4" s="1"/>
  <c r="K58" i="4"/>
  <c r="G53" i="4"/>
  <c r="G58" i="4" s="1"/>
  <c r="O174" i="4" l="1"/>
  <c r="P174" i="4" l="1"/>
  <c r="Q174" i="4"/>
  <c r="O113" i="4" l="1"/>
  <c r="P113" i="4" l="1"/>
  <c r="Q113" i="4"/>
  <c r="O52" i="4" l="1"/>
  <c r="O114" i="4"/>
  <c r="P114" i="4" l="1"/>
  <c r="Q114" i="4"/>
  <c r="P52" i="4"/>
  <c r="Q52" i="4"/>
  <c r="O115" i="4" l="1"/>
  <c r="P115" i="4" l="1"/>
  <c r="Q115" i="4"/>
  <c r="O50" i="4" l="1"/>
  <c r="P50" i="4" l="1"/>
  <c r="Q50" i="4"/>
  <c r="O112" i="4"/>
  <c r="P112" i="4" l="1"/>
  <c r="Q112" i="4"/>
  <c r="O119" i="4" l="1"/>
  <c r="P119" i="4" l="1"/>
  <c r="Q119" i="4"/>
  <c r="O117" i="4" l="1"/>
  <c r="P117" i="4" l="1"/>
  <c r="Q117" i="4"/>
  <c r="O118" i="4" l="1"/>
  <c r="P118" i="4" l="1"/>
  <c r="Q118" i="4"/>
  <c r="O116" i="4" l="1"/>
  <c r="M120" i="4"/>
  <c r="Q116" i="4" l="1"/>
  <c r="P116" i="4"/>
  <c r="O120" i="4"/>
  <c r="Q120" i="4" l="1"/>
  <c r="P120" i="4"/>
  <c r="O57" i="4" l="1"/>
  <c r="O181" i="4"/>
  <c r="P181" i="4" l="1"/>
  <c r="Q181" i="4"/>
  <c r="P57" i="4"/>
  <c r="Q57" i="4"/>
  <c r="O180" i="4" l="1"/>
  <c r="O56" i="4"/>
  <c r="P180" i="4" l="1"/>
  <c r="Q180" i="4"/>
  <c r="P56" i="4"/>
  <c r="Q56" i="4"/>
  <c r="O55" i="4"/>
  <c r="O179" i="4"/>
  <c r="P55" i="4" l="1"/>
  <c r="Q55" i="4"/>
  <c r="P179" i="4"/>
  <c r="Q179" i="4"/>
  <c r="O51" i="4"/>
  <c r="O175" i="4"/>
  <c r="P51" i="4" l="1"/>
  <c r="Q51" i="4"/>
  <c r="Q175" i="4"/>
  <c r="P175" i="4"/>
  <c r="O178" i="4" l="1"/>
  <c r="Q178" i="4" l="1"/>
  <c r="P178" i="4"/>
  <c r="O54" i="4"/>
  <c r="P54" i="4" l="1"/>
  <c r="Q54" i="4"/>
  <c r="M182" i="4" l="1"/>
  <c r="M186" i="4" s="1"/>
  <c r="O177" i="4"/>
  <c r="M58" i="4"/>
  <c r="O53" i="4"/>
  <c r="P53" i="4" l="1"/>
  <c r="Q53" i="4"/>
  <c r="O58" i="4"/>
  <c r="P177" i="4"/>
  <c r="Q177" i="4"/>
  <c r="O182" i="4"/>
  <c r="Q182" i="4" l="1"/>
  <c r="P182" i="4"/>
  <c r="Q58" i="4"/>
  <c r="P58" i="4"/>
  <c r="K168" i="4" l="1"/>
  <c r="O168" i="4" s="1"/>
  <c r="K167" i="4"/>
  <c r="O167" i="4" s="1"/>
  <c r="K166" i="4"/>
  <c r="O166" i="4" s="1"/>
  <c r="K165" i="4"/>
  <c r="O165" i="4" s="1"/>
  <c r="K164" i="4"/>
  <c r="O164" i="4" s="1"/>
  <c r="K163" i="4"/>
  <c r="O163" i="4" s="1"/>
  <c r="K162" i="4"/>
  <c r="O162" i="4" s="1"/>
  <c r="K161" i="4"/>
  <c r="O161" i="4" s="1"/>
  <c r="K156" i="4"/>
  <c r="O156" i="4" s="1"/>
  <c r="G156" i="4"/>
  <c r="K155" i="4"/>
  <c r="O155" i="4" s="1"/>
  <c r="K154" i="4"/>
  <c r="O154" i="4" s="1"/>
  <c r="K153" i="4"/>
  <c r="O153" i="4" s="1"/>
  <c r="K148" i="4"/>
  <c r="O148" i="4" s="1"/>
  <c r="G148" i="4"/>
  <c r="K147" i="4"/>
  <c r="O147" i="4" s="1"/>
  <c r="K146" i="4"/>
  <c r="O146" i="4" s="1"/>
  <c r="K145" i="4"/>
  <c r="O145" i="4" s="1"/>
  <c r="K144" i="4"/>
  <c r="O144" i="4" s="1"/>
  <c r="G144" i="4"/>
  <c r="K143" i="4"/>
  <c r="O143" i="4" s="1"/>
  <c r="K142" i="4"/>
  <c r="O142" i="4" s="1"/>
  <c r="K141" i="4"/>
  <c r="O141" i="4" s="1"/>
  <c r="K140" i="4"/>
  <c r="O140" i="4" s="1"/>
  <c r="K139" i="4"/>
  <c r="O139" i="4" s="1"/>
  <c r="G164" i="4" l="1"/>
  <c r="G140" i="4"/>
  <c r="G168" i="4"/>
  <c r="G139" i="4"/>
  <c r="G143" i="4"/>
  <c r="G147" i="4"/>
  <c r="G155" i="4"/>
  <c r="G163" i="4"/>
  <c r="G167" i="4"/>
  <c r="G141" i="4"/>
  <c r="G145" i="4"/>
  <c r="G153" i="4"/>
  <c r="G161" i="4"/>
  <c r="G165" i="4"/>
  <c r="G142" i="4"/>
  <c r="G146" i="4"/>
  <c r="G154" i="4"/>
  <c r="G162" i="4"/>
  <c r="G166" i="4"/>
  <c r="F157" i="4"/>
  <c r="I25" i="4"/>
  <c r="F33" i="4"/>
  <c r="I45" i="4"/>
  <c r="P139" i="4"/>
  <c r="Q139" i="4"/>
  <c r="Q143" i="4"/>
  <c r="P143" i="4"/>
  <c r="P147" i="4"/>
  <c r="Q147" i="4"/>
  <c r="P154" i="4"/>
  <c r="Q154" i="4"/>
  <c r="Q161" i="4"/>
  <c r="P161" i="4"/>
  <c r="P165" i="4"/>
  <c r="Q165" i="4"/>
  <c r="I107" i="4"/>
  <c r="F25" i="4"/>
  <c r="F45" i="4"/>
  <c r="I33" i="4"/>
  <c r="N45" i="4"/>
  <c r="N33" i="4"/>
  <c r="F87" i="4"/>
  <c r="F107" i="4"/>
  <c r="Q140" i="4"/>
  <c r="P140" i="4"/>
  <c r="P144" i="4"/>
  <c r="Q144" i="4"/>
  <c r="P155" i="4"/>
  <c r="Q155" i="4"/>
  <c r="P162" i="4"/>
  <c r="Q162" i="4"/>
  <c r="Q166" i="4"/>
  <c r="P166" i="4"/>
  <c r="N87" i="4"/>
  <c r="I95" i="4"/>
  <c r="N107" i="4"/>
  <c r="Q141" i="4"/>
  <c r="P141" i="4"/>
  <c r="P145" i="4"/>
  <c r="Q145" i="4"/>
  <c r="K152" i="4"/>
  <c r="G152" i="4" s="1"/>
  <c r="I157" i="4"/>
  <c r="Q156" i="4"/>
  <c r="P156" i="4"/>
  <c r="N157" i="4" s="1"/>
  <c r="N171" i="4" s="1"/>
  <c r="N186" i="4" s="1"/>
  <c r="Q163" i="4"/>
  <c r="P163" i="4"/>
  <c r="P167" i="4"/>
  <c r="Q167" i="4"/>
  <c r="F95" i="4"/>
  <c r="N95" i="4"/>
  <c r="F169" i="4"/>
  <c r="N25" i="4"/>
  <c r="F149" i="4"/>
  <c r="K138" i="4"/>
  <c r="G138" i="4" s="1"/>
  <c r="I149" i="4"/>
  <c r="P142" i="4"/>
  <c r="Q142" i="4"/>
  <c r="P146" i="4"/>
  <c r="Q146" i="4"/>
  <c r="Q153" i="4"/>
  <c r="P153" i="4"/>
  <c r="K160" i="4"/>
  <c r="I169" i="4"/>
  <c r="P164" i="4"/>
  <c r="Q164" i="4"/>
  <c r="P168" i="4"/>
  <c r="Q168" i="4"/>
  <c r="I87" i="4"/>
  <c r="I109" i="4" s="1"/>
  <c r="I124" i="4" s="1"/>
  <c r="F171" i="4" l="1"/>
  <c r="F186" i="4" s="1"/>
  <c r="G157" i="4"/>
  <c r="G149" i="4"/>
  <c r="F47" i="4"/>
  <c r="F62" i="4" s="1"/>
  <c r="G160" i="4"/>
  <c r="G169" i="4" s="1"/>
  <c r="K169" i="4"/>
  <c r="O160" i="4"/>
  <c r="O138" i="4"/>
  <c r="K149" i="4"/>
  <c r="N109" i="4"/>
  <c r="N124" i="4" s="1"/>
  <c r="F109" i="4"/>
  <c r="F124" i="4" s="1"/>
  <c r="I47" i="4"/>
  <c r="I62" i="4" s="1"/>
  <c r="I171" i="4"/>
  <c r="I186" i="4" s="1"/>
  <c r="O152" i="4"/>
  <c r="K157" i="4"/>
  <c r="N47" i="4"/>
  <c r="N62" i="4" s="1"/>
  <c r="G171" i="4" l="1"/>
  <c r="G186" i="4" s="1"/>
  <c r="Q160" i="4"/>
  <c r="P160" i="4"/>
  <c r="O169" i="4"/>
  <c r="Q152" i="4"/>
  <c r="P152" i="4"/>
  <c r="O157" i="4"/>
  <c r="K171" i="4"/>
  <c r="K186" i="4" s="1"/>
  <c r="Q138" i="4"/>
  <c r="P138" i="4"/>
  <c r="O149" i="4"/>
  <c r="Q169" i="4" l="1"/>
  <c r="P169" i="4"/>
  <c r="P149" i="4"/>
  <c r="Q149" i="4"/>
  <c r="O171" i="4"/>
  <c r="Q157" i="4"/>
  <c r="P157" i="4"/>
  <c r="P171" i="4" l="1"/>
  <c r="Q171" i="4"/>
  <c r="O186" i="4"/>
  <c r="Q186" i="4" l="1"/>
  <c r="P186" i="4"/>
  <c r="K42" i="4" l="1"/>
  <c r="K90" i="4" l="1"/>
  <c r="K81" i="4"/>
  <c r="K28" i="4"/>
  <c r="K98" i="4"/>
  <c r="G42" i="4"/>
  <c r="K104" i="4"/>
  <c r="K106" i="4"/>
  <c r="K24" i="4"/>
  <c r="K14" i="4"/>
  <c r="K44" i="4"/>
  <c r="K43" i="4"/>
  <c r="K19" i="4"/>
  <c r="K105" i="4"/>
  <c r="K86" i="4"/>
  <c r="G24" i="4" l="1"/>
  <c r="K32" i="4"/>
  <c r="K78" i="4"/>
  <c r="K18" i="4"/>
  <c r="K21" i="4"/>
  <c r="K20" i="4"/>
  <c r="G104" i="4"/>
  <c r="K16" i="4"/>
  <c r="K103" i="4"/>
  <c r="K80" i="4"/>
  <c r="K31" i="4"/>
  <c r="K82" i="4"/>
  <c r="G86" i="4"/>
  <c r="G106" i="4"/>
  <c r="G98" i="4"/>
  <c r="K76" i="4"/>
  <c r="G43" i="4"/>
  <c r="K93" i="4"/>
  <c r="K77" i="4"/>
  <c r="G19" i="4"/>
  <c r="K17" i="4"/>
  <c r="K101" i="4"/>
  <c r="K92" i="4"/>
  <c r="K22" i="4"/>
  <c r="K40" i="4"/>
  <c r="G44" i="4"/>
  <c r="G81" i="4"/>
  <c r="K37" i="4"/>
  <c r="K36" i="4"/>
  <c r="K39" i="4"/>
  <c r="K38" i="4"/>
  <c r="K85" i="4"/>
  <c r="K30" i="4"/>
  <c r="K84" i="4"/>
  <c r="K102" i="4"/>
  <c r="K83" i="4"/>
  <c r="K41" i="4"/>
  <c r="K100" i="4"/>
  <c r="K23" i="4"/>
  <c r="G105" i="4"/>
  <c r="G14" i="4"/>
  <c r="G28" i="4"/>
  <c r="G90" i="4"/>
  <c r="K94" i="4"/>
  <c r="K79" i="4"/>
  <c r="K29" i="4" l="1"/>
  <c r="J33" i="4"/>
  <c r="J45" i="4"/>
  <c r="G92" i="4"/>
  <c r="K87" i="4"/>
  <c r="G76" i="4"/>
  <c r="G83" i="4"/>
  <c r="G23" i="4"/>
  <c r="G102" i="4"/>
  <c r="G38" i="4"/>
  <c r="G37" i="4"/>
  <c r="J87" i="4"/>
  <c r="G103" i="4"/>
  <c r="G20" i="4"/>
  <c r="G32" i="4"/>
  <c r="K91" i="4"/>
  <c r="J95" i="4"/>
  <c r="K15" i="4"/>
  <c r="J25" i="4"/>
  <c r="G101" i="4"/>
  <c r="G77" i="4"/>
  <c r="G85" i="4"/>
  <c r="G100" i="4"/>
  <c r="G84" i="4"/>
  <c r="G82" i="4"/>
  <c r="K99" i="4"/>
  <c r="J107" i="4"/>
  <c r="G21" i="4"/>
  <c r="G80" i="4"/>
  <c r="G40" i="4"/>
  <c r="G17" i="4"/>
  <c r="G93" i="4"/>
  <c r="K45" i="4"/>
  <c r="G36" i="4"/>
  <c r="G41" i="4"/>
  <c r="G30" i="4"/>
  <c r="G39" i="4"/>
  <c r="G31" i="4"/>
  <c r="G16" i="4"/>
  <c r="G18" i="4"/>
  <c r="G78" i="4"/>
  <c r="G79" i="4"/>
  <c r="G94" i="4"/>
  <c r="G22" i="4"/>
  <c r="J47" i="4" l="1"/>
  <c r="J62" i="4" s="1"/>
  <c r="G45" i="4"/>
  <c r="G15" i="4"/>
  <c r="G25" i="4" s="1"/>
  <c r="G47" i="4" s="1"/>
  <c r="G62" i="4" s="1"/>
  <c r="K25" i="4"/>
  <c r="G99" i="4"/>
  <c r="G107" i="4" s="1"/>
  <c r="K107" i="4"/>
  <c r="G91" i="4"/>
  <c r="G95" i="4" s="1"/>
  <c r="K95" i="4"/>
  <c r="G87" i="4"/>
  <c r="G29" i="4"/>
  <c r="G33" i="4" s="1"/>
  <c r="K33" i="4"/>
  <c r="J109" i="4"/>
  <c r="J124" i="4" s="1"/>
  <c r="K109" i="4" l="1"/>
  <c r="K124" i="4" s="1"/>
  <c r="K47" i="4"/>
  <c r="K62" i="4" s="1"/>
  <c r="G109" i="4"/>
  <c r="G124" i="4" s="1"/>
  <c r="O77" i="4" l="1"/>
  <c r="O93" i="4"/>
  <c r="O94" i="4"/>
  <c r="O86" i="4"/>
  <c r="O83" i="4"/>
  <c r="O105" i="4"/>
  <c r="O81" i="4"/>
  <c r="O99" i="4"/>
  <c r="O82" i="4"/>
  <c r="O102" i="4"/>
  <c r="O91" i="4"/>
  <c r="O106" i="4"/>
  <c r="O80" i="4"/>
  <c r="O101" i="4"/>
  <c r="O78" i="4"/>
  <c r="O79" i="4"/>
  <c r="O84" i="4"/>
  <c r="O85" i="4"/>
  <c r="O103" i="4"/>
  <c r="O100" i="4"/>
  <c r="O92" i="4"/>
  <c r="O104" i="4"/>
  <c r="O22" i="4" l="1"/>
  <c r="P103" i="4"/>
  <c r="Q103" i="4"/>
  <c r="P78" i="4"/>
  <c r="Q78" i="4"/>
  <c r="Q91" i="4"/>
  <c r="P91" i="4"/>
  <c r="P81" i="4"/>
  <c r="Q81" i="4"/>
  <c r="O43" i="4"/>
  <c r="O16" i="4"/>
  <c r="M87" i="4"/>
  <c r="O76" i="4"/>
  <c r="P94" i="4"/>
  <c r="Q94" i="4"/>
  <c r="O18" i="4"/>
  <c r="O32" i="4"/>
  <c r="Q85" i="4"/>
  <c r="P85" i="4"/>
  <c r="P101" i="4"/>
  <c r="Q101" i="4"/>
  <c r="Q102" i="4"/>
  <c r="P102" i="4"/>
  <c r="Q105" i="4"/>
  <c r="P105" i="4"/>
  <c r="O23" i="4"/>
  <c r="Q93" i="4"/>
  <c r="P93" i="4"/>
  <c r="M107" i="4"/>
  <c r="O98" i="4"/>
  <c r="O44" i="4"/>
  <c r="O21" i="4"/>
  <c r="O38" i="4"/>
  <c r="Q104" i="4"/>
  <c r="P104" i="4"/>
  <c r="M95" i="4"/>
  <c r="O90" i="4"/>
  <c r="O39" i="4"/>
  <c r="Q92" i="4"/>
  <c r="P92" i="4"/>
  <c r="P84" i="4"/>
  <c r="Q84" i="4"/>
  <c r="Q80" i="4"/>
  <c r="P80" i="4"/>
  <c r="P82" i="4"/>
  <c r="Q82" i="4"/>
  <c r="P83" i="4"/>
  <c r="Q83" i="4"/>
  <c r="O15" i="4"/>
  <c r="O40" i="4"/>
  <c r="O37" i="4"/>
  <c r="O31" i="4"/>
  <c r="O17" i="4"/>
  <c r="Q77" i="4"/>
  <c r="P77" i="4"/>
  <c r="O20" i="4"/>
  <c r="O30" i="4"/>
  <c r="O41" i="4"/>
  <c r="O24" i="4"/>
  <c r="O29" i="4"/>
  <c r="O19" i="4"/>
  <c r="O42" i="4"/>
  <c r="P100" i="4"/>
  <c r="Q100" i="4"/>
  <c r="P79" i="4"/>
  <c r="Q79" i="4"/>
  <c r="Q106" i="4"/>
  <c r="P106" i="4"/>
  <c r="P99" i="4"/>
  <c r="Q99" i="4"/>
  <c r="P19" i="4" l="1"/>
  <c r="Q19" i="4"/>
  <c r="Q40" i="4"/>
  <c r="P40" i="4"/>
  <c r="P23" i="4"/>
  <c r="Q23" i="4"/>
  <c r="P76" i="4"/>
  <c r="O87" i="4"/>
  <c r="Q76" i="4"/>
  <c r="Q30" i="4"/>
  <c r="P30" i="4"/>
  <c r="P90" i="4"/>
  <c r="O95" i="4"/>
  <c r="Q90" i="4"/>
  <c r="P44" i="4"/>
  <c r="Q44" i="4"/>
  <c r="M109" i="4"/>
  <c r="Q16" i="4"/>
  <c r="P16" i="4"/>
  <c r="Q20" i="4"/>
  <c r="P20" i="4"/>
  <c r="P31" i="4"/>
  <c r="Q31" i="4"/>
  <c r="P98" i="4"/>
  <c r="Q98" i="4"/>
  <c r="O107" i="4"/>
  <c r="M45" i="4"/>
  <c r="O36" i="4"/>
  <c r="Q18" i="4"/>
  <c r="P18" i="4"/>
  <c r="Q43" i="4"/>
  <c r="P43" i="4"/>
  <c r="P29" i="4"/>
  <c r="Q29" i="4"/>
  <c r="M25" i="4"/>
  <c r="O14" i="4"/>
  <c r="Q38" i="4"/>
  <c r="P38" i="4"/>
  <c r="P32" i="4"/>
  <c r="Q32" i="4"/>
  <c r="M33" i="4"/>
  <c r="O28" i="4"/>
  <c r="P42" i="4"/>
  <c r="Q42" i="4"/>
  <c r="P37" i="4"/>
  <c r="Q37" i="4"/>
  <c r="P22" i="4"/>
  <c r="Q22" i="4"/>
  <c r="Q15" i="4"/>
  <c r="P15" i="4"/>
  <c r="P41" i="4"/>
  <c r="Q41" i="4"/>
  <c r="P17" i="4"/>
  <c r="Q17" i="4"/>
  <c r="P39" i="4"/>
  <c r="Q39" i="4"/>
  <c r="Q21" i="4"/>
  <c r="P21" i="4"/>
  <c r="M47" i="4" l="1"/>
  <c r="Q87" i="4"/>
  <c r="O109" i="4"/>
  <c r="P87" i="4"/>
  <c r="P14" i="4"/>
  <c r="Q14" i="4"/>
  <c r="O25" i="4"/>
  <c r="P95" i="4"/>
  <c r="Q95" i="4"/>
  <c r="P36" i="4"/>
  <c r="Q36" i="4"/>
  <c r="O45" i="4"/>
  <c r="O33" i="4"/>
  <c r="P28" i="4"/>
  <c r="Q28" i="4"/>
  <c r="P107" i="4"/>
  <c r="Q107" i="4"/>
  <c r="Q25" i="4" l="1"/>
  <c r="P25" i="4"/>
  <c r="O47" i="4"/>
  <c r="Q109" i="4"/>
  <c r="P109" i="4"/>
  <c r="P33" i="4"/>
  <c r="Q33" i="4"/>
  <c r="Q45" i="4"/>
  <c r="P45" i="4"/>
  <c r="Q47" i="4" l="1"/>
  <c r="P47" i="4"/>
  <c r="O60" i="4" l="1"/>
  <c r="O62" i="4" s="1"/>
  <c r="M124" i="4"/>
  <c r="O122" i="4"/>
  <c r="P122" i="4" s="1"/>
  <c r="P62" i="4" l="1"/>
  <c r="Q62" i="4"/>
  <c r="O124" i="4"/>
  <c r="M62" i="4"/>
  <c r="Q122" i="4"/>
  <c r="P124" i="4" l="1"/>
  <c r="Q124" i="4"/>
</calcChain>
</file>

<file path=xl/sharedStrings.xml><?xml version="1.0" encoding="utf-8"?>
<sst xmlns="http://schemas.openxmlformats.org/spreadsheetml/2006/main" count="239" uniqueCount="80">
  <si>
    <t>Line</t>
  </si>
  <si>
    <t>No.</t>
  </si>
  <si>
    <t>(%)</t>
  </si>
  <si>
    <t>(a)</t>
  </si>
  <si>
    <t>Rate 1</t>
  </si>
  <si>
    <t>Rate 6</t>
  </si>
  <si>
    <t>Rate 100</t>
  </si>
  <si>
    <t>Rate 110</t>
  </si>
  <si>
    <t>Rate 115</t>
  </si>
  <si>
    <t>Rate 125</t>
  </si>
  <si>
    <t>Rate 135</t>
  </si>
  <si>
    <t>Rate 145</t>
  </si>
  <si>
    <t>Rate 170</t>
  </si>
  <si>
    <t>Rate 200</t>
  </si>
  <si>
    <t>Rate 300</t>
  </si>
  <si>
    <t>Rate 01</t>
  </si>
  <si>
    <t>Rate 10</t>
  </si>
  <si>
    <t>Rate 20</t>
  </si>
  <si>
    <t>Rate 25</t>
  </si>
  <si>
    <t>Rate M1</t>
  </si>
  <si>
    <t>Rate M2</t>
  </si>
  <si>
    <t>Rate M4</t>
  </si>
  <si>
    <t>Rate M5</t>
  </si>
  <si>
    <t>Rate M7</t>
  </si>
  <si>
    <t>Rate M9</t>
  </si>
  <si>
    <t>Rate T1</t>
  </si>
  <si>
    <t>Rate T2</t>
  </si>
  <si>
    <t>Rate T3</t>
  </si>
  <si>
    <t>Particulars</t>
  </si>
  <si>
    <t>Revenue (Deficiency) / Sufficiency</t>
  </si>
  <si>
    <t>(g)</t>
  </si>
  <si>
    <t>Ex-franchise</t>
  </si>
  <si>
    <t>Rate M16</t>
  </si>
  <si>
    <t>Rate M17</t>
  </si>
  <si>
    <t>Rate C1</t>
  </si>
  <si>
    <t>Total Ex-franchise</t>
  </si>
  <si>
    <t>Total</t>
  </si>
  <si>
    <t>Total Revenue</t>
  </si>
  <si>
    <t>(c)</t>
  </si>
  <si>
    <t>Gas Supply Revenue</t>
  </si>
  <si>
    <t>Revenue Change</t>
  </si>
  <si>
    <t>Rate 401</t>
  </si>
  <si>
    <t>(d)</t>
  </si>
  <si>
    <t>(f)</t>
  </si>
  <si>
    <t>Proposed Revenue Requirement</t>
  </si>
  <si>
    <t>(e) = (c + d)</t>
  </si>
  <si>
    <t>(h) = (e + f + g)</t>
  </si>
  <si>
    <t>(i) = (h / e)</t>
  </si>
  <si>
    <t>(j) = (h - a) / (a)</t>
  </si>
  <si>
    <t>Rate 331</t>
  </si>
  <si>
    <t>Rate 332</t>
  </si>
  <si>
    <t xml:space="preserve"> </t>
  </si>
  <si>
    <t>($000s)</t>
  </si>
  <si>
    <t>EGD Rate Zone</t>
  </si>
  <si>
    <t>Union North Rate Zone</t>
  </si>
  <si>
    <t>Non-Utility Cross Charge</t>
  </si>
  <si>
    <t>Union South Rate Zone</t>
  </si>
  <si>
    <t>(b) = (a - e)</t>
  </si>
  <si>
    <t>Rate M13/GPA</t>
  </si>
  <si>
    <t>Rate M12/C1 Dawn-Parkway</t>
  </si>
  <si>
    <t>Rate M13 &amp; GPA</t>
  </si>
  <si>
    <t>Rate M13, GPA</t>
  </si>
  <si>
    <t>Summary of Proposed Revenue Change by Rate Class</t>
  </si>
  <si>
    <t>Delivery Revenue</t>
  </si>
  <si>
    <t>Revenue Before Recovery</t>
  </si>
  <si>
    <t>Revenue After Recovery</t>
  </si>
  <si>
    <t>Non-Utility Cross Charge Revenue</t>
  </si>
  <si>
    <t>Total EGD Rate Zone</t>
  </si>
  <si>
    <t>Total Union North Rate Zone</t>
  </si>
  <si>
    <t>Total Union South Rate Zone</t>
  </si>
  <si>
    <t>Total In-franchise</t>
  </si>
  <si>
    <t>Ratio</t>
  </si>
  <si>
    <t>Revenue-
to-Cost</t>
  </si>
  <si>
    <t>Delivery Revenue Adjustments</t>
  </si>
  <si>
    <t>Proposed Revenue</t>
  </si>
  <si>
    <t>Total In-Franchise</t>
  </si>
  <si>
    <t>Current 
Approved Revenue</t>
  </si>
  <si>
    <t>Allocated 
Cost</t>
  </si>
  <si>
    <t>Panhandle/
St. Clair Reallocation</t>
  </si>
  <si>
    <t>S&amp;T 
Margin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</si>
</sst>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_);\(#,##0\);\-"/>
    <numFmt numFmtId="166" formatCode="#,##0.000_);\(#,##0.000\)"/>
    <numFmt numFmtId="167" formatCode="#,##0.000_);\(#,##0.000\);\-"/>
    <numFmt numFmtId="168" formatCode="#,##0.00_);\(#,##0.00\);\-"/>
    <numFmt numFmtId="169" formatCode="_-* #,##0.00_-;\-* #,##0.00_-;_-* &quot;-&quot;??_-;_-@_-"/>
    <numFmt numFmtId="170" formatCode="#,##0.0_);\(#,##0.0\);\-"/>
    <numFmt numFmtId="171" formatCode="###0.0%;\(###0.0%\)\ "/>
    <numFmt numFmtId="172" formatCode="###0%;\(###0%\)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2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1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169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/>
    <xf numFmtId="0" fontId="4" fillId="0" borderId="0"/>
    <xf numFmtId="16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164" fontId="4" fillId="0" borderId="0" xfId="4" applyNumberFormat="1" applyFont="1" applyFill="1" applyBorder="1"/>
    <xf numFmtId="164" fontId="6" fillId="0" borderId="0" xfId="4" applyNumberFormat="1" applyFont="1" applyFill="1" applyBorder="1"/>
    <xf numFmtId="165" fontId="4" fillId="0" borderId="0" xfId="4" applyNumberFormat="1" applyFont="1" applyFill="1" applyBorder="1" applyAlignment="1">
      <alignment horizontal="center"/>
    </xf>
    <xf numFmtId="0" fontId="4" fillId="0" borderId="0" xfId="2" applyFont="1" applyFill="1" applyAlignment="1">
      <alignment horizontal="left" indent="1"/>
    </xf>
    <xf numFmtId="0" fontId="4" fillId="0" borderId="0" xfId="2" applyFont="1" applyFill="1"/>
    <xf numFmtId="0" fontId="5" fillId="0" borderId="0" xfId="2" applyFont="1" applyFill="1"/>
    <xf numFmtId="0" fontId="4" fillId="0" borderId="0" xfId="3" applyFont="1" applyFill="1"/>
    <xf numFmtId="0" fontId="4" fillId="0" borderId="0" xfId="2" applyFont="1" applyFill="1" applyAlignment="1">
      <alignment horizontal="left"/>
    </xf>
    <xf numFmtId="0" fontId="4" fillId="0" borderId="0" xfId="2" applyFont="1" applyFill="1" applyAlignment="1">
      <alignment horizontal="center" wrapText="1"/>
    </xf>
    <xf numFmtId="0" fontId="4" fillId="0" borderId="0" xfId="2" applyFont="1" applyFill="1" applyAlignment="1">
      <alignment horizontal="center"/>
    </xf>
    <xf numFmtId="0" fontId="4" fillId="0" borderId="0" xfId="3" applyFont="1" applyFill="1" applyAlignment="1">
      <alignment horizontal="center"/>
    </xf>
    <xf numFmtId="165" fontId="4" fillId="0" borderId="0" xfId="4" applyNumberFormat="1" applyFont="1" applyFill="1" applyBorder="1" applyAlignment="1">
      <alignment horizontal="right"/>
    </xf>
    <xf numFmtId="166" fontId="4" fillId="0" borderId="0" xfId="4" applyNumberFormat="1" applyFont="1" applyFill="1" applyBorder="1" applyAlignment="1">
      <alignment horizontal="right"/>
    </xf>
    <xf numFmtId="164" fontId="6" fillId="0" borderId="0" xfId="4" applyNumberFormat="1" applyFont="1" applyFill="1" applyBorder="1" applyAlignment="1">
      <alignment horizontal="right"/>
    </xf>
    <xf numFmtId="164" fontId="4" fillId="0" borderId="0" xfId="4" applyNumberFormat="1" applyFont="1" applyFill="1" applyBorder="1" applyAlignment="1">
      <alignment horizontal="right"/>
    </xf>
    <xf numFmtId="165" fontId="4" fillId="0" borderId="2" xfId="3" applyNumberFormat="1" applyFont="1" applyFill="1" applyBorder="1" applyAlignment="1">
      <alignment horizontal="right"/>
    </xf>
    <xf numFmtId="0" fontId="4" fillId="0" borderId="0" xfId="2" applyFont="1" applyFill="1" applyAlignment="1">
      <alignment horizontal="right"/>
    </xf>
    <xf numFmtId="0" fontId="4" fillId="0" borderId="0" xfId="3" applyFont="1" applyFill="1" applyAlignment="1">
      <alignment horizontal="center" wrapText="1"/>
    </xf>
    <xf numFmtId="0" fontId="4" fillId="0" borderId="0" xfId="0" applyFont="1" applyFill="1" applyAlignment="1">
      <alignment horizontal="left"/>
    </xf>
    <xf numFmtId="167" fontId="4" fillId="0" borderId="0" xfId="4" applyNumberFormat="1" applyFont="1" applyFill="1" applyBorder="1" applyAlignment="1">
      <alignment horizontal="right"/>
    </xf>
    <xf numFmtId="165" fontId="4" fillId="0" borderId="3" xfId="3" applyNumberFormat="1" applyFont="1" applyFill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4" fillId="0" borderId="2" xfId="1" applyFont="1" applyFill="1" applyBorder="1" applyAlignment="1">
      <alignment horizontal="right"/>
    </xf>
    <xf numFmtId="9" fontId="4" fillId="0" borderId="3" xfId="1" applyFont="1" applyFill="1" applyBorder="1" applyAlignment="1">
      <alignment horizontal="right"/>
    </xf>
    <xf numFmtId="0" fontId="5" fillId="0" borderId="0" xfId="2" applyFont="1" applyFill="1" applyAlignment="1">
      <alignment horizontal="centerContinuous"/>
    </xf>
    <xf numFmtId="0" fontId="4" fillId="0" borderId="0" xfId="5" quotePrefix="1" applyFont="1" applyFill="1" applyAlignment="1">
      <alignment horizontal="center" vertical="top"/>
    </xf>
    <xf numFmtId="0" fontId="4" fillId="0" borderId="0" xfId="3" applyFont="1" applyFill="1" applyAlignment="1">
      <alignment horizontal="centerContinuous"/>
    </xf>
    <xf numFmtId="0" fontId="4" fillId="0" borderId="0" xfId="2" applyFont="1" applyFill="1" applyAlignment="1">
      <alignment horizontal="centerContinuous"/>
    </xf>
    <xf numFmtId="0" fontId="4" fillId="0" borderId="0" xfId="3" applyFont="1" applyFill="1" applyAlignment="1">
      <alignment horizontal="left"/>
    </xf>
    <xf numFmtId="0" fontId="5" fillId="0" borderId="0" xfId="5" applyFont="1" applyFill="1"/>
    <xf numFmtId="166" fontId="4" fillId="0" borderId="0" xfId="3" applyNumberFormat="1" applyFont="1" applyFill="1" applyBorder="1" applyAlignment="1">
      <alignment horizontal="right"/>
    </xf>
    <xf numFmtId="0" fontId="4" fillId="0" borderId="0" xfId="3" quotePrefix="1" applyFont="1" applyFill="1" applyAlignment="1">
      <alignment horizontal="center"/>
    </xf>
    <xf numFmtId="172" fontId="4" fillId="0" borderId="2" xfId="1" applyNumberFormat="1" applyFont="1" applyFill="1" applyBorder="1" applyAlignment="1">
      <alignment horizontal="right"/>
    </xf>
    <xf numFmtId="0" fontId="4" fillId="0" borderId="1" xfId="3" applyFont="1" applyFill="1" applyBorder="1"/>
    <xf numFmtId="0" fontId="6" fillId="0" borderId="0" xfId="3" applyFont="1" applyFill="1" applyAlignment="1">
      <alignment horizontal="center"/>
    </xf>
    <xf numFmtId="165" fontId="4" fillId="0" borderId="0" xfId="3" applyNumberFormat="1" applyFont="1" applyFill="1" applyAlignment="1">
      <alignment horizontal="center"/>
    </xf>
    <xf numFmtId="165" fontId="6" fillId="0" borderId="0" xfId="3" applyNumberFormat="1" applyFont="1" applyFill="1" applyAlignment="1">
      <alignment horizontal="center"/>
    </xf>
    <xf numFmtId="0" fontId="4" fillId="0" borderId="0" xfId="3" applyFont="1" applyFill="1" applyAlignment="1">
      <alignment horizontal="left" indent="1"/>
    </xf>
    <xf numFmtId="0" fontId="5" fillId="0" borderId="0" xfId="3" applyFont="1" applyFill="1" applyAlignment="1">
      <alignment horizontal="centerContinuous"/>
    </xf>
    <xf numFmtId="168" fontId="4" fillId="0" borderId="0" xfId="4" applyNumberFormat="1" applyFont="1" applyFill="1" applyBorder="1" applyAlignment="1">
      <alignment horizontal="right"/>
    </xf>
    <xf numFmtId="9" fontId="4" fillId="0" borderId="0" xfId="1" applyNumberFormat="1" applyFont="1" applyFill="1" applyBorder="1" applyAlignment="1">
      <alignment horizontal="right"/>
    </xf>
    <xf numFmtId="9" fontId="4" fillId="0" borderId="2" xfId="1" applyNumberFormat="1" applyFont="1" applyFill="1" applyBorder="1" applyAlignment="1">
      <alignment horizontal="right"/>
    </xf>
    <xf numFmtId="9" fontId="4" fillId="0" borderId="0" xfId="4" applyNumberFormat="1" applyFont="1" applyFill="1" applyBorder="1" applyAlignment="1">
      <alignment horizontal="right"/>
    </xf>
    <xf numFmtId="9" fontId="4" fillId="0" borderId="3" xfId="1" applyNumberFormat="1" applyFont="1" applyFill="1" applyBorder="1" applyAlignment="1">
      <alignment horizontal="right"/>
    </xf>
    <xf numFmtId="165" fontId="4" fillId="0" borderId="0" xfId="2" applyNumberFormat="1" applyFont="1" applyFill="1" applyAlignment="1">
      <alignment horizontal="right"/>
    </xf>
    <xf numFmtId="165" fontId="4" fillId="0" borderId="0" xfId="3" applyNumberFormat="1" applyFont="1" applyFill="1" applyAlignment="1">
      <alignment horizontal="right"/>
    </xf>
    <xf numFmtId="165" fontId="6" fillId="0" borderId="0" xfId="3" applyNumberFormat="1" applyFont="1" applyFill="1" applyAlignment="1">
      <alignment horizontal="right"/>
    </xf>
    <xf numFmtId="165" fontId="4" fillId="0" borderId="0" xfId="2" applyNumberFormat="1" applyFont="1" applyFill="1"/>
    <xf numFmtId="172" fontId="4" fillId="0" borderId="0" xfId="1" applyNumberFormat="1" applyFont="1" applyFill="1" applyAlignment="1">
      <alignment horizontal="right"/>
    </xf>
    <xf numFmtId="0" fontId="4" fillId="0" borderId="0" xfId="3" applyFont="1" applyFill="1" applyAlignment="1">
      <alignment horizontal="right"/>
    </xf>
    <xf numFmtId="166" fontId="4" fillId="0" borderId="2" xfId="3" applyNumberFormat="1" applyFont="1" applyFill="1" applyBorder="1" applyAlignment="1">
      <alignment horizontal="right"/>
    </xf>
    <xf numFmtId="166" fontId="4" fillId="0" borderId="0" xfId="3" applyNumberFormat="1" applyFont="1" applyFill="1" applyAlignment="1">
      <alignment horizontal="right"/>
    </xf>
    <xf numFmtId="166" fontId="4" fillId="0" borderId="3" xfId="3" applyNumberFormat="1" applyFont="1" applyFill="1" applyBorder="1" applyAlignment="1">
      <alignment horizontal="right"/>
    </xf>
    <xf numFmtId="165" fontId="4" fillId="0" borderId="0" xfId="3" applyNumberFormat="1" applyFont="1" applyFill="1" applyBorder="1" applyAlignment="1">
      <alignment horizontal="right"/>
    </xf>
    <xf numFmtId="0" fontId="6" fillId="0" borderId="0" xfId="3" applyFont="1" applyFill="1" applyAlignment="1">
      <alignment horizontal="right"/>
    </xf>
    <xf numFmtId="171" fontId="6" fillId="0" borderId="0" xfId="3" applyNumberFormat="1" applyFont="1" applyFill="1" applyAlignment="1">
      <alignment horizontal="right"/>
    </xf>
    <xf numFmtId="171" fontId="4" fillId="0" borderId="0" xfId="3" applyNumberFormat="1" applyFont="1" applyFill="1" applyAlignment="1">
      <alignment horizontal="right"/>
    </xf>
    <xf numFmtId="9" fontId="4" fillId="0" borderId="0" xfId="1" applyFont="1" applyFill="1"/>
    <xf numFmtId="9" fontId="6" fillId="0" borderId="0" xfId="1" applyFont="1" applyFill="1" applyAlignment="1">
      <alignment horizontal="right"/>
    </xf>
    <xf numFmtId="9" fontId="4" fillId="0" borderId="0" xfId="1" applyFont="1" applyFill="1" applyAlignment="1">
      <alignment horizontal="right"/>
    </xf>
    <xf numFmtId="0" fontId="5" fillId="0" borderId="0" xfId="3" applyFont="1" applyFill="1"/>
    <xf numFmtId="170" fontId="4" fillId="0" borderId="2" xfId="3" applyNumberFormat="1" applyFont="1" applyFill="1" applyBorder="1" applyAlignment="1">
      <alignment horizontal="right"/>
    </xf>
    <xf numFmtId="9" fontId="6" fillId="0" borderId="0" xfId="3" applyNumberFormat="1" applyFont="1" applyFill="1" applyAlignment="1">
      <alignment horizontal="right"/>
    </xf>
    <xf numFmtId="9" fontId="4" fillId="0" borderId="0" xfId="3" applyNumberFormat="1" applyFont="1" applyFill="1" applyAlignment="1">
      <alignment horizontal="right"/>
    </xf>
    <xf numFmtId="166" fontId="4" fillId="0" borderId="0" xfId="3" applyNumberFormat="1" applyFont="1" applyFill="1" applyAlignment="1">
      <alignment horizontal="center"/>
    </xf>
    <xf numFmtId="9" fontId="6" fillId="0" borderId="0" xfId="3" applyNumberFormat="1" applyFont="1" applyFill="1" applyAlignment="1">
      <alignment horizontal="center"/>
    </xf>
    <xf numFmtId="9" fontId="4" fillId="0" borderId="0" xfId="3" applyNumberFormat="1" applyFont="1" applyFill="1" applyAlignment="1">
      <alignment horizontal="center"/>
    </xf>
    <xf numFmtId="9" fontId="4" fillId="0" borderId="0" xfId="2" applyNumberFormat="1" applyFont="1" applyFill="1" applyAlignment="1">
      <alignment horizontal="right"/>
    </xf>
    <xf numFmtId="0" fontId="4" fillId="0" borderId="1" xfId="3" applyFont="1" applyFill="1" applyBorder="1" applyAlignment="1">
      <alignment horizontal="center"/>
    </xf>
    <xf numFmtId="0" fontId="4" fillId="0" borderId="1" xfId="3" applyFont="1" applyFill="1" applyBorder="1" applyAlignment="1">
      <alignment horizontal="center"/>
    </xf>
  </cellXfs>
  <cellStyles count="21">
    <cellStyle name="Comma 10" xfId="4" xr:uid="{79B42F33-AD9D-45F1-A1D5-CF9D02C96880}"/>
    <cellStyle name="Comma 10 2 2" xfId="11" xr:uid="{EF9B46E7-963B-41BA-9F9C-F32FF3BDEE1C}"/>
    <cellStyle name="Comma 2" xfId="14" xr:uid="{0FA1B26D-1B10-40CB-AD5C-B5477D6B090E}"/>
    <cellStyle name="Comma 3" xfId="7" xr:uid="{C226BEE4-C46B-4016-B7A3-481487A94790}"/>
    <cellStyle name="Comma 4" xfId="19" xr:uid="{3E0EF15A-C4C3-4373-9C58-0CB69E0F62E1}"/>
    <cellStyle name="Comma 5 36" xfId="10" xr:uid="{7CCAF56C-5EAD-4ABC-8123-C10978242D0A}"/>
    <cellStyle name="Currency 2" xfId="18" xr:uid="{A07B3587-6CDF-4922-BF63-93D94315EA2F}"/>
    <cellStyle name="Currency 3" xfId="20" xr:uid="{43A4BF93-68AE-4AA8-BBC2-A8C2F08FA750}"/>
    <cellStyle name="Normal" xfId="0" builtinId="0"/>
    <cellStyle name="Normal 10" xfId="5" xr:uid="{9A806827-BD73-4923-9066-BB23D0D9AEE5}"/>
    <cellStyle name="Normal 2" xfId="13" xr:uid="{A1412A93-2E40-46E8-BAD6-E7081DB3F662}"/>
    <cellStyle name="Normal 2 2" xfId="16" xr:uid="{AFD509B6-7182-4C61-8926-D849E5A57B66}"/>
    <cellStyle name="Normal 3" xfId="17" xr:uid="{0FA92ED5-9082-4A2E-A0D7-F6533542B7CA}"/>
    <cellStyle name="Normal 4 3" xfId="2" xr:uid="{F40D9BFE-D5FE-49AD-8C14-BE06707E12BB}"/>
    <cellStyle name="Normal 59" xfId="6" xr:uid="{440686CB-F0F7-4364-B3A0-3AA8B22C5793}"/>
    <cellStyle name="Normal 60" xfId="3" xr:uid="{DC98C82D-F7E8-41CD-B6FA-3CF744F91E73}"/>
    <cellStyle name="Normal 7 3 4" xfId="12" xr:uid="{85CFF354-51FE-4588-9CD7-DE4FD9A30963}"/>
    <cellStyle name="Normal 8" xfId="9" xr:uid="{7D96FD10-5629-476A-B5EE-E75A018D76E8}"/>
    <cellStyle name="Percent" xfId="1" builtinId="5"/>
    <cellStyle name="Percent 2" xfId="8" xr:uid="{58881ED6-866D-4F72-BA49-9A2F1F21B89F}"/>
    <cellStyle name="Percent 2 2" xfId="15" xr:uid="{268E40D6-77A9-4F7E-B86D-E8FE5501DA1B}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/Annual%20Rates/2023/Union%20RZ/2023%20Rates%20DM%20(Apr%2022%20QRAM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%20Rebasing/2024%20Cost%20of%20Service/1.%20Prefiled%20Evidence%20-%20Nov%202022/11.%20Nov%2030%20Filing%20-%20Models/2022-11-15%202024%20Exfran%20Model%20-%20Wo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Detail Model"/>
      <sheetName val="DSM UR"/>
      <sheetName val="PDO UR"/>
      <sheetName val="ICM Rider"/>
      <sheetName val="Sch.6"/>
      <sheetName val="GasComm"/>
      <sheetName val="Supplementals"/>
      <sheetName val="Overrun"/>
      <sheetName val="Riders"/>
      <sheetName val="Pivots"/>
      <sheetName val="N-R20+Stor"/>
      <sheetName val="N-R100"/>
      <sheetName val="NorthVols"/>
      <sheetName val="U2"/>
      <sheetName val="Banner"/>
      <sheetName val="SouthDist"/>
      <sheetName val="SouthT"/>
      <sheetName val="North"/>
      <sheetName val="2023 Rates DM (Apr 22 QRAM)"/>
    </sheetNames>
    <sheetDataSet>
      <sheetData sheetId="0">
        <row r="3">
          <cell r="B3">
            <v>2022</v>
          </cell>
        </row>
        <row r="6">
          <cell r="B6">
            <v>2023</v>
          </cell>
        </row>
      </sheetData>
      <sheetData sheetId="1">
        <row r="12">
          <cell r="A12" t="str">
            <v>Effective January 1, 2023</v>
          </cell>
        </row>
      </sheetData>
      <sheetData sheetId="2">
        <row r="102">
          <cell r="G102">
            <v>632128.93915925093</v>
          </cell>
        </row>
      </sheetData>
      <sheetData sheetId="3">
        <row r="173">
          <cell r="I173">
            <v>30773.175073594073</v>
          </cell>
        </row>
      </sheetData>
      <sheetData sheetId="4"/>
      <sheetData sheetId="5"/>
      <sheetData sheetId="6">
        <row r="17">
          <cell r="I17">
            <v>20.612300000000001</v>
          </cell>
        </row>
      </sheetData>
      <sheetData sheetId="7">
        <row r="33">
          <cell r="B33">
            <v>10</v>
          </cell>
        </row>
      </sheetData>
      <sheetData sheetId="8"/>
      <sheetData sheetId="9">
        <row r="4">
          <cell r="O4">
            <v>44378</v>
          </cell>
        </row>
      </sheetData>
      <sheetData sheetId="10"/>
      <sheetData sheetId="11"/>
      <sheetData sheetId="12"/>
      <sheetData sheetId="13"/>
      <sheetData sheetId="14">
        <row r="14">
          <cell r="F14">
            <v>1.3169999999999999</v>
          </cell>
        </row>
      </sheetData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Schedule - 2024"/>
      <sheetName val="Source Files"/>
      <sheetName val="Index"/>
      <sheetName val="Inputs"/>
      <sheetName val="Cost Input"/>
      <sheetName val="Revenue"/>
      <sheetName val="Forecast"/>
      <sheetName val="Harmonized DM"/>
      <sheetName val="Detail Model"/>
      <sheetName val="S&amp;T Margin p.1"/>
      <sheetName val="Harm. Appendix A"/>
      <sheetName val="Appendix A"/>
      <sheetName val="Summary Rates"/>
      <sheetName val="S&amp;T Margin p.2"/>
      <sheetName val="OR Rates"/>
      <sheetName val="M17 Demand"/>
      <sheetName val="M12 - BA"/>
      <sheetName val="M12 - Proposed"/>
      <sheetName val="M12 p.2"/>
      <sheetName val="F24-T"/>
      <sheetName val="M13"/>
      <sheetName val="M16 Cust"/>
      <sheetName val="M16 Comm"/>
      <sheetName val="M16 East Dem"/>
      <sheetName val="M17 Cust"/>
      <sheetName val="C1 Ojib Demand BA"/>
      <sheetName val="D-D Vector"/>
      <sheetName val="Heritage - HTLP"/>
      <sheetName val="PDCI"/>
      <sheetName val="2022-11-15 2024 Exfran Model -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3">
          <cell r="G23">
            <v>49500</v>
          </cell>
          <cell r="U23">
            <v>2.5113604084574739</v>
          </cell>
        </row>
        <row r="26">
          <cell r="U26">
            <v>3.4659904804556181</v>
          </cell>
        </row>
        <row r="85">
          <cell r="U85">
            <v>6.6401399005200359</v>
          </cell>
        </row>
        <row r="180">
          <cell r="U180">
            <v>469.19491635651599</v>
          </cell>
        </row>
        <row r="181">
          <cell r="U181">
            <v>1061.5791560403766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E69A6-37C8-47A3-AD0F-E181A5077269}">
  <sheetPr codeName="Sheet2">
    <pageSetUpPr fitToPage="1"/>
  </sheetPr>
  <dimension ref="B5:Q198"/>
  <sheetViews>
    <sheetView tabSelected="1" view="pageLayout" zoomScale="80" zoomScaleNormal="85" zoomScaleSheetLayoutView="70" zoomScalePageLayoutView="80" workbookViewId="0"/>
  </sheetViews>
  <sheetFormatPr defaultColWidth="2.7109375" defaultRowHeight="12.75" x14ac:dyDescent="0.2"/>
  <cols>
    <col min="1" max="1" width="1.7109375" style="5" customWidth="1"/>
    <col min="2" max="2" width="4.7109375" style="10" customWidth="1"/>
    <col min="3" max="3" width="1.7109375" style="5" customWidth="1"/>
    <col min="4" max="4" width="29.7109375" style="5" customWidth="1"/>
    <col min="5" max="5" width="1.7109375" style="5" customWidth="1"/>
    <col min="6" max="6" width="17.28515625" style="5" customWidth="1"/>
    <col min="7" max="7" width="14.42578125" style="5" customWidth="1"/>
    <col min="8" max="8" width="1.7109375" style="5" customWidth="1"/>
    <col min="9" max="11" width="14.42578125" style="5" customWidth="1"/>
    <col min="12" max="12" width="1.7109375" style="5" customWidth="1"/>
    <col min="13" max="14" width="14.42578125" style="5" customWidth="1"/>
    <col min="15" max="15" width="17" style="5" customWidth="1"/>
    <col min="16" max="17" width="14.42578125" style="5" customWidth="1"/>
    <col min="18" max="16384" width="2.7109375" style="5"/>
  </cols>
  <sheetData>
    <row r="5" spans="2:17" x14ac:dyDescent="0.2">
      <c r="B5" s="25" t="s">
        <v>62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2:17" x14ac:dyDescent="0.2">
      <c r="B6" s="39" t="s">
        <v>37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8"/>
      <c r="Q6" s="28"/>
    </row>
    <row r="7" spans="2:17" x14ac:dyDescent="0.2">
      <c r="B7" s="27"/>
      <c r="C7" s="27"/>
      <c r="D7" s="27"/>
      <c r="E7" s="27"/>
      <c r="F7" s="29"/>
      <c r="G7" s="29"/>
      <c r="H7" s="27"/>
      <c r="I7" s="27"/>
      <c r="J7" s="27"/>
      <c r="K7" s="27"/>
      <c r="L7" s="27"/>
      <c r="M7" s="27"/>
      <c r="N7" s="27"/>
      <c r="O7" s="27"/>
      <c r="P7" s="28"/>
      <c r="Q7" s="28"/>
    </row>
    <row r="8" spans="2:17" x14ac:dyDescent="0.2">
      <c r="B8" s="29"/>
      <c r="C8" s="29"/>
      <c r="D8" s="29"/>
      <c r="E8" s="29"/>
      <c r="F8" s="70" t="s">
        <v>64</v>
      </c>
      <c r="G8" s="70"/>
      <c r="H8" s="29"/>
      <c r="I8" s="70" t="s">
        <v>44</v>
      </c>
      <c r="J8" s="70"/>
      <c r="K8" s="70"/>
      <c r="L8" s="29"/>
      <c r="M8" s="70" t="s">
        <v>65</v>
      </c>
      <c r="N8" s="70"/>
      <c r="O8" s="70"/>
      <c r="P8" s="70"/>
      <c r="Q8" s="70"/>
    </row>
    <row r="9" spans="2:17" s="9" customFormat="1" ht="38.25" x14ac:dyDescent="0.2">
      <c r="B9" s="18" t="s">
        <v>0</v>
      </c>
      <c r="C9" s="18"/>
      <c r="D9" s="18"/>
      <c r="E9" s="18"/>
      <c r="F9" s="9" t="s">
        <v>76</v>
      </c>
      <c r="G9" s="9" t="s">
        <v>29</v>
      </c>
      <c r="H9" s="18"/>
      <c r="I9" s="18" t="s">
        <v>77</v>
      </c>
      <c r="J9" s="18" t="s">
        <v>78</v>
      </c>
      <c r="K9" s="18" t="s">
        <v>44</v>
      </c>
      <c r="L9" s="18"/>
      <c r="M9" s="9" t="s">
        <v>79</v>
      </c>
      <c r="N9" s="9" t="s">
        <v>73</v>
      </c>
      <c r="O9" s="9" t="s">
        <v>74</v>
      </c>
      <c r="P9" s="18" t="s">
        <v>72</v>
      </c>
      <c r="Q9" s="18" t="s">
        <v>40</v>
      </c>
    </row>
    <row r="10" spans="2:17" x14ac:dyDescent="0.2">
      <c r="B10" s="69" t="s">
        <v>1</v>
      </c>
      <c r="C10" s="7"/>
      <c r="D10" s="34" t="s">
        <v>28</v>
      </c>
      <c r="E10" s="11"/>
      <c r="F10" s="69" t="s">
        <v>52</v>
      </c>
      <c r="G10" s="69" t="s">
        <v>52</v>
      </c>
      <c r="H10" s="11"/>
      <c r="I10" s="69" t="s">
        <v>52</v>
      </c>
      <c r="J10" s="69" t="s">
        <v>52</v>
      </c>
      <c r="K10" s="69" t="s">
        <v>52</v>
      </c>
      <c r="L10" s="11"/>
      <c r="M10" s="69" t="s">
        <v>52</v>
      </c>
      <c r="N10" s="69" t="s">
        <v>52</v>
      </c>
      <c r="O10" s="69" t="s">
        <v>52</v>
      </c>
      <c r="P10" s="69" t="s">
        <v>71</v>
      </c>
      <c r="Q10" s="69" t="s">
        <v>2</v>
      </c>
    </row>
    <row r="11" spans="2:17" x14ac:dyDescent="0.2">
      <c r="B11" s="11"/>
      <c r="C11" s="7"/>
      <c r="D11" s="7"/>
      <c r="E11" s="11"/>
      <c r="F11" s="11" t="s">
        <v>3</v>
      </c>
      <c r="G11" s="11" t="s">
        <v>57</v>
      </c>
      <c r="H11" s="11"/>
      <c r="I11" s="11" t="s">
        <v>38</v>
      </c>
      <c r="J11" s="11" t="s">
        <v>42</v>
      </c>
      <c r="K11" s="11" t="s">
        <v>45</v>
      </c>
      <c r="L11" s="11"/>
      <c r="M11" s="11" t="s">
        <v>43</v>
      </c>
      <c r="N11" s="11" t="s">
        <v>30</v>
      </c>
      <c r="O11" s="11" t="s">
        <v>46</v>
      </c>
      <c r="P11" s="32" t="s">
        <v>47</v>
      </c>
      <c r="Q11" s="32" t="s">
        <v>48</v>
      </c>
    </row>
    <row r="12" spans="2:17" x14ac:dyDescent="0.2">
      <c r="B12" s="11"/>
      <c r="C12" s="7"/>
      <c r="D12" s="7"/>
      <c r="E12" s="11"/>
      <c r="F12" s="35"/>
      <c r="G12" s="35"/>
      <c r="H12" s="11"/>
      <c r="I12" s="11"/>
      <c r="J12" s="11"/>
      <c r="K12" s="11"/>
      <c r="L12" s="11"/>
      <c r="M12" s="11"/>
      <c r="N12" s="11"/>
      <c r="O12" s="11"/>
      <c r="P12" s="11"/>
      <c r="Q12" s="11"/>
    </row>
    <row r="13" spans="2:17" x14ac:dyDescent="0.2">
      <c r="B13" s="11"/>
      <c r="C13" s="7"/>
      <c r="D13" s="6" t="s">
        <v>53</v>
      </c>
      <c r="E13" s="11"/>
      <c r="F13" s="35"/>
      <c r="G13" s="2"/>
      <c r="H13" s="11"/>
      <c r="I13" s="1"/>
      <c r="J13" s="1"/>
      <c r="K13" s="1"/>
      <c r="L13" s="11"/>
      <c r="M13" s="11"/>
      <c r="N13" s="11"/>
      <c r="O13" s="11"/>
      <c r="P13" s="11"/>
      <c r="Q13" s="11"/>
    </row>
    <row r="14" spans="2:17" x14ac:dyDescent="0.2">
      <c r="B14" s="11">
        <v>1</v>
      </c>
      <c r="C14" s="7"/>
      <c r="D14" s="4" t="s">
        <v>4</v>
      </c>
      <c r="E14" s="11"/>
      <c r="F14" s="12">
        <v>2205307.6186063513</v>
      </c>
      <c r="G14" s="12">
        <f>F14-K14</f>
        <v>-116980.19350275258</v>
      </c>
      <c r="H14" s="45"/>
      <c r="I14" s="12">
        <v>2321413.6670389595</v>
      </c>
      <c r="J14" s="12">
        <v>874.14507014442506</v>
      </c>
      <c r="K14" s="12">
        <f t="shared" ref="K14:K24" si="0">I14+J14</f>
        <v>2322287.8121091039</v>
      </c>
      <c r="L14" s="45"/>
      <c r="M14" s="12">
        <v>-5419.552269792227</v>
      </c>
      <c r="N14" s="12">
        <v>0</v>
      </c>
      <c r="O14" s="12">
        <f t="shared" ref="O14:O24" si="1">K14+M14+N14</f>
        <v>2316868.2598393117</v>
      </c>
      <c r="P14" s="13">
        <f t="shared" ref="P14:P23" si="2">O14/K14</f>
        <v>0.99766628742504138</v>
      </c>
      <c r="Q14" s="49">
        <f t="shared" ref="Q14:Q23" si="3">O14/F14-1</f>
        <v>5.0587337699155688E-2</v>
      </c>
    </row>
    <row r="15" spans="2:17" x14ac:dyDescent="0.2">
      <c r="B15" s="11">
        <f>MAX(B$14:B14)+1</f>
        <v>2</v>
      </c>
      <c r="C15" s="7"/>
      <c r="D15" s="4" t="s">
        <v>5</v>
      </c>
      <c r="E15" s="11"/>
      <c r="F15" s="12">
        <v>1189873.1762499893</v>
      </c>
      <c r="G15" s="12">
        <f t="shared" ref="G15:G24" si="4">F15-K15</f>
        <v>-21942.91940216138</v>
      </c>
      <c r="H15" s="45"/>
      <c r="I15" s="12">
        <v>1211552.1983313709</v>
      </c>
      <c r="J15" s="12">
        <v>263.89732077972872</v>
      </c>
      <c r="K15" s="12">
        <f t="shared" si="0"/>
        <v>1211816.0956521507</v>
      </c>
      <c r="L15" s="45"/>
      <c r="M15" s="12">
        <v>-4836.3684026736264</v>
      </c>
      <c r="N15" s="12">
        <v>0</v>
      </c>
      <c r="O15" s="12">
        <f t="shared" si="1"/>
        <v>1206979.7272494771</v>
      </c>
      <c r="P15" s="13">
        <f t="shared" si="2"/>
        <v>0.99600899144678312</v>
      </c>
      <c r="Q15" s="49">
        <f t="shared" si="3"/>
        <v>1.4376785140581827E-2</v>
      </c>
    </row>
    <row r="16" spans="2:17" x14ac:dyDescent="0.2">
      <c r="B16" s="11">
        <f>MAX(B$14:B15)+1</f>
        <v>3</v>
      </c>
      <c r="C16" s="7"/>
      <c r="D16" s="4" t="s">
        <v>6</v>
      </c>
      <c r="E16" s="11"/>
      <c r="F16" s="12">
        <v>5587.4928492138752</v>
      </c>
      <c r="G16" s="12">
        <f t="shared" si="4"/>
        <v>374.94751445927704</v>
      </c>
      <c r="H16" s="45"/>
      <c r="I16" s="12">
        <v>5210.0549858070808</v>
      </c>
      <c r="J16" s="12">
        <v>2.4903489475169773</v>
      </c>
      <c r="K16" s="12">
        <f t="shared" si="0"/>
        <v>5212.5453347545981</v>
      </c>
      <c r="L16" s="45"/>
      <c r="M16" s="12">
        <v>-17.058577749112064</v>
      </c>
      <c r="N16" s="12">
        <v>400</v>
      </c>
      <c r="O16" s="12">
        <f t="shared" si="1"/>
        <v>5595.4867570054857</v>
      </c>
      <c r="P16" s="13">
        <f t="shared" si="2"/>
        <v>1.0734653413367226</v>
      </c>
      <c r="Q16" s="49">
        <f t="shared" si="3"/>
        <v>1.4306788406424076E-3</v>
      </c>
    </row>
    <row r="17" spans="2:17" x14ac:dyDescent="0.2">
      <c r="B17" s="11">
        <f>MAX(B$14:B16)+1</f>
        <v>4</v>
      </c>
      <c r="C17" s="7"/>
      <c r="D17" s="4" t="s">
        <v>7</v>
      </c>
      <c r="E17" s="11"/>
      <c r="F17" s="12">
        <v>68051.261389183259</v>
      </c>
      <c r="G17" s="12">
        <f t="shared" si="4"/>
        <v>-9177.6858561375266</v>
      </c>
      <c r="H17" s="45"/>
      <c r="I17" s="12">
        <v>77285.681701206981</v>
      </c>
      <c r="J17" s="12">
        <v>-56.734455886194787</v>
      </c>
      <c r="K17" s="12">
        <f t="shared" si="0"/>
        <v>77228.947245320785</v>
      </c>
      <c r="L17" s="45"/>
      <c r="M17" s="12">
        <v>-554.94051129123295</v>
      </c>
      <c r="N17" s="12">
        <v>0</v>
      </c>
      <c r="O17" s="12">
        <f t="shared" si="1"/>
        <v>76674.00673402955</v>
      </c>
      <c r="P17" s="13">
        <f t="shared" si="2"/>
        <v>0.99281434577207894</v>
      </c>
      <c r="Q17" s="49">
        <f t="shared" si="3"/>
        <v>0.1267095593648595</v>
      </c>
    </row>
    <row r="18" spans="2:17" x14ac:dyDescent="0.2">
      <c r="B18" s="11">
        <f>MAX(B$14:B17)+1</f>
        <v>5</v>
      </c>
      <c r="C18" s="7"/>
      <c r="D18" s="4" t="s">
        <v>8</v>
      </c>
      <c r="E18" s="11"/>
      <c r="F18" s="12">
        <v>9493.6962365030467</v>
      </c>
      <c r="G18" s="12">
        <f t="shared" si="4"/>
        <v>-1057.3914345732464</v>
      </c>
      <c r="H18" s="45"/>
      <c r="I18" s="12">
        <v>10570.2387639599</v>
      </c>
      <c r="J18" s="12">
        <v>-19.151092883606232</v>
      </c>
      <c r="K18" s="12">
        <f t="shared" si="0"/>
        <v>10551.087671076293</v>
      </c>
      <c r="L18" s="45"/>
      <c r="M18" s="12">
        <v>-116.62603182571387</v>
      </c>
      <c r="N18" s="12">
        <v>0</v>
      </c>
      <c r="O18" s="12">
        <f t="shared" si="1"/>
        <v>10434.46163925058</v>
      </c>
      <c r="P18" s="13">
        <f t="shared" si="2"/>
        <v>0.98894653940319155</v>
      </c>
      <c r="Q18" s="49">
        <f t="shared" si="3"/>
        <v>9.909369115164135E-2</v>
      </c>
    </row>
    <row r="19" spans="2:17" x14ac:dyDescent="0.2">
      <c r="B19" s="11">
        <f>MAX(B$14:B18)+1</f>
        <v>6</v>
      </c>
      <c r="C19" s="7"/>
      <c r="D19" s="4" t="s">
        <v>9</v>
      </c>
      <c r="E19" s="11"/>
      <c r="F19" s="12">
        <v>13074.499676417412</v>
      </c>
      <c r="G19" s="12">
        <f t="shared" si="4"/>
        <v>997.45727813845406</v>
      </c>
      <c r="H19" s="45"/>
      <c r="I19" s="12">
        <v>12077.042398278958</v>
      </c>
      <c r="J19" s="12">
        <v>0</v>
      </c>
      <c r="K19" s="12">
        <f t="shared" si="0"/>
        <v>12077.042398278958</v>
      </c>
      <c r="L19" s="45"/>
      <c r="M19" s="12">
        <v>0</v>
      </c>
      <c r="N19" s="12">
        <v>0</v>
      </c>
      <c r="O19" s="12">
        <f t="shared" si="1"/>
        <v>12077.042398278958</v>
      </c>
      <c r="P19" s="13">
        <f t="shared" si="2"/>
        <v>1</v>
      </c>
      <c r="Q19" s="49">
        <f t="shared" si="3"/>
        <v>-7.6290282827233269E-2</v>
      </c>
    </row>
    <row r="20" spans="2:17" x14ac:dyDescent="0.2">
      <c r="B20" s="11">
        <f>MAX(B$14:B19)+1</f>
        <v>7</v>
      </c>
      <c r="C20" s="7"/>
      <c r="D20" s="4" t="s">
        <v>10</v>
      </c>
      <c r="E20" s="11"/>
      <c r="F20" s="12">
        <v>2311.1516287038748</v>
      </c>
      <c r="G20" s="12">
        <f t="shared" si="4"/>
        <v>-1693.4092163793375</v>
      </c>
      <c r="H20" s="45"/>
      <c r="I20" s="12">
        <v>4003.2874197653555</v>
      </c>
      <c r="J20" s="12">
        <v>1.2734253178569273</v>
      </c>
      <c r="K20" s="12">
        <f t="shared" si="0"/>
        <v>4004.5608450832124</v>
      </c>
      <c r="L20" s="45"/>
      <c r="M20" s="12">
        <v>-1.9336872857326126</v>
      </c>
      <c r="N20" s="12">
        <v>-900</v>
      </c>
      <c r="O20" s="12">
        <f t="shared" si="1"/>
        <v>3102.6271577974799</v>
      </c>
      <c r="P20" s="13">
        <f t="shared" si="2"/>
        <v>0.77477338410449581</v>
      </c>
      <c r="Q20" s="49">
        <f t="shared" si="3"/>
        <v>0.34245936928745579</v>
      </c>
    </row>
    <row r="21" spans="2:17" x14ac:dyDescent="0.2">
      <c r="B21" s="11">
        <f>MAX(B$14:B20)+1</f>
        <v>8</v>
      </c>
      <c r="C21" s="7"/>
      <c r="D21" s="4" t="s">
        <v>11</v>
      </c>
      <c r="E21" s="11"/>
      <c r="F21" s="12">
        <v>1802.0488245146307</v>
      </c>
      <c r="G21" s="12">
        <f t="shared" si="4"/>
        <v>772.80056540792543</v>
      </c>
      <c r="H21" s="45"/>
      <c r="I21" s="12">
        <v>1029.0391426934866</v>
      </c>
      <c r="J21" s="12">
        <v>0.20911641321866078</v>
      </c>
      <c r="K21" s="12">
        <f t="shared" si="0"/>
        <v>1029.2482591067053</v>
      </c>
      <c r="L21" s="45"/>
      <c r="M21" s="12">
        <v>0</v>
      </c>
      <c r="N21" s="12">
        <v>0</v>
      </c>
      <c r="O21" s="12">
        <f t="shared" si="1"/>
        <v>1029.2482591067053</v>
      </c>
      <c r="P21" s="13">
        <f t="shared" si="2"/>
        <v>1</v>
      </c>
      <c r="Q21" s="49">
        <f t="shared" si="3"/>
        <v>-0.42884552010741095</v>
      </c>
    </row>
    <row r="22" spans="2:17" x14ac:dyDescent="0.2">
      <c r="B22" s="11">
        <f>MAX(B$14:B21)+1</f>
        <v>9</v>
      </c>
      <c r="C22" s="7"/>
      <c r="D22" s="4" t="s">
        <v>12</v>
      </c>
      <c r="E22" s="11"/>
      <c r="F22" s="12">
        <v>2264.6184227117319</v>
      </c>
      <c r="G22" s="12">
        <f t="shared" si="4"/>
        <v>-3812.7135451837994</v>
      </c>
      <c r="H22" s="45"/>
      <c r="I22" s="12">
        <v>6075.3778923662803</v>
      </c>
      <c r="J22" s="12">
        <v>1.9540755292513141</v>
      </c>
      <c r="K22" s="12">
        <f t="shared" si="0"/>
        <v>6077.3319678955313</v>
      </c>
      <c r="L22" s="45"/>
      <c r="M22" s="12">
        <v>0</v>
      </c>
      <c r="N22" s="12">
        <v>0</v>
      </c>
      <c r="O22" s="12">
        <f t="shared" si="1"/>
        <v>6077.3319678955313</v>
      </c>
      <c r="P22" s="13">
        <f t="shared" si="2"/>
        <v>1</v>
      </c>
      <c r="Q22" s="49">
        <f t="shared" si="3"/>
        <v>1.6836008693324702</v>
      </c>
    </row>
    <row r="23" spans="2:17" x14ac:dyDescent="0.2">
      <c r="B23" s="11">
        <f>MAX(B$14:B22)+1</f>
        <v>10</v>
      </c>
      <c r="C23" s="7"/>
      <c r="D23" s="4" t="s">
        <v>13</v>
      </c>
      <c r="E23" s="11"/>
      <c r="F23" s="12">
        <v>38608.058877121577</v>
      </c>
      <c r="G23" s="12">
        <f t="shared" si="4"/>
        <v>1154.0975344356702</v>
      </c>
      <c r="H23" s="45"/>
      <c r="I23" s="12">
        <v>37424.605829470376</v>
      </c>
      <c r="J23" s="12">
        <v>29.355513215532643</v>
      </c>
      <c r="K23" s="12">
        <f t="shared" si="0"/>
        <v>37453.961342685907</v>
      </c>
      <c r="L23" s="45"/>
      <c r="M23" s="12">
        <v>-128.67195970907724</v>
      </c>
      <c r="N23" s="12">
        <v>0</v>
      </c>
      <c r="O23" s="12">
        <f t="shared" si="1"/>
        <v>37325.289382976829</v>
      </c>
      <c r="P23" s="13">
        <f t="shared" si="2"/>
        <v>0.99656453002309175</v>
      </c>
      <c r="Q23" s="49">
        <f t="shared" si="3"/>
        <v>-3.3225433535196247E-2</v>
      </c>
    </row>
    <row r="24" spans="2:17" x14ac:dyDescent="0.2">
      <c r="B24" s="11">
        <f>MAX(B$14:B23)+1</f>
        <v>11</v>
      </c>
      <c r="C24" s="7"/>
      <c r="D24" s="4" t="s">
        <v>14</v>
      </c>
      <c r="E24" s="11"/>
      <c r="F24" s="12">
        <v>0</v>
      </c>
      <c r="G24" s="12">
        <f t="shared" si="4"/>
        <v>0</v>
      </c>
      <c r="H24" s="45"/>
      <c r="I24" s="12">
        <v>0</v>
      </c>
      <c r="J24" s="12">
        <v>0</v>
      </c>
      <c r="K24" s="12">
        <f t="shared" si="0"/>
        <v>0</v>
      </c>
      <c r="L24" s="45"/>
      <c r="M24" s="12">
        <v>0</v>
      </c>
      <c r="N24" s="12">
        <v>0</v>
      </c>
      <c r="O24" s="12">
        <f t="shared" si="1"/>
        <v>0</v>
      </c>
      <c r="P24" s="13"/>
      <c r="Q24" s="59"/>
    </row>
    <row r="25" spans="2:17" x14ac:dyDescent="0.2">
      <c r="B25" s="11">
        <f>MAX(B$14:B24)+1</f>
        <v>12</v>
      </c>
      <c r="C25" s="7"/>
      <c r="D25" s="5" t="s">
        <v>67</v>
      </c>
      <c r="E25" s="11"/>
      <c r="F25" s="16">
        <f>SUM(F14:F24)</f>
        <v>3536373.6227607103</v>
      </c>
      <c r="G25" s="16">
        <f>SUM(G14:G24)</f>
        <v>-151365.01006474649</v>
      </c>
      <c r="H25" s="45"/>
      <c r="I25" s="16">
        <f>SUM(I14:I24)</f>
        <v>3686641.193503879</v>
      </c>
      <c r="J25" s="16">
        <f>SUM(J14:J24)</f>
        <v>1097.4393215777293</v>
      </c>
      <c r="K25" s="16">
        <f>SUM(K14:K24)</f>
        <v>3687738.6328254561</v>
      </c>
      <c r="L25" s="45"/>
      <c r="M25" s="16">
        <f>SUM(M14:M24)</f>
        <v>-11075.151440326725</v>
      </c>
      <c r="N25" s="16">
        <f>SUM(N14:N24)</f>
        <v>-500</v>
      </c>
      <c r="O25" s="16">
        <f>SUM(O14:O24)</f>
        <v>3676163.48138513</v>
      </c>
      <c r="P25" s="51">
        <f>O25/K25</f>
        <v>0.99686117900620919</v>
      </c>
      <c r="Q25" s="23">
        <f>O25/F25-1</f>
        <v>3.9529154307878622E-2</v>
      </c>
    </row>
    <row r="26" spans="2:17" x14ac:dyDescent="0.2">
      <c r="B26" s="11"/>
      <c r="C26" s="7"/>
      <c r="D26" s="7"/>
      <c r="E26" s="11"/>
      <c r="F26" s="47"/>
      <c r="G26" s="47"/>
      <c r="H26" s="46"/>
      <c r="I26" s="47"/>
      <c r="J26" s="47"/>
      <c r="K26" s="47"/>
      <c r="L26" s="46"/>
      <c r="M26" s="47"/>
      <c r="N26" s="47"/>
      <c r="O26" s="47"/>
      <c r="P26" s="52"/>
      <c r="Q26" s="60"/>
    </row>
    <row r="27" spans="2:17" x14ac:dyDescent="0.2">
      <c r="B27" s="11"/>
      <c r="C27" s="7"/>
      <c r="D27" s="6" t="s">
        <v>54</v>
      </c>
      <c r="E27" s="11"/>
      <c r="F27" s="47"/>
      <c r="G27" s="47"/>
      <c r="H27" s="46"/>
      <c r="I27" s="47"/>
      <c r="J27" s="47"/>
      <c r="K27" s="47"/>
      <c r="L27" s="46"/>
      <c r="M27" s="47"/>
      <c r="N27" s="47"/>
      <c r="O27" s="47"/>
      <c r="P27" s="13"/>
      <c r="Q27" s="22"/>
    </row>
    <row r="28" spans="2:17" x14ac:dyDescent="0.2">
      <c r="B28" s="11">
        <f>MAX(B$14:B27)+1</f>
        <v>13</v>
      </c>
      <c r="C28" s="7"/>
      <c r="D28" s="4" t="s">
        <v>15</v>
      </c>
      <c r="E28" s="11"/>
      <c r="F28" s="12">
        <v>484014.21855538513</v>
      </c>
      <c r="G28" s="12">
        <f t="shared" ref="G28:G32" si="5">F28-K28</f>
        <v>55724.162780457002</v>
      </c>
      <c r="H28" s="45"/>
      <c r="I28" s="12">
        <v>428119.55317265569</v>
      </c>
      <c r="J28" s="12">
        <v>170.50260227243763</v>
      </c>
      <c r="K28" s="12">
        <f>I28+J28</f>
        <v>428290.05577492813</v>
      </c>
      <c r="L28" s="45"/>
      <c r="M28" s="12">
        <v>-997.65530186882688</v>
      </c>
      <c r="N28" s="12">
        <v>0</v>
      </c>
      <c r="O28" s="12">
        <f>K28+M28+N28</f>
        <v>427292.40047305933</v>
      </c>
      <c r="P28" s="13">
        <f t="shared" ref="P28:P33" si="6">O28/K28</f>
        <v>0.99767060829823917</v>
      </c>
      <c r="Q28" s="49">
        <f t="shared" ref="Q28:Q33" si="7">O28/F28-1</f>
        <v>-0.11719039628963956</v>
      </c>
    </row>
    <row r="29" spans="2:17" x14ac:dyDescent="0.2">
      <c r="B29" s="11">
        <f>MAX(B$14:B28)+1</f>
        <v>14</v>
      </c>
      <c r="C29" s="7"/>
      <c r="D29" s="4" t="s">
        <v>16</v>
      </c>
      <c r="E29" s="11"/>
      <c r="F29" s="12">
        <v>82382.336796071977</v>
      </c>
      <c r="G29" s="12">
        <f t="shared" si="5"/>
        <v>13707.313240955074</v>
      </c>
      <c r="H29" s="45"/>
      <c r="I29" s="12">
        <v>68664.905837140162</v>
      </c>
      <c r="J29" s="12">
        <v>10.117717976741645</v>
      </c>
      <c r="K29" s="12">
        <f>I29+J29</f>
        <v>68675.023555116903</v>
      </c>
      <c r="L29" s="45"/>
      <c r="M29" s="12">
        <v>-294.52603507226468</v>
      </c>
      <c r="N29" s="12">
        <v>0</v>
      </c>
      <c r="O29" s="12">
        <f>K29+M29+N29</f>
        <v>68380.497520044635</v>
      </c>
      <c r="P29" s="13">
        <f t="shared" si="6"/>
        <v>0.99571130784052975</v>
      </c>
      <c r="Q29" s="49">
        <f t="shared" si="7"/>
        <v>-0.16996166679135705</v>
      </c>
    </row>
    <row r="30" spans="2:17" x14ac:dyDescent="0.2">
      <c r="B30" s="11">
        <f>MAX(B$14:B29)+1</f>
        <v>15</v>
      </c>
      <c r="C30" s="7"/>
      <c r="D30" s="4" t="s">
        <v>17</v>
      </c>
      <c r="E30" s="11"/>
      <c r="F30" s="12">
        <v>40661.33084374875</v>
      </c>
      <c r="G30" s="12">
        <f t="shared" si="5"/>
        <v>16512.141939417983</v>
      </c>
      <c r="H30" s="45"/>
      <c r="I30" s="12">
        <v>24154.800960201166</v>
      </c>
      <c r="J30" s="12">
        <v>-5.6120558703980148</v>
      </c>
      <c r="K30" s="12">
        <f>I30+J30</f>
        <v>24149.188904330767</v>
      </c>
      <c r="L30" s="45"/>
      <c r="M30" s="12">
        <v>-102.53057974449982</v>
      </c>
      <c r="N30" s="12">
        <v>14500</v>
      </c>
      <c r="O30" s="12">
        <f>K30+M30+N30</f>
        <v>38546.658324586271</v>
      </c>
      <c r="P30" s="13">
        <f t="shared" si="6"/>
        <v>1.5961885294488525</v>
      </c>
      <c r="Q30" s="49">
        <f t="shared" si="7"/>
        <v>-5.2006967683586924E-2</v>
      </c>
    </row>
    <row r="31" spans="2:17" x14ac:dyDescent="0.2">
      <c r="B31" s="11">
        <f>MAX(B$14:B30)+1</f>
        <v>16</v>
      </c>
      <c r="C31" s="7"/>
      <c r="D31" s="4" t="s">
        <v>18</v>
      </c>
      <c r="E31" s="11"/>
      <c r="F31" s="12">
        <v>6193.7088931148774</v>
      </c>
      <c r="G31" s="12">
        <f t="shared" si="5"/>
        <v>2030.1902731792934</v>
      </c>
      <c r="H31" s="45"/>
      <c r="I31" s="12">
        <v>4161.4396655999581</v>
      </c>
      <c r="J31" s="12">
        <v>2.0789543356262796</v>
      </c>
      <c r="K31" s="12">
        <f>I31+J31</f>
        <v>4163.518619935584</v>
      </c>
      <c r="L31" s="45"/>
      <c r="M31" s="12">
        <v>0</v>
      </c>
      <c r="N31" s="12">
        <v>0</v>
      </c>
      <c r="O31" s="12">
        <f>K31+M31+N31</f>
        <v>4163.518619935584</v>
      </c>
      <c r="P31" s="13">
        <f t="shared" si="6"/>
        <v>1</v>
      </c>
      <c r="Q31" s="49">
        <f t="shared" si="7"/>
        <v>-0.32778264335866947</v>
      </c>
    </row>
    <row r="32" spans="2:17" x14ac:dyDescent="0.2">
      <c r="B32" s="11">
        <f>MAX(B$14:B31)+1</f>
        <v>17</v>
      </c>
      <c r="C32" s="7"/>
      <c r="D32" s="4" t="s">
        <v>6</v>
      </c>
      <c r="E32" s="11"/>
      <c r="F32" s="12">
        <v>11827.382435304871</v>
      </c>
      <c r="G32" s="12">
        <f t="shared" si="5"/>
        <v>4940.0781427389384</v>
      </c>
      <c r="H32" s="45"/>
      <c r="I32" s="12">
        <v>6887.3042925659329</v>
      </c>
      <c r="J32" s="12">
        <v>0</v>
      </c>
      <c r="K32" s="12">
        <f>I32+J32</f>
        <v>6887.3042925659329</v>
      </c>
      <c r="L32" s="45"/>
      <c r="M32" s="12">
        <v>0</v>
      </c>
      <c r="N32" s="12">
        <v>0</v>
      </c>
      <c r="O32" s="12">
        <f>K32+M32+N32</f>
        <v>6887.3042925659329</v>
      </c>
      <c r="P32" s="13">
        <f t="shared" si="6"/>
        <v>1</v>
      </c>
      <c r="Q32" s="49">
        <f t="shared" si="7"/>
        <v>-0.41768144132997242</v>
      </c>
    </row>
    <row r="33" spans="2:17" x14ac:dyDescent="0.2">
      <c r="B33" s="11">
        <f>MAX(B$14:B32)+1</f>
        <v>18</v>
      </c>
      <c r="C33" s="7"/>
      <c r="D33" s="5" t="s">
        <v>68</v>
      </c>
      <c r="E33" s="11"/>
      <c r="F33" s="16">
        <f>SUM(F28:F32)</f>
        <v>625078.97752362571</v>
      </c>
      <c r="G33" s="16">
        <f>SUM(G28:G32)</f>
        <v>92913.886376748298</v>
      </c>
      <c r="H33" s="45"/>
      <c r="I33" s="16">
        <f>SUM(I28:I32)</f>
        <v>531988.00392816286</v>
      </c>
      <c r="J33" s="16">
        <f>SUM(J28:J32)</f>
        <v>177.08721871440753</v>
      </c>
      <c r="K33" s="16">
        <f>SUM(K28:K32)</f>
        <v>532165.09114687727</v>
      </c>
      <c r="L33" s="45"/>
      <c r="M33" s="16">
        <f>SUM(M28:M32)</f>
        <v>-1394.7119166855914</v>
      </c>
      <c r="N33" s="16">
        <f>SUM(N28:N32)</f>
        <v>14500</v>
      </c>
      <c r="O33" s="16">
        <f>SUM(O28:O32)</f>
        <v>545270.3792301917</v>
      </c>
      <c r="P33" s="51">
        <f t="shared" si="6"/>
        <v>1.0246263580631925</v>
      </c>
      <c r="Q33" s="33">
        <f t="shared" si="7"/>
        <v>-0.12767762340946354</v>
      </c>
    </row>
    <row r="34" spans="2:17" x14ac:dyDescent="0.2">
      <c r="B34" s="11"/>
      <c r="C34" s="7"/>
      <c r="D34" s="7"/>
      <c r="E34" s="11"/>
      <c r="F34" s="47"/>
      <c r="G34" s="47"/>
      <c r="H34" s="46"/>
      <c r="I34" s="47"/>
      <c r="J34" s="47"/>
      <c r="K34" s="47"/>
      <c r="L34" s="46"/>
      <c r="M34" s="47"/>
      <c r="N34" s="47"/>
      <c r="O34" s="47"/>
      <c r="P34" s="52"/>
      <c r="Q34" s="59"/>
    </row>
    <row r="35" spans="2:17" x14ac:dyDescent="0.2">
      <c r="B35" s="11"/>
      <c r="C35" s="7"/>
      <c r="D35" s="61" t="s">
        <v>56</v>
      </c>
      <c r="E35" s="11"/>
      <c r="F35" s="47"/>
      <c r="G35" s="47"/>
      <c r="H35" s="46"/>
      <c r="I35" s="47"/>
      <c r="J35" s="47"/>
      <c r="K35" s="47"/>
      <c r="L35" s="46"/>
      <c r="M35" s="47"/>
      <c r="N35" s="47"/>
      <c r="O35" s="47"/>
      <c r="P35" s="52"/>
      <c r="Q35" s="60"/>
    </row>
    <row r="36" spans="2:17" x14ac:dyDescent="0.2">
      <c r="B36" s="11">
        <f>MAX(B$14:B35)+1</f>
        <v>19</v>
      </c>
      <c r="C36" s="7"/>
      <c r="D36" s="38" t="s">
        <v>19</v>
      </c>
      <c r="E36" s="11"/>
      <c r="F36" s="12">
        <v>1241583.3718163632</v>
      </c>
      <c r="G36" s="12">
        <f t="shared" ref="G36:G44" si="8">F36-K36</f>
        <v>-161247.51691763196</v>
      </c>
      <c r="H36" s="46"/>
      <c r="I36" s="12">
        <v>1402251.1794453091</v>
      </c>
      <c r="J36" s="12">
        <v>579.70928868606586</v>
      </c>
      <c r="K36" s="12">
        <f t="shared" ref="K36:K44" si="9">I36+J36</f>
        <v>1402830.8887339951</v>
      </c>
      <c r="L36" s="46"/>
      <c r="M36" s="12">
        <v>-3192.1968939140252</v>
      </c>
      <c r="N36" s="12">
        <v>0</v>
      </c>
      <c r="O36" s="12">
        <f t="shared" ref="O36:O44" si="10">K36+M36+N36</f>
        <v>1399638.691840081</v>
      </c>
      <c r="P36" s="13">
        <f t="shared" ref="P36:P45" si="11">O36/K36</f>
        <v>0.99772446064629006</v>
      </c>
      <c r="Q36" s="49">
        <f t="shared" ref="Q36:Q45" si="12">O36/F36-1</f>
        <v>0.12730141496055336</v>
      </c>
    </row>
    <row r="37" spans="2:17" x14ac:dyDescent="0.2">
      <c r="B37" s="11">
        <f>MAX(B$14:B36)+1</f>
        <v>20</v>
      </c>
      <c r="C37" s="7"/>
      <c r="D37" s="38" t="s">
        <v>20</v>
      </c>
      <c r="E37" s="11"/>
      <c r="F37" s="12">
        <v>248033.82266233512</v>
      </c>
      <c r="G37" s="12">
        <f t="shared" si="8"/>
        <v>-34028.121822349261</v>
      </c>
      <c r="H37" s="46"/>
      <c r="I37" s="12">
        <v>282011.32598039822</v>
      </c>
      <c r="J37" s="12">
        <v>50.618504286180979</v>
      </c>
      <c r="K37" s="12">
        <f t="shared" si="9"/>
        <v>282061.94448468438</v>
      </c>
      <c r="L37" s="46"/>
      <c r="M37" s="12">
        <v>-1182.8021323960145</v>
      </c>
      <c r="N37" s="12">
        <v>0</v>
      </c>
      <c r="O37" s="12">
        <f t="shared" si="10"/>
        <v>280879.14235228836</v>
      </c>
      <c r="P37" s="13">
        <f t="shared" si="11"/>
        <v>0.99580658732762772</v>
      </c>
      <c r="Q37" s="49">
        <f t="shared" si="12"/>
        <v>0.13242274516192798</v>
      </c>
    </row>
    <row r="38" spans="2:17" x14ac:dyDescent="0.2">
      <c r="B38" s="11">
        <f>MAX(B$14:B37)+1</f>
        <v>21</v>
      </c>
      <c r="C38" s="7"/>
      <c r="D38" s="38" t="s">
        <v>21</v>
      </c>
      <c r="E38" s="11"/>
      <c r="F38" s="12">
        <v>49619.703277440618</v>
      </c>
      <c r="G38" s="12">
        <f t="shared" si="8"/>
        <v>-8493.546600770911</v>
      </c>
      <c r="H38" s="46"/>
      <c r="I38" s="12">
        <v>58162.921095795522</v>
      </c>
      <c r="J38" s="12">
        <v>-49.671217583996409</v>
      </c>
      <c r="K38" s="12">
        <f t="shared" si="9"/>
        <v>58113.249878211529</v>
      </c>
      <c r="L38" s="46"/>
      <c r="M38" s="12">
        <v>-421.03900325831546</v>
      </c>
      <c r="N38" s="12">
        <v>-7000</v>
      </c>
      <c r="O38" s="12">
        <f t="shared" si="10"/>
        <v>50692.210874953213</v>
      </c>
      <c r="P38" s="13">
        <f t="shared" si="11"/>
        <v>0.87230039588543651</v>
      </c>
      <c r="Q38" s="49">
        <f t="shared" si="12"/>
        <v>2.1614550806880795E-2</v>
      </c>
    </row>
    <row r="39" spans="2:17" x14ac:dyDescent="0.2">
      <c r="B39" s="11">
        <f>MAX(B$14:B38)+1</f>
        <v>22</v>
      </c>
      <c r="C39" s="7"/>
      <c r="D39" s="38" t="s">
        <v>22</v>
      </c>
      <c r="E39" s="11"/>
      <c r="F39" s="12">
        <v>3251.7913436387671</v>
      </c>
      <c r="G39" s="12">
        <f t="shared" si="8"/>
        <v>399.29075380292488</v>
      </c>
      <c r="H39" s="46"/>
      <c r="I39" s="12">
        <v>2852.3381641782858</v>
      </c>
      <c r="J39" s="12">
        <v>0.16242565755667893</v>
      </c>
      <c r="K39" s="12">
        <f t="shared" si="9"/>
        <v>2852.5005898358422</v>
      </c>
      <c r="L39" s="46"/>
      <c r="M39" s="12">
        <v>-3.6987150977151249</v>
      </c>
      <c r="N39" s="12">
        <v>0</v>
      </c>
      <c r="O39" s="12">
        <f t="shared" si="10"/>
        <v>2848.801874738127</v>
      </c>
      <c r="P39" s="13">
        <f t="shared" si="11"/>
        <v>0.99870334291572294</v>
      </c>
      <c r="Q39" s="49">
        <f t="shared" si="12"/>
        <v>-0.12392845244790318</v>
      </c>
    </row>
    <row r="40" spans="2:17" x14ac:dyDescent="0.2">
      <c r="B40" s="11">
        <f>MAX(B$14:B39)+1</f>
        <v>23</v>
      </c>
      <c r="C40" s="7"/>
      <c r="D40" s="38" t="s">
        <v>23</v>
      </c>
      <c r="E40" s="11"/>
      <c r="F40" s="12">
        <v>37789.273700985817</v>
      </c>
      <c r="G40" s="12">
        <f t="shared" si="8"/>
        <v>-22758.438332446945</v>
      </c>
      <c r="H40" s="46"/>
      <c r="I40" s="12">
        <v>60640.209611570972</v>
      </c>
      <c r="J40" s="12">
        <v>-92.497578138206592</v>
      </c>
      <c r="K40" s="12">
        <f t="shared" si="9"/>
        <v>60547.712033432763</v>
      </c>
      <c r="L40" s="46"/>
      <c r="M40" s="12">
        <v>-622.79090683401159</v>
      </c>
      <c r="N40" s="12">
        <v>-7000</v>
      </c>
      <c r="O40" s="12">
        <f t="shared" si="10"/>
        <v>52924.921126598754</v>
      </c>
      <c r="P40" s="13">
        <f t="shared" si="11"/>
        <v>0.87410274227001483</v>
      </c>
      <c r="Q40" s="49">
        <f t="shared" si="12"/>
        <v>0.40052760858481617</v>
      </c>
    </row>
    <row r="41" spans="2:17" x14ac:dyDescent="0.2">
      <c r="B41" s="11">
        <f>MAX(B$14:B40)+1</f>
        <v>24</v>
      </c>
      <c r="C41" s="7"/>
      <c r="D41" s="38" t="s">
        <v>24</v>
      </c>
      <c r="E41" s="11"/>
      <c r="F41" s="12">
        <v>5439.4231542770049</v>
      </c>
      <c r="G41" s="12">
        <f t="shared" si="8"/>
        <v>-1206.4778902668104</v>
      </c>
      <c r="H41" s="46"/>
      <c r="I41" s="12">
        <v>6648.7540778482871</v>
      </c>
      <c r="J41" s="12">
        <v>-2.8530333044719951</v>
      </c>
      <c r="K41" s="12">
        <f t="shared" si="9"/>
        <v>6645.9010445438153</v>
      </c>
      <c r="L41" s="46"/>
      <c r="M41" s="12">
        <v>-50.842697900793851</v>
      </c>
      <c r="N41" s="12">
        <v>0</v>
      </c>
      <c r="O41" s="12">
        <f t="shared" si="10"/>
        <v>6595.0583466430217</v>
      </c>
      <c r="P41" s="13">
        <f t="shared" si="11"/>
        <v>0.9923497660347298</v>
      </c>
      <c r="Q41" s="49">
        <f t="shared" si="12"/>
        <v>0.21245546808715243</v>
      </c>
    </row>
    <row r="42" spans="2:17" x14ac:dyDescent="0.2">
      <c r="B42" s="11">
        <f>MAX(B$14:B41)+1</f>
        <v>25</v>
      </c>
      <c r="D42" s="38" t="s">
        <v>25</v>
      </c>
      <c r="E42" s="11"/>
      <c r="F42" s="12">
        <v>14792.8150202165</v>
      </c>
      <c r="G42" s="12">
        <f t="shared" si="8"/>
        <v>1204.7758508700645</v>
      </c>
      <c r="H42" s="46"/>
      <c r="I42" s="12">
        <v>13706.290051094868</v>
      </c>
      <c r="J42" s="12">
        <v>-118.25088174843231</v>
      </c>
      <c r="K42" s="12">
        <f t="shared" si="9"/>
        <v>13588.039169346435</v>
      </c>
      <c r="L42" s="46"/>
      <c r="M42" s="12">
        <v>-136.52402878879931</v>
      </c>
      <c r="N42" s="12">
        <v>0</v>
      </c>
      <c r="O42" s="12">
        <f t="shared" si="10"/>
        <v>13451.515140557636</v>
      </c>
      <c r="P42" s="13">
        <f t="shared" si="11"/>
        <v>0.98995263208419459</v>
      </c>
      <c r="Q42" s="49">
        <f t="shared" si="12"/>
        <v>-9.0672389117675389E-2</v>
      </c>
    </row>
    <row r="43" spans="2:17" x14ac:dyDescent="0.2">
      <c r="B43" s="11">
        <f>MAX(B$14:B42)+1</f>
        <v>26</v>
      </c>
      <c r="D43" s="38" t="s">
        <v>26</v>
      </c>
      <c r="E43" s="11"/>
      <c r="F43" s="12">
        <v>83779.158841544267</v>
      </c>
      <c r="G43" s="12">
        <f t="shared" si="8"/>
        <v>-17416.011819312102</v>
      </c>
      <c r="H43" s="46"/>
      <c r="I43" s="12">
        <v>102688.78146772945</v>
      </c>
      <c r="J43" s="12">
        <v>-1493.6108068730834</v>
      </c>
      <c r="K43" s="12">
        <f t="shared" si="9"/>
        <v>101195.17066085637</v>
      </c>
      <c r="L43" s="46"/>
      <c r="M43" s="12">
        <v>-1724.4164422436195</v>
      </c>
      <c r="N43" s="12">
        <v>0</v>
      </c>
      <c r="O43" s="12">
        <f t="shared" si="10"/>
        <v>99470.754218612754</v>
      </c>
      <c r="P43" s="13">
        <f t="shared" si="11"/>
        <v>0.98295949865015997</v>
      </c>
      <c r="Q43" s="49">
        <f t="shared" si="12"/>
        <v>0.18729712250688491</v>
      </c>
    </row>
    <row r="44" spans="2:17" x14ac:dyDescent="0.2">
      <c r="B44" s="11">
        <f>MAX(B$14:B43)+1</f>
        <v>27</v>
      </c>
      <c r="D44" s="38" t="s">
        <v>27</v>
      </c>
      <c r="E44" s="11"/>
      <c r="F44" s="12">
        <v>8182.6378750708718</v>
      </c>
      <c r="G44" s="12">
        <f t="shared" si="8"/>
        <v>-2450.7180704042839</v>
      </c>
      <c r="H44" s="46"/>
      <c r="I44" s="12">
        <v>10781.489186748906</v>
      </c>
      <c r="J44" s="12">
        <v>-148.13324127375071</v>
      </c>
      <c r="K44" s="12">
        <f t="shared" si="9"/>
        <v>10633.355945475156</v>
      </c>
      <c r="L44" s="46"/>
      <c r="M44" s="12">
        <v>-171.02406846538213</v>
      </c>
      <c r="N44" s="12">
        <v>0</v>
      </c>
      <c r="O44" s="12">
        <f t="shared" si="10"/>
        <v>10462.331877009774</v>
      </c>
      <c r="P44" s="13">
        <f t="shared" si="11"/>
        <v>0.98391626600836601</v>
      </c>
      <c r="Q44" s="49">
        <f t="shared" si="12"/>
        <v>0.27860135530183872</v>
      </c>
    </row>
    <row r="45" spans="2:17" x14ac:dyDescent="0.2">
      <c r="B45" s="11">
        <f>MAX(B$14:B44)+1</f>
        <v>28</v>
      </c>
      <c r="C45" s="7"/>
      <c r="D45" s="7" t="s">
        <v>69</v>
      </c>
      <c r="F45" s="16">
        <f>SUM(F36:F44)</f>
        <v>1692471.9976918718</v>
      </c>
      <c r="G45" s="16">
        <f>SUM(G36:G44)</f>
        <v>-245996.76484850925</v>
      </c>
      <c r="H45" s="46"/>
      <c r="I45" s="16">
        <f>SUM(I36:I44)</f>
        <v>1939743.2890806736</v>
      </c>
      <c r="J45" s="16">
        <f>SUM(J36:J44)</f>
        <v>-1274.5265402921377</v>
      </c>
      <c r="K45" s="16">
        <f>SUM(K36:K44)</f>
        <v>1938468.7625403816</v>
      </c>
      <c r="L45" s="46"/>
      <c r="M45" s="16">
        <f>SUM(M36:M44)</f>
        <v>-7505.3348888986757</v>
      </c>
      <c r="N45" s="16">
        <f>SUM(N36:N44)</f>
        <v>-14000</v>
      </c>
      <c r="O45" s="16">
        <f>SUM(O36:O44)</f>
        <v>1916963.4276514829</v>
      </c>
      <c r="P45" s="51">
        <f t="shared" si="11"/>
        <v>0.98890601937752365</v>
      </c>
      <c r="Q45" s="23">
        <f t="shared" si="12"/>
        <v>0.13264114872551147</v>
      </c>
    </row>
    <row r="46" spans="2:17" x14ac:dyDescent="0.2">
      <c r="B46" s="8"/>
      <c r="C46" s="7"/>
      <c r="D46" s="11"/>
      <c r="F46" s="47"/>
      <c r="G46" s="47"/>
      <c r="H46" s="46"/>
      <c r="I46" s="47"/>
      <c r="J46" s="47"/>
      <c r="K46" s="47"/>
      <c r="L46" s="46"/>
      <c r="M46" s="12"/>
      <c r="N46" s="12"/>
      <c r="O46" s="47"/>
      <c r="P46" s="52"/>
      <c r="Q46" s="59"/>
    </row>
    <row r="47" spans="2:17" x14ac:dyDescent="0.2">
      <c r="B47" s="11">
        <f>MAX(B$14:B46)+1</f>
        <v>29</v>
      </c>
      <c r="C47" s="7"/>
      <c r="D47" s="29" t="s">
        <v>70</v>
      </c>
      <c r="F47" s="16">
        <f>F25+F33+F45</f>
        <v>5853924.5979762077</v>
      </c>
      <c r="G47" s="16">
        <f>G25+G33+G45</f>
        <v>-304447.88853650744</v>
      </c>
      <c r="H47" s="46"/>
      <c r="I47" s="16">
        <f>I25+I33+I45</f>
        <v>6158372.4865127159</v>
      </c>
      <c r="J47" s="16">
        <f>J25+J33+J45</f>
        <v>0</v>
      </c>
      <c r="K47" s="16">
        <f>K25+K33+K45</f>
        <v>6158372.486512715</v>
      </c>
      <c r="L47" s="46"/>
      <c r="M47" s="16">
        <f>M25+M33+M45</f>
        <v>-19975.198245910993</v>
      </c>
      <c r="N47" s="16">
        <f>N25+N33+N45</f>
        <v>0</v>
      </c>
      <c r="O47" s="16">
        <f>O25+O33+O45</f>
        <v>6138397.2882668041</v>
      </c>
      <c r="P47" s="51">
        <f>O47/K47</f>
        <v>0.99675641603529863</v>
      </c>
      <c r="Q47" s="23">
        <f>O47/F47-1</f>
        <v>4.8595209167699771E-2</v>
      </c>
    </row>
    <row r="48" spans="2:17" x14ac:dyDescent="0.2">
      <c r="B48" s="11"/>
      <c r="C48" s="7"/>
      <c r="D48" s="7"/>
      <c r="E48" s="11"/>
      <c r="F48" s="47"/>
      <c r="G48" s="47"/>
      <c r="H48" s="46"/>
      <c r="I48" s="47"/>
      <c r="J48" s="47"/>
      <c r="K48" s="47"/>
      <c r="L48" s="46"/>
      <c r="M48" s="46"/>
      <c r="N48" s="46"/>
      <c r="O48" s="47"/>
      <c r="P48" s="52"/>
      <c r="Q48" s="56"/>
    </row>
    <row r="49" spans="2:17" x14ac:dyDescent="0.2">
      <c r="B49" s="11"/>
      <c r="C49" s="7"/>
      <c r="D49" s="61" t="s">
        <v>31</v>
      </c>
      <c r="E49" s="11"/>
      <c r="F49" s="47"/>
      <c r="G49" s="47"/>
      <c r="H49" s="46"/>
      <c r="I49" s="47"/>
      <c r="J49" s="47"/>
      <c r="K49" s="47"/>
      <c r="L49" s="46"/>
      <c r="M49" s="46"/>
      <c r="N49" s="46"/>
      <c r="O49" s="47"/>
      <c r="P49" s="52"/>
      <c r="Q49" s="57"/>
    </row>
    <row r="50" spans="2:17" x14ac:dyDescent="0.2">
      <c r="B50" s="11">
        <f>MAX(B$14:B49)+1</f>
        <v>30</v>
      </c>
      <c r="C50" s="7"/>
      <c r="D50" s="4" t="s">
        <v>49</v>
      </c>
      <c r="F50" s="12">
        <v>169.00033449599999</v>
      </c>
      <c r="G50" s="12">
        <f t="shared" ref="G50:G57" si="13">F50-K50</f>
        <v>163.43981787363808</v>
      </c>
      <c r="H50" s="17"/>
      <c r="I50" s="12">
        <v>5.5605166223619262</v>
      </c>
      <c r="J50" s="12"/>
      <c r="K50" s="12">
        <f>I50</f>
        <v>5.5605166223619262</v>
      </c>
      <c r="L50" s="17"/>
      <c r="M50" s="12">
        <v>163.43981787363805</v>
      </c>
      <c r="N50" s="12"/>
      <c r="O50" s="12">
        <f t="shared" ref="O50:O57" si="14">K50+M50+N50</f>
        <v>169.00033449599997</v>
      </c>
      <c r="P50" s="13">
        <f t="shared" ref="P50:P51" si="15">O50/K50</f>
        <v>30.392919574479059</v>
      </c>
      <c r="Q50" s="49">
        <f t="shared" ref="Q50:Q52" si="16">O50/F50-1</f>
        <v>0</v>
      </c>
    </row>
    <row r="51" spans="2:17" x14ac:dyDescent="0.2">
      <c r="B51" s="11">
        <f>MAX(B$14:B50)+1</f>
        <v>31</v>
      </c>
      <c r="C51" s="7"/>
      <c r="D51" s="4" t="s">
        <v>50</v>
      </c>
      <c r="E51" s="11"/>
      <c r="F51" s="12">
        <v>19179.468000000001</v>
      </c>
      <c r="G51" s="12">
        <f t="shared" si="13"/>
        <v>-2577.2946254421186</v>
      </c>
      <c r="H51" s="46"/>
      <c r="I51" s="12">
        <v>21756.762625442119</v>
      </c>
      <c r="J51" s="47"/>
      <c r="K51" s="12">
        <f t="shared" ref="K51:K57" si="17">I51</f>
        <v>21756.762625442119</v>
      </c>
      <c r="L51" s="46"/>
      <c r="M51" s="12">
        <v>0</v>
      </c>
      <c r="N51" s="46"/>
      <c r="O51" s="12">
        <f t="shared" si="14"/>
        <v>21756.762625442119</v>
      </c>
      <c r="P51" s="13">
        <f t="shared" si="15"/>
        <v>1</v>
      </c>
      <c r="Q51" s="49">
        <f t="shared" si="16"/>
        <v>0.13437779532999139</v>
      </c>
    </row>
    <row r="52" spans="2:17" x14ac:dyDescent="0.2">
      <c r="B52" s="11">
        <f>MAX(B$14:B51)+1</f>
        <v>32</v>
      </c>
      <c r="C52" s="7"/>
      <c r="D52" s="4" t="s">
        <v>41</v>
      </c>
      <c r="F52" s="12">
        <v>3560.977942268019</v>
      </c>
      <c r="G52" s="12">
        <f t="shared" si="13"/>
        <v>3560.977942268019</v>
      </c>
      <c r="I52" s="12">
        <v>0</v>
      </c>
      <c r="K52" s="12">
        <f t="shared" si="17"/>
        <v>0</v>
      </c>
      <c r="M52" s="12">
        <v>3560.977942268019</v>
      </c>
      <c r="O52" s="12">
        <f t="shared" si="14"/>
        <v>3560.977942268019</v>
      </c>
      <c r="P52" s="13" t="str">
        <f>IFERROR(O52/K52,"-")</f>
        <v>-</v>
      </c>
      <c r="Q52" s="49">
        <f t="shared" si="16"/>
        <v>0</v>
      </c>
    </row>
    <row r="53" spans="2:17" x14ac:dyDescent="0.2">
      <c r="B53" s="11">
        <f>MAX(B$14:B52)+1</f>
        <v>33</v>
      </c>
      <c r="C53" s="7"/>
      <c r="D53" s="38" t="s">
        <v>59</v>
      </c>
      <c r="E53" s="11"/>
      <c r="F53" s="12">
        <v>123641.88959884401</v>
      </c>
      <c r="G53" s="12">
        <f t="shared" si="13"/>
        <v>-3416.6976518028823</v>
      </c>
      <c r="H53" s="46"/>
      <c r="I53" s="12">
        <v>127058.58725064689</v>
      </c>
      <c r="J53" s="12"/>
      <c r="K53" s="12">
        <f t="shared" si="17"/>
        <v>127058.58725064689</v>
      </c>
      <c r="L53" s="46"/>
      <c r="M53" s="12">
        <v>10.530602334576542</v>
      </c>
      <c r="N53" s="12"/>
      <c r="O53" s="12">
        <f t="shared" si="14"/>
        <v>127069.11785298146</v>
      </c>
      <c r="P53" s="13">
        <f t="shared" ref="P53:P58" si="18">O53/K53</f>
        <v>1.0000828798947197</v>
      </c>
      <c r="Q53" s="49">
        <f t="shared" ref="Q53:Q58" si="19">O53/F53-1</f>
        <v>2.7718989617977252E-2</v>
      </c>
    </row>
    <row r="54" spans="2:17" x14ac:dyDescent="0.2">
      <c r="B54" s="11">
        <f>MAX(B$14:B53)+1</f>
        <v>34</v>
      </c>
      <c r="C54" s="7"/>
      <c r="D54" s="38" t="s">
        <v>34</v>
      </c>
      <c r="E54" s="3"/>
      <c r="F54" s="12">
        <v>17410.917282836475</v>
      </c>
      <c r="G54" s="12">
        <f t="shared" si="13"/>
        <v>12831.898676370216</v>
      </c>
      <c r="H54" s="46"/>
      <c r="I54" s="12">
        <v>4579.0186064662594</v>
      </c>
      <c r="J54" s="12"/>
      <c r="K54" s="12">
        <f t="shared" si="17"/>
        <v>4579.0186064662594</v>
      </c>
      <c r="L54" s="46"/>
      <c r="M54" s="12">
        <v>13118.983652927927</v>
      </c>
      <c r="N54" s="12"/>
      <c r="O54" s="12">
        <f t="shared" si="14"/>
        <v>17698.002259394187</v>
      </c>
      <c r="P54" s="13">
        <f t="shared" si="18"/>
        <v>3.8650208222351314</v>
      </c>
      <c r="Q54" s="49">
        <f t="shared" si="19"/>
        <v>1.648879102083356E-2</v>
      </c>
    </row>
    <row r="55" spans="2:17" x14ac:dyDescent="0.2">
      <c r="B55" s="11">
        <f>MAX(B$14:B54)+1</f>
        <v>35</v>
      </c>
      <c r="C55" s="7"/>
      <c r="D55" s="38" t="s">
        <v>58</v>
      </c>
      <c r="E55" s="11"/>
      <c r="F55" s="12">
        <v>424.03364183333332</v>
      </c>
      <c r="G55" s="12">
        <f t="shared" si="13"/>
        <v>298.90336342714397</v>
      </c>
      <c r="H55" s="46"/>
      <c r="I55" s="12">
        <v>125.13027840618936</v>
      </c>
      <c r="J55" s="12"/>
      <c r="K55" s="12">
        <f t="shared" si="17"/>
        <v>125.13027840618936</v>
      </c>
      <c r="L55" s="46"/>
      <c r="M55" s="12">
        <v>766.80741750283789</v>
      </c>
      <c r="N55" s="12"/>
      <c r="O55" s="12">
        <f t="shared" si="14"/>
        <v>891.9376959090273</v>
      </c>
      <c r="P55" s="13">
        <f t="shared" si="18"/>
        <v>7.1280724958804944</v>
      </c>
      <c r="Q55" s="49">
        <f t="shared" si="19"/>
        <v>1.1034597444973575</v>
      </c>
    </row>
    <row r="56" spans="2:17" x14ac:dyDescent="0.2">
      <c r="B56" s="11">
        <f>MAX(B$14:B55)+1</f>
        <v>36</v>
      </c>
      <c r="C56" s="7"/>
      <c r="D56" s="38" t="s">
        <v>32</v>
      </c>
      <c r="E56" s="11"/>
      <c r="F56" s="12">
        <v>638.42606352170299</v>
      </c>
      <c r="G56" s="12">
        <f t="shared" si="13"/>
        <v>183.73086340023195</v>
      </c>
      <c r="H56" s="46"/>
      <c r="I56" s="12">
        <v>454.69520012147103</v>
      </c>
      <c r="J56" s="12"/>
      <c r="K56" s="12">
        <f t="shared" si="17"/>
        <v>454.69520012147103</v>
      </c>
      <c r="L56" s="46"/>
      <c r="M56" s="12">
        <v>422.20492930788572</v>
      </c>
      <c r="N56" s="12"/>
      <c r="O56" s="12">
        <f t="shared" si="14"/>
        <v>876.90012942935675</v>
      </c>
      <c r="P56" s="13">
        <f t="shared" si="18"/>
        <v>1.9285449443827303</v>
      </c>
      <c r="Q56" s="49">
        <f t="shared" si="19"/>
        <v>0.37353435195326568</v>
      </c>
    </row>
    <row r="57" spans="2:17" x14ac:dyDescent="0.2">
      <c r="B57" s="11">
        <f>MAX(B$14:B56)+1</f>
        <v>37</v>
      </c>
      <c r="D57" s="38" t="s">
        <v>33</v>
      </c>
      <c r="E57" s="3"/>
      <c r="F57" s="12">
        <v>570.28478551477667</v>
      </c>
      <c r="G57" s="12">
        <f t="shared" si="13"/>
        <v>17.026620745688092</v>
      </c>
      <c r="H57" s="46"/>
      <c r="I57" s="12">
        <v>553.25816476908858</v>
      </c>
      <c r="J57" s="12"/>
      <c r="K57" s="12">
        <f t="shared" si="17"/>
        <v>553.25816476908858</v>
      </c>
      <c r="L57" s="46"/>
      <c r="M57" s="12">
        <v>25.168242418740874</v>
      </c>
      <c r="N57" s="12"/>
      <c r="O57" s="12">
        <f t="shared" si="14"/>
        <v>578.42640718782945</v>
      </c>
      <c r="P57" s="13">
        <f t="shared" si="18"/>
        <v>1.045490955256386</v>
      </c>
      <c r="Q57" s="49">
        <f t="shared" si="19"/>
        <v>1.427641395991941E-2</v>
      </c>
    </row>
    <row r="58" spans="2:17" x14ac:dyDescent="0.2">
      <c r="B58" s="11">
        <f>MAX(B$14:B57)+1</f>
        <v>38</v>
      </c>
      <c r="D58" s="7" t="s">
        <v>35</v>
      </c>
      <c r="F58" s="16">
        <f>SUM(F50:F57)</f>
        <v>165594.99764931435</v>
      </c>
      <c r="G58" s="16">
        <f>SUM(G50:G57)</f>
        <v>11061.985006839936</v>
      </c>
      <c r="H58" s="46"/>
      <c r="I58" s="16">
        <f>SUM(I50:I57)</f>
        <v>154533.01264247441</v>
      </c>
      <c r="J58" s="62">
        <f>SUM(J50:J57)</f>
        <v>0</v>
      </c>
      <c r="K58" s="16">
        <f>SUM(K50:K57)</f>
        <v>154533.01264247441</v>
      </c>
      <c r="L58" s="46"/>
      <c r="M58" s="16">
        <f>SUM(M50:M57)</f>
        <v>18068.112604633625</v>
      </c>
      <c r="N58" s="62">
        <f>SUM(N50:N57)</f>
        <v>0</v>
      </c>
      <c r="O58" s="16">
        <f>SUM(O50:O57)</f>
        <v>172601.12524710799</v>
      </c>
      <c r="P58" s="51">
        <f t="shared" si="18"/>
        <v>1.116920729724177</v>
      </c>
      <c r="Q58" s="23">
        <f t="shared" si="19"/>
        <v>4.2308811843644767E-2</v>
      </c>
    </row>
    <row r="59" spans="2:17" x14ac:dyDescent="0.2">
      <c r="B59" s="11"/>
      <c r="C59" s="7"/>
      <c r="G59" s="48"/>
      <c r="M59" s="48"/>
      <c r="Q59" s="58"/>
    </row>
    <row r="60" spans="2:17" x14ac:dyDescent="0.2">
      <c r="B60" s="11">
        <f>MAX(B$14:B59)+1</f>
        <v>39</v>
      </c>
      <c r="C60" s="7"/>
      <c r="D60" s="19" t="s">
        <v>55</v>
      </c>
      <c r="F60" s="12">
        <v>1196.9395495536583</v>
      </c>
      <c r="G60" s="12">
        <f t="shared" ref="G60" si="20">F60-K60</f>
        <v>1196.9395495536583</v>
      </c>
      <c r="H60" s="17"/>
      <c r="I60" s="12">
        <v>0</v>
      </c>
      <c r="J60" s="12"/>
      <c r="K60" s="12">
        <f>I60</f>
        <v>0</v>
      </c>
      <c r="L60" s="17"/>
      <c r="M60" s="12">
        <v>1907.0856412773765</v>
      </c>
      <c r="N60" s="12"/>
      <c r="O60" s="12">
        <f t="shared" ref="O60" si="21">K60+M60+N60</f>
        <v>1907.0856412773765</v>
      </c>
      <c r="P60" s="17"/>
      <c r="Q60" s="60"/>
    </row>
    <row r="61" spans="2:17" x14ac:dyDescent="0.2">
      <c r="Q61" s="58"/>
    </row>
    <row r="62" spans="2:17" ht="13.5" thickBot="1" x14ac:dyDescent="0.25">
      <c r="B62" s="11">
        <f>MAX(B$14:B60)+1</f>
        <v>40</v>
      </c>
      <c r="C62" s="7"/>
      <c r="D62" s="29" t="s">
        <v>36</v>
      </c>
      <c r="F62" s="21">
        <f>ROUND(F47+F58+F60,0)</f>
        <v>6020717</v>
      </c>
      <c r="G62" s="21">
        <f>ROUND(G47+G58+G60,0)</f>
        <v>-292189</v>
      </c>
      <c r="H62" s="46"/>
      <c r="I62" s="21">
        <f>ROUND(I47+I58+I60,0)</f>
        <v>6312905</v>
      </c>
      <c r="J62" s="21">
        <f>ROUND(J47+J58+J60,0)</f>
        <v>0</v>
      </c>
      <c r="K62" s="21">
        <f>ROUND(K47+K58+K60,0)</f>
        <v>6312905</v>
      </c>
      <c r="L62" s="46"/>
      <c r="M62" s="21">
        <f>ROUND(M47+M58+M60,0)</f>
        <v>0</v>
      </c>
      <c r="N62" s="21">
        <f>ROUND(N47+N58+N60,0)</f>
        <v>0</v>
      </c>
      <c r="O62" s="21">
        <f>ROUND(O47+O58+O60,0)</f>
        <v>6312905</v>
      </c>
      <c r="P62" s="53">
        <f>O62/K62</f>
        <v>1</v>
      </c>
      <c r="Q62" s="24">
        <f>O62/F62-1</f>
        <v>4.8530432504965804E-2</v>
      </c>
    </row>
    <row r="63" spans="2:17" ht="13.5" thickTop="1" x14ac:dyDescent="0.2">
      <c r="B63" s="11"/>
      <c r="C63" s="7"/>
      <c r="D63" s="29"/>
      <c r="F63" s="54"/>
      <c r="G63" s="54"/>
      <c r="H63" s="46"/>
      <c r="I63" s="54"/>
      <c r="J63" s="54"/>
      <c r="K63" s="54"/>
      <c r="L63" s="46"/>
      <c r="M63" s="54"/>
      <c r="N63" s="54"/>
      <c r="O63" s="54"/>
      <c r="P63" s="31"/>
      <c r="Q63" s="22"/>
    </row>
    <row r="64" spans="2:17" x14ac:dyDescent="0.2">
      <c r="B64" s="11"/>
      <c r="C64" s="7"/>
      <c r="D64" s="29"/>
      <c r="F64" s="54"/>
      <c r="G64" s="54"/>
      <c r="H64" s="46"/>
      <c r="I64" s="54"/>
      <c r="J64" s="54"/>
      <c r="K64" s="54"/>
      <c r="L64" s="46"/>
      <c r="M64" s="54"/>
      <c r="N64" s="54"/>
      <c r="O64" s="54"/>
      <c r="P64" s="31"/>
      <c r="Q64" s="22"/>
    </row>
    <row r="65" spans="2:17" x14ac:dyDescent="0.2">
      <c r="B65" s="26"/>
      <c r="D65" s="8"/>
      <c r="E65" s="17"/>
    </row>
    <row r="66" spans="2:17" x14ac:dyDescent="0.2">
      <c r="B66" s="26"/>
      <c r="D66" s="8"/>
    </row>
    <row r="67" spans="2:17" x14ac:dyDescent="0.2">
      <c r="B67" s="25" t="str">
        <f>+$B$5</f>
        <v>Summary of Proposed Revenue Change by Rate Class</v>
      </c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</row>
    <row r="68" spans="2:17" x14ac:dyDescent="0.2">
      <c r="B68" s="39" t="s">
        <v>63</v>
      </c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8"/>
      <c r="Q68" s="28"/>
    </row>
    <row r="69" spans="2:17" x14ac:dyDescent="0.2"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8"/>
      <c r="Q69" s="28"/>
    </row>
    <row r="70" spans="2:17" x14ac:dyDescent="0.2">
      <c r="B70" s="29"/>
      <c r="C70" s="29"/>
      <c r="D70" s="29"/>
      <c r="E70" s="29"/>
      <c r="F70" s="70" t="str">
        <f>+$F$8</f>
        <v>Revenue Before Recovery</v>
      </c>
      <c r="G70" s="70"/>
      <c r="H70" s="29"/>
      <c r="I70" s="70" t="str">
        <f>+$I$8</f>
        <v>Proposed Revenue Requirement</v>
      </c>
      <c r="J70" s="70"/>
      <c r="K70" s="70"/>
      <c r="L70" s="29"/>
      <c r="M70" s="70" t="str">
        <f>+$M$8</f>
        <v>Revenue After Recovery</v>
      </c>
      <c r="N70" s="70"/>
      <c r="O70" s="70"/>
      <c r="P70" s="70"/>
      <c r="Q70" s="70"/>
    </row>
    <row r="71" spans="2:17" s="9" customFormat="1" ht="38.25" x14ac:dyDescent="0.2">
      <c r="B71" s="18" t="s">
        <v>0</v>
      </c>
      <c r="C71" s="18"/>
      <c r="D71" s="18"/>
      <c r="E71" s="18"/>
      <c r="F71" s="9" t="s">
        <v>76</v>
      </c>
      <c r="G71" s="9" t="s">
        <v>29</v>
      </c>
      <c r="H71" s="18"/>
      <c r="I71" s="18" t="s">
        <v>77</v>
      </c>
      <c r="J71" s="18" t="s">
        <v>78</v>
      </c>
      <c r="K71" s="18" t="s">
        <v>44</v>
      </c>
      <c r="L71" s="18"/>
      <c r="M71" s="9" t="s">
        <v>79</v>
      </c>
      <c r="N71" s="9" t="s">
        <v>73</v>
      </c>
      <c r="O71" s="9" t="s">
        <v>74</v>
      </c>
      <c r="P71" s="18" t="s">
        <v>72</v>
      </c>
      <c r="Q71" s="18" t="s">
        <v>40</v>
      </c>
    </row>
    <row r="72" spans="2:17" x14ac:dyDescent="0.2">
      <c r="B72" s="69" t="s">
        <v>1</v>
      </c>
      <c r="C72" s="7"/>
      <c r="D72" s="34" t="s">
        <v>28</v>
      </c>
      <c r="E72" s="11"/>
      <c r="F72" s="69" t="s">
        <v>52</v>
      </c>
      <c r="G72" s="69" t="s">
        <v>52</v>
      </c>
      <c r="H72" s="11"/>
      <c r="I72" s="69" t="s">
        <v>52</v>
      </c>
      <c r="J72" s="69" t="s">
        <v>52</v>
      </c>
      <c r="K72" s="69" t="s">
        <v>52</v>
      </c>
      <c r="L72" s="11"/>
      <c r="M72" s="69" t="s">
        <v>52</v>
      </c>
      <c r="N72" s="69" t="s">
        <v>52</v>
      </c>
      <c r="O72" s="69" t="s">
        <v>52</v>
      </c>
      <c r="P72" s="69" t="s">
        <v>71</v>
      </c>
      <c r="Q72" s="69" t="s">
        <v>2</v>
      </c>
    </row>
    <row r="73" spans="2:17" x14ac:dyDescent="0.2">
      <c r="B73" s="11"/>
      <c r="C73" s="7"/>
      <c r="D73" s="7"/>
      <c r="E73" s="11"/>
      <c r="F73" s="11" t="s">
        <v>3</v>
      </c>
      <c r="G73" s="11" t="s">
        <v>57</v>
      </c>
      <c r="H73" s="11"/>
      <c r="I73" s="11" t="s">
        <v>38</v>
      </c>
      <c r="J73" s="11" t="s">
        <v>42</v>
      </c>
      <c r="K73" s="11" t="s">
        <v>45</v>
      </c>
      <c r="L73" s="11"/>
      <c r="M73" s="11" t="s">
        <v>43</v>
      </c>
      <c r="N73" s="11" t="s">
        <v>30</v>
      </c>
      <c r="O73" s="11" t="s">
        <v>46</v>
      </c>
      <c r="P73" s="32" t="s">
        <v>47</v>
      </c>
      <c r="Q73" s="32" t="s">
        <v>48</v>
      </c>
    </row>
    <row r="74" spans="2:17" x14ac:dyDescent="0.2">
      <c r="B74" s="11"/>
      <c r="C74" s="7"/>
      <c r="D74" s="7"/>
      <c r="E74" s="11"/>
      <c r="F74" s="35"/>
      <c r="G74" s="35"/>
      <c r="H74" s="11"/>
      <c r="I74" s="11"/>
      <c r="J74" s="11"/>
      <c r="K74" s="11"/>
      <c r="L74" s="11"/>
      <c r="M74" s="11"/>
      <c r="N74" s="11"/>
      <c r="O74" s="11"/>
      <c r="P74" s="11"/>
      <c r="Q74" s="11"/>
    </row>
    <row r="75" spans="2:17" x14ac:dyDescent="0.2">
      <c r="B75" s="11"/>
      <c r="C75" s="7"/>
      <c r="D75" s="6" t="s">
        <v>53</v>
      </c>
      <c r="E75" s="11"/>
      <c r="F75" s="55"/>
      <c r="G75" s="14"/>
      <c r="H75" s="50"/>
      <c r="I75" s="15"/>
      <c r="J75" s="15"/>
      <c r="K75" s="15"/>
      <c r="L75" s="50"/>
      <c r="M75" s="50"/>
      <c r="N75" s="50"/>
      <c r="O75" s="50"/>
      <c r="P75" s="50"/>
      <c r="Q75" s="50"/>
    </row>
    <row r="76" spans="2:17" x14ac:dyDescent="0.2">
      <c r="B76" s="11">
        <v>1</v>
      </c>
      <c r="C76" s="7"/>
      <c r="D76" s="4" t="s">
        <v>4</v>
      </c>
      <c r="E76" s="11"/>
      <c r="F76" s="12">
        <v>1033104.6095683011</v>
      </c>
      <c r="G76" s="12">
        <f t="shared" ref="G76:G86" si="22">F76-K76</f>
        <v>-140502.24861764628</v>
      </c>
      <c r="H76" s="45"/>
      <c r="I76" s="12">
        <v>1172732.713115803</v>
      </c>
      <c r="J76" s="12">
        <v>874.14507014442506</v>
      </c>
      <c r="K76" s="12">
        <f t="shared" ref="K76:K86" si="23">I76+J76</f>
        <v>1173606.8581859474</v>
      </c>
      <c r="L76" s="45"/>
      <c r="M76" s="12">
        <v>-5419.552269792227</v>
      </c>
      <c r="N76" s="12">
        <v>0</v>
      </c>
      <c r="O76" s="12">
        <f t="shared" ref="O76:O86" si="24">K76+M76+N76</f>
        <v>1168187.3059161552</v>
      </c>
      <c r="P76" s="13">
        <f t="shared" ref="P76:P85" si="25">O76/K76</f>
        <v>0.99538213991168289</v>
      </c>
      <c r="Q76" s="49">
        <f t="shared" ref="Q76:Q85" si="26">O76/F76-1</f>
        <v>0.13075413186308449</v>
      </c>
    </row>
    <row r="77" spans="2:17" x14ac:dyDescent="0.2">
      <c r="B77" s="11">
        <f>MAX(B$76:B76)+1</f>
        <v>2</v>
      </c>
      <c r="C77" s="7"/>
      <c r="D77" s="4" t="s">
        <v>5</v>
      </c>
      <c r="E77" s="11"/>
      <c r="F77" s="12">
        <v>447767.49283132132</v>
      </c>
      <c r="G77" s="12">
        <f t="shared" si="22"/>
        <v>-27362.00503158581</v>
      </c>
      <c r="H77" s="45"/>
      <c r="I77" s="12">
        <v>474865.60054212739</v>
      </c>
      <c r="J77" s="12">
        <v>263.89732077972872</v>
      </c>
      <c r="K77" s="12">
        <f t="shared" si="23"/>
        <v>475129.49786290713</v>
      </c>
      <c r="L77" s="45"/>
      <c r="M77" s="12">
        <v>-4836.3684026736264</v>
      </c>
      <c r="N77" s="12">
        <v>0</v>
      </c>
      <c r="O77" s="12">
        <f t="shared" si="24"/>
        <v>470293.1294602335</v>
      </c>
      <c r="P77" s="13">
        <f t="shared" si="25"/>
        <v>0.98982094686937516</v>
      </c>
      <c r="Q77" s="49">
        <f t="shared" si="26"/>
        <v>5.0306547459437523E-2</v>
      </c>
    </row>
    <row r="78" spans="2:17" x14ac:dyDescent="0.2">
      <c r="B78" s="11">
        <f>MAX(B$76:B77)+1</f>
        <v>3</v>
      </c>
      <c r="C78" s="7"/>
      <c r="D78" s="4" t="s">
        <v>6</v>
      </c>
      <c r="E78" s="11"/>
      <c r="F78" s="12">
        <v>2060.3986803822677</v>
      </c>
      <c r="G78" s="12">
        <f t="shared" si="22"/>
        <v>399.08048190109639</v>
      </c>
      <c r="H78" s="45"/>
      <c r="I78" s="12">
        <v>1658.8278495336542</v>
      </c>
      <c r="J78" s="12">
        <v>2.4903489475169773</v>
      </c>
      <c r="K78" s="12">
        <f t="shared" si="23"/>
        <v>1661.3181984811713</v>
      </c>
      <c r="L78" s="45"/>
      <c r="M78" s="12">
        <v>-17.058577749112064</v>
      </c>
      <c r="N78" s="12">
        <v>400</v>
      </c>
      <c r="O78" s="12">
        <f t="shared" si="24"/>
        <v>2044.2596207320591</v>
      </c>
      <c r="P78" s="13">
        <f t="shared" si="25"/>
        <v>1.2305045611376464</v>
      </c>
      <c r="Q78" s="49">
        <f t="shared" si="26"/>
        <v>-7.8329790267649413E-3</v>
      </c>
    </row>
    <row r="79" spans="2:17" x14ac:dyDescent="0.2">
      <c r="B79" s="11">
        <f>MAX(B$76:B78)+1</f>
        <v>4</v>
      </c>
      <c r="C79" s="7"/>
      <c r="D79" s="4" t="s">
        <v>7</v>
      </c>
      <c r="E79" s="11"/>
      <c r="F79" s="12">
        <v>36742.485782243326</v>
      </c>
      <c r="G79" s="12">
        <f t="shared" si="22"/>
        <v>-1901.5971625862439</v>
      </c>
      <c r="H79" s="45"/>
      <c r="I79" s="12">
        <v>38700.817400715765</v>
      </c>
      <c r="J79" s="12">
        <v>-56.734455886194787</v>
      </c>
      <c r="K79" s="12">
        <f t="shared" si="23"/>
        <v>38644.08294482957</v>
      </c>
      <c r="L79" s="45"/>
      <c r="M79" s="12">
        <v>-554.94051129123295</v>
      </c>
      <c r="N79" s="12">
        <v>0</v>
      </c>
      <c r="O79" s="12">
        <f t="shared" si="24"/>
        <v>38089.142433538334</v>
      </c>
      <c r="P79" s="13">
        <f t="shared" si="25"/>
        <v>0.9856397029246754</v>
      </c>
      <c r="Q79" s="49">
        <f t="shared" si="26"/>
        <v>3.6651212421392909E-2</v>
      </c>
    </row>
    <row r="80" spans="2:17" x14ac:dyDescent="0.2">
      <c r="B80" s="11">
        <f>MAX(B$76:B79)+1</f>
        <v>5</v>
      </c>
      <c r="C80" s="7"/>
      <c r="D80" s="4" t="s">
        <v>8</v>
      </c>
      <c r="E80" s="11"/>
      <c r="F80" s="12">
        <v>6949.5231766242996</v>
      </c>
      <c r="G80" s="12">
        <f t="shared" si="22"/>
        <v>1491.1476067060512</v>
      </c>
      <c r="H80" s="45"/>
      <c r="I80" s="12">
        <v>5477.5266628018544</v>
      </c>
      <c r="J80" s="12">
        <v>-19.151092883606232</v>
      </c>
      <c r="K80" s="12">
        <f t="shared" si="23"/>
        <v>5458.3755699182484</v>
      </c>
      <c r="L80" s="45"/>
      <c r="M80" s="12">
        <v>-116.62603182571387</v>
      </c>
      <c r="N80" s="12">
        <v>0</v>
      </c>
      <c r="O80" s="12">
        <f t="shared" si="24"/>
        <v>5341.7495380925347</v>
      </c>
      <c r="P80" s="13">
        <f t="shared" si="25"/>
        <v>0.97863356408297486</v>
      </c>
      <c r="Q80" s="49">
        <f t="shared" si="26"/>
        <v>-0.23135020888047941</v>
      </c>
    </row>
    <row r="81" spans="2:17" x14ac:dyDescent="0.2">
      <c r="B81" s="11">
        <f>MAX(B$76:B80)+1</f>
        <v>6</v>
      </c>
      <c r="C81" s="7"/>
      <c r="D81" s="4" t="s">
        <v>9</v>
      </c>
      <c r="E81" s="11"/>
      <c r="F81" s="12">
        <v>12486.257021417412</v>
      </c>
      <c r="G81" s="12">
        <f t="shared" si="22"/>
        <v>1195.9750391954822</v>
      </c>
      <c r="H81" s="45"/>
      <c r="I81" s="12">
        <v>11290.28198222193</v>
      </c>
      <c r="J81" s="12">
        <v>0</v>
      </c>
      <c r="K81" s="12">
        <f t="shared" si="23"/>
        <v>11290.28198222193</v>
      </c>
      <c r="L81" s="45"/>
      <c r="M81" s="12">
        <v>0</v>
      </c>
      <c r="N81" s="12">
        <v>0</v>
      </c>
      <c r="O81" s="12">
        <f t="shared" si="24"/>
        <v>11290.28198222193</v>
      </c>
      <c r="P81" s="13">
        <f t="shared" si="25"/>
        <v>1</v>
      </c>
      <c r="Q81" s="49">
        <f t="shared" si="26"/>
        <v>-9.5783310974942415E-2</v>
      </c>
    </row>
    <row r="82" spans="2:17" x14ac:dyDescent="0.2">
      <c r="B82" s="11">
        <f>MAX(B$76:B81)+1</f>
        <v>7</v>
      </c>
      <c r="C82" s="7"/>
      <c r="D82" s="4" t="s">
        <v>10</v>
      </c>
      <c r="E82" s="11"/>
      <c r="F82" s="12">
        <v>1460.7829050903183</v>
      </c>
      <c r="G82" s="12">
        <f t="shared" si="22"/>
        <v>-1007.1338867567342</v>
      </c>
      <c r="H82" s="45"/>
      <c r="I82" s="12">
        <v>2466.6433665291956</v>
      </c>
      <c r="J82" s="12">
        <v>1.2734253178569273</v>
      </c>
      <c r="K82" s="12">
        <f t="shared" si="23"/>
        <v>2467.9167918470525</v>
      </c>
      <c r="L82" s="45"/>
      <c r="M82" s="12">
        <v>-1.9336872857326126</v>
      </c>
      <c r="N82" s="12">
        <v>-900</v>
      </c>
      <c r="O82" s="12">
        <f t="shared" si="24"/>
        <v>1565.98310456132</v>
      </c>
      <c r="P82" s="13">
        <f t="shared" si="25"/>
        <v>0.63453642753866835</v>
      </c>
      <c r="Q82" s="49">
        <f t="shared" si="26"/>
        <v>7.2016313378542307E-2</v>
      </c>
    </row>
    <row r="83" spans="2:17" x14ac:dyDescent="0.2">
      <c r="B83" s="11">
        <f>MAX(B$76:B82)+1</f>
        <v>8</v>
      </c>
      <c r="C83" s="7"/>
      <c r="D83" s="4" t="s">
        <v>11</v>
      </c>
      <c r="E83" s="11"/>
      <c r="F83" s="12">
        <v>1607.6087913876304</v>
      </c>
      <c r="G83" s="12">
        <f t="shared" si="22"/>
        <v>885.07099096833542</v>
      </c>
      <c r="H83" s="45"/>
      <c r="I83" s="12">
        <v>722.32868400607629</v>
      </c>
      <c r="J83" s="12">
        <v>0.20911641321866078</v>
      </c>
      <c r="K83" s="12">
        <f t="shared" si="23"/>
        <v>722.53780041929497</v>
      </c>
      <c r="L83" s="45"/>
      <c r="M83" s="12">
        <v>0</v>
      </c>
      <c r="N83" s="12">
        <v>0</v>
      </c>
      <c r="O83" s="12">
        <f t="shared" si="24"/>
        <v>722.53780041929497</v>
      </c>
      <c r="P83" s="13">
        <f t="shared" si="25"/>
        <v>1</v>
      </c>
      <c r="Q83" s="49">
        <f t="shared" si="26"/>
        <v>-0.55055122596360884</v>
      </c>
    </row>
    <row r="84" spans="2:17" x14ac:dyDescent="0.2">
      <c r="B84" s="11">
        <f>MAX(B$76:B83)+1</f>
        <v>9</v>
      </c>
      <c r="C84" s="7"/>
      <c r="D84" s="4" t="s">
        <v>12</v>
      </c>
      <c r="E84" s="11"/>
      <c r="F84" s="12">
        <v>3220.0407281076373</v>
      </c>
      <c r="G84" s="12">
        <f t="shared" si="22"/>
        <v>2094.896985746544</v>
      </c>
      <c r="H84" s="45"/>
      <c r="I84" s="12">
        <v>1123.189666831842</v>
      </c>
      <c r="J84" s="12">
        <v>1.9540755292513141</v>
      </c>
      <c r="K84" s="12">
        <f t="shared" si="23"/>
        <v>1125.1437423610932</v>
      </c>
      <c r="L84" s="45"/>
      <c r="M84" s="12">
        <v>0</v>
      </c>
      <c r="N84" s="12">
        <v>0</v>
      </c>
      <c r="O84" s="12">
        <f t="shared" si="24"/>
        <v>1125.1437423610932</v>
      </c>
      <c r="P84" s="13">
        <f t="shared" si="25"/>
        <v>1</v>
      </c>
      <c r="Q84" s="49">
        <f t="shared" si="26"/>
        <v>-0.65058089714836598</v>
      </c>
    </row>
    <row r="85" spans="2:17" x14ac:dyDescent="0.2">
      <c r="B85" s="11">
        <f>MAX(B$76:B84)+1</f>
        <v>10</v>
      </c>
      <c r="C85" s="7"/>
      <c r="D85" s="4" t="s">
        <v>13</v>
      </c>
      <c r="E85" s="11"/>
      <c r="F85" s="12">
        <v>5186.9779126087069</v>
      </c>
      <c r="G85" s="12">
        <f t="shared" si="22"/>
        <v>408.89141600793209</v>
      </c>
      <c r="H85" s="45"/>
      <c r="I85" s="12">
        <v>4748.7309833852423</v>
      </c>
      <c r="J85" s="12">
        <v>29.355513215532643</v>
      </c>
      <c r="K85" s="12">
        <f t="shared" si="23"/>
        <v>4778.0864966007748</v>
      </c>
      <c r="L85" s="45"/>
      <c r="M85" s="12">
        <v>-128.67195970907724</v>
      </c>
      <c r="N85" s="12">
        <v>0</v>
      </c>
      <c r="O85" s="12">
        <f t="shared" si="24"/>
        <v>4649.4145368916979</v>
      </c>
      <c r="P85" s="13">
        <f t="shared" si="25"/>
        <v>0.97307039966718545</v>
      </c>
      <c r="Q85" s="49">
        <f t="shared" si="26"/>
        <v>-0.10363710522273073</v>
      </c>
    </row>
    <row r="86" spans="2:17" x14ac:dyDescent="0.2">
      <c r="B86" s="11">
        <f>MAX(B$76:B85)+1</f>
        <v>11</v>
      </c>
      <c r="C86" s="7"/>
      <c r="D86" s="4" t="s">
        <v>14</v>
      </c>
      <c r="E86" s="11"/>
      <c r="F86" s="12">
        <v>0</v>
      </c>
      <c r="G86" s="12">
        <f t="shared" si="22"/>
        <v>0</v>
      </c>
      <c r="H86" s="45"/>
      <c r="I86" s="12">
        <v>0</v>
      </c>
      <c r="J86" s="12">
        <v>0</v>
      </c>
      <c r="K86" s="12">
        <f t="shared" si="23"/>
        <v>0</v>
      </c>
      <c r="L86" s="45"/>
      <c r="M86" s="12">
        <v>0</v>
      </c>
      <c r="N86" s="12">
        <v>0</v>
      </c>
      <c r="O86" s="12">
        <f t="shared" si="24"/>
        <v>0</v>
      </c>
      <c r="P86" s="13"/>
      <c r="Q86" s="63"/>
    </row>
    <row r="87" spans="2:17" x14ac:dyDescent="0.2">
      <c r="B87" s="11">
        <f>MAX(B$76:B86)+1</f>
        <v>12</v>
      </c>
      <c r="C87" s="7"/>
      <c r="D87" s="5" t="s">
        <v>67</v>
      </c>
      <c r="E87" s="11"/>
      <c r="F87" s="16">
        <f>SUM(F76:F86)</f>
        <v>1550586.177397484</v>
      </c>
      <c r="G87" s="16">
        <f>SUM(G76:G86)</f>
        <v>-164297.92217804966</v>
      </c>
      <c r="H87" s="45"/>
      <c r="I87" s="16">
        <f>SUM(I76:I86)</f>
        <v>1713786.660253956</v>
      </c>
      <c r="J87" s="16">
        <f>SUM(J76:J86)</f>
        <v>1097.4393215777293</v>
      </c>
      <c r="K87" s="16">
        <f>SUM(K76:K86)</f>
        <v>1714884.0995755335</v>
      </c>
      <c r="L87" s="45"/>
      <c r="M87" s="16">
        <f>SUM(M76:M86)</f>
        <v>-11075.151440326725</v>
      </c>
      <c r="N87" s="16">
        <f>SUM(N76:N86)</f>
        <v>-500</v>
      </c>
      <c r="O87" s="16">
        <f>SUM(O76:O86)</f>
        <v>1703308.9481352072</v>
      </c>
      <c r="P87" s="51">
        <f>O87/K87</f>
        <v>0.99325018440418722</v>
      </c>
      <c r="Q87" s="42">
        <f>O87/F87-1</f>
        <v>9.8493571633699428E-2</v>
      </c>
    </row>
    <row r="88" spans="2:17" x14ac:dyDescent="0.2">
      <c r="B88" s="11"/>
      <c r="C88" s="7"/>
      <c r="D88" s="7"/>
      <c r="E88" s="11"/>
      <c r="F88" s="47"/>
      <c r="G88" s="47"/>
      <c r="H88" s="46"/>
      <c r="I88" s="47"/>
      <c r="J88" s="47"/>
      <c r="K88" s="47"/>
      <c r="L88" s="46"/>
      <c r="M88" s="47"/>
      <c r="N88" s="47"/>
      <c r="O88" s="47"/>
      <c r="P88" s="52"/>
      <c r="Q88" s="64"/>
    </row>
    <row r="89" spans="2:17" x14ac:dyDescent="0.2">
      <c r="B89" s="11"/>
      <c r="C89" s="7"/>
      <c r="D89" s="6" t="s">
        <v>54</v>
      </c>
      <c r="E89" s="11"/>
      <c r="F89" s="47"/>
      <c r="G89" s="47"/>
      <c r="H89" s="46"/>
      <c r="I89" s="47"/>
      <c r="J89" s="47"/>
      <c r="K89" s="47"/>
      <c r="L89" s="46"/>
      <c r="M89" s="47"/>
      <c r="N89" s="47"/>
      <c r="O89" s="47"/>
      <c r="P89" s="13"/>
      <c r="Q89" s="43"/>
    </row>
    <row r="90" spans="2:17" x14ac:dyDescent="0.2">
      <c r="B90" s="11">
        <f>MAX(B$76:B89)+1</f>
        <v>13</v>
      </c>
      <c r="C90" s="7"/>
      <c r="D90" s="4" t="s">
        <v>15</v>
      </c>
      <c r="E90" s="11"/>
      <c r="F90" s="12">
        <v>226285.19648733368</v>
      </c>
      <c r="G90" s="12">
        <f t="shared" ref="G90:G94" si="27">F90-K90</f>
        <v>15601.840830332803</v>
      </c>
      <c r="H90" s="45"/>
      <c r="I90" s="12">
        <v>210512.85305472845</v>
      </c>
      <c r="J90" s="12">
        <v>170.50260227243763</v>
      </c>
      <c r="K90" s="12">
        <f t="shared" ref="K90:K94" si="28">I90+J90</f>
        <v>210683.35565700088</v>
      </c>
      <c r="L90" s="45"/>
      <c r="M90" s="12">
        <v>-997.65530186882688</v>
      </c>
      <c r="N90" s="12">
        <v>0</v>
      </c>
      <c r="O90" s="12">
        <f>K90+M90+N90</f>
        <v>209685.70035513205</v>
      </c>
      <c r="P90" s="13">
        <f t="shared" ref="P90:P95" si="29">O90/K90</f>
        <v>0.99526466958551274</v>
      </c>
      <c r="Q90" s="49">
        <f t="shared" ref="Q90:Q95" si="30">O90/F90-1</f>
        <v>-7.3356527028186735E-2</v>
      </c>
    </row>
    <row r="91" spans="2:17" x14ac:dyDescent="0.2">
      <c r="B91" s="11">
        <f>MAX(B$76:B90)+1</f>
        <v>14</v>
      </c>
      <c r="C91" s="7"/>
      <c r="D91" s="4" t="s">
        <v>16</v>
      </c>
      <c r="E91" s="11"/>
      <c r="F91" s="12">
        <v>30601.065390802247</v>
      </c>
      <c r="G91" s="12">
        <f t="shared" si="27"/>
        <v>4095.7686855011561</v>
      </c>
      <c r="H91" s="45"/>
      <c r="I91" s="12">
        <v>26495.178987324351</v>
      </c>
      <c r="J91" s="12">
        <v>10.117717976741645</v>
      </c>
      <c r="K91" s="12">
        <f t="shared" si="28"/>
        <v>26505.296705301091</v>
      </c>
      <c r="L91" s="45"/>
      <c r="M91" s="12">
        <v>-294.52603507226468</v>
      </c>
      <c r="N91" s="12">
        <v>0</v>
      </c>
      <c r="O91" s="12">
        <f>K91+M91+N91</f>
        <v>26210.770670228827</v>
      </c>
      <c r="P91" s="13">
        <f t="shared" si="29"/>
        <v>0.98888803100953937</v>
      </c>
      <c r="Q91" s="49">
        <f t="shared" si="30"/>
        <v>-0.1434686885736014</v>
      </c>
    </row>
    <row r="92" spans="2:17" x14ac:dyDescent="0.2">
      <c r="B92" s="11">
        <f>MAX(B$76:B91)+1</f>
        <v>15</v>
      </c>
      <c r="C92" s="7"/>
      <c r="D92" s="4" t="s">
        <v>17</v>
      </c>
      <c r="E92" s="11"/>
      <c r="F92" s="12">
        <v>30830.738014438422</v>
      </c>
      <c r="G92" s="12">
        <f t="shared" si="27"/>
        <v>15963.60564562573</v>
      </c>
      <c r="H92" s="45"/>
      <c r="I92" s="12">
        <v>14872.744424683091</v>
      </c>
      <c r="J92" s="12">
        <v>-5.6120558703980148</v>
      </c>
      <c r="K92" s="12">
        <f t="shared" si="28"/>
        <v>14867.132368812692</v>
      </c>
      <c r="L92" s="45"/>
      <c r="M92" s="12">
        <v>-102.53057974449982</v>
      </c>
      <c r="N92" s="12">
        <v>14500</v>
      </c>
      <c r="O92" s="12">
        <f>K92+M92+N92</f>
        <v>29264.601789068191</v>
      </c>
      <c r="P92" s="13">
        <f t="shared" si="29"/>
        <v>1.9684093114323498</v>
      </c>
      <c r="Q92" s="49">
        <f t="shared" si="30"/>
        <v>-5.0797883094358287E-2</v>
      </c>
    </row>
    <row r="93" spans="2:17" x14ac:dyDescent="0.2">
      <c r="B93" s="11">
        <f>MAX(B$76:B92)+1</f>
        <v>16</v>
      </c>
      <c r="C93" s="7"/>
      <c r="D93" s="4" t="s">
        <v>18</v>
      </c>
      <c r="E93" s="11"/>
      <c r="F93" s="12">
        <v>4864.8697912580355</v>
      </c>
      <c r="G93" s="12">
        <f t="shared" si="27"/>
        <v>2081.737558786343</v>
      </c>
      <c r="H93" s="45"/>
      <c r="I93" s="12">
        <v>2781.0532781360662</v>
      </c>
      <c r="J93" s="12">
        <v>2.0789543356262796</v>
      </c>
      <c r="K93" s="12">
        <f t="shared" si="28"/>
        <v>2783.1322324716925</v>
      </c>
      <c r="L93" s="45"/>
      <c r="M93" s="12">
        <v>0</v>
      </c>
      <c r="N93" s="12">
        <v>0</v>
      </c>
      <c r="O93" s="12">
        <f>K93+M93+N93</f>
        <v>2783.1322324716925</v>
      </c>
      <c r="P93" s="13">
        <f t="shared" si="29"/>
        <v>1</v>
      </c>
      <c r="Q93" s="49">
        <f t="shared" si="30"/>
        <v>-0.42791228709289142</v>
      </c>
    </row>
    <row r="94" spans="2:17" x14ac:dyDescent="0.2">
      <c r="B94" s="11">
        <f>MAX(B$76:B93)+1</f>
        <v>17</v>
      </c>
      <c r="C94" s="7"/>
      <c r="D94" s="4" t="s">
        <v>6</v>
      </c>
      <c r="E94" s="11"/>
      <c r="F94" s="12">
        <v>11804.1884031645</v>
      </c>
      <c r="G94" s="12">
        <f t="shared" si="27"/>
        <v>6232.4909125383019</v>
      </c>
      <c r="H94" s="45"/>
      <c r="I94" s="12">
        <v>5571.6974906261985</v>
      </c>
      <c r="J94" s="12">
        <v>0</v>
      </c>
      <c r="K94" s="12">
        <f t="shared" si="28"/>
        <v>5571.6974906261985</v>
      </c>
      <c r="L94" s="45"/>
      <c r="M94" s="12">
        <v>0</v>
      </c>
      <c r="N94" s="12">
        <v>0</v>
      </c>
      <c r="O94" s="12">
        <f>K94+M94+N94</f>
        <v>5571.6974906261985</v>
      </c>
      <c r="P94" s="13">
        <f t="shared" si="29"/>
        <v>1</v>
      </c>
      <c r="Q94" s="49">
        <f t="shared" si="30"/>
        <v>-0.52798978630902549</v>
      </c>
    </row>
    <row r="95" spans="2:17" x14ac:dyDescent="0.2">
      <c r="B95" s="11">
        <f>MAX(B$76:B94)+1</f>
        <v>18</v>
      </c>
      <c r="C95" s="7"/>
      <c r="D95" s="5" t="s">
        <v>68</v>
      </c>
      <c r="E95" s="11"/>
      <c r="F95" s="16">
        <f>SUM(F90:F94)</f>
        <v>304386.0580869969</v>
      </c>
      <c r="G95" s="16">
        <f>SUM(G90:G94)</f>
        <v>43975.443632784329</v>
      </c>
      <c r="H95" s="45"/>
      <c r="I95" s="16">
        <f>SUM(I90:I94)</f>
        <v>260233.52723549816</v>
      </c>
      <c r="J95" s="16">
        <f>SUM(J90:J94)</f>
        <v>177.08721871440753</v>
      </c>
      <c r="K95" s="16">
        <f>SUM(K90:K94)</f>
        <v>260410.61445421254</v>
      </c>
      <c r="L95" s="45"/>
      <c r="M95" s="16">
        <f>SUM(M90:M94)</f>
        <v>-1394.7119166855914</v>
      </c>
      <c r="N95" s="16">
        <f>SUM(N90:N94)</f>
        <v>14500</v>
      </c>
      <c r="O95" s="16">
        <f>SUM(O90:O94)</f>
        <v>273515.90253752697</v>
      </c>
      <c r="P95" s="51">
        <f t="shared" si="29"/>
        <v>1.0503254758289382</v>
      </c>
      <c r="Q95" s="33">
        <f t="shared" si="30"/>
        <v>-0.1014177710486559</v>
      </c>
    </row>
    <row r="96" spans="2:17" x14ac:dyDescent="0.2">
      <c r="B96" s="11"/>
      <c r="C96" s="7"/>
      <c r="D96" s="7"/>
      <c r="E96" s="11"/>
      <c r="F96" s="37"/>
      <c r="G96" s="37"/>
      <c r="H96" s="36"/>
      <c r="I96" s="37"/>
      <c r="J96" s="37"/>
      <c r="K96" s="37"/>
      <c r="L96" s="36"/>
      <c r="M96" s="37"/>
      <c r="N96" s="37"/>
      <c r="O96" s="37"/>
      <c r="P96" s="65"/>
      <c r="Q96" s="66"/>
    </row>
    <row r="97" spans="2:17" x14ac:dyDescent="0.2">
      <c r="B97" s="11"/>
      <c r="C97" s="7"/>
      <c r="D97" s="61" t="s">
        <v>56</v>
      </c>
      <c r="E97" s="11"/>
      <c r="F97" s="47"/>
      <c r="G97" s="47"/>
      <c r="H97" s="46"/>
      <c r="I97" s="47"/>
      <c r="J97" s="47"/>
      <c r="K97" s="47"/>
      <c r="L97" s="46"/>
      <c r="M97" s="47"/>
      <c r="N97" s="47"/>
      <c r="O97" s="47"/>
      <c r="P97" s="52"/>
      <c r="Q97" s="64"/>
    </row>
    <row r="98" spans="2:17" x14ac:dyDescent="0.2">
      <c r="B98" s="11">
        <f>MAX(B$76:B97)+1</f>
        <v>19</v>
      </c>
      <c r="C98" s="7"/>
      <c r="D98" s="38" t="s">
        <v>19</v>
      </c>
      <c r="E98" s="11"/>
      <c r="F98" s="12">
        <v>548066.19706532545</v>
      </c>
      <c r="G98" s="12">
        <f t="shared" ref="G98:G106" si="31">F98-K98</f>
        <v>-139158.33315489802</v>
      </c>
      <c r="H98" s="46"/>
      <c r="I98" s="12">
        <v>686644.82093153743</v>
      </c>
      <c r="J98" s="12">
        <v>579.70928868606586</v>
      </c>
      <c r="K98" s="12">
        <f t="shared" ref="K98:K106" si="32">I98+J98</f>
        <v>687224.53022022347</v>
      </c>
      <c r="L98" s="46"/>
      <c r="M98" s="12">
        <v>-3192.1968939140252</v>
      </c>
      <c r="N98" s="12">
        <v>0</v>
      </c>
      <c r="O98" s="12">
        <f t="shared" ref="O98:O106" si="33">K98+M98+N98</f>
        <v>684032.33332630945</v>
      </c>
      <c r="P98" s="13">
        <f t="shared" ref="P98:P107" si="34">O98/K98</f>
        <v>0.99535494332122998</v>
      </c>
      <c r="Q98" s="49">
        <f t="shared" ref="Q98:Q107" si="35">O98/F98-1</f>
        <v>0.24808341946470724</v>
      </c>
    </row>
    <row r="99" spans="2:17" x14ac:dyDescent="0.2">
      <c r="B99" s="11">
        <f>MAX(B$76:B98)+1</f>
        <v>20</v>
      </c>
      <c r="C99" s="7"/>
      <c r="D99" s="38" t="s">
        <v>20</v>
      </c>
      <c r="E99" s="11"/>
      <c r="F99" s="12">
        <v>92167.869950396882</v>
      </c>
      <c r="G99" s="12">
        <f t="shared" si="31"/>
        <v>-17397.894099535872</v>
      </c>
      <c r="H99" s="46"/>
      <c r="I99" s="12">
        <v>109515.14554564658</v>
      </c>
      <c r="J99" s="12">
        <v>50.618504286180979</v>
      </c>
      <c r="K99" s="12">
        <f t="shared" si="32"/>
        <v>109565.76404993275</v>
      </c>
      <c r="L99" s="46"/>
      <c r="M99" s="12">
        <v>-1182.8021323960145</v>
      </c>
      <c r="N99" s="12">
        <v>0</v>
      </c>
      <c r="O99" s="12">
        <f t="shared" si="33"/>
        <v>108382.96191753674</v>
      </c>
      <c r="P99" s="13">
        <f t="shared" si="34"/>
        <v>0.98920463757404209</v>
      </c>
      <c r="Q99" s="49">
        <f t="shared" si="35"/>
        <v>0.17592998488374012</v>
      </c>
    </row>
    <row r="100" spans="2:17" x14ac:dyDescent="0.2">
      <c r="B100" s="11">
        <f>MAX(B$76:B99)+1</f>
        <v>21</v>
      </c>
      <c r="C100" s="7"/>
      <c r="D100" s="38" t="s">
        <v>21</v>
      </c>
      <c r="E100" s="11"/>
      <c r="F100" s="12">
        <v>34924.005862796672</v>
      </c>
      <c r="G100" s="12">
        <f t="shared" si="31"/>
        <v>575.21676442366879</v>
      </c>
      <c r="H100" s="46"/>
      <c r="I100" s="12">
        <v>34398.460315956996</v>
      </c>
      <c r="J100" s="12">
        <v>-49.671217583996409</v>
      </c>
      <c r="K100" s="12">
        <f t="shared" si="32"/>
        <v>34348.789098373003</v>
      </c>
      <c r="L100" s="46"/>
      <c r="M100" s="12">
        <v>-421.03900325831546</v>
      </c>
      <c r="N100" s="12">
        <v>-7000</v>
      </c>
      <c r="O100" s="12">
        <f t="shared" si="33"/>
        <v>26927.750095114687</v>
      </c>
      <c r="P100" s="13">
        <f t="shared" si="34"/>
        <v>0.78395049147133322</v>
      </c>
      <c r="Q100" s="49">
        <f t="shared" si="35"/>
        <v>-0.22896158588153592</v>
      </c>
    </row>
    <row r="101" spans="2:17" x14ac:dyDescent="0.2">
      <c r="B101" s="11">
        <f>MAX(B$76:B100)+1</f>
        <v>22</v>
      </c>
      <c r="C101" s="7"/>
      <c r="D101" s="38" t="s">
        <v>22</v>
      </c>
      <c r="E101" s="11"/>
      <c r="F101" s="12">
        <v>2673.6417933406542</v>
      </c>
      <c r="G101" s="12">
        <f t="shared" si="31"/>
        <v>1012.5625563628287</v>
      </c>
      <c r="H101" s="46"/>
      <c r="I101" s="12">
        <v>1660.9168113202688</v>
      </c>
      <c r="J101" s="12">
        <v>0.16242565755667893</v>
      </c>
      <c r="K101" s="12">
        <f t="shared" si="32"/>
        <v>1661.0792369778255</v>
      </c>
      <c r="L101" s="46"/>
      <c r="M101" s="12">
        <v>-3.6987150977151249</v>
      </c>
      <c r="N101" s="12">
        <v>0</v>
      </c>
      <c r="O101" s="12">
        <f t="shared" si="33"/>
        <v>1657.3805218801103</v>
      </c>
      <c r="P101" s="13">
        <f t="shared" si="34"/>
        <v>0.99777330604381964</v>
      </c>
      <c r="Q101" s="49">
        <f t="shared" si="35"/>
        <v>-0.38010374987097606</v>
      </c>
    </row>
    <row r="102" spans="2:17" x14ac:dyDescent="0.2">
      <c r="B102" s="11">
        <f>MAX(B$76:B101)+1</f>
        <v>23</v>
      </c>
      <c r="C102" s="7"/>
      <c r="D102" s="38" t="s">
        <v>23</v>
      </c>
      <c r="E102" s="11"/>
      <c r="F102" s="12">
        <v>28030.956525920945</v>
      </c>
      <c r="G102" s="12">
        <f t="shared" si="31"/>
        <v>-8499.7359938714253</v>
      </c>
      <c r="H102" s="46"/>
      <c r="I102" s="12">
        <v>36623.190097930579</v>
      </c>
      <c r="J102" s="12">
        <v>-92.497578138206592</v>
      </c>
      <c r="K102" s="12">
        <f t="shared" si="32"/>
        <v>36530.69251979237</v>
      </c>
      <c r="L102" s="46"/>
      <c r="M102" s="12">
        <v>-622.79090683401159</v>
      </c>
      <c r="N102" s="12">
        <v>-7000</v>
      </c>
      <c r="O102" s="12">
        <f t="shared" si="33"/>
        <v>28907.901612958362</v>
      </c>
      <c r="P102" s="13">
        <f t="shared" si="34"/>
        <v>0.791331880645187</v>
      </c>
      <c r="Q102" s="49">
        <f t="shared" si="35"/>
        <v>3.1284879138051558E-2</v>
      </c>
    </row>
    <row r="103" spans="2:17" x14ac:dyDescent="0.2">
      <c r="B103" s="11">
        <f>MAX(B$76:B102)+1</f>
        <v>24</v>
      </c>
      <c r="C103" s="7"/>
      <c r="D103" s="38" t="s">
        <v>24</v>
      </c>
      <c r="E103" s="11"/>
      <c r="F103" s="12">
        <v>1774.4642355456999</v>
      </c>
      <c r="G103" s="12">
        <f t="shared" si="31"/>
        <v>-78.239926589305469</v>
      </c>
      <c r="H103" s="46"/>
      <c r="I103" s="12">
        <v>1855.5571954394775</v>
      </c>
      <c r="J103" s="12">
        <v>-2.8530333044719951</v>
      </c>
      <c r="K103" s="12">
        <f t="shared" si="32"/>
        <v>1852.7041621350054</v>
      </c>
      <c r="L103" s="46"/>
      <c r="M103" s="12">
        <v>-50.842697900793851</v>
      </c>
      <c r="N103" s="12">
        <v>0</v>
      </c>
      <c r="O103" s="12">
        <f t="shared" si="33"/>
        <v>1801.8614642342116</v>
      </c>
      <c r="P103" s="13">
        <f t="shared" si="34"/>
        <v>0.97255757344323979</v>
      </c>
      <c r="Q103" s="49">
        <f t="shared" si="35"/>
        <v>1.5439718727318308E-2</v>
      </c>
    </row>
    <row r="104" spans="2:17" x14ac:dyDescent="0.2">
      <c r="B104" s="11">
        <f>MAX(B$76:B103)+1</f>
        <v>25</v>
      </c>
      <c r="D104" s="38" t="s">
        <v>25</v>
      </c>
      <c r="E104" s="11"/>
      <c r="F104" s="12">
        <v>14311.19900034794</v>
      </c>
      <c r="G104" s="12">
        <f t="shared" si="31"/>
        <v>2004.4803602079319</v>
      </c>
      <c r="H104" s="46"/>
      <c r="I104" s="12">
        <v>12424.969521888441</v>
      </c>
      <c r="J104" s="12">
        <v>-118.25088174843231</v>
      </c>
      <c r="K104" s="12">
        <f t="shared" si="32"/>
        <v>12306.718640140009</v>
      </c>
      <c r="L104" s="46"/>
      <c r="M104" s="12">
        <v>-136.52402878879931</v>
      </c>
      <c r="N104" s="12">
        <v>0</v>
      </c>
      <c r="O104" s="12">
        <f t="shared" si="33"/>
        <v>12170.194611351209</v>
      </c>
      <c r="P104" s="13">
        <f t="shared" si="34"/>
        <v>0.9889065450522686</v>
      </c>
      <c r="Q104" s="49">
        <f t="shared" si="35"/>
        <v>-0.1496034251878321</v>
      </c>
    </row>
    <row r="105" spans="2:17" x14ac:dyDescent="0.2">
      <c r="B105" s="11">
        <f>MAX(B$76:B104)+1</f>
        <v>26</v>
      </c>
      <c r="D105" s="38" t="s">
        <v>26</v>
      </c>
      <c r="E105" s="11"/>
      <c r="F105" s="12">
        <v>79192.826316152365</v>
      </c>
      <c r="G105" s="12">
        <f t="shared" si="31"/>
        <v>-8461.6416272178176</v>
      </c>
      <c r="H105" s="46"/>
      <c r="I105" s="12">
        <v>89148.078750243265</v>
      </c>
      <c r="J105" s="12">
        <v>-1493.6108068730834</v>
      </c>
      <c r="K105" s="12">
        <f t="shared" si="32"/>
        <v>87654.467943370182</v>
      </c>
      <c r="L105" s="46"/>
      <c r="M105" s="12">
        <v>-1724.4164422436195</v>
      </c>
      <c r="N105" s="12">
        <v>0</v>
      </c>
      <c r="O105" s="12">
        <f t="shared" si="33"/>
        <v>85930.051501126567</v>
      </c>
      <c r="P105" s="13">
        <f t="shared" si="34"/>
        <v>0.98032711300743181</v>
      </c>
      <c r="Q105" s="49">
        <f t="shared" si="35"/>
        <v>8.5073680260860485E-2</v>
      </c>
    </row>
    <row r="106" spans="2:17" x14ac:dyDescent="0.2">
      <c r="B106" s="11">
        <f>MAX(B$76:B105)+1</f>
        <v>27</v>
      </c>
      <c r="D106" s="38" t="s">
        <v>27</v>
      </c>
      <c r="E106" s="11"/>
      <c r="F106" s="12">
        <v>7803.7987485066014</v>
      </c>
      <c r="G106" s="12">
        <f t="shared" si="31"/>
        <v>-1530.6367677691369</v>
      </c>
      <c r="H106" s="46"/>
      <c r="I106" s="12">
        <v>9482.5687575494885</v>
      </c>
      <c r="J106" s="12">
        <v>-148.13324127375071</v>
      </c>
      <c r="K106" s="12">
        <f t="shared" si="32"/>
        <v>9334.4355162757383</v>
      </c>
      <c r="L106" s="46"/>
      <c r="M106" s="12">
        <v>-171.02406846538213</v>
      </c>
      <c r="N106" s="12">
        <v>0</v>
      </c>
      <c r="O106" s="12">
        <f t="shared" si="33"/>
        <v>9163.4114478103565</v>
      </c>
      <c r="P106" s="13">
        <f t="shared" si="34"/>
        <v>0.98167815630980793</v>
      </c>
      <c r="Q106" s="49">
        <f t="shared" si="35"/>
        <v>0.17422446978965755</v>
      </c>
    </row>
    <row r="107" spans="2:17" x14ac:dyDescent="0.2">
      <c r="B107" s="11">
        <f>MAX(B$76:B106)+1</f>
        <v>28</v>
      </c>
      <c r="C107" s="7"/>
      <c r="D107" s="7" t="s">
        <v>69</v>
      </c>
      <c r="F107" s="16">
        <f>SUM(F98:F106)</f>
        <v>808944.95949833328</v>
      </c>
      <c r="G107" s="16">
        <f>SUM(G98:G106)</f>
        <v>-171534.22188888717</v>
      </c>
      <c r="H107" s="46"/>
      <c r="I107" s="16">
        <f>SUM(I98:I106)</f>
        <v>981753.70792751247</v>
      </c>
      <c r="J107" s="16">
        <f>SUM(J98:J106)</f>
        <v>-1274.5265402921377</v>
      </c>
      <c r="K107" s="16">
        <f>SUM(K98:K106)</f>
        <v>980479.18138722039</v>
      </c>
      <c r="L107" s="46"/>
      <c r="M107" s="16">
        <f>SUM(M98:M106)</f>
        <v>-7505.3348888986757</v>
      </c>
      <c r="N107" s="16">
        <f>SUM(N98:N106)</f>
        <v>-14000</v>
      </c>
      <c r="O107" s="16">
        <f>SUM(O98:O106)</f>
        <v>958973.84649832186</v>
      </c>
      <c r="P107" s="51">
        <f t="shared" si="34"/>
        <v>0.97806650534030515</v>
      </c>
      <c r="Q107" s="42">
        <f t="shared" si="35"/>
        <v>0.18546241649497253</v>
      </c>
    </row>
    <row r="108" spans="2:17" x14ac:dyDescent="0.2">
      <c r="B108" s="8"/>
      <c r="C108" s="7"/>
      <c r="D108" s="11"/>
      <c r="F108" s="47"/>
      <c r="G108" s="47"/>
      <c r="H108" s="46"/>
      <c r="I108" s="47"/>
      <c r="J108" s="47"/>
      <c r="K108" s="47"/>
      <c r="L108" s="46"/>
      <c r="M108" s="12"/>
      <c r="N108" s="12"/>
      <c r="O108" s="47"/>
      <c r="P108" s="52"/>
      <c r="Q108" s="63"/>
    </row>
    <row r="109" spans="2:17" x14ac:dyDescent="0.2">
      <c r="B109" s="11">
        <f>MAX(B$76:B108)+1</f>
        <v>29</v>
      </c>
      <c r="C109" s="7"/>
      <c r="D109" s="29" t="s">
        <v>75</v>
      </c>
      <c r="F109" s="16">
        <f>F87+F95+F107</f>
        <v>2663917.1949828141</v>
      </c>
      <c r="G109" s="16">
        <f>G87+G95+G107</f>
        <v>-291856.7004341525</v>
      </c>
      <c r="H109" s="46"/>
      <c r="I109" s="16">
        <f>I87+I95+I107</f>
        <v>2955773.8954169666</v>
      </c>
      <c r="J109" s="16">
        <f>J87+J95+J107</f>
        <v>0</v>
      </c>
      <c r="K109" s="16">
        <f>K87+K95+K107</f>
        <v>2955773.8954169666</v>
      </c>
      <c r="L109" s="46"/>
      <c r="M109" s="16">
        <f>M87+M95+M107</f>
        <v>-19975.198245910993</v>
      </c>
      <c r="N109" s="16">
        <f>N87+N95+N107</f>
        <v>0</v>
      </c>
      <c r="O109" s="16">
        <f>O87+O95+O107</f>
        <v>2935798.6971710562</v>
      </c>
      <c r="P109" s="51">
        <f>O109/K109</f>
        <v>0.99324197352277765</v>
      </c>
      <c r="Q109" s="42">
        <f>O109/F109-1</f>
        <v>0.10206079329353779</v>
      </c>
    </row>
    <row r="110" spans="2:17" x14ac:dyDescent="0.2">
      <c r="B110" s="11"/>
      <c r="C110" s="7"/>
      <c r="D110" s="7"/>
      <c r="E110" s="11"/>
      <c r="F110" s="37"/>
      <c r="G110" s="37"/>
      <c r="H110" s="36"/>
      <c r="I110" s="37"/>
      <c r="J110" s="37"/>
      <c r="K110" s="37"/>
      <c r="L110" s="36"/>
      <c r="M110" s="36"/>
      <c r="N110" s="36"/>
      <c r="O110" s="37"/>
      <c r="P110" s="65"/>
      <c r="Q110" s="66"/>
    </row>
    <row r="111" spans="2:17" x14ac:dyDescent="0.2">
      <c r="B111" s="11"/>
      <c r="C111" s="7"/>
      <c r="D111" s="61" t="s">
        <v>31</v>
      </c>
      <c r="E111" s="11"/>
      <c r="F111" s="37"/>
      <c r="G111" s="37"/>
      <c r="H111" s="36"/>
      <c r="I111" s="37"/>
      <c r="J111" s="37"/>
      <c r="K111" s="37"/>
      <c r="L111" s="36"/>
      <c r="M111" s="36"/>
      <c r="N111" s="36"/>
      <c r="O111" s="37"/>
      <c r="P111" s="65"/>
      <c r="Q111" s="67"/>
    </row>
    <row r="112" spans="2:17" x14ac:dyDescent="0.2">
      <c r="B112" s="11">
        <f>MAX(B$76:B111)+1</f>
        <v>30</v>
      </c>
      <c r="C112" s="7"/>
      <c r="D112" s="4" t="s">
        <v>49</v>
      </c>
      <c r="F112" s="12">
        <v>169.00033449599999</v>
      </c>
      <c r="G112" s="12">
        <f t="shared" ref="G112:G119" si="36">F112-K112</f>
        <v>163.43981787363808</v>
      </c>
      <c r="H112" s="17"/>
      <c r="I112" s="12">
        <v>5.5605166223619262</v>
      </c>
      <c r="J112" s="12"/>
      <c r="K112" s="12">
        <f>I112</f>
        <v>5.5605166223619262</v>
      </c>
      <c r="L112" s="17"/>
      <c r="M112" s="12">
        <v>163.43981787363805</v>
      </c>
      <c r="N112" s="12">
        <v>0</v>
      </c>
      <c r="O112" s="12">
        <f t="shared" ref="O112:O119" si="37">K112+M112+N112</f>
        <v>169.00033449599997</v>
      </c>
      <c r="P112" s="13">
        <f t="shared" ref="P112:P115" si="38">O112/K112</f>
        <v>30.392919574479059</v>
      </c>
      <c r="Q112" s="49">
        <f>O112/F112-1</f>
        <v>0</v>
      </c>
    </row>
    <row r="113" spans="2:17" x14ac:dyDescent="0.2">
      <c r="B113" s="11">
        <f>MAX(B$76:B112)+1</f>
        <v>31</v>
      </c>
      <c r="C113" s="7"/>
      <c r="D113" s="38" t="s">
        <v>50</v>
      </c>
      <c r="E113" s="11"/>
      <c r="F113" s="12">
        <v>19179.468000000001</v>
      </c>
      <c r="G113" s="12">
        <f t="shared" si="36"/>
        <v>-2577.2946254421186</v>
      </c>
      <c r="H113" s="46"/>
      <c r="I113" s="12">
        <v>21756.762625442119</v>
      </c>
      <c r="J113" s="47"/>
      <c r="K113" s="12">
        <f t="shared" ref="K113:K119" si="39">I113</f>
        <v>21756.762625442119</v>
      </c>
      <c r="L113" s="46"/>
      <c r="M113" s="12">
        <v>0</v>
      </c>
      <c r="N113" s="46">
        <v>0</v>
      </c>
      <c r="O113" s="12">
        <f t="shared" si="37"/>
        <v>21756.762625442119</v>
      </c>
      <c r="P113" s="13">
        <f t="shared" si="38"/>
        <v>1</v>
      </c>
      <c r="Q113" s="49">
        <f t="shared" ref="Q113:Q115" si="40">O113/F113-1</f>
        <v>0.13437779532999139</v>
      </c>
    </row>
    <row r="114" spans="2:17" x14ac:dyDescent="0.2">
      <c r="B114" s="11">
        <f>MAX(B$76:B113)+1</f>
        <v>32</v>
      </c>
      <c r="C114" s="7"/>
      <c r="D114" s="38" t="s">
        <v>41</v>
      </c>
      <c r="E114" s="11"/>
      <c r="F114" s="12">
        <v>3560.977942268019</v>
      </c>
      <c r="G114" s="12">
        <f t="shared" si="36"/>
        <v>3560.977942268019</v>
      </c>
      <c r="H114" s="46"/>
      <c r="I114" s="46">
        <v>0</v>
      </c>
      <c r="J114" s="47"/>
      <c r="K114" s="12">
        <f t="shared" si="39"/>
        <v>0</v>
      </c>
      <c r="L114" s="46"/>
      <c r="M114" s="12">
        <v>3560.977942268019</v>
      </c>
      <c r="N114" s="46">
        <v>0</v>
      </c>
      <c r="O114" s="12">
        <f t="shared" si="37"/>
        <v>3560.977942268019</v>
      </c>
      <c r="P114" s="13" t="str">
        <f t="shared" ref="P114" si="41">IFERROR(O114/K114,"-")</f>
        <v>-</v>
      </c>
      <c r="Q114" s="49">
        <f t="shared" si="40"/>
        <v>0</v>
      </c>
    </row>
    <row r="115" spans="2:17" x14ac:dyDescent="0.2">
      <c r="B115" s="11">
        <f>MAX(B$76:B114)+1</f>
        <v>33</v>
      </c>
      <c r="C115" s="7"/>
      <c r="D115" s="38" t="s">
        <v>59</v>
      </c>
      <c r="E115" s="11"/>
      <c r="F115" s="12">
        <v>104650.60323599997</v>
      </c>
      <c r="G115" s="12">
        <f t="shared" si="36"/>
        <v>4136.4131134338386</v>
      </c>
      <c r="H115" s="46"/>
      <c r="I115" s="12">
        <v>100514.19012256613</v>
      </c>
      <c r="J115" s="12"/>
      <c r="K115" s="12">
        <f t="shared" si="39"/>
        <v>100514.19012256613</v>
      </c>
      <c r="L115" s="46"/>
      <c r="M115" s="12">
        <v>0</v>
      </c>
      <c r="N115" s="12">
        <v>0</v>
      </c>
      <c r="O115" s="12">
        <f t="shared" si="37"/>
        <v>100514.19012256613</v>
      </c>
      <c r="P115" s="13">
        <f t="shared" si="38"/>
        <v>1</v>
      </c>
      <c r="Q115" s="49">
        <f t="shared" si="40"/>
        <v>-3.9525936645637083E-2</v>
      </c>
    </row>
    <row r="116" spans="2:17" x14ac:dyDescent="0.2">
      <c r="B116" s="11">
        <f>MAX(B$76:B115)+1</f>
        <v>34</v>
      </c>
      <c r="C116" s="7"/>
      <c r="D116" s="38" t="s">
        <v>34</v>
      </c>
      <c r="E116" s="11"/>
      <c r="F116" s="12">
        <v>14191.052914499876</v>
      </c>
      <c r="G116" s="12">
        <f t="shared" si="36"/>
        <v>14102.50362672405</v>
      </c>
      <c r="H116" s="46"/>
      <c r="I116" s="12">
        <v>88.549287775826201</v>
      </c>
      <c r="J116" s="12"/>
      <c r="K116" s="12">
        <f t="shared" si="39"/>
        <v>88.549287775826201</v>
      </c>
      <c r="L116" s="46"/>
      <c r="M116" s="12">
        <v>13129.336859318033</v>
      </c>
      <c r="N116" s="12">
        <v>0</v>
      </c>
      <c r="O116" s="12">
        <f t="shared" si="37"/>
        <v>13217.886147093859</v>
      </c>
      <c r="P116" s="13">
        <f t="shared" ref="P116:P119" si="42">O116/K116</f>
        <v>149.27151283877765</v>
      </c>
      <c r="Q116" s="49">
        <f t="shared" ref="Q116:Q119" si="43">O116/F116-1</f>
        <v>-6.8576079116136057E-2</v>
      </c>
    </row>
    <row r="117" spans="2:17" x14ac:dyDescent="0.2">
      <c r="B117" s="11">
        <f>MAX(B$76:B116)+1</f>
        <v>35</v>
      </c>
      <c r="C117" s="7"/>
      <c r="D117" s="38" t="s">
        <v>60</v>
      </c>
      <c r="E117" s="11"/>
      <c r="F117" s="12">
        <v>380.91363233333334</v>
      </c>
      <c r="G117" s="12">
        <f t="shared" si="36"/>
        <v>378.72275578379794</v>
      </c>
      <c r="H117" s="46"/>
      <c r="I117" s="12">
        <v>2.1908765495353992</v>
      </c>
      <c r="J117" s="12"/>
      <c r="K117" s="12">
        <f t="shared" si="39"/>
        <v>2.1908765495353992</v>
      </c>
      <c r="L117" s="46"/>
      <c r="M117" s="12">
        <v>766.80741750283801</v>
      </c>
      <c r="N117" s="12">
        <v>0</v>
      </c>
      <c r="O117" s="12">
        <f t="shared" si="37"/>
        <v>768.99829405237335</v>
      </c>
      <c r="P117" s="13">
        <f t="shared" si="42"/>
        <v>351.00028534946358</v>
      </c>
      <c r="Q117" s="49">
        <f t="shared" si="43"/>
        <v>1.0188258670128967</v>
      </c>
    </row>
    <row r="118" spans="2:17" x14ac:dyDescent="0.2">
      <c r="B118" s="11">
        <f>MAX(B$76:B117)+1</f>
        <v>36</v>
      </c>
      <c r="C118" s="7"/>
      <c r="D118" s="38" t="s">
        <v>32</v>
      </c>
      <c r="E118" s="11"/>
      <c r="F118" s="12">
        <v>428.13686206896551</v>
      </c>
      <c r="G118" s="12">
        <f t="shared" si="36"/>
        <v>423.15746578047708</v>
      </c>
      <c r="H118" s="46"/>
      <c r="I118" s="12">
        <v>4.979396288488438</v>
      </c>
      <c r="J118" s="12"/>
      <c r="K118" s="12">
        <f t="shared" si="39"/>
        <v>4.979396288488438</v>
      </c>
      <c r="L118" s="46"/>
      <c r="M118" s="12">
        <v>422.20492968632476</v>
      </c>
      <c r="N118" s="12">
        <v>0</v>
      </c>
      <c r="O118" s="12">
        <f t="shared" si="37"/>
        <v>427.18432597481319</v>
      </c>
      <c r="P118" s="13">
        <f t="shared" si="42"/>
        <v>85.790385264654375</v>
      </c>
      <c r="Q118" s="49">
        <f t="shared" si="43"/>
        <v>-2.2248401820604835E-3</v>
      </c>
    </row>
    <row r="119" spans="2:17" x14ac:dyDescent="0.2">
      <c r="B119" s="11">
        <f>MAX(B$76:B118)+1</f>
        <v>37</v>
      </c>
      <c r="C119" s="7"/>
      <c r="D119" s="38" t="s">
        <v>33</v>
      </c>
      <c r="E119" s="11"/>
      <c r="F119" s="12">
        <v>529.11347999999998</v>
      </c>
      <c r="G119" s="12">
        <f t="shared" si="36"/>
        <v>45.821906824059681</v>
      </c>
      <c r="H119" s="46"/>
      <c r="I119" s="12">
        <v>483.2915731759403</v>
      </c>
      <c r="J119" s="12"/>
      <c r="K119" s="12">
        <f t="shared" si="39"/>
        <v>483.2915731759403</v>
      </c>
      <c r="L119" s="46"/>
      <c r="M119" s="12">
        <v>25.345638000000008</v>
      </c>
      <c r="N119" s="12">
        <v>0</v>
      </c>
      <c r="O119" s="12">
        <f t="shared" si="37"/>
        <v>508.63721117594031</v>
      </c>
      <c r="P119" s="13">
        <f t="shared" si="42"/>
        <v>1.0524437821943422</v>
      </c>
      <c r="Q119" s="49">
        <f t="shared" si="43"/>
        <v>-3.8699200829394265E-2</v>
      </c>
    </row>
    <row r="120" spans="2:17" x14ac:dyDescent="0.2">
      <c r="B120" s="11">
        <f>MAX(B$76:B119)+1</f>
        <v>38</v>
      </c>
      <c r="D120" s="7" t="s">
        <v>35</v>
      </c>
      <c r="F120" s="16">
        <f>SUM(F112:F119)</f>
        <v>143089.26640166616</v>
      </c>
      <c r="G120" s="16">
        <f>SUM(G112:G119)</f>
        <v>20233.742003245767</v>
      </c>
      <c r="H120" s="46"/>
      <c r="I120" s="16">
        <f>SUM(I112:I119)</f>
        <v>122855.52439842038</v>
      </c>
      <c r="J120" s="16">
        <f>SUM(J112:J119)</f>
        <v>0</v>
      </c>
      <c r="K120" s="16">
        <f>SUM(K112:K119)</f>
        <v>122855.52439842038</v>
      </c>
      <c r="L120" s="46"/>
      <c r="M120" s="16">
        <f>SUM(M112:M119)</f>
        <v>18068.112604648853</v>
      </c>
      <c r="N120" s="16">
        <f>SUM(N112:N119)</f>
        <v>0</v>
      </c>
      <c r="O120" s="16">
        <f>SUM(O112:O119)</f>
        <v>140923.63700306925</v>
      </c>
      <c r="P120" s="51">
        <f>O120/K120</f>
        <v>1.1470679702286239</v>
      </c>
      <c r="Q120" s="33">
        <f>O120/F120-1</f>
        <v>-1.5134813763862387E-2</v>
      </c>
    </row>
    <row r="121" spans="2:17" x14ac:dyDescent="0.2">
      <c r="B121" s="11"/>
      <c r="D121" s="11"/>
      <c r="F121" s="47"/>
      <c r="G121" s="47"/>
      <c r="H121" s="46"/>
      <c r="I121" s="47"/>
      <c r="J121" s="47"/>
      <c r="K121" s="47"/>
      <c r="L121" s="46"/>
      <c r="M121" s="40"/>
      <c r="N121" s="12"/>
      <c r="O121" s="47"/>
      <c r="P121" s="52"/>
      <c r="Q121" s="63"/>
    </row>
    <row r="122" spans="2:17" x14ac:dyDescent="0.2">
      <c r="B122" s="11">
        <f>MAX(B$76:B121)+1</f>
        <v>39</v>
      </c>
      <c r="C122" s="7"/>
      <c r="D122" s="19" t="s">
        <v>66</v>
      </c>
      <c r="F122" s="12">
        <v>1196.9395495536583</v>
      </c>
      <c r="G122" s="12">
        <v>1196.9395495536583</v>
      </c>
      <c r="H122" s="17"/>
      <c r="I122" s="12">
        <v>0</v>
      </c>
      <c r="J122" s="12"/>
      <c r="K122" s="12">
        <f t="shared" ref="K122" si="44">I122+J122</f>
        <v>0</v>
      </c>
      <c r="L122" s="17"/>
      <c r="M122" s="12">
        <v>1907.0856412773765</v>
      </c>
      <c r="N122" s="12"/>
      <c r="O122" s="12">
        <f t="shared" ref="O122" si="45">K122+M122+N122</f>
        <v>1907.0856412773765</v>
      </c>
      <c r="P122" s="13" t="str">
        <f t="shared" ref="P122" si="46">IFERROR(O122/K122,"-")</f>
        <v>-</v>
      </c>
      <c r="Q122" s="41">
        <f>O122/F122-1</f>
        <v>0.59330155143468488</v>
      </c>
    </row>
    <row r="123" spans="2:17" x14ac:dyDescent="0.2">
      <c r="B123" s="8"/>
      <c r="C123" s="7"/>
      <c r="F123" s="17"/>
      <c r="G123" s="17"/>
      <c r="H123" s="17"/>
      <c r="I123" s="17"/>
      <c r="J123" s="17"/>
      <c r="K123" s="17"/>
      <c r="L123" s="17"/>
      <c r="M123" s="17"/>
      <c r="N123" s="17" t="s">
        <v>51</v>
      </c>
      <c r="O123" s="17"/>
      <c r="P123" s="17"/>
      <c r="Q123" s="68"/>
    </row>
    <row r="124" spans="2:17" ht="13.5" thickBot="1" x14ac:dyDescent="0.25">
      <c r="B124" s="11">
        <f>MAX(B$76:B123)+1</f>
        <v>40</v>
      </c>
      <c r="C124" s="7"/>
      <c r="D124" s="29" t="s">
        <v>36</v>
      </c>
      <c r="F124" s="21">
        <f>ROUND(F109+F120+F122,0)</f>
        <v>2808203</v>
      </c>
      <c r="G124" s="21">
        <f>ROUND(G109+G120+G122,0)</f>
        <v>-270426</v>
      </c>
      <c r="H124" s="46"/>
      <c r="I124" s="21">
        <f>ROUND(I109+I120+I122,0)</f>
        <v>3078629</v>
      </c>
      <c r="J124" s="21">
        <f>ROUND(J109+J120+J122,0)</f>
        <v>0</v>
      </c>
      <c r="K124" s="21">
        <f>ROUND(K109+K120+K122,0)</f>
        <v>3078629</v>
      </c>
      <c r="L124" s="46"/>
      <c r="M124" s="21">
        <f>ROUND(M109+M120+M122,0)</f>
        <v>0</v>
      </c>
      <c r="N124" s="21">
        <f>ROUND(N109+N120+N122,0)</f>
        <v>0</v>
      </c>
      <c r="O124" s="21">
        <f>ROUND(O109+O120+O122,0)</f>
        <v>3078629</v>
      </c>
      <c r="P124" s="53">
        <f>O124/K124</f>
        <v>1</v>
      </c>
      <c r="Q124" s="44">
        <f>O124/F124-1</f>
        <v>9.6298593798240351E-2</v>
      </c>
    </row>
    <row r="125" spans="2:17" ht="13.5" thickTop="1" x14ac:dyDescent="0.2">
      <c r="B125" s="11"/>
      <c r="C125" s="7"/>
      <c r="D125" s="29"/>
      <c r="F125" s="54"/>
      <c r="G125" s="54"/>
      <c r="H125" s="46"/>
      <c r="I125" s="54"/>
      <c r="J125" s="54"/>
      <c r="K125" s="54"/>
      <c r="L125" s="46"/>
      <c r="M125" s="54"/>
      <c r="N125" s="54"/>
      <c r="O125" s="54"/>
      <c r="P125" s="31"/>
      <c r="Q125" s="22"/>
    </row>
    <row r="126" spans="2:17" x14ac:dyDescent="0.2">
      <c r="B126" s="11"/>
      <c r="C126" s="7"/>
      <c r="D126" s="29"/>
      <c r="F126" s="54"/>
      <c r="G126" s="54"/>
      <c r="H126" s="46"/>
      <c r="I126" s="54"/>
      <c r="J126" s="54"/>
      <c r="K126" s="54"/>
      <c r="L126" s="46"/>
      <c r="M126" s="54"/>
      <c r="N126" s="54"/>
      <c r="O126" s="54"/>
      <c r="P126" s="31"/>
      <c r="Q126" s="22"/>
    </row>
    <row r="127" spans="2:17" x14ac:dyDescent="0.2">
      <c r="B127" s="30"/>
      <c r="C127" s="7"/>
      <c r="D127" s="7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2:17" x14ac:dyDescent="0.2">
      <c r="E128" s="11"/>
      <c r="F128" s="35"/>
      <c r="G128" s="35"/>
      <c r="H128" s="11"/>
      <c r="I128" s="11"/>
      <c r="J128" s="11"/>
      <c r="K128" s="11"/>
      <c r="L128" s="11"/>
      <c r="M128" s="11"/>
      <c r="N128" s="11"/>
      <c r="O128" s="11"/>
      <c r="P128" s="11"/>
      <c r="Q128" s="11"/>
    </row>
    <row r="129" spans="2:17" x14ac:dyDescent="0.2">
      <c r="B129" s="25" t="str">
        <f>+$B$5</f>
        <v>Summary of Proposed Revenue Change by Rate Class</v>
      </c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</row>
    <row r="130" spans="2:17" x14ac:dyDescent="0.2">
      <c r="B130" s="25" t="s">
        <v>39</v>
      </c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</row>
    <row r="131" spans="2:17" x14ac:dyDescent="0.2">
      <c r="B131" s="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</row>
    <row r="132" spans="2:17" x14ac:dyDescent="0.2">
      <c r="B132" s="29"/>
      <c r="C132" s="29"/>
      <c r="D132" s="29"/>
      <c r="E132" s="29"/>
      <c r="F132" s="70" t="str">
        <f>+$F$8</f>
        <v>Revenue Before Recovery</v>
      </c>
      <c r="G132" s="70"/>
      <c r="H132" s="29"/>
      <c r="I132" s="70" t="str">
        <f>+$I$8</f>
        <v>Proposed Revenue Requirement</v>
      </c>
      <c r="J132" s="70"/>
      <c r="K132" s="70"/>
      <c r="L132" s="29"/>
      <c r="M132" s="70" t="str">
        <f>+$M$8</f>
        <v>Revenue After Recovery</v>
      </c>
      <c r="N132" s="70"/>
      <c r="O132" s="70"/>
      <c r="P132" s="70"/>
      <c r="Q132" s="70"/>
    </row>
    <row r="133" spans="2:17" s="9" customFormat="1" ht="38.25" x14ac:dyDescent="0.2">
      <c r="B133" s="18" t="s">
        <v>0</v>
      </c>
      <c r="C133" s="18"/>
      <c r="D133" s="18"/>
      <c r="E133" s="18"/>
      <c r="F133" s="9" t="s">
        <v>76</v>
      </c>
      <c r="G133" s="9" t="s">
        <v>29</v>
      </c>
      <c r="H133" s="18"/>
      <c r="I133" s="18" t="s">
        <v>77</v>
      </c>
      <c r="J133" s="18" t="s">
        <v>78</v>
      </c>
      <c r="K133" s="18" t="s">
        <v>44</v>
      </c>
      <c r="L133" s="18"/>
      <c r="M133" s="9" t="s">
        <v>79</v>
      </c>
      <c r="N133" s="9" t="s">
        <v>73</v>
      </c>
      <c r="O133" s="9" t="s">
        <v>74</v>
      </c>
      <c r="P133" s="18" t="s">
        <v>72</v>
      </c>
      <c r="Q133" s="18" t="s">
        <v>40</v>
      </c>
    </row>
    <row r="134" spans="2:17" x14ac:dyDescent="0.2">
      <c r="B134" s="69" t="s">
        <v>1</v>
      </c>
      <c r="C134" s="7"/>
      <c r="D134" s="34" t="s">
        <v>28</v>
      </c>
      <c r="E134" s="11"/>
      <c r="F134" s="69" t="s">
        <v>52</v>
      </c>
      <c r="G134" s="69" t="s">
        <v>52</v>
      </c>
      <c r="H134" s="11"/>
      <c r="I134" s="69" t="s">
        <v>52</v>
      </c>
      <c r="J134" s="69" t="s">
        <v>52</v>
      </c>
      <c r="K134" s="69" t="s">
        <v>52</v>
      </c>
      <c r="L134" s="11"/>
      <c r="M134" s="69" t="s">
        <v>52</v>
      </c>
      <c r="N134" s="69" t="s">
        <v>52</v>
      </c>
      <c r="O134" s="69" t="s">
        <v>52</v>
      </c>
      <c r="P134" s="69" t="s">
        <v>71</v>
      </c>
      <c r="Q134" s="69" t="s">
        <v>2</v>
      </c>
    </row>
    <row r="135" spans="2:17" x14ac:dyDescent="0.2">
      <c r="B135" s="11"/>
      <c r="C135" s="7"/>
      <c r="D135" s="7"/>
      <c r="E135" s="11"/>
      <c r="F135" s="11" t="s">
        <v>3</v>
      </c>
      <c r="G135" s="11" t="s">
        <v>57</v>
      </c>
      <c r="H135" s="11"/>
      <c r="I135" s="11" t="s">
        <v>38</v>
      </c>
      <c r="J135" s="11" t="s">
        <v>42</v>
      </c>
      <c r="K135" s="11" t="s">
        <v>45</v>
      </c>
      <c r="L135" s="11"/>
      <c r="M135" s="11" t="s">
        <v>43</v>
      </c>
      <c r="N135" s="11" t="s">
        <v>30</v>
      </c>
      <c r="O135" s="11" t="s">
        <v>46</v>
      </c>
      <c r="P135" s="32" t="s">
        <v>47</v>
      </c>
      <c r="Q135" s="32" t="s">
        <v>48</v>
      </c>
    </row>
    <row r="136" spans="2:17" x14ac:dyDescent="0.2">
      <c r="B136" s="11"/>
      <c r="C136" s="7"/>
      <c r="D136" s="7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32"/>
      <c r="Q136" s="32"/>
    </row>
    <row r="137" spans="2:17" x14ac:dyDescent="0.2">
      <c r="B137" s="11"/>
      <c r="C137" s="7"/>
      <c r="D137" s="6" t="s">
        <v>53</v>
      </c>
      <c r="E137" s="11"/>
      <c r="F137" s="35"/>
      <c r="G137" s="2"/>
      <c r="H137" s="11"/>
      <c r="I137" s="1"/>
      <c r="J137" s="1"/>
      <c r="K137" s="1"/>
      <c r="L137" s="11"/>
      <c r="M137" s="11"/>
      <c r="N137" s="11"/>
      <c r="O137" s="11"/>
      <c r="P137" s="11"/>
      <c r="Q137" s="11"/>
    </row>
    <row r="138" spans="2:17" x14ac:dyDescent="0.2">
      <c r="B138" s="11">
        <v>1</v>
      </c>
      <c r="C138" s="7"/>
      <c r="D138" s="4" t="s">
        <v>4</v>
      </c>
      <c r="E138" s="11"/>
      <c r="F138" s="12">
        <v>1172203.0090380502</v>
      </c>
      <c r="G138" s="12">
        <f>F138-K138</f>
        <v>23522.055114893708</v>
      </c>
      <c r="H138" s="45"/>
      <c r="I138" s="12">
        <v>1148680.9539231565</v>
      </c>
      <c r="J138" s="12">
        <v>0</v>
      </c>
      <c r="K138" s="12">
        <f t="shared" ref="K138:K148" si="47">I138+J138</f>
        <v>1148680.9539231565</v>
      </c>
      <c r="L138" s="45"/>
      <c r="M138" s="12">
        <v>0</v>
      </c>
      <c r="N138" s="12">
        <v>0</v>
      </c>
      <c r="O138" s="12">
        <f t="shared" ref="O138:O148" si="48">K138+M138+N138</f>
        <v>1148680.9539231565</v>
      </c>
      <c r="P138" s="13">
        <f t="shared" ref="P138:P147" si="49">O138/K138</f>
        <v>1</v>
      </c>
      <c r="Q138" s="49">
        <f t="shared" ref="Q138:Q147" si="50">O138/F138-1</f>
        <v>-2.006653705333572E-2</v>
      </c>
    </row>
    <row r="139" spans="2:17" x14ac:dyDescent="0.2">
      <c r="B139" s="11">
        <f>MAX(B$138:B138)+1</f>
        <v>2</v>
      </c>
      <c r="C139" s="7"/>
      <c r="D139" s="4" t="s">
        <v>5</v>
      </c>
      <c r="E139" s="11"/>
      <c r="F139" s="12">
        <v>742105.68341866799</v>
      </c>
      <c r="G139" s="12">
        <f t="shared" ref="G139:G148" si="51">F139-K139</f>
        <v>5419.0856294244295</v>
      </c>
      <c r="H139" s="45"/>
      <c r="I139" s="12">
        <v>736686.59778924356</v>
      </c>
      <c r="J139" s="12">
        <v>0</v>
      </c>
      <c r="K139" s="12">
        <f t="shared" si="47"/>
        <v>736686.59778924356</v>
      </c>
      <c r="L139" s="45"/>
      <c r="M139" s="12">
        <v>0</v>
      </c>
      <c r="N139" s="12">
        <v>0</v>
      </c>
      <c r="O139" s="12">
        <f t="shared" si="48"/>
        <v>736686.59778924356</v>
      </c>
      <c r="P139" s="13">
        <f t="shared" si="49"/>
        <v>1</v>
      </c>
      <c r="Q139" s="49">
        <f t="shared" si="50"/>
        <v>-7.302309833365328E-3</v>
      </c>
    </row>
    <row r="140" spans="2:17" x14ac:dyDescent="0.2">
      <c r="B140" s="11">
        <f>MAX(B$138:B139)+1</f>
        <v>3</v>
      </c>
      <c r="C140" s="7"/>
      <c r="D140" s="4" t="s">
        <v>6</v>
      </c>
      <c r="E140" s="11"/>
      <c r="F140" s="12">
        <v>3527.0941688316079</v>
      </c>
      <c r="G140" s="12">
        <f t="shared" si="51"/>
        <v>-24.132967441818437</v>
      </c>
      <c r="H140" s="45"/>
      <c r="I140" s="12">
        <v>3551.2271362734264</v>
      </c>
      <c r="J140" s="12">
        <v>0</v>
      </c>
      <c r="K140" s="12">
        <f t="shared" si="47"/>
        <v>3551.2271362734264</v>
      </c>
      <c r="L140" s="45"/>
      <c r="M140" s="12">
        <v>0</v>
      </c>
      <c r="N140" s="12">
        <v>0</v>
      </c>
      <c r="O140" s="12">
        <f t="shared" si="48"/>
        <v>3551.2271362734264</v>
      </c>
      <c r="P140" s="13">
        <f t="shared" si="49"/>
        <v>1</v>
      </c>
      <c r="Q140" s="49">
        <f t="shared" si="50"/>
        <v>6.8421670323060013E-3</v>
      </c>
    </row>
    <row r="141" spans="2:17" x14ac:dyDescent="0.2">
      <c r="B141" s="11">
        <f>MAX(B$138:B140)+1</f>
        <v>4</v>
      </c>
      <c r="C141" s="7"/>
      <c r="D141" s="4" t="s">
        <v>7</v>
      </c>
      <c r="E141" s="11"/>
      <c r="F141" s="12">
        <v>31308.77560693994</v>
      </c>
      <c r="G141" s="12">
        <f t="shared" si="51"/>
        <v>-7276.0886935512826</v>
      </c>
      <c r="H141" s="45"/>
      <c r="I141" s="12">
        <v>38584.864300491223</v>
      </c>
      <c r="J141" s="12">
        <v>0</v>
      </c>
      <c r="K141" s="12">
        <f t="shared" si="47"/>
        <v>38584.864300491223</v>
      </c>
      <c r="L141" s="45"/>
      <c r="M141" s="12">
        <v>0</v>
      </c>
      <c r="N141" s="12">
        <v>0</v>
      </c>
      <c r="O141" s="12">
        <f t="shared" si="48"/>
        <v>38584.864300491223</v>
      </c>
      <c r="P141" s="13">
        <f t="shared" si="49"/>
        <v>1</v>
      </c>
      <c r="Q141" s="49">
        <f t="shared" si="50"/>
        <v>0.23239774001058211</v>
      </c>
    </row>
    <row r="142" spans="2:17" x14ac:dyDescent="0.2">
      <c r="B142" s="11">
        <f>MAX(B$138:B141)+1</f>
        <v>5</v>
      </c>
      <c r="C142" s="7"/>
      <c r="D142" s="4" t="s">
        <v>8</v>
      </c>
      <c r="E142" s="11"/>
      <c r="F142" s="12">
        <v>2544.1730598787467</v>
      </c>
      <c r="G142" s="12">
        <f t="shared" si="51"/>
        <v>-2548.539041279299</v>
      </c>
      <c r="H142" s="45"/>
      <c r="I142" s="12">
        <v>5092.7121011580457</v>
      </c>
      <c r="J142" s="12">
        <v>0</v>
      </c>
      <c r="K142" s="12">
        <f t="shared" si="47"/>
        <v>5092.7121011580457</v>
      </c>
      <c r="L142" s="45"/>
      <c r="M142" s="12">
        <v>0</v>
      </c>
      <c r="N142" s="12">
        <v>0</v>
      </c>
      <c r="O142" s="12">
        <f t="shared" si="48"/>
        <v>5092.7121011580457</v>
      </c>
      <c r="P142" s="13">
        <f t="shared" si="49"/>
        <v>1</v>
      </c>
      <c r="Q142" s="49">
        <f t="shared" si="50"/>
        <v>1.0017160709188393</v>
      </c>
    </row>
    <row r="143" spans="2:17" x14ac:dyDescent="0.2">
      <c r="B143" s="11">
        <f>MAX(B$138:B142)+1</f>
        <v>6</v>
      </c>
      <c r="C143" s="7"/>
      <c r="D143" s="4" t="s">
        <v>9</v>
      </c>
      <c r="E143" s="11"/>
      <c r="F143" s="12">
        <v>588.24265500000001</v>
      </c>
      <c r="G143" s="12">
        <f t="shared" si="51"/>
        <v>-198.51776105702754</v>
      </c>
      <c r="H143" s="45"/>
      <c r="I143" s="12">
        <v>786.76041605702756</v>
      </c>
      <c r="J143" s="12">
        <v>0</v>
      </c>
      <c r="K143" s="12">
        <f t="shared" si="47"/>
        <v>786.76041605702756</v>
      </c>
      <c r="L143" s="45"/>
      <c r="M143" s="12">
        <v>0</v>
      </c>
      <c r="N143" s="12">
        <v>0</v>
      </c>
      <c r="O143" s="12">
        <f t="shared" si="48"/>
        <v>786.76041605702756</v>
      </c>
      <c r="P143" s="13">
        <f t="shared" si="49"/>
        <v>1</v>
      </c>
      <c r="Q143" s="49">
        <f t="shared" si="50"/>
        <v>0.33747597079138636</v>
      </c>
    </row>
    <row r="144" spans="2:17" x14ac:dyDescent="0.2">
      <c r="B144" s="11">
        <f>MAX(B$138:B143)+1</f>
        <v>7</v>
      </c>
      <c r="C144" s="7"/>
      <c r="D144" s="4" t="s">
        <v>10</v>
      </c>
      <c r="E144" s="11"/>
      <c r="F144" s="12">
        <v>850.36872361355677</v>
      </c>
      <c r="G144" s="12">
        <f t="shared" si="51"/>
        <v>-686.27532962260329</v>
      </c>
      <c r="H144" s="45"/>
      <c r="I144" s="12">
        <v>1536.6440532361601</v>
      </c>
      <c r="J144" s="12">
        <v>0</v>
      </c>
      <c r="K144" s="12">
        <f t="shared" si="47"/>
        <v>1536.6440532361601</v>
      </c>
      <c r="L144" s="45"/>
      <c r="M144" s="12">
        <v>0</v>
      </c>
      <c r="N144" s="12">
        <v>0</v>
      </c>
      <c r="O144" s="12">
        <f t="shared" si="48"/>
        <v>1536.6440532361601</v>
      </c>
      <c r="P144" s="13">
        <f t="shared" si="49"/>
        <v>1</v>
      </c>
      <c r="Q144" s="49">
        <f t="shared" si="50"/>
        <v>0.80703265602989838</v>
      </c>
    </row>
    <row r="145" spans="2:17" x14ac:dyDescent="0.2">
      <c r="B145" s="11">
        <f>MAX(B$138:B144)+1</f>
        <v>8</v>
      </c>
      <c r="C145" s="7"/>
      <c r="D145" s="4" t="s">
        <v>11</v>
      </c>
      <c r="E145" s="11"/>
      <c r="F145" s="12">
        <v>194.44003312700028</v>
      </c>
      <c r="G145" s="12">
        <f t="shared" si="51"/>
        <v>-112.27042556041016</v>
      </c>
      <c r="H145" s="45"/>
      <c r="I145" s="12">
        <v>306.71045868741044</v>
      </c>
      <c r="J145" s="12">
        <v>0</v>
      </c>
      <c r="K145" s="12">
        <f t="shared" si="47"/>
        <v>306.71045868741044</v>
      </c>
      <c r="L145" s="45"/>
      <c r="M145" s="12">
        <v>0</v>
      </c>
      <c r="N145" s="12">
        <v>0</v>
      </c>
      <c r="O145" s="12">
        <f t="shared" si="48"/>
        <v>306.71045868741044</v>
      </c>
      <c r="P145" s="13">
        <f t="shared" si="49"/>
        <v>1</v>
      </c>
      <c r="Q145" s="49">
        <f t="shared" si="50"/>
        <v>0.57740385945665684</v>
      </c>
    </row>
    <row r="146" spans="2:17" x14ac:dyDescent="0.2">
      <c r="B146" s="11">
        <f>MAX(B$138:B145)+1</f>
        <v>9</v>
      </c>
      <c r="C146" s="7"/>
      <c r="D146" s="4" t="s">
        <v>12</v>
      </c>
      <c r="E146" s="11"/>
      <c r="F146" s="12">
        <v>-955.42230539590537</v>
      </c>
      <c r="G146" s="12">
        <f t="shared" si="51"/>
        <v>-5907.6105309303439</v>
      </c>
      <c r="H146" s="45"/>
      <c r="I146" s="12">
        <v>4952.1882255344381</v>
      </c>
      <c r="J146" s="12">
        <v>0</v>
      </c>
      <c r="K146" s="12">
        <f t="shared" si="47"/>
        <v>4952.1882255344381</v>
      </c>
      <c r="L146" s="45"/>
      <c r="M146" s="12">
        <v>0</v>
      </c>
      <c r="N146" s="12">
        <v>0</v>
      </c>
      <c r="O146" s="12">
        <f t="shared" si="48"/>
        <v>4952.1882255344381</v>
      </c>
      <c r="P146" s="13">
        <f t="shared" si="49"/>
        <v>1</v>
      </c>
      <c r="Q146" s="49">
        <f>((O146/F146)-1)*-1</f>
        <v>6.1832453539823558</v>
      </c>
    </row>
    <row r="147" spans="2:17" x14ac:dyDescent="0.2">
      <c r="B147" s="11">
        <f>MAX(B$138:B146)+1</f>
        <v>10</v>
      </c>
      <c r="C147" s="7"/>
      <c r="D147" s="4" t="s">
        <v>13</v>
      </c>
      <c r="E147" s="11"/>
      <c r="F147" s="12">
        <v>33421.080964512868</v>
      </c>
      <c r="G147" s="12">
        <f t="shared" si="51"/>
        <v>745.2061184277336</v>
      </c>
      <c r="H147" s="45"/>
      <c r="I147" s="12">
        <v>32675.874846085135</v>
      </c>
      <c r="J147" s="12">
        <v>0</v>
      </c>
      <c r="K147" s="12">
        <f t="shared" si="47"/>
        <v>32675.874846085135</v>
      </c>
      <c r="L147" s="45"/>
      <c r="M147" s="12">
        <v>0</v>
      </c>
      <c r="N147" s="12">
        <v>0</v>
      </c>
      <c r="O147" s="12">
        <f t="shared" si="48"/>
        <v>32675.874846085135</v>
      </c>
      <c r="P147" s="13">
        <f t="shared" si="49"/>
        <v>1</v>
      </c>
      <c r="Q147" s="49">
        <f t="shared" si="50"/>
        <v>-2.2297487002859273E-2</v>
      </c>
    </row>
    <row r="148" spans="2:17" x14ac:dyDescent="0.2">
      <c r="B148" s="11">
        <f>MAX(B$138:B147)+1</f>
        <v>11</v>
      </c>
      <c r="C148" s="7"/>
      <c r="D148" s="4" t="s">
        <v>14</v>
      </c>
      <c r="E148" s="11"/>
      <c r="F148" s="12">
        <v>0</v>
      </c>
      <c r="G148" s="12">
        <f t="shared" si="51"/>
        <v>0</v>
      </c>
      <c r="H148" s="45"/>
      <c r="I148" s="12">
        <v>0</v>
      </c>
      <c r="J148" s="12">
        <v>0</v>
      </c>
      <c r="K148" s="12">
        <f t="shared" si="47"/>
        <v>0</v>
      </c>
      <c r="L148" s="45"/>
      <c r="M148" s="12">
        <v>0</v>
      </c>
      <c r="N148" s="12">
        <v>0</v>
      </c>
      <c r="O148" s="12">
        <f t="shared" si="48"/>
        <v>0</v>
      </c>
      <c r="P148" s="13"/>
      <c r="Q148" s="63"/>
    </row>
    <row r="149" spans="2:17" x14ac:dyDescent="0.2">
      <c r="B149" s="11">
        <f>MAX(B$138:B148)+1</f>
        <v>12</v>
      </c>
      <c r="C149" s="7"/>
      <c r="D149" s="5" t="s">
        <v>67</v>
      </c>
      <c r="E149" s="11"/>
      <c r="F149" s="16">
        <f>SUM(F138:F148)</f>
        <v>1985787.4453632259</v>
      </c>
      <c r="G149" s="16">
        <f>SUM(G138:G148)</f>
        <v>12932.912113303084</v>
      </c>
      <c r="H149" s="45"/>
      <c r="I149" s="16">
        <f>SUM(I138:I148)</f>
        <v>1972854.533249923</v>
      </c>
      <c r="J149" s="16">
        <f>SUM(J138:J148)</f>
        <v>0</v>
      </c>
      <c r="K149" s="16">
        <f>SUM(K138:K148)</f>
        <v>1972854.533249923</v>
      </c>
      <c r="L149" s="45"/>
      <c r="M149" s="16">
        <f>SUM(M138:M148)</f>
        <v>0</v>
      </c>
      <c r="N149" s="16">
        <f>SUM(N138:N148)</f>
        <v>0</v>
      </c>
      <c r="O149" s="16">
        <f>SUM(O138:O148)</f>
        <v>1972854.533249923</v>
      </c>
      <c r="P149" s="51">
        <f>O149/K149</f>
        <v>1</v>
      </c>
      <c r="Q149" s="33">
        <f>O149/F149-1</f>
        <v>-6.5127373745367256E-3</v>
      </c>
    </row>
    <row r="150" spans="2:17" x14ac:dyDescent="0.2">
      <c r="B150" s="11"/>
      <c r="C150" s="7"/>
      <c r="D150" s="7"/>
      <c r="E150" s="11"/>
      <c r="F150" s="47"/>
      <c r="G150" s="47"/>
      <c r="H150" s="46"/>
      <c r="I150" s="47"/>
      <c r="J150" s="46"/>
      <c r="K150" s="47"/>
      <c r="L150" s="46"/>
      <c r="M150" s="46"/>
      <c r="N150" s="46"/>
      <c r="O150" s="47"/>
      <c r="P150" s="52"/>
      <c r="Q150" s="64"/>
    </row>
    <row r="151" spans="2:17" x14ac:dyDescent="0.2">
      <c r="B151" s="11"/>
      <c r="C151" s="7"/>
      <c r="D151" s="6" t="s">
        <v>54</v>
      </c>
      <c r="E151" s="11"/>
      <c r="F151" s="47"/>
      <c r="G151" s="47"/>
      <c r="H151" s="46"/>
      <c r="I151" s="47"/>
      <c r="J151" s="12"/>
      <c r="K151" s="47"/>
      <c r="L151" s="46"/>
      <c r="M151" s="12"/>
      <c r="N151" s="12"/>
      <c r="O151" s="47"/>
      <c r="P151" s="13"/>
      <c r="Q151" s="43"/>
    </row>
    <row r="152" spans="2:17" x14ac:dyDescent="0.2">
      <c r="B152" s="11">
        <f>MAX(B$138:B151)+1</f>
        <v>13</v>
      </c>
      <c r="C152" s="7"/>
      <c r="D152" s="4" t="s">
        <v>15</v>
      </c>
      <c r="E152" s="11"/>
      <c r="F152" s="12">
        <v>257729.02206805148</v>
      </c>
      <c r="G152" s="12">
        <f t="shared" ref="G152:G156" si="52">F152-K152</f>
        <v>40122.321950124227</v>
      </c>
      <c r="H152" s="45"/>
      <c r="I152" s="12">
        <v>217606.70011792725</v>
      </c>
      <c r="J152" s="12">
        <v>0</v>
      </c>
      <c r="K152" s="12">
        <f t="shared" ref="K152:K156" si="53">I152+J152</f>
        <v>217606.70011792725</v>
      </c>
      <c r="L152" s="45"/>
      <c r="M152" s="12">
        <v>0</v>
      </c>
      <c r="N152" s="12">
        <v>0</v>
      </c>
      <c r="O152" s="12">
        <f>K152+M152+N152</f>
        <v>217606.70011792725</v>
      </c>
      <c r="P152" s="13">
        <f t="shared" ref="P152:P157" si="54">O152/K152</f>
        <v>1</v>
      </c>
      <c r="Q152" s="49">
        <f t="shared" ref="Q152:Q157" si="55">O152/F152-1</f>
        <v>-0.15567638300171804</v>
      </c>
    </row>
    <row r="153" spans="2:17" x14ac:dyDescent="0.2">
      <c r="B153" s="11">
        <f>MAX(B$138:B152)+1</f>
        <v>14</v>
      </c>
      <c r="C153" s="7"/>
      <c r="D153" s="4" t="s">
        <v>16</v>
      </c>
      <c r="E153" s="11"/>
      <c r="F153" s="12">
        <v>51781.271405269727</v>
      </c>
      <c r="G153" s="12">
        <f t="shared" si="52"/>
        <v>9611.5445554539183</v>
      </c>
      <c r="H153" s="45"/>
      <c r="I153" s="12">
        <v>42169.726849815808</v>
      </c>
      <c r="J153" s="12">
        <v>0</v>
      </c>
      <c r="K153" s="12">
        <f t="shared" si="53"/>
        <v>42169.726849815808</v>
      </c>
      <c r="L153" s="45"/>
      <c r="M153" s="12">
        <v>0</v>
      </c>
      <c r="N153" s="12">
        <v>0</v>
      </c>
      <c r="O153" s="12">
        <f>K153+M153+N153</f>
        <v>42169.726849815808</v>
      </c>
      <c r="P153" s="13">
        <f t="shared" si="54"/>
        <v>1</v>
      </c>
      <c r="Q153" s="49">
        <f t="shared" si="55"/>
        <v>-0.18561816453343716</v>
      </c>
    </row>
    <row r="154" spans="2:17" x14ac:dyDescent="0.2">
      <c r="B154" s="11">
        <f>MAX(B$138:B153)+1</f>
        <v>15</v>
      </c>
      <c r="C154" s="7"/>
      <c r="D154" s="4" t="s">
        <v>17</v>
      </c>
      <c r="E154" s="11"/>
      <c r="F154" s="12">
        <v>9830.5928293103279</v>
      </c>
      <c r="G154" s="12">
        <f t="shared" si="52"/>
        <v>548.53629379225094</v>
      </c>
      <c r="H154" s="45"/>
      <c r="I154" s="12">
        <v>9282.056535518077</v>
      </c>
      <c r="J154" s="12">
        <v>0</v>
      </c>
      <c r="K154" s="12">
        <f t="shared" si="53"/>
        <v>9282.056535518077</v>
      </c>
      <c r="L154" s="45"/>
      <c r="M154" s="12">
        <v>0</v>
      </c>
      <c r="N154" s="12">
        <v>0</v>
      </c>
      <c r="O154" s="12">
        <f>K154+M154+N154</f>
        <v>9282.056535518077</v>
      </c>
      <c r="P154" s="13">
        <f t="shared" si="54"/>
        <v>1</v>
      </c>
      <c r="Q154" s="49">
        <f t="shared" si="55"/>
        <v>-5.5798902804393147E-2</v>
      </c>
    </row>
    <row r="155" spans="2:17" x14ac:dyDescent="0.2">
      <c r="B155" s="11">
        <f>MAX(B$138:B154)+1</f>
        <v>16</v>
      </c>
      <c r="C155" s="7"/>
      <c r="D155" s="4" t="s">
        <v>18</v>
      </c>
      <c r="E155" s="11"/>
      <c r="F155" s="12">
        <v>1328.839101856842</v>
      </c>
      <c r="G155" s="12">
        <f t="shared" si="52"/>
        <v>-51.547285607049844</v>
      </c>
      <c r="H155" s="45"/>
      <c r="I155" s="12">
        <v>1380.3863874638919</v>
      </c>
      <c r="J155" s="12">
        <v>0</v>
      </c>
      <c r="K155" s="12">
        <f t="shared" si="53"/>
        <v>1380.3863874638919</v>
      </c>
      <c r="L155" s="45"/>
      <c r="M155" s="12">
        <v>0</v>
      </c>
      <c r="N155" s="12">
        <v>0</v>
      </c>
      <c r="O155" s="12">
        <f>K155+M155+N155</f>
        <v>1380.3863874638919</v>
      </c>
      <c r="P155" s="13">
        <f t="shared" si="54"/>
        <v>1</v>
      </c>
      <c r="Q155" s="49">
        <f t="shared" si="55"/>
        <v>3.8791216735736267E-2</v>
      </c>
    </row>
    <row r="156" spans="2:17" x14ac:dyDescent="0.2">
      <c r="B156" s="11">
        <f>MAX(B$138:B155)+1</f>
        <v>17</v>
      </c>
      <c r="C156" s="7"/>
      <c r="D156" s="4" t="s">
        <v>6</v>
      </c>
      <c r="E156" s="11"/>
      <c r="F156" s="12">
        <v>23.194032140369998</v>
      </c>
      <c r="G156" s="12">
        <f t="shared" si="52"/>
        <v>-1292.4127697993645</v>
      </c>
      <c r="H156" s="45"/>
      <c r="I156" s="12">
        <v>1315.6068019397344</v>
      </c>
      <c r="J156" s="12">
        <v>0</v>
      </c>
      <c r="K156" s="12">
        <f t="shared" si="53"/>
        <v>1315.6068019397344</v>
      </c>
      <c r="L156" s="45"/>
      <c r="M156" s="12">
        <v>0</v>
      </c>
      <c r="N156" s="12">
        <v>0</v>
      </c>
      <c r="O156" s="12">
        <f>K156+M156+N156</f>
        <v>1315.6068019397344</v>
      </c>
      <c r="P156" s="13">
        <f t="shared" si="54"/>
        <v>1</v>
      </c>
      <c r="Q156" s="49">
        <f t="shared" si="55"/>
        <v>55.721780584664977</v>
      </c>
    </row>
    <row r="157" spans="2:17" x14ac:dyDescent="0.2">
      <c r="B157" s="11">
        <f>MAX(B$138:B156)+1</f>
        <v>18</v>
      </c>
      <c r="C157" s="7"/>
      <c r="D157" s="5" t="s">
        <v>68</v>
      </c>
      <c r="E157" s="11"/>
      <c r="F157" s="16">
        <f>SUM(F152:F156)</f>
        <v>320692.91943662876</v>
      </c>
      <c r="G157" s="16">
        <f>SUM(G152:G156)</f>
        <v>48938.442743963984</v>
      </c>
      <c r="H157" s="45"/>
      <c r="I157" s="16">
        <f>SUM(I152:I156)</f>
        <v>271754.47669266473</v>
      </c>
      <c r="J157" s="16">
        <f>SUM(J152:J156)</f>
        <v>0</v>
      </c>
      <c r="K157" s="16">
        <f>SUM(K152:K156)</f>
        <v>271754.47669266473</v>
      </c>
      <c r="L157" s="45"/>
      <c r="M157" s="16">
        <f>SUM(M152:M156)</f>
        <v>0</v>
      </c>
      <c r="N157" s="16">
        <f>SUM(N152:N156)</f>
        <v>0</v>
      </c>
      <c r="O157" s="16">
        <f>SUM(O152:O156)</f>
        <v>271754.47669266473</v>
      </c>
      <c r="P157" s="51">
        <f t="shared" si="54"/>
        <v>1</v>
      </c>
      <c r="Q157" s="33">
        <f t="shared" si="55"/>
        <v>-0.15260219287016286</v>
      </c>
    </row>
    <row r="158" spans="2:17" x14ac:dyDescent="0.2">
      <c r="B158" s="11"/>
      <c r="C158" s="7"/>
      <c r="D158" s="7"/>
      <c r="E158" s="11"/>
      <c r="F158" s="47"/>
      <c r="G158" s="47"/>
      <c r="H158" s="46"/>
      <c r="I158" s="47"/>
      <c r="J158" s="46"/>
      <c r="K158" s="47"/>
      <c r="L158" s="46"/>
      <c r="M158" s="46"/>
      <c r="N158" s="46"/>
      <c r="O158" s="47"/>
      <c r="P158" s="52"/>
      <c r="Q158" s="63"/>
    </row>
    <row r="159" spans="2:17" x14ac:dyDescent="0.2">
      <c r="B159" s="11"/>
      <c r="C159" s="7"/>
      <c r="D159" s="61" t="s">
        <v>56</v>
      </c>
      <c r="E159" s="11"/>
      <c r="F159" s="47"/>
      <c r="G159" s="47"/>
      <c r="H159" s="46"/>
      <c r="I159" s="47"/>
      <c r="J159" s="46"/>
      <c r="K159" s="47"/>
      <c r="L159" s="46"/>
      <c r="M159" s="46"/>
      <c r="N159" s="46"/>
      <c r="O159" s="47"/>
      <c r="P159" s="52"/>
      <c r="Q159" s="64"/>
    </row>
    <row r="160" spans="2:17" x14ac:dyDescent="0.2">
      <c r="B160" s="11">
        <f>MAX(B$138:B159)+1</f>
        <v>19</v>
      </c>
      <c r="C160" s="7"/>
      <c r="D160" s="38" t="s">
        <v>19</v>
      </c>
      <c r="E160" s="11"/>
      <c r="F160" s="12">
        <v>693517.17475103773</v>
      </c>
      <c r="G160" s="12">
        <f t="shared" ref="G160:G168" si="56">F160-K160</f>
        <v>-22089.183762733825</v>
      </c>
      <c r="H160" s="46"/>
      <c r="I160" s="12">
        <v>715606.35851377156</v>
      </c>
      <c r="J160" s="12">
        <v>0</v>
      </c>
      <c r="K160" s="12">
        <f t="shared" ref="K160:K168" si="57">I160+J160</f>
        <v>715606.35851377156</v>
      </c>
      <c r="L160" s="46"/>
      <c r="M160" s="12">
        <v>0</v>
      </c>
      <c r="N160" s="12">
        <v>0</v>
      </c>
      <c r="O160" s="12">
        <f t="shared" ref="O160:O168" si="58">K160+M160+N160</f>
        <v>715606.35851377156</v>
      </c>
      <c r="P160" s="13">
        <f t="shared" ref="P160:P169" si="59">O160/K160</f>
        <v>1</v>
      </c>
      <c r="Q160" s="49">
        <f t="shared" ref="Q160:Q169" si="60">O160/F160-1</f>
        <v>3.1850954189654335E-2</v>
      </c>
    </row>
    <row r="161" spans="2:17" x14ac:dyDescent="0.2">
      <c r="B161" s="11">
        <f>MAX(B$138:B160)+1</f>
        <v>20</v>
      </c>
      <c r="C161" s="7"/>
      <c r="D161" s="38" t="s">
        <v>20</v>
      </c>
      <c r="E161" s="11"/>
      <c r="F161" s="12">
        <v>155865.95271193824</v>
      </c>
      <c r="G161" s="12">
        <f t="shared" si="56"/>
        <v>-16630.227722813434</v>
      </c>
      <c r="H161" s="46"/>
      <c r="I161" s="12">
        <v>172496.18043475167</v>
      </c>
      <c r="J161" s="12">
        <v>0</v>
      </c>
      <c r="K161" s="12">
        <f t="shared" si="57"/>
        <v>172496.18043475167</v>
      </c>
      <c r="L161" s="46"/>
      <c r="M161" s="12">
        <v>0</v>
      </c>
      <c r="N161" s="12">
        <v>0</v>
      </c>
      <c r="O161" s="12">
        <f t="shared" si="58"/>
        <v>172496.18043475167</v>
      </c>
      <c r="P161" s="13">
        <f t="shared" si="59"/>
        <v>1</v>
      </c>
      <c r="Q161" s="49">
        <f t="shared" si="60"/>
        <v>0.10669570508158621</v>
      </c>
    </row>
    <row r="162" spans="2:17" x14ac:dyDescent="0.2">
      <c r="B162" s="11">
        <f>MAX(B$138:B161)+1</f>
        <v>21</v>
      </c>
      <c r="C162" s="7"/>
      <c r="D162" s="38" t="s">
        <v>21</v>
      </c>
      <c r="E162" s="11"/>
      <c r="F162" s="12">
        <v>14695.697414643948</v>
      </c>
      <c r="G162" s="12">
        <f t="shared" si="56"/>
        <v>-9068.7633651945744</v>
      </c>
      <c r="H162" s="46"/>
      <c r="I162" s="12">
        <v>23764.460779838522</v>
      </c>
      <c r="J162" s="12">
        <v>0</v>
      </c>
      <c r="K162" s="12">
        <f t="shared" si="57"/>
        <v>23764.460779838522</v>
      </c>
      <c r="L162" s="46"/>
      <c r="M162" s="12">
        <v>0</v>
      </c>
      <c r="N162" s="12">
        <v>0</v>
      </c>
      <c r="O162" s="12">
        <f t="shared" si="58"/>
        <v>23764.460779838522</v>
      </c>
      <c r="P162" s="13">
        <f t="shared" si="59"/>
        <v>1</v>
      </c>
      <c r="Q162" s="49">
        <f t="shared" si="60"/>
        <v>0.61710329964726585</v>
      </c>
    </row>
    <row r="163" spans="2:17" x14ac:dyDescent="0.2">
      <c r="B163" s="11">
        <f>MAX(B$138:B162)+1</f>
        <v>22</v>
      </c>
      <c r="C163" s="7"/>
      <c r="D163" s="38" t="s">
        <v>22</v>
      </c>
      <c r="E163" s="11"/>
      <c r="F163" s="12">
        <v>578.14955029811267</v>
      </c>
      <c r="G163" s="12">
        <f t="shared" si="56"/>
        <v>-613.27180255990424</v>
      </c>
      <c r="H163" s="46"/>
      <c r="I163" s="12">
        <v>1191.4213528580169</v>
      </c>
      <c r="J163" s="12">
        <v>0</v>
      </c>
      <c r="K163" s="12">
        <f t="shared" si="57"/>
        <v>1191.4213528580169</v>
      </c>
      <c r="L163" s="46"/>
      <c r="M163" s="12">
        <v>0</v>
      </c>
      <c r="N163" s="12">
        <v>0</v>
      </c>
      <c r="O163" s="12">
        <f t="shared" si="58"/>
        <v>1191.4213528580169</v>
      </c>
      <c r="P163" s="13">
        <f t="shared" si="59"/>
        <v>1</v>
      </c>
      <c r="Q163" s="49">
        <f t="shared" si="60"/>
        <v>1.0607494241648747</v>
      </c>
    </row>
    <row r="164" spans="2:17" x14ac:dyDescent="0.2">
      <c r="B164" s="11">
        <f>MAX(B$138:B163)+1</f>
        <v>23</v>
      </c>
      <c r="C164" s="7"/>
      <c r="D164" s="38" t="s">
        <v>23</v>
      </c>
      <c r="E164" s="11"/>
      <c r="F164" s="12">
        <v>9758.3171750648726</v>
      </c>
      <c r="G164" s="12">
        <f t="shared" si="56"/>
        <v>-14258.70233857552</v>
      </c>
      <c r="H164" s="46"/>
      <c r="I164" s="12">
        <v>24017.019513640393</v>
      </c>
      <c r="J164" s="12">
        <v>0</v>
      </c>
      <c r="K164" s="12">
        <f t="shared" si="57"/>
        <v>24017.019513640393</v>
      </c>
      <c r="L164" s="46"/>
      <c r="M164" s="12">
        <v>0</v>
      </c>
      <c r="N164" s="12">
        <v>0</v>
      </c>
      <c r="O164" s="12">
        <f t="shared" si="58"/>
        <v>24017.019513640393</v>
      </c>
      <c r="P164" s="13">
        <f t="shared" si="59"/>
        <v>1</v>
      </c>
      <c r="Q164" s="49">
        <f t="shared" si="60"/>
        <v>1.4611845549569082</v>
      </c>
    </row>
    <row r="165" spans="2:17" x14ac:dyDescent="0.2">
      <c r="B165" s="11">
        <f>MAX(B$138:B164)+1</f>
        <v>24</v>
      </c>
      <c r="C165" s="7"/>
      <c r="D165" s="38" t="s">
        <v>24</v>
      </c>
      <c r="E165" s="11"/>
      <c r="F165" s="12">
        <v>3664.9589187313049</v>
      </c>
      <c r="G165" s="12">
        <f t="shared" si="56"/>
        <v>-1128.2379636775049</v>
      </c>
      <c r="H165" s="46"/>
      <c r="I165" s="12">
        <v>4793.1968824088099</v>
      </c>
      <c r="J165" s="12">
        <v>0</v>
      </c>
      <c r="K165" s="12">
        <f t="shared" si="57"/>
        <v>4793.1968824088099</v>
      </c>
      <c r="L165" s="46"/>
      <c r="M165" s="12">
        <v>0</v>
      </c>
      <c r="N165" s="12">
        <v>0</v>
      </c>
      <c r="O165" s="12">
        <f t="shared" si="58"/>
        <v>4793.1968824088099</v>
      </c>
      <c r="P165" s="13">
        <f t="shared" si="59"/>
        <v>1</v>
      </c>
      <c r="Q165" s="49">
        <f t="shared" si="60"/>
        <v>0.3078446412894762</v>
      </c>
    </row>
    <row r="166" spans="2:17" x14ac:dyDescent="0.2">
      <c r="B166" s="11">
        <f>MAX(B$138:B165)+1</f>
        <v>25</v>
      </c>
      <c r="D166" s="38" t="s">
        <v>25</v>
      </c>
      <c r="E166" s="11"/>
      <c r="F166" s="12">
        <v>481.61601986855999</v>
      </c>
      <c r="G166" s="12">
        <f t="shared" si="56"/>
        <v>-799.70450933786628</v>
      </c>
      <c r="H166" s="46"/>
      <c r="I166" s="12">
        <v>1281.3205292064263</v>
      </c>
      <c r="J166" s="12">
        <v>0</v>
      </c>
      <c r="K166" s="12">
        <f t="shared" si="57"/>
        <v>1281.3205292064263</v>
      </c>
      <c r="L166" s="46"/>
      <c r="M166" s="12">
        <v>0</v>
      </c>
      <c r="N166" s="12">
        <v>0</v>
      </c>
      <c r="O166" s="12">
        <f t="shared" si="58"/>
        <v>1281.3205292064263</v>
      </c>
      <c r="P166" s="13">
        <f t="shared" si="59"/>
        <v>1</v>
      </c>
      <c r="Q166" s="49">
        <f t="shared" si="60"/>
        <v>1.6604607744487345</v>
      </c>
    </row>
    <row r="167" spans="2:17" x14ac:dyDescent="0.2">
      <c r="B167" s="11">
        <f>MAX(B$138:B166)+1</f>
        <v>26</v>
      </c>
      <c r="D167" s="38" t="s">
        <v>26</v>
      </c>
      <c r="E167" s="11"/>
      <c r="F167" s="12">
        <v>4586.3325253918983</v>
      </c>
      <c r="G167" s="12">
        <f t="shared" si="56"/>
        <v>-8954.3701920942876</v>
      </c>
      <c r="H167" s="46"/>
      <c r="I167" s="12">
        <v>13540.702717486187</v>
      </c>
      <c r="J167" s="12">
        <v>0</v>
      </c>
      <c r="K167" s="12">
        <f t="shared" si="57"/>
        <v>13540.702717486187</v>
      </c>
      <c r="L167" s="46"/>
      <c r="M167" s="12">
        <v>0</v>
      </c>
      <c r="N167" s="12">
        <v>0</v>
      </c>
      <c r="O167" s="12">
        <f t="shared" si="58"/>
        <v>13540.702717486187</v>
      </c>
      <c r="P167" s="13">
        <f t="shared" si="59"/>
        <v>1</v>
      </c>
      <c r="Q167" s="49">
        <f t="shared" si="60"/>
        <v>1.9524031767254262</v>
      </c>
    </row>
    <row r="168" spans="2:17" x14ac:dyDescent="0.2">
      <c r="B168" s="11">
        <f>MAX(B$138:B167)+1</f>
        <v>27</v>
      </c>
      <c r="D168" s="38" t="s">
        <v>27</v>
      </c>
      <c r="E168" s="11"/>
      <c r="F168" s="12">
        <v>378.83912656427003</v>
      </c>
      <c r="G168" s="12">
        <f t="shared" si="56"/>
        <v>-920.08130263514738</v>
      </c>
      <c r="H168" s="46"/>
      <c r="I168" s="12">
        <v>1298.9204291994174</v>
      </c>
      <c r="J168" s="12">
        <v>0</v>
      </c>
      <c r="K168" s="12">
        <f t="shared" si="57"/>
        <v>1298.9204291994174</v>
      </c>
      <c r="L168" s="46"/>
      <c r="M168" s="12">
        <v>0</v>
      </c>
      <c r="N168" s="12">
        <v>0</v>
      </c>
      <c r="O168" s="12">
        <f t="shared" si="58"/>
        <v>1298.9204291994174</v>
      </c>
      <c r="P168" s="13">
        <f t="shared" si="59"/>
        <v>1</v>
      </c>
      <c r="Q168" s="49">
        <f t="shared" si="60"/>
        <v>2.4286860519911362</v>
      </c>
    </row>
    <row r="169" spans="2:17" x14ac:dyDescent="0.2">
      <c r="B169" s="11">
        <f>MAX(B$138:B168)+1</f>
        <v>28</v>
      </c>
      <c r="C169" s="7"/>
      <c r="D169" s="7" t="s">
        <v>69</v>
      </c>
      <c r="F169" s="16">
        <f>SUM(F160:F168)</f>
        <v>883527.03819353878</v>
      </c>
      <c r="G169" s="16">
        <f>SUM(G160:G168)</f>
        <v>-74462.542959622078</v>
      </c>
      <c r="H169" s="46"/>
      <c r="I169" s="16">
        <f>SUM(I160:I168)</f>
        <v>957989.58115316113</v>
      </c>
      <c r="J169" s="16">
        <f>SUM(J160:J168)</f>
        <v>0</v>
      </c>
      <c r="K169" s="16">
        <f>SUM(K160:K168)</f>
        <v>957989.58115316113</v>
      </c>
      <c r="L169" s="46"/>
      <c r="M169" s="16">
        <f>SUM(M160:M168)</f>
        <v>0</v>
      </c>
      <c r="N169" s="16">
        <f>SUM(N160:N168)</f>
        <v>0</v>
      </c>
      <c r="O169" s="16">
        <f>SUM(O160:O168)</f>
        <v>957989.58115316113</v>
      </c>
      <c r="P169" s="51">
        <f t="shared" si="59"/>
        <v>1</v>
      </c>
      <c r="Q169" s="42">
        <f t="shared" si="60"/>
        <v>8.4278737085249356E-2</v>
      </c>
    </row>
    <row r="170" spans="2:17" x14ac:dyDescent="0.2">
      <c r="B170" s="8"/>
      <c r="C170" s="7"/>
      <c r="D170" s="11"/>
      <c r="F170" s="47"/>
      <c r="G170" s="47"/>
      <c r="H170" s="46"/>
      <c r="I170" s="47"/>
      <c r="J170" s="12"/>
      <c r="K170" s="47"/>
      <c r="L170" s="46"/>
      <c r="M170" s="12"/>
      <c r="N170" s="12"/>
      <c r="O170" s="47"/>
      <c r="P170" s="52"/>
      <c r="Q170" s="63"/>
    </row>
    <row r="171" spans="2:17" x14ac:dyDescent="0.2">
      <c r="B171" s="11">
        <f>MAX(B$138:B170)+1</f>
        <v>29</v>
      </c>
      <c r="C171" s="7"/>
      <c r="D171" s="29" t="s">
        <v>75</v>
      </c>
      <c r="F171" s="16">
        <f>F149+F157+F169</f>
        <v>3190007.4029933936</v>
      </c>
      <c r="G171" s="16">
        <f>G149+G157+G169</f>
        <v>-12591.188102355009</v>
      </c>
      <c r="H171" s="46"/>
      <c r="I171" s="16">
        <f>I149+I157+I169</f>
        <v>3202598.5910957493</v>
      </c>
      <c r="J171" s="16">
        <f>J149+J157+J169</f>
        <v>0</v>
      </c>
      <c r="K171" s="16">
        <f>K149+K157+K169</f>
        <v>3202598.5910957493</v>
      </c>
      <c r="L171" s="46"/>
      <c r="M171" s="16">
        <f>M149+M157+M169</f>
        <v>0</v>
      </c>
      <c r="N171" s="16">
        <f>N149+N157+N169</f>
        <v>0</v>
      </c>
      <c r="O171" s="16">
        <f>O149+O157+O169</f>
        <v>3202598.5910957493</v>
      </c>
      <c r="P171" s="51">
        <f>O171/K171</f>
        <v>1</v>
      </c>
      <c r="Q171" s="42">
        <f>O171/F171-1</f>
        <v>3.947071749909048E-3</v>
      </c>
    </row>
    <row r="172" spans="2:17" x14ac:dyDescent="0.2">
      <c r="B172" s="11"/>
      <c r="C172" s="7"/>
      <c r="D172" s="7"/>
      <c r="E172" s="11"/>
      <c r="F172" s="47"/>
      <c r="G172" s="47"/>
      <c r="H172" s="46"/>
      <c r="I172" s="47"/>
      <c r="J172" s="47"/>
      <c r="K172" s="47"/>
      <c r="L172" s="46"/>
      <c r="M172" s="46"/>
      <c r="N172" s="46"/>
      <c r="O172" s="47"/>
      <c r="P172" s="52"/>
      <c r="Q172" s="63"/>
    </row>
    <row r="173" spans="2:17" x14ac:dyDescent="0.2">
      <c r="B173" s="11"/>
      <c r="C173" s="7"/>
      <c r="D173" s="61" t="s">
        <v>31</v>
      </c>
      <c r="E173" s="11"/>
      <c r="F173" s="47"/>
      <c r="G173" s="47"/>
      <c r="H173" s="46"/>
      <c r="I173" s="47"/>
      <c r="J173" s="47"/>
      <c r="K173" s="47"/>
      <c r="L173" s="46"/>
      <c r="M173" s="46"/>
      <c r="N173" s="46"/>
      <c r="O173" s="47"/>
      <c r="P173" s="52"/>
      <c r="Q173" s="64"/>
    </row>
    <row r="174" spans="2:17" x14ac:dyDescent="0.2">
      <c r="B174" s="11">
        <f>MAX(B$138:B173)+1</f>
        <v>30</v>
      </c>
      <c r="C174" s="7"/>
      <c r="D174" s="4" t="s">
        <v>49</v>
      </c>
      <c r="F174" s="12">
        <v>0</v>
      </c>
      <c r="G174" s="12">
        <f t="shared" ref="G174:G181" si="61">F174-K174</f>
        <v>0</v>
      </c>
      <c r="H174" s="17"/>
      <c r="I174" s="12">
        <v>0</v>
      </c>
      <c r="J174" s="12"/>
      <c r="K174" s="12">
        <f t="shared" ref="K174:K181" si="62">I174+J174</f>
        <v>0</v>
      </c>
      <c r="L174" s="17"/>
      <c r="M174" s="12">
        <v>0</v>
      </c>
      <c r="N174" s="12">
        <v>0</v>
      </c>
      <c r="O174" s="12">
        <f t="shared" ref="O174:O181" si="63">K174+M174+N174</f>
        <v>0</v>
      </c>
      <c r="P174" s="20">
        <f>IFERROR(O174/K174,0)</f>
        <v>0</v>
      </c>
      <c r="Q174" s="20">
        <f>IFERROR(O174/F174-1,0)</f>
        <v>0</v>
      </c>
    </row>
    <row r="175" spans="2:17" x14ac:dyDescent="0.2">
      <c r="B175" s="11">
        <f>MAX(B$138:B174)+1</f>
        <v>31</v>
      </c>
      <c r="C175" s="7"/>
      <c r="D175" s="4" t="s">
        <v>50</v>
      </c>
      <c r="F175" s="12">
        <v>0</v>
      </c>
      <c r="G175" s="12">
        <f t="shared" si="61"/>
        <v>0</v>
      </c>
      <c r="I175" s="12">
        <v>0</v>
      </c>
      <c r="K175" s="12">
        <f t="shared" si="62"/>
        <v>0</v>
      </c>
      <c r="M175" s="12">
        <v>0</v>
      </c>
      <c r="N175" s="12">
        <v>0</v>
      </c>
      <c r="O175" s="12">
        <f t="shared" si="63"/>
        <v>0</v>
      </c>
      <c r="P175" s="20">
        <f t="shared" ref="P175:P176" si="64">IFERROR(O175/K175,0)</f>
        <v>0</v>
      </c>
      <c r="Q175" s="20">
        <f>IFERROR(O175/F175-1,0)</f>
        <v>0</v>
      </c>
    </row>
    <row r="176" spans="2:17" x14ac:dyDescent="0.2">
      <c r="B176" s="11">
        <f>MAX(B$138:B175)+1</f>
        <v>32</v>
      </c>
      <c r="C176" s="7"/>
      <c r="D176" s="4" t="s">
        <v>41</v>
      </c>
      <c r="F176" s="12">
        <v>0</v>
      </c>
      <c r="G176" s="12">
        <f t="shared" si="61"/>
        <v>0</v>
      </c>
      <c r="I176" s="12">
        <v>0</v>
      </c>
      <c r="K176" s="12">
        <f t="shared" si="62"/>
        <v>0</v>
      </c>
      <c r="M176" s="12">
        <v>0</v>
      </c>
      <c r="N176" s="12">
        <v>0</v>
      </c>
      <c r="O176" s="12">
        <f t="shared" si="63"/>
        <v>0</v>
      </c>
      <c r="P176" s="20">
        <f t="shared" si="64"/>
        <v>0</v>
      </c>
      <c r="Q176" s="20">
        <f t="shared" ref="Q176:Q181" si="65">IFERROR(O176/F176-1,0)</f>
        <v>0</v>
      </c>
    </row>
    <row r="177" spans="2:17" x14ac:dyDescent="0.2">
      <c r="B177" s="11">
        <f>MAX(B$138:B176)+1</f>
        <v>33</v>
      </c>
      <c r="C177" s="7"/>
      <c r="D177" s="38" t="s">
        <v>59</v>
      </c>
      <c r="E177" s="11"/>
      <c r="F177" s="12">
        <v>18991.286362844032</v>
      </c>
      <c r="G177" s="12">
        <f t="shared" si="61"/>
        <v>-7563.6413675712975</v>
      </c>
      <c r="H177" s="46"/>
      <c r="I177" s="12">
        <v>26554.927730415329</v>
      </c>
      <c r="J177" s="12"/>
      <c r="K177" s="12">
        <f t="shared" si="62"/>
        <v>26554.927730415329</v>
      </c>
      <c r="L177" s="46"/>
      <c r="M177" s="12">
        <v>0</v>
      </c>
      <c r="N177" s="12">
        <v>0</v>
      </c>
      <c r="O177" s="12">
        <f t="shared" si="63"/>
        <v>26554.927730415329</v>
      </c>
      <c r="P177" s="13">
        <f t="shared" ref="P177:P181" si="66">O177/K177</f>
        <v>1</v>
      </c>
      <c r="Q177" s="22">
        <f t="shared" si="65"/>
        <v>0.39826903891931043</v>
      </c>
    </row>
    <row r="178" spans="2:17" x14ac:dyDescent="0.2">
      <c r="B178" s="11">
        <f>MAX(B$138:B177)+1</f>
        <v>34</v>
      </c>
      <c r="C178" s="7"/>
      <c r="D178" s="38" t="s">
        <v>34</v>
      </c>
      <c r="E178" s="11"/>
      <c r="F178" s="12">
        <v>3219.864368336599</v>
      </c>
      <c r="G178" s="12">
        <f t="shared" si="61"/>
        <v>-1260.5858341666917</v>
      </c>
      <c r="H178" s="46"/>
      <c r="I178" s="12">
        <v>4480.4502025032907</v>
      </c>
      <c r="J178" s="12"/>
      <c r="K178" s="12">
        <f t="shared" si="62"/>
        <v>4480.4502025032907</v>
      </c>
      <c r="L178" s="46"/>
      <c r="M178" s="12">
        <v>0</v>
      </c>
      <c r="N178" s="12">
        <v>0</v>
      </c>
      <c r="O178" s="12">
        <f t="shared" si="63"/>
        <v>4480.4502025032907</v>
      </c>
      <c r="P178" s="13">
        <f t="shared" si="66"/>
        <v>1</v>
      </c>
      <c r="Q178" s="22">
        <f t="shared" si="65"/>
        <v>0.3915027746395161</v>
      </c>
    </row>
    <row r="179" spans="2:17" x14ac:dyDescent="0.2">
      <c r="B179" s="11">
        <f>MAX(B$138:B178)+1</f>
        <v>35</v>
      </c>
      <c r="D179" s="38" t="s">
        <v>61</v>
      </c>
      <c r="E179" s="11"/>
      <c r="F179" s="12">
        <v>43.120009500000002</v>
      </c>
      <c r="G179" s="12">
        <f t="shared" si="61"/>
        <v>-79.819392356653964</v>
      </c>
      <c r="H179" s="46"/>
      <c r="I179" s="12">
        <v>122.93940185665396</v>
      </c>
      <c r="J179" s="12"/>
      <c r="K179" s="12">
        <f t="shared" si="62"/>
        <v>122.93940185665396</v>
      </c>
      <c r="L179" s="46"/>
      <c r="M179" s="12">
        <v>0</v>
      </c>
      <c r="N179" s="12">
        <v>0</v>
      </c>
      <c r="O179" s="12">
        <f t="shared" si="63"/>
        <v>122.93940185665396</v>
      </c>
      <c r="P179" s="13">
        <f t="shared" si="66"/>
        <v>1</v>
      </c>
      <c r="Q179" s="22">
        <f t="shared" si="65"/>
        <v>1.8510986728018684</v>
      </c>
    </row>
    <row r="180" spans="2:17" x14ac:dyDescent="0.2">
      <c r="B180" s="11">
        <f>MAX(B$138:B179)+1</f>
        <v>36</v>
      </c>
      <c r="D180" s="38" t="s">
        <v>32</v>
      </c>
      <c r="E180" s="11"/>
      <c r="F180" s="12">
        <v>210.2892014527375</v>
      </c>
      <c r="G180" s="12">
        <f t="shared" si="61"/>
        <v>-239.42660200180606</v>
      </c>
      <c r="H180" s="46"/>
      <c r="I180" s="12">
        <v>449.71580345454356</v>
      </c>
      <c r="J180" s="12"/>
      <c r="K180" s="12">
        <f t="shared" si="62"/>
        <v>449.71580345454356</v>
      </c>
      <c r="L180" s="46"/>
      <c r="M180" s="12">
        <v>0</v>
      </c>
      <c r="N180" s="12">
        <v>0</v>
      </c>
      <c r="O180" s="12">
        <f t="shared" si="63"/>
        <v>449.71580345454356</v>
      </c>
      <c r="P180" s="13">
        <f t="shared" si="66"/>
        <v>1</v>
      </c>
      <c r="Q180" s="22">
        <f t="shared" si="65"/>
        <v>1.1385587103273926</v>
      </c>
    </row>
    <row r="181" spans="2:17" x14ac:dyDescent="0.2">
      <c r="B181" s="11">
        <f>MAX(B$138:B180)+1</f>
        <v>37</v>
      </c>
      <c r="D181" s="38" t="s">
        <v>33</v>
      </c>
      <c r="E181" s="11"/>
      <c r="F181" s="12">
        <v>41.171305514776698</v>
      </c>
      <c r="G181" s="12">
        <f t="shared" si="61"/>
        <v>-28.617890497112406</v>
      </c>
      <c r="H181" s="46"/>
      <c r="I181" s="12">
        <v>69.789196011889103</v>
      </c>
      <c r="J181" s="12"/>
      <c r="K181" s="12">
        <f t="shared" si="62"/>
        <v>69.789196011889103</v>
      </c>
      <c r="L181" s="46"/>
      <c r="M181" s="12">
        <v>0</v>
      </c>
      <c r="N181" s="12">
        <v>0</v>
      </c>
      <c r="O181" s="12">
        <f t="shared" si="63"/>
        <v>69.789196011889103</v>
      </c>
      <c r="P181" s="13">
        <f t="shared" si="66"/>
        <v>1</v>
      </c>
      <c r="Q181" s="22">
        <f t="shared" si="65"/>
        <v>0.69509310281261838</v>
      </c>
    </row>
    <row r="182" spans="2:17" x14ac:dyDescent="0.2">
      <c r="B182" s="11">
        <f>MAX(B$138:B181)+1</f>
        <v>38</v>
      </c>
      <c r="C182" s="7"/>
      <c r="D182" s="7" t="s">
        <v>35</v>
      </c>
      <c r="F182" s="16">
        <f>SUM(F174:F181)</f>
        <v>22505.731247648146</v>
      </c>
      <c r="G182" s="16">
        <f>SUM(G174:G181)</f>
        <v>-9172.0910865935621</v>
      </c>
      <c r="H182" s="46"/>
      <c r="I182" s="16">
        <f>SUM(I174:I181)</f>
        <v>31677.822334241708</v>
      </c>
      <c r="J182" s="16">
        <f>SUM(J174:J181)</f>
        <v>0</v>
      </c>
      <c r="K182" s="16">
        <f>SUM(K174:K181)</f>
        <v>31677.822334241708</v>
      </c>
      <c r="L182" s="46"/>
      <c r="M182" s="16">
        <f>SUM(M174:M181)</f>
        <v>0</v>
      </c>
      <c r="N182" s="16">
        <f>SUM(N174:N181)</f>
        <v>0</v>
      </c>
      <c r="O182" s="16">
        <f>SUM(O174:O181)</f>
        <v>31677.822334241708</v>
      </c>
      <c r="P182" s="51">
        <f>O182/K182</f>
        <v>1</v>
      </c>
      <c r="Q182" s="42">
        <f t="shared" ref="Q182" si="67">O182/F182-1</f>
        <v>0.40754468209301353</v>
      </c>
    </row>
    <row r="183" spans="2:17" ht="11.65" customHeight="1" x14ac:dyDescent="0.2">
      <c r="B183" s="8"/>
      <c r="C183" s="7"/>
      <c r="D183" s="11"/>
      <c r="F183" s="47"/>
      <c r="G183" s="47"/>
      <c r="H183" s="46"/>
      <c r="I183" s="47"/>
      <c r="J183" s="47"/>
      <c r="K183" s="47"/>
      <c r="L183" s="46"/>
      <c r="M183" s="12"/>
      <c r="N183" s="12"/>
      <c r="O183" s="47"/>
      <c r="P183" s="52"/>
      <c r="Q183" s="63"/>
    </row>
    <row r="184" spans="2:17" ht="11.65" customHeight="1" x14ac:dyDescent="0.2">
      <c r="B184" s="11">
        <f>MAX(B$138:B182)+1</f>
        <v>39</v>
      </c>
      <c r="D184" s="19" t="s">
        <v>66</v>
      </c>
      <c r="F184" s="12">
        <v>0</v>
      </c>
      <c r="G184" s="12">
        <f t="shared" ref="G184" si="68">F184-K184</f>
        <v>0</v>
      </c>
      <c r="H184" s="17"/>
      <c r="I184" s="12">
        <v>0</v>
      </c>
      <c r="J184" s="12"/>
      <c r="K184" s="12">
        <f>I184</f>
        <v>0</v>
      </c>
      <c r="L184" s="17"/>
      <c r="M184" s="12">
        <v>0</v>
      </c>
      <c r="N184" s="12">
        <v>0</v>
      </c>
      <c r="O184" s="12">
        <f t="shared" ref="O184" si="69">K184+M184+N184</f>
        <v>0</v>
      </c>
      <c r="P184" s="12">
        <v>0</v>
      </c>
      <c r="Q184" s="22">
        <f t="shared" ref="Q184" si="70">IFERROR(O184/F184-1,0)</f>
        <v>0</v>
      </c>
    </row>
    <row r="185" spans="2:17" ht="11.65" customHeight="1" x14ac:dyDescent="0.2">
      <c r="B185" s="11"/>
      <c r="C185" s="7"/>
      <c r="D185" s="29"/>
      <c r="F185" s="54"/>
      <c r="G185" s="54"/>
      <c r="H185" s="46"/>
      <c r="I185" s="54"/>
      <c r="J185" s="54"/>
      <c r="K185" s="54"/>
      <c r="L185" s="46"/>
      <c r="M185" s="54"/>
      <c r="N185" s="54"/>
      <c r="O185" s="54"/>
      <c r="P185" s="31"/>
      <c r="Q185" s="41"/>
    </row>
    <row r="186" spans="2:17" ht="11.65" customHeight="1" thickBot="1" x14ac:dyDescent="0.25">
      <c r="B186" s="11">
        <f>MAX(B$138:B184)+1</f>
        <v>40</v>
      </c>
      <c r="C186" s="7"/>
      <c r="D186" s="29" t="s">
        <v>36</v>
      </c>
      <c r="F186" s="21">
        <f>ROUND(F171+F182+F184,0)</f>
        <v>3212513</v>
      </c>
      <c r="G186" s="21">
        <f>ROUND(G171+G182+G184,0)</f>
        <v>-21763</v>
      </c>
      <c r="H186" s="46"/>
      <c r="I186" s="21">
        <f>ROUND(I171+I182+I184,0)</f>
        <v>3234276</v>
      </c>
      <c r="J186" s="21">
        <f>ROUND(J171+J182+J184,0)</f>
        <v>0</v>
      </c>
      <c r="K186" s="21">
        <f>ROUND(K171+K182+K184,0)</f>
        <v>3234276</v>
      </c>
      <c r="L186" s="46"/>
      <c r="M186" s="21">
        <f>ROUND(M171+M182+M184,0)</f>
        <v>0</v>
      </c>
      <c r="N186" s="21">
        <f>ROUND(N171+N182+N184,0)</f>
        <v>0</v>
      </c>
      <c r="O186" s="21">
        <f>ROUND(O171+O182+O184,0)</f>
        <v>3234276</v>
      </c>
      <c r="P186" s="53">
        <f>O186/K186</f>
        <v>1</v>
      </c>
      <c r="Q186" s="44">
        <f>O186/F186-1</f>
        <v>6.7744472940653999E-3</v>
      </c>
    </row>
    <row r="187" spans="2:17" ht="11.65" customHeight="1" thickTop="1" x14ac:dyDescent="0.2">
      <c r="B187" s="5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2:17" x14ac:dyDescent="0.2">
      <c r="B188" s="30"/>
      <c r="C188" s="7"/>
      <c r="D188" s="7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2:17" x14ac:dyDescent="0.2">
      <c r="B189" s="26"/>
      <c r="D189" s="8"/>
    </row>
    <row r="190" spans="2:17" x14ac:dyDescent="0.2">
      <c r="B190" s="26"/>
    </row>
    <row r="191" spans="2:17" x14ac:dyDescent="0.2">
      <c r="B191" s="26"/>
      <c r="D191" s="8"/>
    </row>
    <row r="192" spans="2:17" x14ac:dyDescent="0.2">
      <c r="B192" s="26"/>
      <c r="C192" s="8"/>
      <c r="D192" s="8"/>
    </row>
    <row r="193" spans="2:5" x14ac:dyDescent="0.2">
      <c r="B193" s="26"/>
      <c r="C193" s="8"/>
      <c r="D193" s="8"/>
    </row>
    <row r="194" spans="2:5" x14ac:dyDescent="0.2">
      <c r="B194" s="26"/>
      <c r="D194" s="8"/>
      <c r="E194" s="17"/>
    </row>
    <row r="195" spans="2:5" x14ac:dyDescent="0.2">
      <c r="B195" s="26"/>
      <c r="D195" s="8"/>
    </row>
    <row r="196" spans="2:5" x14ac:dyDescent="0.2">
      <c r="B196" s="26"/>
    </row>
    <row r="198" spans="2:5" x14ac:dyDescent="0.2">
      <c r="B198" s="26"/>
      <c r="D198" s="8"/>
    </row>
  </sheetData>
  <mergeCells count="9">
    <mergeCell ref="F132:G132"/>
    <mergeCell ref="I132:K132"/>
    <mergeCell ref="M132:Q132"/>
    <mergeCell ref="F8:G8"/>
    <mergeCell ref="I8:K8"/>
    <mergeCell ref="M8:Q8"/>
    <mergeCell ref="F70:G70"/>
    <mergeCell ref="I70:K70"/>
    <mergeCell ref="M70:Q70"/>
  </mergeCells>
  <pageMargins left="0.7" right="0.7" top="0.75" bottom="0.75" header="0.3" footer="0.3"/>
  <pageSetup scale="64" fitToHeight="0" orientation="landscape" blackAndWhite="1" r:id="rId1"/>
  <headerFooter alignWithMargins="0">
    <oddHeader xml:space="preserve">&amp;R&amp;"Arial,Regular"&amp;10Filed: 2023-05-18
EB-2022-0200
Exhibit I.7.0-STAFF-237
Attachment 2
Page &amp;P of &amp;N </oddHeader>
  </headerFooter>
  <rowBreaks count="2" manualBreakCount="2">
    <brk id="62" min="1" max="16" man="1"/>
    <brk id="124" min="1" max="1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167dcd481efed85bb8318320872825bf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f3f0393e42ae996c6ffe4d78604b12b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bc9be6ef-036f-4d38-ab45-2a4da0c93cb0" xsi:nil="true"/>
    <_ip_UnifiedCompliancePolicyUIAction xmlns="http://schemas.microsoft.com/sharepoint/v3" xsi:nil="true"/>
    <_ip_UnifiedCompliancePolicyProperties xmlns="http://schemas.microsoft.com/sharepoint/v3" xsi:nil="true"/>
    <_dlc_DocId xmlns="bc9be6ef-036f-4d38-ab45-2a4da0c93cb0">C6U45NHNYSXQ-1954422155-5854</_dlc_DocId>
    <_dlc_DocIdUrl xmlns="bc9be6ef-036f-4d38-ab45-2a4da0c93cb0">
      <Url>https://enbridge.sharepoint.com/teams/EB-2022-02002024Rebasing/_layouts/15/DocIdRedir.aspx?ID=C6U45NHNYSXQ-1954422155-5854</Url>
      <Description>C6U45NHNYSXQ-1954422155-5854</Description>
    </_dlc_DocIdUrl>
    <Area xmlns="0f3dc55c-bcca-45e2-bb95-d6030d9207f1" xsi:nil="true"/>
    <Intervenor xmlns="0f3dc55c-bcca-45e2-bb95-d6030d9207f1" xsi:nil="true"/>
    <KeySupport xmlns="0f3dc55c-bcca-45e2-bb95-d6030d9207f1">
      <UserInfo>
        <DisplayName/>
        <AccountId xsi:nil="true"/>
        <AccountType/>
      </UserInfo>
    </KeySupport>
    <TeamsPlannerStatus xmlns="0f3dc55c-bcca-45e2-bb95-d6030d9207f1">Draft Response</TeamsPlannerStatus>
    <RegLead xmlns="0f3dc55c-bcca-45e2-bb95-d6030d9207f1">
      <UserInfo>
        <DisplayName/>
        <AccountId xsi:nil="true"/>
        <AccountType/>
      </UserInfo>
    </RegLead>
    <Legal xmlns="0f3dc55c-bcca-45e2-bb95-d6030d9207f1">
      <UserInfo>
        <DisplayName/>
        <AccountId xsi:nil="true"/>
        <AccountType/>
      </UserInfo>
    </Legal>
    <Exhibit xmlns="0f3dc55c-bcca-45e2-bb95-d6030d9207f1" xsi:nil="true"/>
    <Category xmlns="0f3dc55c-bcca-45e2-bb95-d6030d9207f1" xsi:nil="true"/>
    <Witnesses xmlns="0f3dc55c-bcca-45e2-bb95-d6030d9207f1" xsi:nil="true"/>
    <Int_x002f_Exhibit_x002f_Tab xmlns="0f3dc55c-bcca-45e2-bb95-d6030d9207f1" xsi:nil="true"/>
  </documentManagement>
</p:properties>
</file>

<file path=customXml/itemProps1.xml><?xml version="1.0" encoding="utf-8"?>
<ds:datastoreItem xmlns:ds="http://schemas.openxmlformats.org/officeDocument/2006/customXml" ds:itemID="{D856746C-B45B-4647-8E11-7228B0E18EF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9B9781B-604D-4AE8-847D-BA73481CE5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6BD95B-BD90-4BAD-8781-33ACBFF900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3dc55c-bcca-45e2-bb95-d6030d9207f1"/>
    <ds:schemaRef ds:uri="bc9be6ef-036f-4d38-ab45-2a4da0c93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FB20BA8-4D87-495B-860E-2C0035FFF8B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e4c58a4-4156-4653-af30-d293e31e5ce5"/>
    <ds:schemaRef ds:uri="http://www.w3.org/XML/1998/namespace"/>
    <ds:schemaRef ds:uri="http://purl.org/dc/dcmitype/"/>
    <ds:schemaRef ds:uri="d85a738a-5de5-4f0e-a1be-c27ff7dc3dd8"/>
    <ds:schemaRef ds:uri="bc9be6ef-036f-4d38-ab45-2a4da0c93cb0"/>
    <ds:schemaRef ds:uri="http://schemas.microsoft.com/sharepoint/v3"/>
    <ds:schemaRef ds:uri="0f3dc55c-bcca-45e2-bb95-d6030d9207f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Julie Rader</dc:creator>
  <cp:lastModifiedBy>Julie Rader</cp:lastModifiedBy>
  <cp:lastPrinted>2023-05-18T12:58:36Z</cp:lastPrinted>
  <dcterms:created xsi:type="dcterms:W3CDTF">2022-11-29T19:49:13Z</dcterms:created>
  <dcterms:modified xsi:type="dcterms:W3CDTF">2023-05-18T18:39:36Z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0x010100F3E2251B1EE19E40ADD262C998ACD182</vt:lpwstr>
  </property>
  <property fmtid="{D5CDD505-2E9C-101B-9397-08002B2CF9AE}" pid="3" name="MSIP_Label_b1a6f161-e42b-4c47-8f69-f6a81e023e2d_Enabled">
    <vt:lpwstr>true</vt:lpwstr>
  </property>
  <property fmtid="{D5CDD505-2E9C-101B-9397-08002B2CF9AE}" pid="4" name="MSIP_Label_b1a6f161-e42b-4c47-8f69-f6a81e023e2d_SetDate">
    <vt:lpwstr>2022-11-26T15:58:44Z</vt:lpwstr>
  </property>
  <property fmtid="{D5CDD505-2E9C-101B-9397-08002B2CF9AE}" pid="5" name="MSIP_Label_b1a6f161-e42b-4c47-8f69-f6a81e023e2d_Method">
    <vt:lpwstr>Standard</vt:lpwstr>
  </property>
  <property fmtid="{D5CDD505-2E9C-101B-9397-08002B2CF9AE}" pid="6" name="MSIP_Label_b1a6f161-e42b-4c47-8f69-f6a81e023e2d_Name">
    <vt:lpwstr>b1a6f161-e42b-4c47-8f69-f6a81e023e2d</vt:lpwstr>
  </property>
  <property fmtid="{D5CDD505-2E9C-101B-9397-08002B2CF9AE}" pid="7" name="MSIP_Label_b1a6f161-e42b-4c47-8f69-f6a81e023e2d_SiteId">
    <vt:lpwstr>271df5c2-953a-497b-93ad-7adf7a4b3cd7</vt:lpwstr>
  </property>
  <property fmtid="{D5CDD505-2E9C-101B-9397-08002B2CF9AE}" pid="8" name="MSIP_Label_b1a6f161-e42b-4c47-8f69-f6a81e023e2d_ActionId">
    <vt:lpwstr>3d855e4b-c1b7-4f7f-b526-bf8a0d3dd4fa</vt:lpwstr>
  </property>
  <property fmtid="{D5CDD505-2E9C-101B-9397-08002B2CF9AE}" pid="9" name="MSIP_Label_b1a6f161-e42b-4c47-8f69-f6a81e023e2d_ContentBits">
    <vt:lpwstr>0</vt:lpwstr>
  </property>
  <property fmtid="{D5CDD505-2E9C-101B-9397-08002B2CF9AE}" pid="10" name="Order">
    <vt:r8>198900</vt:r8>
  </property>
  <property fmtid="{D5CDD505-2E9C-101B-9397-08002B2CF9AE}" pid="11" name="Ange Review">
    <vt:bool>false</vt:bool>
  </property>
  <property fmtid="{D5CDD505-2E9C-101B-9397-08002B2CF9AE}" pid="12" name="_dlc_DocIdItemGuid">
    <vt:lpwstr>089b5600-16fa-4c20-8061-dd4f4d892b62</vt:lpwstr>
  </property>
</Properties>
</file>