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ontarioenergyboard-my.sharepoint.com/personal/oconnefi_oeb_ca/Documents/2019 Accounting Guidance/2022 Update/Illustrative Model/"/>
    </mc:Choice>
  </mc:AlternateContent>
  <xr:revisionPtr revIDLastSave="1" documentId="8_{BD786D66-DB39-400A-83D4-C82F023914E4}" xr6:coauthVersionLast="47" xr6:coauthVersionMax="47" xr10:uidLastSave="{12344F01-613E-4FE2-92D7-AFE3F97B5744}"/>
  <bookViews>
    <workbookView xWindow="-120" yWindow="-120" windowWidth="29040" windowHeight="15840" tabRatio="717" xr2:uid="{00000000-000D-0000-FFFF-FFFF00000000}"/>
  </bookViews>
  <sheets>
    <sheet name="Summary of Updates" sheetId="24" r:id="rId1"/>
    <sheet name="Data for Settlement &amp; 1st TU" sheetId="10" r:id="rId2"/>
    <sheet name="RPP Settlement &amp; 1st TU" sheetId="11" r:id="rId3"/>
    <sheet name="Data for 2nd TU" sheetId="14" r:id="rId4"/>
    <sheet name="RPP 2nd TU" sheetId="13" r:id="rId5"/>
    <sheet name="RPP vs non-RPP TU JE" sheetId="18" r:id="rId6"/>
    <sheet name="Rate Application Related" sheetId="19" r:id="rId7"/>
    <sheet name="Final RSVA Balances" sheetId="21" r:id="rId8"/>
    <sheet name="JEs" sheetId="9" r:id="rId9"/>
    <sheet name="T-Accounts" sheetId="22" r:id="rId10"/>
  </sheets>
  <definedNames>
    <definedName name="_xlnm.Print_Area" localSheetId="3">'Data for 2nd TU'!$A$1:$I$103</definedName>
    <definedName name="_xlnm.Print_Area" localSheetId="1">'Data for Settlement &amp; 1st TU'!$A$2:$I$107</definedName>
    <definedName name="_xlnm.Print_Area" localSheetId="8">JEs!$B$2:$E$172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1" i="9" l="1"/>
  <c r="E30" i="21" l="1"/>
  <c r="H10" i="14"/>
  <c r="E42" i="21" l="1"/>
  <c r="J65" i="22" l="1"/>
  <c r="J64" i="22"/>
  <c r="J63" i="22"/>
  <c r="J54" i="22"/>
  <c r="J52" i="22"/>
  <c r="J51" i="22"/>
  <c r="J48" i="22"/>
  <c r="J46" i="22"/>
  <c r="J47" i="22" s="1"/>
  <c r="J44" i="22"/>
  <c r="J45" i="22" s="1"/>
  <c r="J41" i="22"/>
  <c r="J38" i="22"/>
  <c r="J39" i="22" s="1"/>
  <c r="J17" i="22"/>
  <c r="J14" i="22"/>
  <c r="J11" i="22"/>
  <c r="J12" i="22" s="1"/>
  <c r="J9" i="22"/>
  <c r="J10" i="22" s="1"/>
  <c r="J5" i="22"/>
  <c r="J6" i="22" s="1"/>
  <c r="A24" i="22"/>
  <c r="A19" i="22"/>
  <c r="A20" i="22" s="1"/>
  <c r="A21" i="22" s="1"/>
  <c r="A22" i="22" s="1"/>
  <c r="A23" i="22" s="1"/>
  <c r="A14" i="22"/>
  <c r="A15" i="22" s="1"/>
  <c r="A16" i="22" s="1"/>
  <c r="A17" i="22" s="1"/>
  <c r="A18" i="22" s="1"/>
  <c r="A5" i="22"/>
  <c r="A6" i="22" s="1"/>
  <c r="A7" i="22" s="1"/>
  <c r="A8" i="22" s="1"/>
  <c r="A9" i="22" s="1"/>
  <c r="A65" i="22"/>
  <c r="A64" i="22"/>
  <c r="A63" i="22"/>
  <c r="A55" i="22"/>
  <c r="A56" i="22" s="1"/>
  <c r="A53" i="22"/>
  <c r="A54" i="22" s="1"/>
  <c r="A49" i="22"/>
  <c r="A50" i="22" s="1"/>
  <c r="A47" i="22"/>
  <c r="A48" i="22" s="1"/>
  <c r="A45" i="22"/>
  <c r="A46" i="22" s="1"/>
  <c r="A41" i="22"/>
  <c r="A38" i="22"/>
  <c r="A39" i="22" s="1"/>
  <c r="A32" i="22"/>
  <c r="A30" i="22"/>
  <c r="A29" i="22"/>
  <c r="A26" i="22"/>
  <c r="E120" i="9"/>
  <c r="P94" i="10"/>
  <c r="K77" i="14"/>
  <c r="B47" i="10"/>
  <c r="G39" i="11"/>
  <c r="D131" i="9" l="1"/>
  <c r="E131" i="9"/>
  <c r="E62" i="9"/>
  <c r="D62" i="9"/>
  <c r="E49" i="9"/>
  <c r="K76" i="14"/>
  <c r="K75" i="14"/>
  <c r="D89" i="10"/>
  <c r="D90" i="10"/>
  <c r="H43" i="10"/>
  <c r="C40" i="10"/>
  <c r="H41" i="10"/>
  <c r="B19" i="10"/>
  <c r="B20" i="10"/>
  <c r="B21" i="10"/>
  <c r="B22" i="10"/>
  <c r="B23" i="10"/>
  <c r="B24" i="10"/>
  <c r="B25" i="10"/>
  <c r="G45" i="14" l="1"/>
  <c r="H45" i="14" s="1"/>
  <c r="G42" i="14"/>
  <c r="G21" i="14" s="1"/>
  <c r="G43" i="14"/>
  <c r="G22" i="14" s="1"/>
  <c r="G44" i="14"/>
  <c r="G23" i="14" s="1"/>
  <c r="G41" i="14"/>
  <c r="G40" i="14"/>
  <c r="G39" i="14"/>
  <c r="G38" i="14"/>
  <c r="G37" i="14"/>
  <c r="H44" i="14" l="1"/>
  <c r="H43" i="14"/>
  <c r="H42" i="14"/>
  <c r="G24" i="14"/>
  <c r="G46" i="14"/>
  <c r="H82" i="14" l="1"/>
  <c r="H81" i="14"/>
  <c r="H80" i="14"/>
  <c r="H83" i="14"/>
  <c r="I44" i="10"/>
  <c r="N44" i="10" s="1"/>
  <c r="L82" i="10" s="1"/>
  <c r="I43" i="10"/>
  <c r="D42" i="14" s="1"/>
  <c r="I46" i="10"/>
  <c r="D45" i="14" s="1"/>
  <c r="D43" i="14" l="1"/>
  <c r="B13" i="13" s="1"/>
  <c r="B83" i="14"/>
  <c r="B15" i="13"/>
  <c r="I45" i="14"/>
  <c r="B30" i="13" s="1"/>
  <c r="G83" i="14"/>
  <c r="I83" i="14" s="1"/>
  <c r="B12" i="13"/>
  <c r="I42" i="14"/>
  <c r="B27" i="13" s="1"/>
  <c r="G80" i="14"/>
  <c r="I80" i="14" s="1"/>
  <c r="B80" i="14"/>
  <c r="N46" i="10"/>
  <c r="L84" i="10" s="1"/>
  <c r="N43" i="10"/>
  <c r="L81" i="10" s="1"/>
  <c r="B30" i="11"/>
  <c r="B27" i="11"/>
  <c r="B28" i="11"/>
  <c r="B14" i="11"/>
  <c r="D14" i="11"/>
  <c r="B13" i="11"/>
  <c r="D13" i="11"/>
  <c r="B12" i="11"/>
  <c r="D12" i="11"/>
  <c r="B15" i="11"/>
  <c r="D15" i="11"/>
  <c r="G81" i="14" l="1"/>
  <c r="I81" i="14" s="1"/>
  <c r="B45" i="11"/>
  <c r="B81" i="14"/>
  <c r="I43" i="14"/>
  <c r="B28" i="13" s="1"/>
  <c r="B43" i="13" s="1"/>
  <c r="B43" i="11"/>
  <c r="B45" i="13"/>
  <c r="B42" i="13"/>
  <c r="B42" i="11"/>
  <c r="B82" i="10" l="1"/>
  <c r="G82" i="10" s="1"/>
  <c r="B81" i="10"/>
  <c r="G81" i="10" s="1"/>
  <c r="B84" i="10"/>
  <c r="G84" i="10" s="1"/>
  <c r="B83" i="10"/>
  <c r="G83" i="10" s="1"/>
  <c r="I45" i="10"/>
  <c r="N45" i="10" l="1"/>
  <c r="L83" i="10" s="1"/>
  <c r="B29" i="11"/>
  <c r="D44" i="14"/>
  <c r="H38" i="14"/>
  <c r="H39" i="14"/>
  <c r="H40" i="14"/>
  <c r="H41" i="14"/>
  <c r="H37" i="14"/>
  <c r="C39" i="10"/>
  <c r="C38" i="10"/>
  <c r="I98" i="10"/>
  <c r="H46" i="14" l="1"/>
  <c r="B44" i="11"/>
  <c r="B14" i="13"/>
  <c r="I44" i="14"/>
  <c r="B29" i="13" s="1"/>
  <c r="G82" i="14"/>
  <c r="I82" i="14" s="1"/>
  <c r="B82" i="14"/>
  <c r="D97" i="14"/>
  <c r="O18" i="22"/>
  <c r="B44" i="13" l="1"/>
  <c r="D70" i="9"/>
  <c r="D20" i="22" s="1"/>
  <c r="D71" i="9"/>
  <c r="M11" i="22" s="1"/>
  <c r="D99" i="10" l="1"/>
  <c r="C6" i="14" l="1"/>
  <c r="D6" i="14" s="1"/>
  <c r="C68" i="14" s="1"/>
  <c r="C7" i="14"/>
  <c r="H7" i="14" s="1"/>
  <c r="C62" i="14" l="1"/>
  <c r="C7" i="21"/>
  <c r="C16" i="21"/>
  <c r="I32" i="14"/>
  <c r="I7" i="10"/>
  <c r="H63" i="10" s="1"/>
  <c r="G63" i="10" s="1"/>
  <c r="D7" i="10"/>
  <c r="C63" i="10" s="1"/>
  <c r="B63" i="10" s="1"/>
  <c r="D33" i="10"/>
  <c r="H9" i="10"/>
  <c r="C9" i="10"/>
  <c r="H69" i="10" l="1"/>
  <c r="C69" i="10"/>
  <c r="E75" i="9" l="1"/>
  <c r="F23" i="22" s="1"/>
  <c r="G69" i="10"/>
  <c r="B68" i="14" s="1"/>
  <c r="E11" i="9"/>
  <c r="D42" i="9" s="1"/>
  <c r="D15" i="22" s="1"/>
  <c r="B69" i="10"/>
  <c r="D5" i="9"/>
  <c r="D12" i="19"/>
  <c r="E12" i="19"/>
  <c r="C25" i="21"/>
  <c r="F9" i="22" l="1"/>
  <c r="G68" i="14"/>
  <c r="D68" i="14"/>
  <c r="D5" i="22"/>
  <c r="E44" i="9"/>
  <c r="F16" i="22" s="1"/>
  <c r="C8" i="21"/>
  <c r="B8" i="21"/>
  <c r="B6" i="21"/>
  <c r="D8" i="9"/>
  <c r="I31" i="14"/>
  <c r="H96" i="14" s="1"/>
  <c r="D64" i="14"/>
  <c r="D89" i="14" s="1"/>
  <c r="B8" i="11"/>
  <c r="B9" i="11"/>
  <c r="B10" i="11"/>
  <c r="B11" i="11"/>
  <c r="B7" i="11"/>
  <c r="B77" i="10"/>
  <c r="B78" i="10"/>
  <c r="B79" i="10"/>
  <c r="B80" i="10"/>
  <c r="B76" i="10"/>
  <c r="E47" i="9" l="1"/>
  <c r="O9" i="22" s="1"/>
  <c r="M5" i="22"/>
  <c r="C6" i="21"/>
  <c r="B9" i="21"/>
  <c r="I64" i="14"/>
  <c r="I89" i="14" s="1"/>
  <c r="I90" i="10"/>
  <c r="N90" i="10" s="1"/>
  <c r="O90" i="10" s="1"/>
  <c r="G39" i="10"/>
  <c r="L39" i="10" s="1"/>
  <c r="I6" i="10"/>
  <c r="C98" i="10"/>
  <c r="B98" i="10" s="1"/>
  <c r="I9" i="10" l="1"/>
  <c r="H64" i="10"/>
  <c r="E96" i="9"/>
  <c r="O46" i="22" s="1"/>
  <c r="K89" i="14"/>
  <c r="L89" i="14" s="1"/>
  <c r="G7" i="21"/>
  <c r="E23" i="21"/>
  <c r="D6" i="10"/>
  <c r="C64" i="10" s="1"/>
  <c r="I33" i="10"/>
  <c r="H33" i="10"/>
  <c r="E23" i="9"/>
  <c r="O38" i="22" s="1"/>
  <c r="C89" i="10"/>
  <c r="G17" i="14"/>
  <c r="G18" i="14"/>
  <c r="G19" i="14"/>
  <c r="G20" i="14"/>
  <c r="G16" i="14"/>
  <c r="G25" i="14" s="1"/>
  <c r="H33" i="14"/>
  <c r="H29" i="14" s="1"/>
  <c r="G18" i="10"/>
  <c r="B18" i="10"/>
  <c r="N33" i="10" l="1"/>
  <c r="M89" i="10" s="1"/>
  <c r="C32" i="14"/>
  <c r="D32" i="14" s="1"/>
  <c r="M33" i="10"/>
  <c r="D9" i="10"/>
  <c r="D30" i="10" s="1"/>
  <c r="D59" i="9"/>
  <c r="M44" i="22" s="1"/>
  <c r="G31" i="14"/>
  <c r="H98" i="10"/>
  <c r="G98" i="10" s="1"/>
  <c r="G53" i="10" s="1"/>
  <c r="H89" i="10"/>
  <c r="G32" i="14"/>
  <c r="M91" i="10" l="1"/>
  <c r="G33" i="14"/>
  <c r="D7" i="11" l="1"/>
  <c r="C5" i="14" l="1"/>
  <c r="D5" i="14" l="1"/>
  <c r="C8" i="14"/>
  <c r="H6" i="14"/>
  <c r="I6" i="14" s="1"/>
  <c r="C97" i="14"/>
  <c r="B97" i="14" s="1"/>
  <c r="B52" i="14" s="1"/>
  <c r="D8" i="11"/>
  <c r="D9" i="11"/>
  <c r="D10" i="11"/>
  <c r="D11" i="11"/>
  <c r="H68" i="14" l="1"/>
  <c r="I68" i="14" s="1"/>
  <c r="H62" i="14"/>
  <c r="D8" i="14"/>
  <c r="C63" i="14"/>
  <c r="H97" i="14"/>
  <c r="H98" i="14" s="1"/>
  <c r="C9" i="21"/>
  <c r="H88" i="14"/>
  <c r="C88" i="14"/>
  <c r="G64" i="10"/>
  <c r="B63" i="14" s="1"/>
  <c r="G63" i="14" s="1"/>
  <c r="B55" i="14"/>
  <c r="B38" i="14"/>
  <c r="C90" i="14"/>
  <c r="H90" i="14"/>
  <c r="G55" i="10"/>
  <c r="B54" i="14" s="1"/>
  <c r="G54" i="14" s="1"/>
  <c r="G54" i="10"/>
  <c r="B53" i="14" s="1"/>
  <c r="B90" i="14" s="1"/>
  <c r="I39" i="10"/>
  <c r="I40" i="10"/>
  <c r="I41" i="10"/>
  <c r="I42" i="10"/>
  <c r="I38" i="10"/>
  <c r="N38" i="10" s="1"/>
  <c r="L76" i="10" s="1"/>
  <c r="B91" i="10"/>
  <c r="B67" i="10"/>
  <c r="B66" i="10"/>
  <c r="B17" i="14" l="1"/>
  <c r="G97" i="14"/>
  <c r="G52" i="14" s="1"/>
  <c r="G88" i="14" s="1"/>
  <c r="B24" i="11"/>
  <c r="B39" i="11" s="1"/>
  <c r="N40" i="10"/>
  <c r="L78" i="10" s="1"/>
  <c r="B23" i="11"/>
  <c r="B38" i="11" s="1"/>
  <c r="N39" i="10"/>
  <c r="L77" i="10" s="1"/>
  <c r="B26" i="11"/>
  <c r="B41" i="11" s="1"/>
  <c r="N42" i="10"/>
  <c r="L80" i="10" s="1"/>
  <c r="B25" i="11"/>
  <c r="B40" i="11" s="1"/>
  <c r="N41" i="10"/>
  <c r="L79" i="10" s="1"/>
  <c r="I33" i="14"/>
  <c r="I29" i="14" s="1"/>
  <c r="B22" i="11"/>
  <c r="B37" i="11" s="1"/>
  <c r="G91" i="10"/>
  <c r="L91" i="10" s="1"/>
  <c r="G77" i="10"/>
  <c r="H5" i="14"/>
  <c r="H8" i="14" s="1"/>
  <c r="D37" i="14"/>
  <c r="G80" i="10"/>
  <c r="G76" i="10"/>
  <c r="G78" i="10"/>
  <c r="G79" i="10"/>
  <c r="G53" i="14"/>
  <c r="D39" i="14"/>
  <c r="B9" i="13" s="1"/>
  <c r="D38" i="14"/>
  <c r="B8" i="13" s="1"/>
  <c r="D40" i="14"/>
  <c r="B10" i="13" s="1"/>
  <c r="D41" i="14"/>
  <c r="B11" i="13" s="1"/>
  <c r="G55" i="14"/>
  <c r="D90" i="14"/>
  <c r="H77" i="14"/>
  <c r="H79" i="14"/>
  <c r="H76" i="14"/>
  <c r="H78" i="14"/>
  <c r="C91" i="10"/>
  <c r="D91" i="10" s="1"/>
  <c r="E24" i="9" s="1"/>
  <c r="O39" i="22" s="1"/>
  <c r="O40" i="22" s="1"/>
  <c r="O42" i="22" s="1"/>
  <c r="H91" i="10"/>
  <c r="P40" i="22" l="1"/>
  <c r="D60" i="9"/>
  <c r="M45" i="22" s="1"/>
  <c r="M49" i="22" s="1"/>
  <c r="G90" i="14"/>
  <c r="I90" i="14" s="1"/>
  <c r="F8" i="21"/>
  <c r="I5" i="14"/>
  <c r="G75" i="14"/>
  <c r="B7" i="13"/>
  <c r="G10" i="14"/>
  <c r="G11" i="14"/>
  <c r="I91" i="10"/>
  <c r="N91" i="10" s="1"/>
  <c r="O91" i="10" s="1"/>
  <c r="B75" i="14"/>
  <c r="I37" i="14"/>
  <c r="B22" i="13" s="1"/>
  <c r="B79" i="14"/>
  <c r="G79" i="14"/>
  <c r="I79" i="14" s="1"/>
  <c r="I41" i="14"/>
  <c r="B26" i="13" s="1"/>
  <c r="G76" i="14"/>
  <c r="I76" i="14" s="1"/>
  <c r="I38" i="14"/>
  <c r="B23" i="13" s="1"/>
  <c r="B38" i="13" s="1"/>
  <c r="B76" i="14"/>
  <c r="G78" i="14"/>
  <c r="I78" i="14" s="1"/>
  <c r="I40" i="14"/>
  <c r="B25" i="13" s="1"/>
  <c r="B78" i="14"/>
  <c r="G77" i="14"/>
  <c r="I77" i="14" s="1"/>
  <c r="I39" i="14"/>
  <c r="B24" i="13" s="1"/>
  <c r="B77" i="14"/>
  <c r="H75" i="14"/>
  <c r="H84" i="14" s="1"/>
  <c r="H63" i="14" l="1"/>
  <c r="I8" i="14"/>
  <c r="E97" i="9"/>
  <c r="O47" i="22" s="1"/>
  <c r="K90" i="14"/>
  <c r="L90" i="14" s="1"/>
  <c r="E141" i="9" s="1"/>
  <c r="O52" i="22" s="1"/>
  <c r="O53" i="22" s="1"/>
  <c r="O55" i="22" s="1"/>
  <c r="P91" i="10"/>
  <c r="E108" i="9" s="1"/>
  <c r="O48" i="22" s="1"/>
  <c r="F6" i="19"/>
  <c r="F12" i="19" s="1"/>
  <c r="D46" i="21"/>
  <c r="G8" i="21"/>
  <c r="G9" i="21" s="1"/>
  <c r="H11" i="14"/>
  <c r="I11" i="14" s="1"/>
  <c r="G12" i="14"/>
  <c r="B37" i="13"/>
  <c r="B39" i="13"/>
  <c r="B40" i="13"/>
  <c r="B41" i="13"/>
  <c r="I75" i="14"/>
  <c r="I84" i="14" s="1"/>
  <c r="H22" i="14" l="1"/>
  <c r="G28" i="13" s="1"/>
  <c r="H21" i="14"/>
  <c r="G27" i="13" s="1"/>
  <c r="H24" i="14"/>
  <c r="G30" i="13" s="1"/>
  <c r="H23" i="14"/>
  <c r="G29" i="13" s="1"/>
  <c r="B15" i="21"/>
  <c r="H19" i="14"/>
  <c r="H20" i="14"/>
  <c r="H17" i="14"/>
  <c r="H16" i="14"/>
  <c r="H18" i="14"/>
  <c r="O49" i="22"/>
  <c r="P49" i="22" s="1"/>
  <c r="D129" i="9"/>
  <c r="M51" i="22" s="1"/>
  <c r="M53" i="22" s="1"/>
  <c r="F7" i="18"/>
  <c r="C17" i="21"/>
  <c r="B17" i="21"/>
  <c r="B24" i="21" s="1"/>
  <c r="H66" i="14"/>
  <c r="H65" i="14"/>
  <c r="I10" i="14"/>
  <c r="F6" i="18"/>
  <c r="B53" i="10"/>
  <c r="H12" i="14"/>
  <c r="G25" i="13" l="1"/>
  <c r="H29" i="13"/>
  <c r="H27" i="13"/>
  <c r="H30" i="13"/>
  <c r="H25" i="14"/>
  <c r="H28" i="13"/>
  <c r="B25" i="21"/>
  <c r="C45" i="21"/>
  <c r="C46" i="21"/>
  <c r="E46" i="21" s="1"/>
  <c r="C36" i="21"/>
  <c r="C35" i="21"/>
  <c r="P53" i="22"/>
  <c r="B18" i="21"/>
  <c r="I12" i="14"/>
  <c r="C15" i="21"/>
  <c r="F8" i="18"/>
  <c r="G7" i="18" s="1"/>
  <c r="G22" i="13"/>
  <c r="G23" i="13"/>
  <c r="H23" i="13" s="1"/>
  <c r="G26" i="13"/>
  <c r="H26" i="13" s="1"/>
  <c r="G24" i="13"/>
  <c r="H24" i="13" s="1"/>
  <c r="B89" i="10"/>
  <c r="H25" i="13" l="1"/>
  <c r="G40" i="13"/>
  <c r="G31" i="13"/>
  <c r="C34" i="21"/>
  <c r="C33" i="21"/>
  <c r="G89" i="10"/>
  <c r="B64" i="10"/>
  <c r="D6" i="9"/>
  <c r="C18" i="21"/>
  <c r="G6" i="18"/>
  <c r="D92" i="10"/>
  <c r="H22" i="13"/>
  <c r="H31" i="13" s="1"/>
  <c r="B31" i="13" s="1"/>
  <c r="E45" i="9" l="1"/>
  <c r="F17" i="22" s="1"/>
  <c r="D6" i="22"/>
  <c r="I89" i="10"/>
  <c r="I92" i="10" s="1"/>
  <c r="L89" i="10"/>
  <c r="N89" i="10" s="1"/>
  <c r="G8" i="18"/>
  <c r="E22" i="9"/>
  <c r="F39" i="22" s="1"/>
  <c r="D6" i="21"/>
  <c r="D34" i="21" s="1"/>
  <c r="E34" i="21" s="1"/>
  <c r="D63" i="14"/>
  <c r="O89" i="10" l="1"/>
  <c r="N92" i="10"/>
  <c r="D58" i="9"/>
  <c r="D46" i="22" s="1"/>
  <c r="D7" i="21"/>
  <c r="D36" i="21" s="1"/>
  <c r="D8" i="21"/>
  <c r="E6" i="21"/>
  <c r="I63" i="14"/>
  <c r="P89" i="10" l="1"/>
  <c r="E107" i="9" s="1"/>
  <c r="F50" i="22" s="1"/>
  <c r="K88" i="14"/>
  <c r="K91" i="14" s="1"/>
  <c r="E95" i="9"/>
  <c r="F48" i="22" s="1"/>
  <c r="O92" i="10"/>
  <c r="D128" i="9" l="1"/>
  <c r="D54" i="22" s="1"/>
  <c r="P92" i="10"/>
  <c r="D17" i="21"/>
  <c r="D16" i="21"/>
  <c r="D35" i="21" s="1"/>
  <c r="E35" i="21" s="1"/>
  <c r="B17" i="10" l="1"/>
  <c r="G38" i="10"/>
  <c r="L38" i="10" l="1"/>
  <c r="B37" i="14"/>
  <c r="G17" i="10"/>
  <c r="B16" i="14" l="1"/>
  <c r="I88" i="14" l="1"/>
  <c r="L88" i="14" l="1"/>
  <c r="E16" i="21"/>
  <c r="I16" i="21" s="1"/>
  <c r="E17" i="21"/>
  <c r="I17" i="21" s="1"/>
  <c r="E8" i="21"/>
  <c r="I91" i="14"/>
  <c r="E140" i="9" l="1"/>
  <c r="L91" i="14"/>
  <c r="E7" i="21"/>
  <c r="E36" i="21"/>
  <c r="E9" i="21" l="1"/>
  <c r="F56" i="22"/>
  <c r="B88" i="14" l="1"/>
  <c r="D88" i="14" s="1"/>
  <c r="D91" i="14" l="1"/>
  <c r="B62" i="14" l="1"/>
  <c r="G62" i="14" s="1"/>
  <c r="I62" i="14" s="1"/>
  <c r="D69" i="9"/>
  <c r="G96" i="14" l="1"/>
  <c r="I96" i="14" s="1"/>
  <c r="D19" i="22"/>
  <c r="D62" i="14"/>
  <c r="D32" i="10"/>
  <c r="C97" i="10" s="1"/>
  <c r="C34" i="10"/>
  <c r="B33" i="10" s="1"/>
  <c r="B12" i="10" s="1"/>
  <c r="C12" i="10" s="1"/>
  <c r="H32" i="10"/>
  <c r="M39" i="10" l="1"/>
  <c r="M38" i="10"/>
  <c r="M32" i="10"/>
  <c r="M34" i="10" s="1"/>
  <c r="L32" i="10" s="1"/>
  <c r="H38" i="10"/>
  <c r="H39" i="10"/>
  <c r="G51" i="14"/>
  <c r="C31" i="14"/>
  <c r="D12" i="10"/>
  <c r="C67" i="10"/>
  <c r="D67" i="10" s="1"/>
  <c r="H34" i="10"/>
  <c r="C30" i="10"/>
  <c r="B32" i="10"/>
  <c r="C99" i="10"/>
  <c r="B99" i="10" s="1"/>
  <c r="B97" i="10"/>
  <c r="B52" i="10" s="1"/>
  <c r="D34" i="10"/>
  <c r="I32" i="10"/>
  <c r="C27" i="13" l="1"/>
  <c r="C28" i="13"/>
  <c r="C30" i="13"/>
  <c r="C29" i="13"/>
  <c r="C12" i="11"/>
  <c r="C14" i="11"/>
  <c r="C13" i="11"/>
  <c r="C15" i="11"/>
  <c r="C33" i="14"/>
  <c r="B32" i="14" s="1"/>
  <c r="B11" i="14" s="1"/>
  <c r="C11" i="14" s="1"/>
  <c r="C25" i="13"/>
  <c r="I25" i="13" s="1"/>
  <c r="C24" i="13"/>
  <c r="I24" i="13" s="1"/>
  <c r="C26" i="13"/>
  <c r="I26" i="13" s="1"/>
  <c r="C23" i="13"/>
  <c r="I23" i="13" s="1"/>
  <c r="C22" i="13"/>
  <c r="I22" i="13" s="1"/>
  <c r="D15" i="21"/>
  <c r="E15" i="21" s="1"/>
  <c r="E18" i="21" s="1"/>
  <c r="D31" i="14"/>
  <c r="C38" i="14"/>
  <c r="C76" i="14" s="1"/>
  <c r="D76" i="14" s="1"/>
  <c r="C37" i="14"/>
  <c r="C77" i="10"/>
  <c r="D77" i="10" s="1"/>
  <c r="C76" i="10"/>
  <c r="L33" i="10"/>
  <c r="L34" i="10" s="1"/>
  <c r="M30" i="10"/>
  <c r="B6" i="19"/>
  <c r="D9" i="9"/>
  <c r="I34" i="10"/>
  <c r="I30" i="10" s="1"/>
  <c r="H97" i="10"/>
  <c r="N32" i="10"/>
  <c r="N34" i="10" s="1"/>
  <c r="N30" i="10" s="1"/>
  <c r="B34" i="10"/>
  <c r="B11" i="10"/>
  <c r="C8" i="11"/>
  <c r="C7" i="11"/>
  <c r="C10" i="11"/>
  <c r="C11" i="11"/>
  <c r="C9" i="11"/>
  <c r="H77" i="10"/>
  <c r="I77" i="10" s="1"/>
  <c r="G33" i="10"/>
  <c r="G12" i="10" s="1"/>
  <c r="H12" i="10" s="1"/>
  <c r="H30" i="10"/>
  <c r="C29" i="14" s="1"/>
  <c r="M77" i="10"/>
  <c r="N77" i="10" s="1"/>
  <c r="O77" i="10" s="1"/>
  <c r="P77" i="10" s="1"/>
  <c r="L76" i="14" s="1"/>
  <c r="G32" i="10"/>
  <c r="B31" i="14"/>
  <c r="E15" i="11" l="1"/>
  <c r="E14" i="11"/>
  <c r="E12" i="11"/>
  <c r="I29" i="13"/>
  <c r="I30" i="13"/>
  <c r="I28" i="13"/>
  <c r="E13" i="11"/>
  <c r="I27" i="13"/>
  <c r="H99" i="10"/>
  <c r="D33" i="14"/>
  <c r="D29" i="14" s="1"/>
  <c r="C96" i="14"/>
  <c r="C98" i="14" s="1"/>
  <c r="I98" i="14"/>
  <c r="M76" i="10"/>
  <c r="I12" i="10"/>
  <c r="H67" i="10"/>
  <c r="E7" i="11"/>
  <c r="M6" i="22"/>
  <c r="M7" i="22" s="1"/>
  <c r="P7" i="22" s="1"/>
  <c r="M41" i="22" s="1"/>
  <c r="M42" i="22" s="1"/>
  <c r="E48" i="9"/>
  <c r="O10" i="22" s="1"/>
  <c r="O13" i="22" s="1"/>
  <c r="E9" i="11"/>
  <c r="E8" i="11"/>
  <c r="B12" i="19"/>
  <c r="D11" i="14"/>
  <c r="C66" i="14"/>
  <c r="C7" i="18"/>
  <c r="H76" i="10"/>
  <c r="E11" i="11"/>
  <c r="B33" i="14"/>
  <c r="B10" i="14"/>
  <c r="G34" i="10"/>
  <c r="G11" i="10"/>
  <c r="E10" i="11"/>
  <c r="B13" i="10"/>
  <c r="C11" i="10"/>
  <c r="C75" i="14"/>
  <c r="D76" i="10"/>
  <c r="C19" i="10" l="1"/>
  <c r="C22" i="10"/>
  <c r="C23" i="10"/>
  <c r="C24" i="10"/>
  <c r="C25" i="10"/>
  <c r="C20" i="10"/>
  <c r="C21" i="10"/>
  <c r="F12" i="11"/>
  <c r="F13" i="11"/>
  <c r="I31" i="13"/>
  <c r="F15" i="11"/>
  <c r="F14" i="11"/>
  <c r="C18" i="10"/>
  <c r="C17" i="10"/>
  <c r="G98" i="14"/>
  <c r="F10" i="11"/>
  <c r="F9" i="11"/>
  <c r="F7" i="11"/>
  <c r="G13" i="10"/>
  <c r="H11" i="10"/>
  <c r="D75" i="14"/>
  <c r="F11" i="11"/>
  <c r="F8" i="11"/>
  <c r="N76" i="10"/>
  <c r="D11" i="10"/>
  <c r="D13" i="10" s="1"/>
  <c r="C66" i="10"/>
  <c r="D66" i="10" s="1"/>
  <c r="C13" i="10"/>
  <c r="B12" i="14"/>
  <c r="C10" i="14"/>
  <c r="I76" i="10"/>
  <c r="D32" i="9"/>
  <c r="O63" i="22"/>
  <c r="P42" i="22"/>
  <c r="H18" i="10" l="1"/>
  <c r="H17" i="10"/>
  <c r="C17" i="14"/>
  <c r="C16" i="14"/>
  <c r="C6" i="18"/>
  <c r="C8" i="18" s="1"/>
  <c r="C12" i="14"/>
  <c r="D10" i="14"/>
  <c r="D12" i="14" s="1"/>
  <c r="C65" i="14"/>
  <c r="E33" i="9"/>
  <c r="E34" i="9" s="1"/>
  <c r="H66" i="10"/>
  <c r="I11" i="10"/>
  <c r="H13" i="10"/>
  <c r="D7" i="9"/>
  <c r="G8" i="11"/>
  <c r="O76" i="10"/>
  <c r="P76" i="10" s="1"/>
  <c r="I13" i="10" l="1"/>
  <c r="G97" i="10"/>
  <c r="I97" i="10" s="1"/>
  <c r="I99" i="10" s="1"/>
  <c r="G99" i="10" s="1"/>
  <c r="G7" i="11"/>
  <c r="G57" i="10"/>
  <c r="G23" i="11"/>
  <c r="J8" i="11"/>
  <c r="H8" i="11"/>
  <c r="I8" i="11"/>
  <c r="G8" i="13"/>
  <c r="D7" i="22"/>
  <c r="D10" i="22" s="1"/>
  <c r="D12" i="22" s="1"/>
  <c r="E46" i="9"/>
  <c r="D13" i="9"/>
  <c r="D29" i="11" l="1"/>
  <c r="D28" i="11"/>
  <c r="D27" i="11"/>
  <c r="D30" i="11"/>
  <c r="D96" i="14"/>
  <c r="D98" i="14" s="1"/>
  <c r="B98" i="14" s="1"/>
  <c r="G52" i="10"/>
  <c r="F18" i="22"/>
  <c r="H23" i="11"/>
  <c r="L75" i="14"/>
  <c r="G38" i="11"/>
  <c r="D23" i="11"/>
  <c r="D38" i="11" s="1"/>
  <c r="D26" i="11"/>
  <c r="D41" i="11" s="1"/>
  <c r="G66" i="10"/>
  <c r="I66" i="10" s="1"/>
  <c r="G67" i="10"/>
  <c r="I67" i="10" s="1"/>
  <c r="C6" i="19" s="1"/>
  <c r="D25" i="11"/>
  <c r="D40" i="11" s="1"/>
  <c r="D24" i="11"/>
  <c r="D39" i="11" s="1"/>
  <c r="D22" i="11"/>
  <c r="D37" i="11" s="1"/>
  <c r="B56" i="14"/>
  <c r="G7" i="13"/>
  <c r="G38" i="13"/>
  <c r="H8" i="13"/>
  <c r="K8" i="11"/>
  <c r="G22" i="11"/>
  <c r="J7" i="11"/>
  <c r="I7" i="11"/>
  <c r="H7" i="11"/>
  <c r="D14" i="13" l="1"/>
  <c r="D13" i="13"/>
  <c r="D15" i="13"/>
  <c r="D12" i="13"/>
  <c r="C30" i="11"/>
  <c r="C23" i="11"/>
  <c r="E23" i="11" s="1"/>
  <c r="C27" i="11"/>
  <c r="C29" i="11"/>
  <c r="C28" i="11"/>
  <c r="D42" i="11"/>
  <c r="G37" i="11"/>
  <c r="D45" i="11"/>
  <c r="D43" i="11"/>
  <c r="D44" i="11"/>
  <c r="K7" i="11"/>
  <c r="C22" i="11"/>
  <c r="E22" i="11" s="1"/>
  <c r="C26" i="11"/>
  <c r="C41" i="11" s="1"/>
  <c r="C25" i="11"/>
  <c r="E25" i="11" s="1"/>
  <c r="C24" i="11"/>
  <c r="B96" i="14"/>
  <c r="B51" i="14" s="1"/>
  <c r="H38" i="11"/>
  <c r="B65" i="14"/>
  <c r="D65" i="14" s="1"/>
  <c r="D7" i="13"/>
  <c r="J7" i="13" s="1"/>
  <c r="D10" i="13"/>
  <c r="D9" i="13"/>
  <c r="D8" i="13"/>
  <c r="D11" i="13"/>
  <c r="G56" i="14"/>
  <c r="B66" i="14"/>
  <c r="D66" i="14" s="1"/>
  <c r="D73" i="9"/>
  <c r="M12" i="22" s="1"/>
  <c r="M13" i="22" s="1"/>
  <c r="M15" i="22" s="1"/>
  <c r="J23" i="11"/>
  <c r="J38" i="11" s="1"/>
  <c r="H38" i="13"/>
  <c r="D72" i="9"/>
  <c r="C5" i="19"/>
  <c r="J22" i="11"/>
  <c r="H22" i="11"/>
  <c r="G37" i="13"/>
  <c r="H7" i="13"/>
  <c r="I23" i="11"/>
  <c r="I38" i="11" s="1"/>
  <c r="C38" i="11" l="1"/>
  <c r="E30" i="11"/>
  <c r="C45" i="11"/>
  <c r="C8" i="13"/>
  <c r="I8" i="13" s="1"/>
  <c r="C12" i="13"/>
  <c r="C15" i="13"/>
  <c r="C14" i="13"/>
  <c r="C13" i="13"/>
  <c r="E29" i="11"/>
  <c r="C44" i="11"/>
  <c r="D27" i="13"/>
  <c r="D42" i="13" s="1"/>
  <c r="D28" i="13"/>
  <c r="D30" i="13"/>
  <c r="D45" i="13" s="1"/>
  <c r="D29" i="13"/>
  <c r="E27" i="11"/>
  <c r="C42" i="11"/>
  <c r="E28" i="11"/>
  <c r="C43" i="11"/>
  <c r="C37" i="11"/>
  <c r="I22" i="11"/>
  <c r="K22" i="11" s="1"/>
  <c r="E26" i="11"/>
  <c r="E41" i="11" s="1"/>
  <c r="C39" i="11"/>
  <c r="E24" i="11"/>
  <c r="F24" i="11" s="1"/>
  <c r="F39" i="11" s="1"/>
  <c r="C40" i="11"/>
  <c r="C9" i="13"/>
  <c r="C39" i="13" s="1"/>
  <c r="C11" i="13"/>
  <c r="E11" i="13" s="1"/>
  <c r="C7" i="13"/>
  <c r="I7" i="13" s="1"/>
  <c r="C10" i="13"/>
  <c r="D26" i="13"/>
  <c r="D41" i="13" s="1"/>
  <c r="D24" i="21"/>
  <c r="D45" i="21" s="1"/>
  <c r="B7" i="18"/>
  <c r="E7" i="18" s="1"/>
  <c r="G65" i="14"/>
  <c r="I65" i="14" s="1"/>
  <c r="D22" i="13"/>
  <c r="D37" i="13" s="1"/>
  <c r="B6" i="18"/>
  <c r="E6" i="18" s="1"/>
  <c r="D25" i="13"/>
  <c r="D23" i="13"/>
  <c r="D38" i="13" s="1"/>
  <c r="D24" i="13"/>
  <c r="D39" i="13" s="1"/>
  <c r="G66" i="14"/>
  <c r="I66" i="14" s="1"/>
  <c r="G6" i="19" s="1"/>
  <c r="G12" i="19" s="1"/>
  <c r="F15" i="21"/>
  <c r="G15" i="21" s="1"/>
  <c r="F25" i="11"/>
  <c r="F40" i="11" s="1"/>
  <c r="E40" i="11"/>
  <c r="D77" i="9"/>
  <c r="D21" i="22"/>
  <c r="C12" i="19"/>
  <c r="K38" i="11"/>
  <c r="H37" i="11"/>
  <c r="H37" i="13"/>
  <c r="F23" i="11"/>
  <c r="F38" i="11" s="1"/>
  <c r="E38" i="11"/>
  <c r="J37" i="11"/>
  <c r="F22" i="11"/>
  <c r="F37" i="11" s="1"/>
  <c r="E37" i="11"/>
  <c r="P13" i="22"/>
  <c r="O14" i="22" s="1"/>
  <c r="J8" i="13"/>
  <c r="K23" i="11"/>
  <c r="E8" i="13" l="1"/>
  <c r="I37" i="11"/>
  <c r="F26" i="11"/>
  <c r="F41" i="11" s="1"/>
  <c r="C38" i="13"/>
  <c r="J29" i="13"/>
  <c r="E29" i="13"/>
  <c r="F29" i="13" s="1"/>
  <c r="C43" i="13"/>
  <c r="E13" i="13"/>
  <c r="F29" i="11"/>
  <c r="F44" i="11" s="1"/>
  <c r="E44" i="11"/>
  <c r="D44" i="13"/>
  <c r="C44" i="13"/>
  <c r="E14" i="13"/>
  <c r="J30" i="13"/>
  <c r="E30" i="13"/>
  <c r="F30" i="13" s="1"/>
  <c r="F28" i="11"/>
  <c r="F43" i="11" s="1"/>
  <c r="E43" i="11"/>
  <c r="J27" i="13"/>
  <c r="E27" i="13"/>
  <c r="F27" i="13" s="1"/>
  <c r="C45" i="13"/>
  <c r="E15" i="13"/>
  <c r="C42" i="13"/>
  <c r="E12" i="13"/>
  <c r="J28" i="13"/>
  <c r="E28" i="13"/>
  <c r="F28" i="13" s="1"/>
  <c r="F27" i="11"/>
  <c r="F42" i="11" s="1"/>
  <c r="E42" i="11"/>
  <c r="D43" i="13"/>
  <c r="F30" i="11"/>
  <c r="F45" i="11" s="1"/>
  <c r="E45" i="11"/>
  <c r="I37" i="13"/>
  <c r="C41" i="13"/>
  <c r="E39" i="11"/>
  <c r="E9" i="13"/>
  <c r="F9" i="13" s="1"/>
  <c r="E7" i="13"/>
  <c r="F7" i="13" s="1"/>
  <c r="C37" i="13"/>
  <c r="E10" i="13"/>
  <c r="F10" i="13" s="1"/>
  <c r="C40" i="13"/>
  <c r="K7" i="13"/>
  <c r="H6" i="19"/>
  <c r="I38" i="13"/>
  <c r="K8" i="13"/>
  <c r="G18" i="21"/>
  <c r="E25" i="13"/>
  <c r="F25" i="13" s="1"/>
  <c r="J25" i="13"/>
  <c r="M64" i="22"/>
  <c r="M66" i="22" s="1"/>
  <c r="O15" i="22"/>
  <c r="P15" i="22" s="1"/>
  <c r="E8" i="18"/>
  <c r="H8" i="18" s="1"/>
  <c r="E45" i="21"/>
  <c r="E47" i="21" s="1"/>
  <c r="E24" i="21"/>
  <c r="E25" i="21" s="1"/>
  <c r="K37" i="11"/>
  <c r="F8" i="13"/>
  <c r="E24" i="13"/>
  <c r="F24" i="13" s="1"/>
  <c r="J24" i="13"/>
  <c r="E22" i="13"/>
  <c r="F22" i="13" s="1"/>
  <c r="J22" i="13"/>
  <c r="E26" i="13"/>
  <c r="F26" i="13" s="1"/>
  <c r="J26" i="13"/>
  <c r="F11" i="13"/>
  <c r="H12" i="19"/>
  <c r="D40" i="13"/>
  <c r="E23" i="13"/>
  <c r="F23" i="13" s="1"/>
  <c r="J23" i="13"/>
  <c r="G5" i="19"/>
  <c r="F14" i="13" l="1"/>
  <c r="F44" i="13" s="1"/>
  <c r="E44" i="13"/>
  <c r="K27" i="13"/>
  <c r="K28" i="13"/>
  <c r="K30" i="13"/>
  <c r="F13" i="13"/>
  <c r="F43" i="13" s="1"/>
  <c r="E43" i="13"/>
  <c r="F12" i="13"/>
  <c r="F42" i="13" s="1"/>
  <c r="E42" i="13"/>
  <c r="F15" i="13"/>
  <c r="F45" i="13" s="1"/>
  <c r="E45" i="13"/>
  <c r="K29" i="13"/>
  <c r="J31" i="13"/>
  <c r="F40" i="13"/>
  <c r="E40" i="13"/>
  <c r="E38" i="13"/>
  <c r="F37" i="13"/>
  <c r="E41" i="13"/>
  <c r="E37" i="13"/>
  <c r="E39" i="13"/>
  <c r="D7" i="18"/>
  <c r="F39" i="13"/>
  <c r="D6" i="18"/>
  <c r="K25" i="13"/>
  <c r="J38" i="13"/>
  <c r="K38" i="13" s="1"/>
  <c r="K23" i="13"/>
  <c r="D117" i="9"/>
  <c r="E119" i="9" s="1"/>
  <c r="H6" i="18"/>
  <c r="I6" i="18" s="1"/>
  <c r="H7" i="18"/>
  <c r="I7" i="18" s="1"/>
  <c r="D158" i="9" s="1"/>
  <c r="J37" i="13"/>
  <c r="K22" i="13"/>
  <c r="F41" i="13"/>
  <c r="K26" i="13"/>
  <c r="K24" i="13"/>
  <c r="F38" i="13"/>
  <c r="K31" i="13" l="1"/>
  <c r="D34" i="9"/>
  <c r="D8" i="18"/>
  <c r="K37" i="13"/>
  <c r="E159" i="9"/>
  <c r="M17" i="22"/>
  <c r="M18" i="22" s="1"/>
  <c r="P18" i="22" s="1"/>
  <c r="M54" i="22" s="1"/>
  <c r="D160" i="9"/>
  <c r="I8" i="18"/>
  <c r="H15" i="21" l="1"/>
  <c r="M55" i="22"/>
  <c r="P55" i="22" s="1"/>
  <c r="O65" i="22"/>
  <c r="O66" i="22" s="1"/>
  <c r="P66" i="22" s="1"/>
  <c r="D168" i="9"/>
  <c r="E170" i="9" s="1"/>
  <c r="E160" i="9"/>
  <c r="F30" i="22"/>
  <c r="F31" i="22" s="1"/>
  <c r="F33" i="22" s="1"/>
  <c r="H18" i="21" l="1"/>
  <c r="I15" i="21"/>
  <c r="I18" i="21" l="1"/>
  <c r="D33" i="21"/>
  <c r="E33" i="21" s="1"/>
  <c r="E37" i="21" s="1"/>
  <c r="G10" i="11" l="1"/>
  <c r="H10" i="11" s="1"/>
  <c r="G9" i="11"/>
  <c r="J9" i="11" s="1"/>
  <c r="G41" i="10"/>
  <c r="G11" i="11"/>
  <c r="J11" i="11" s="1"/>
  <c r="C26" i="10"/>
  <c r="G15" i="11"/>
  <c r="G12" i="11"/>
  <c r="I12" i="11" s="1"/>
  <c r="G14" i="11"/>
  <c r="I14" i="11" s="1"/>
  <c r="G13" i="11"/>
  <c r="J13" i="11" s="1"/>
  <c r="G46" i="10"/>
  <c r="G43" i="10"/>
  <c r="G44" i="10"/>
  <c r="B43" i="14" s="1"/>
  <c r="C44" i="10"/>
  <c r="C82" i="10" s="1"/>
  <c r="D82" i="10" s="1"/>
  <c r="B26" i="10"/>
  <c r="G45" i="10"/>
  <c r="G42" i="10"/>
  <c r="J12" i="11" l="1"/>
  <c r="H13" i="11"/>
  <c r="C42" i="10"/>
  <c r="C80" i="10" s="1"/>
  <c r="D80" i="10" s="1"/>
  <c r="I9" i="11"/>
  <c r="I10" i="11"/>
  <c r="G20" i="10"/>
  <c r="H20" i="10" s="1"/>
  <c r="G25" i="11" s="1"/>
  <c r="G40" i="11" s="1"/>
  <c r="B40" i="14"/>
  <c r="L41" i="10"/>
  <c r="M41" i="10" s="1"/>
  <c r="M79" i="10" s="1"/>
  <c r="N79" i="10" s="1"/>
  <c r="O79" i="10" s="1"/>
  <c r="H79" i="10"/>
  <c r="I79" i="10" s="1"/>
  <c r="B42" i="14"/>
  <c r="L43" i="10"/>
  <c r="M43" i="10" s="1"/>
  <c r="M81" i="10" s="1"/>
  <c r="N81" i="10" s="1"/>
  <c r="O81" i="10" s="1"/>
  <c r="G22" i="10"/>
  <c r="H22" i="10" s="1"/>
  <c r="G27" i="11" s="1"/>
  <c r="G42" i="11" s="1"/>
  <c r="H81" i="10"/>
  <c r="I81" i="10" s="1"/>
  <c r="B45" i="14"/>
  <c r="H46" i="10"/>
  <c r="H84" i="10" s="1"/>
  <c r="I84" i="10" s="1"/>
  <c r="G25" i="10"/>
  <c r="H25" i="10" s="1"/>
  <c r="G30" i="11" s="1"/>
  <c r="L46" i="10"/>
  <c r="M46" i="10" s="1"/>
  <c r="M84" i="10" s="1"/>
  <c r="N84" i="10" s="1"/>
  <c r="O84" i="10" s="1"/>
  <c r="L42" i="10"/>
  <c r="M42" i="10" s="1"/>
  <c r="M80" i="10" s="1"/>
  <c r="N80" i="10" s="1"/>
  <c r="O80" i="10" s="1"/>
  <c r="B41" i="14"/>
  <c r="G21" i="10"/>
  <c r="H21" i="10" s="1"/>
  <c r="G26" i="11" s="1"/>
  <c r="G41" i="11" s="1"/>
  <c r="H42" i="10"/>
  <c r="H80" i="10" s="1"/>
  <c r="I80" i="10" s="1"/>
  <c r="H45" i="10"/>
  <c r="H83" i="10" s="1"/>
  <c r="I83" i="10" s="1"/>
  <c r="L45" i="10"/>
  <c r="M45" i="10" s="1"/>
  <c r="M83" i="10" s="1"/>
  <c r="N83" i="10" s="1"/>
  <c r="O83" i="10" s="1"/>
  <c r="B44" i="14"/>
  <c r="G24" i="10"/>
  <c r="H24" i="10" s="1"/>
  <c r="G29" i="11" s="1"/>
  <c r="B22" i="14"/>
  <c r="C22" i="14" s="1"/>
  <c r="G13" i="13" s="1"/>
  <c r="C43" i="14"/>
  <c r="C81" i="14" s="1"/>
  <c r="D81" i="14" s="1"/>
  <c r="G40" i="10"/>
  <c r="L44" i="10"/>
  <c r="M44" i="10" s="1"/>
  <c r="M82" i="10" s="1"/>
  <c r="N82" i="10" s="1"/>
  <c r="O82" i="10" s="1"/>
  <c r="J14" i="11"/>
  <c r="J15" i="11"/>
  <c r="H14" i="11"/>
  <c r="G23" i="10"/>
  <c r="H23" i="10" s="1"/>
  <c r="G28" i="11" s="1"/>
  <c r="G43" i="11" s="1"/>
  <c r="C41" i="10"/>
  <c r="C79" i="10" s="1"/>
  <c r="D79" i="10" s="1"/>
  <c r="C43" i="10"/>
  <c r="C81" i="10" s="1"/>
  <c r="D81" i="10" s="1"/>
  <c r="H44" i="10"/>
  <c r="H82" i="10" s="1"/>
  <c r="I82" i="10" s="1"/>
  <c r="I15" i="11"/>
  <c r="G16" i="11"/>
  <c r="I13" i="11"/>
  <c r="H12" i="11"/>
  <c r="K12" i="11" s="1"/>
  <c r="H11" i="11"/>
  <c r="J10" i="11"/>
  <c r="C46" i="10"/>
  <c r="C84" i="10" s="1"/>
  <c r="D84" i="10" s="1"/>
  <c r="H15" i="11"/>
  <c r="I11" i="11"/>
  <c r="H9" i="11"/>
  <c r="C45" i="10"/>
  <c r="C83" i="10" s="1"/>
  <c r="D83" i="10" s="1"/>
  <c r="K13" i="11" l="1"/>
  <c r="K10" i="11"/>
  <c r="K14" i="11"/>
  <c r="J16" i="11"/>
  <c r="K11" i="11"/>
  <c r="P80" i="10"/>
  <c r="K79" i="14"/>
  <c r="L79" i="14" s="1"/>
  <c r="C42" i="14"/>
  <c r="C80" i="14" s="1"/>
  <c r="D80" i="14" s="1"/>
  <c r="B21" i="14"/>
  <c r="C21" i="14" s="1"/>
  <c r="G12" i="13" s="1"/>
  <c r="H13" i="13"/>
  <c r="G43" i="13"/>
  <c r="J13" i="13"/>
  <c r="J43" i="13" s="1"/>
  <c r="I13" i="13"/>
  <c r="I43" i="13" s="1"/>
  <c r="B20" i="14"/>
  <c r="C20" i="14" s="1"/>
  <c r="G11" i="13" s="1"/>
  <c r="C41" i="14"/>
  <c r="C79" i="14" s="1"/>
  <c r="D79" i="14" s="1"/>
  <c r="P79" i="10"/>
  <c r="K78" i="14"/>
  <c r="L78" i="14" s="1"/>
  <c r="P81" i="10"/>
  <c r="K80" i="14"/>
  <c r="L80" i="14" s="1"/>
  <c r="I29" i="11"/>
  <c r="I44" i="11" s="1"/>
  <c r="H29" i="11"/>
  <c r="J29" i="11"/>
  <c r="J44" i="11" s="1"/>
  <c r="P83" i="10"/>
  <c r="K82" i="14"/>
  <c r="L82" i="14" s="1"/>
  <c r="B19" i="14"/>
  <c r="C19" i="14" s="1"/>
  <c r="G10" i="13" s="1"/>
  <c r="C40" i="14"/>
  <c r="C78" i="14" s="1"/>
  <c r="D78" i="14" s="1"/>
  <c r="G44" i="11"/>
  <c r="C44" i="14"/>
  <c r="C82" i="14" s="1"/>
  <c r="D82" i="14" s="1"/>
  <c r="B23" i="14"/>
  <c r="C23" i="14" s="1"/>
  <c r="G14" i="13" s="1"/>
  <c r="K9" i="11"/>
  <c r="H16" i="11"/>
  <c r="B16" i="11" s="1"/>
  <c r="B39" i="14"/>
  <c r="G19" i="10"/>
  <c r="L40" i="10"/>
  <c r="G47" i="10"/>
  <c r="H40" i="10"/>
  <c r="C47" i="10"/>
  <c r="C78" i="10"/>
  <c r="B24" i="14"/>
  <c r="C24" i="14" s="1"/>
  <c r="G15" i="13" s="1"/>
  <c r="C45" i="14"/>
  <c r="C83" i="14" s="1"/>
  <c r="D83" i="14" s="1"/>
  <c r="H25" i="11"/>
  <c r="J25" i="11"/>
  <c r="J40" i="11" s="1"/>
  <c r="I25" i="11"/>
  <c r="I40" i="11" s="1"/>
  <c r="I30" i="11"/>
  <c r="I45" i="11" s="1"/>
  <c r="H30" i="11"/>
  <c r="J30" i="11"/>
  <c r="J45" i="11" s="1"/>
  <c r="I16" i="11"/>
  <c r="P84" i="10"/>
  <c r="K83" i="14"/>
  <c r="L83" i="14" s="1"/>
  <c r="P82" i="10"/>
  <c r="K81" i="14"/>
  <c r="L81" i="14" s="1"/>
  <c r="K15" i="11"/>
  <c r="J28" i="11"/>
  <c r="J43" i="11" s="1"/>
  <c r="I28" i="11"/>
  <c r="I43" i="11" s="1"/>
  <c r="H28" i="11"/>
  <c r="I26" i="11"/>
  <c r="I41" i="11" s="1"/>
  <c r="H26" i="11"/>
  <c r="J26" i="11"/>
  <c r="J41" i="11" s="1"/>
  <c r="J27" i="11"/>
  <c r="J42" i="11" s="1"/>
  <c r="I27" i="11"/>
  <c r="I42" i="11" s="1"/>
  <c r="H27" i="11"/>
  <c r="G45" i="11"/>
  <c r="K27" i="11" l="1"/>
  <c r="H42" i="11"/>
  <c r="K42" i="11" s="1"/>
  <c r="K30" i="11"/>
  <c r="H45" i="11"/>
  <c r="K45" i="11" s="1"/>
  <c r="K13" i="13"/>
  <c r="H43" i="13"/>
  <c r="K43" i="13" s="1"/>
  <c r="L47" i="10"/>
  <c r="M40" i="10"/>
  <c r="H40" i="11"/>
  <c r="K40" i="11" s="1"/>
  <c r="K25" i="11"/>
  <c r="I12" i="13"/>
  <c r="I42" i="13" s="1"/>
  <c r="H12" i="13"/>
  <c r="J12" i="13"/>
  <c r="J42" i="13" s="1"/>
  <c r="G42" i="13"/>
  <c r="H78" i="10"/>
  <c r="H47" i="10"/>
  <c r="B18" i="14"/>
  <c r="C39" i="14"/>
  <c r="B46" i="14"/>
  <c r="H44" i="11"/>
  <c r="K44" i="11" s="1"/>
  <c r="K29" i="11"/>
  <c r="K26" i="11"/>
  <c r="H41" i="11"/>
  <c r="K41" i="11" s="1"/>
  <c r="G26" i="10"/>
  <c r="H19" i="10"/>
  <c r="H43" i="11"/>
  <c r="K43" i="11" s="1"/>
  <c r="K28" i="11"/>
  <c r="H15" i="13"/>
  <c r="J15" i="13"/>
  <c r="J45" i="13" s="1"/>
  <c r="G45" i="13"/>
  <c r="I15" i="13"/>
  <c r="I45" i="13" s="1"/>
  <c r="G44" i="13"/>
  <c r="I14" i="13"/>
  <c r="I44" i="13" s="1"/>
  <c r="H14" i="13"/>
  <c r="J14" i="13"/>
  <c r="J44" i="13" s="1"/>
  <c r="H10" i="13"/>
  <c r="J10" i="13"/>
  <c r="J40" i="13" s="1"/>
  <c r="I10" i="13"/>
  <c r="I40" i="13" s="1"/>
  <c r="C85" i="10"/>
  <c r="D78" i="10"/>
  <c r="D85" i="10" s="1"/>
  <c r="K16" i="11"/>
  <c r="I11" i="13"/>
  <c r="I41" i="13" s="1"/>
  <c r="G41" i="13"/>
  <c r="H11" i="13"/>
  <c r="J11" i="13"/>
  <c r="J41" i="13" s="1"/>
  <c r="M47" i="10" l="1"/>
  <c r="M78" i="10"/>
  <c r="H85" i="10"/>
  <c r="I78" i="10"/>
  <c r="I85" i="10" s="1"/>
  <c r="H40" i="13"/>
  <c r="K40" i="13" s="1"/>
  <c r="K10" i="13"/>
  <c r="K15" i="13"/>
  <c r="H45" i="13"/>
  <c r="K45" i="13" s="1"/>
  <c r="H42" i="13"/>
  <c r="K42" i="13" s="1"/>
  <c r="K12" i="13"/>
  <c r="C46" i="14"/>
  <c r="C77" i="14"/>
  <c r="K11" i="13"/>
  <c r="H41" i="13"/>
  <c r="K41" i="13" s="1"/>
  <c r="D68" i="10"/>
  <c r="E10" i="9"/>
  <c r="H44" i="13"/>
  <c r="K44" i="13" s="1"/>
  <c r="K14" i="13"/>
  <c r="E21" i="9"/>
  <c r="G24" i="11"/>
  <c r="H26" i="10"/>
  <c r="C18" i="14"/>
  <c r="B25" i="14"/>
  <c r="C25" i="14" l="1"/>
  <c r="G9" i="13"/>
  <c r="F8" i="22"/>
  <c r="F10" i="22" s="1"/>
  <c r="D41" i="9"/>
  <c r="I24" i="11"/>
  <c r="H24" i="11"/>
  <c r="J24" i="11"/>
  <c r="G31" i="11"/>
  <c r="G46" i="11"/>
  <c r="F38" i="22"/>
  <c r="F40" i="22" s="1"/>
  <c r="D20" i="9"/>
  <c r="D57" i="9"/>
  <c r="E25" i="9"/>
  <c r="D77" i="14"/>
  <c r="D84" i="14" s="1"/>
  <c r="F5" i="19" s="1"/>
  <c r="C84" i="14"/>
  <c r="N78" i="10"/>
  <c r="M85" i="10"/>
  <c r="D70" i="10"/>
  <c r="I68" i="10"/>
  <c r="E74" i="9"/>
  <c r="J39" i="11" l="1"/>
  <c r="J46" i="11" s="1"/>
  <c r="J31" i="11"/>
  <c r="H39" i="11"/>
  <c r="K24" i="11"/>
  <c r="K31" i="11" s="1"/>
  <c r="H31" i="11"/>
  <c r="B31" i="11" s="1"/>
  <c r="E76" i="9"/>
  <c r="E77" i="9" s="1"/>
  <c r="F22" i="22"/>
  <c r="E12" i="9"/>
  <c r="B5" i="19"/>
  <c r="I31" i="11"/>
  <c r="I39" i="11"/>
  <c r="I46" i="11" s="1"/>
  <c r="D14" i="22"/>
  <c r="D25" i="22" s="1"/>
  <c r="D27" i="22" s="1"/>
  <c r="E61" i="9"/>
  <c r="D25" i="9"/>
  <c r="G40" i="22"/>
  <c r="F42" i="22"/>
  <c r="G16" i="13"/>
  <c r="H9" i="13"/>
  <c r="I9" i="13"/>
  <c r="J9" i="13"/>
  <c r="G39" i="13"/>
  <c r="G46" i="13" s="1"/>
  <c r="D45" i="22"/>
  <c r="D51" i="22" s="1"/>
  <c r="I70" i="10"/>
  <c r="D67" i="14"/>
  <c r="F12" i="22"/>
  <c r="G12" i="22" s="1"/>
  <c r="G10" i="22"/>
  <c r="O78" i="10"/>
  <c r="P78" i="10" s="1"/>
  <c r="N85" i="10"/>
  <c r="O85" i="10" s="1"/>
  <c r="E94" i="9" s="1"/>
  <c r="D41" i="22" l="1"/>
  <c r="F63" i="22" s="1"/>
  <c r="D93" i="9"/>
  <c r="D98" i="9" s="1"/>
  <c r="E98" i="9"/>
  <c r="F47" i="22"/>
  <c r="J39" i="13"/>
  <c r="J46" i="13" s="1"/>
  <c r="J16" i="13"/>
  <c r="I67" i="14"/>
  <c r="I69" i="14" s="1"/>
  <c r="D69" i="14"/>
  <c r="H46" i="11"/>
  <c r="K39" i="11"/>
  <c r="K46" i="11" s="1"/>
  <c r="H39" i="13"/>
  <c r="H16" i="13"/>
  <c r="B16" i="13" s="1"/>
  <c r="K9" i="13"/>
  <c r="K16" i="13" s="1"/>
  <c r="P85" i="10"/>
  <c r="I39" i="13"/>
  <c r="I46" i="13" s="1"/>
  <c r="I16" i="13"/>
  <c r="D43" i="9"/>
  <c r="D49" i="9" s="1"/>
  <c r="E13" i="9"/>
  <c r="D42" i="22" l="1"/>
  <c r="G42" i="22" s="1"/>
  <c r="H46" i="13"/>
  <c r="K39" i="13"/>
  <c r="K46" i="13" s="1"/>
  <c r="E85" i="9"/>
  <c r="D5" i="19"/>
  <c r="D127" i="9"/>
  <c r="E106" i="9"/>
  <c r="E130" i="9"/>
  <c r="K84" i="14"/>
  <c r="L84" i="14" s="1"/>
  <c r="L77" i="14"/>
  <c r="F24" i="22" l="1"/>
  <c r="F25" i="22" s="1"/>
  <c r="D84" i="9"/>
  <c r="D86" i="9" s="1"/>
  <c r="E86" i="9"/>
  <c r="H5" i="19"/>
  <c r="D53" i="22"/>
  <c r="D57" i="22" s="1"/>
  <c r="E139" i="9"/>
  <c r="D138" i="9"/>
  <c r="D142" i="9" s="1"/>
  <c r="E150" i="9"/>
  <c r="E5" i="19"/>
  <c r="D29" i="22"/>
  <c r="D31" i="22" s="1"/>
  <c r="F49" i="22"/>
  <c r="D105" i="9"/>
  <c r="D109" i="9" s="1"/>
  <c r="E109" i="9"/>
  <c r="F51" i="22" l="1"/>
  <c r="G51" i="22" s="1"/>
  <c r="E142" i="9"/>
  <c r="F55" i="22"/>
  <c r="G31" i="22"/>
  <c r="D149" i="9"/>
  <c r="D151" i="9" s="1"/>
  <c r="G25" i="22"/>
  <c r="F26" i="22" l="1"/>
  <c r="D64" i="22" s="1"/>
  <c r="D116" i="9" s="1"/>
  <c r="F57" i="22"/>
  <c r="G57" i="22" s="1"/>
  <c r="D32" i="22" s="1"/>
  <c r="F27" i="22"/>
  <c r="G27" i="22" s="1"/>
  <c r="D66" i="22" l="1"/>
  <c r="D120" i="9"/>
  <c r="E118" i="9"/>
  <c r="F65" i="22"/>
  <c r="F66" i="22" s="1"/>
  <c r="D167" i="9"/>
  <c r="D33" i="22"/>
  <c r="G33" i="22" s="1"/>
  <c r="G66" i="22" l="1"/>
  <c r="D171" i="9"/>
  <c r="E169" i="9"/>
  <c r="E171"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Helena Wang</author>
  </authors>
  <commentList>
    <comment ref="A23" authorId="0" shapeId="0" xr:uid="{1BC8CA34-A2D4-49CE-B00E-A37FC91A0CF6}">
      <text>
        <r>
          <rPr>
            <b/>
            <sz val="9"/>
            <color indexed="81"/>
            <rFont val="Tahoma"/>
            <family val="2"/>
          </rPr>
          <t>Helena Wang:</t>
        </r>
        <r>
          <rPr>
            <sz val="9"/>
            <color indexed="81"/>
            <rFont val="Tahoma"/>
            <family val="2"/>
          </rPr>
          <t xml:space="preserve">
Assumption: Approximately 5.33% of the estimated purchased volumes are being diverted to the ULO periods from the previous Standard TOU periods. The allocation for the ULO periods is estimated to be approximately 10% for on-peak, 20% mid-peak, 40% weekend off-peak and 30% ULO overnight.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Helena Wang</author>
  </authors>
  <commentList>
    <comment ref="F43" authorId="0" shapeId="0" xr:uid="{39194C3B-459C-4298-8FD0-01661BB88F44}">
      <text>
        <r>
          <rPr>
            <b/>
            <sz val="9"/>
            <color indexed="81"/>
            <rFont val="Tahoma"/>
            <family val="2"/>
          </rPr>
          <t>Helena Wang:</t>
        </r>
        <r>
          <rPr>
            <sz val="9"/>
            <color indexed="81"/>
            <rFont val="Tahoma"/>
            <family val="2"/>
          </rPr>
          <t xml:space="preserve">
Assumption:4.8% of the actual RPP revenue volumes are being diverted to the ULO periods from the previous two RPP Tiers and Standard TOU periods. The allocation for the ULO periods is estimated to be approximately 10% for on-peak, 20% mid-peak, 40% weekend off-peak and 30% ULO overnight.</t>
        </r>
      </text>
    </comment>
  </commentList>
</comments>
</file>

<file path=xl/sharedStrings.xml><?xml version="1.0" encoding="utf-8"?>
<sst xmlns="http://schemas.openxmlformats.org/spreadsheetml/2006/main" count="962" uniqueCount="383">
  <si>
    <t>Dr. Account 4705 - Power Purchased</t>
  </si>
  <si>
    <t>Cr. Account 2256 - IESO Accounts Payable</t>
  </si>
  <si>
    <t>Tier 1</t>
  </si>
  <si>
    <t>Tier 2</t>
  </si>
  <si>
    <t>Dr. Accounts Receivable</t>
  </si>
  <si>
    <t>Dr. Account 2256 - IESO Accounts Payable reduction</t>
  </si>
  <si>
    <t>Cr. Account 4705 - Power Purchased</t>
  </si>
  <si>
    <t>Difference</t>
  </si>
  <si>
    <t>Estimated %</t>
  </si>
  <si>
    <t>Actual %</t>
  </si>
  <si>
    <t>per kWh</t>
  </si>
  <si>
    <t>Estimated RPP Quantities</t>
  </si>
  <si>
    <t>Estimated non-RPP Quantities</t>
  </si>
  <si>
    <t xml:space="preserve">Wholesale kWh Volumes </t>
  </si>
  <si>
    <t>kWh Volumes</t>
  </si>
  <si>
    <t>Commodity Price</t>
  </si>
  <si>
    <t>RPP Rate</t>
  </si>
  <si>
    <t>RPP Rate/kWh</t>
  </si>
  <si>
    <t>Total Estimated Revenue</t>
  </si>
  <si>
    <t>GA 1st estimate</t>
  </si>
  <si>
    <t>GA 2nd estimate</t>
  </si>
  <si>
    <t>Commodity Cost of Power Accrual:</t>
  </si>
  <si>
    <t>Table 1: Wholesale Volume data used for Cost of Power Accrual:</t>
  </si>
  <si>
    <t>Commodity Cost of Power per IESO Invoice:</t>
  </si>
  <si>
    <t>Actual RPP Sales Quantities</t>
  </si>
  <si>
    <t>Actual non-RPP Sales Quantities</t>
  </si>
  <si>
    <t>Total Actual Revenue</t>
  </si>
  <si>
    <t>Total Commodity</t>
  </si>
  <si>
    <t xml:space="preserve">GA 2nd Estimate </t>
  </si>
  <si>
    <t>GA Actual</t>
  </si>
  <si>
    <t>Actual RPP Quantity Proportion</t>
  </si>
  <si>
    <t>Billed/Unbilled Retail Volumes</t>
  </si>
  <si>
    <t>Estimated RPP Quantity Proportion</t>
  </si>
  <si>
    <t>Estimated non-RPP Quantity Proportion</t>
  </si>
  <si>
    <t>Actual non-RPP Quantity Proportion</t>
  </si>
  <si>
    <t>RPP Revenue Prices</t>
  </si>
  <si>
    <t>Cost/kWh</t>
  </si>
  <si>
    <t>Amount</t>
  </si>
  <si>
    <t>Charge Type 148 - non-RPP - 4707</t>
  </si>
  <si>
    <t>Charge Type 148 - RPP - 4705</t>
  </si>
  <si>
    <t>Cr. Billings Energy Sales Accounts 4006-4055 non-RPP</t>
  </si>
  <si>
    <t>Dr. Account 2256 - IESO Accounts Payable</t>
  </si>
  <si>
    <t>Cr. Accounts Receivable</t>
  </si>
  <si>
    <t>Dr. Billings Energy Sales Accounts 4006-4055 non-RPP</t>
  </si>
  <si>
    <t>Dr. Account 4707 - Charges GA</t>
  </si>
  <si>
    <t>Cr. Account 4705 - Power Purchased RPP GA</t>
  </si>
  <si>
    <t>Commodity cost of power accrual</t>
  </si>
  <si>
    <t>$</t>
  </si>
  <si>
    <t>Proportion of total</t>
  </si>
  <si>
    <t>Recorded in Account 4705</t>
  </si>
  <si>
    <t>Recorded in Account 4707</t>
  </si>
  <si>
    <t>Adjustment required</t>
  </si>
  <si>
    <t xml:space="preserve">Estimated Retail Revenue kWh Volumes </t>
  </si>
  <si>
    <t>Wholesale Prices</t>
  </si>
  <si>
    <t>GA Price Difference</t>
  </si>
  <si>
    <t xml:space="preserve">Actual Retail Revenue kWh Volumes </t>
  </si>
  <si>
    <t>True-Up elements</t>
  </si>
  <si>
    <t>RPP Settlement - 2nd True-UP</t>
  </si>
  <si>
    <t>Account 4705 - Power Purchased</t>
  </si>
  <si>
    <t>Date</t>
  </si>
  <si>
    <t>Balance</t>
  </si>
  <si>
    <t>Notes:</t>
  </si>
  <si>
    <t>a</t>
  </si>
  <si>
    <t>b</t>
  </si>
  <si>
    <t>c</t>
  </si>
  <si>
    <t>Estimated RPP Sales Quantities</t>
  </si>
  <si>
    <t>Estimated non-RPP Sales Quantities</t>
  </si>
  <si>
    <t>Estimated RPP Energy Price</t>
  </si>
  <si>
    <t>Charge Type 101 - 4705</t>
  </si>
  <si>
    <t>Estimated Average Energy Price for RPP customers</t>
  </si>
  <si>
    <t>Estimated Average Energy Price for non-RPP customers</t>
  </si>
  <si>
    <t>GA Posted Price</t>
  </si>
  <si>
    <t>Initial RPP Settlement and 1st True-UP</t>
  </si>
  <si>
    <t>RPP Energy Price Difference</t>
  </si>
  <si>
    <t>$ Estimated RPP Energy</t>
  </si>
  <si>
    <t>$ Actual RPP Energy</t>
  </si>
  <si>
    <t>$ Actual GA</t>
  </si>
  <si>
    <t>$ Estimated GA</t>
  </si>
  <si>
    <t>$ Estimated RPP Revenue</t>
  </si>
  <si>
    <t>$ True-Up RPP Revenue</t>
  </si>
  <si>
    <t>$ True-up RPP Energy</t>
  </si>
  <si>
    <t>$ True-up GA</t>
  </si>
  <si>
    <t>Actual RPP Energy Price</t>
  </si>
  <si>
    <t>GA Billed by IESO CT 148</t>
  </si>
  <si>
    <t>JE #1 - IESO Cost of Power Accrual</t>
  </si>
  <si>
    <t>JE #2 - Revenue Estimate</t>
  </si>
  <si>
    <t>RPP vs non-RPP Allocation</t>
  </si>
  <si>
    <t>Closing Principal Balance</t>
  </si>
  <si>
    <t>COP Accrual vs Actual GA - Per IESO Bill</t>
  </si>
  <si>
    <t>Unbilled vs Actual Difference</t>
  </si>
  <si>
    <t xml:space="preserve"> </t>
  </si>
  <si>
    <t>Rate</t>
  </si>
  <si>
    <t>Description</t>
  </si>
  <si>
    <t>DR</t>
  </si>
  <si>
    <t>CR</t>
  </si>
  <si>
    <t>d</t>
  </si>
  <si>
    <t>GA Volumes</t>
  </si>
  <si>
    <t>Energy Volumes</t>
  </si>
  <si>
    <t>RPP/non-RPP Ratios</t>
  </si>
  <si>
    <t>Class A customer Volumes for GA  (TLF included)</t>
  </si>
  <si>
    <t>Charge Type 148 - non-RPP Class B - 4707</t>
  </si>
  <si>
    <t>Class B non-RPP GA Revenue at 1st estimate</t>
  </si>
  <si>
    <t>Estimated Class A non-RPP GA Revenue at PDF</t>
  </si>
  <si>
    <t>Class B - GA actual</t>
  </si>
  <si>
    <t>GA RPP/non-RPP Ratios</t>
  </si>
  <si>
    <t>Estimated Retail Revenue Data (Net of Retail Billed/Unbilled)</t>
  </si>
  <si>
    <t>Charge Type 147 - non-RPP Class A - 4707</t>
  </si>
  <si>
    <t>Commodity Prices</t>
  </si>
  <si>
    <t>Table 4: Estimated RPP Revenue Volume and Price Data</t>
  </si>
  <si>
    <t>Table 5: Commodity Price Data:</t>
  </si>
  <si>
    <t>Table 6: Commodity Cost of Power Accrual</t>
  </si>
  <si>
    <t>Table 7: RPP Commodity Revenue</t>
  </si>
  <si>
    <t>Table 10: Wholesale Volume data per IESO Power Bill:</t>
  </si>
  <si>
    <t>Table 12: Estimated Retail Volume Revenue Data (TLF Included)</t>
  </si>
  <si>
    <t>Table 13: Estimated RPP Revenue Volume and Price Data</t>
  </si>
  <si>
    <t>Table 14: Commodity Price Data:</t>
  </si>
  <si>
    <t>Table 15: Commodity Cost of Power Billed by IESO</t>
  </si>
  <si>
    <t>Table 16: RPP Commodity Revenue</t>
  </si>
  <si>
    <t>Table 8: non-RPP Energy and GA Revenue Accrual</t>
  </si>
  <si>
    <t>Actual Class A non-RPP GA Revenue at PDF</t>
  </si>
  <si>
    <t>Estimated Net Accrued &amp; Billed Revenue from RPP &amp; non-RPP Customers:</t>
  </si>
  <si>
    <t>Updated Estimated Net Accrued &amp; Billed Revenue from RPP &amp; non-RPP Customers:</t>
  </si>
  <si>
    <t>Class B - GA actual IESO billed</t>
  </si>
  <si>
    <t>Actual Net Accrued &amp; Billed Revenue from RPP &amp; non-RPP Customers:</t>
  </si>
  <si>
    <t>Table 21: True-up of 2nd Estimate GA to Actual GA Price</t>
  </si>
  <si>
    <t>RPP vs non-RPP Cost of Power Journal Entry True-up of CT 148</t>
  </si>
  <si>
    <t>Table 27: Commodity Cost of Power Billed by IESO</t>
  </si>
  <si>
    <t>Table 28: RPP Commodity Revenue</t>
  </si>
  <si>
    <t>Estimated non-RPP Energy Revenue</t>
  </si>
  <si>
    <t>Actual Average Energy Price for RPP Customers</t>
  </si>
  <si>
    <t>Actual Average Energy Price for non-RPP customers</t>
  </si>
  <si>
    <t>Table 19: Estimated RPP Revenue and GA 2nd Estimate</t>
  </si>
  <si>
    <t>Table 20: Revised RPP Settlement based on Estimated RPP Revenue and Actual GA Price</t>
  </si>
  <si>
    <t>Table 22: Wholesale Volume data per IESO Power Bill</t>
  </si>
  <si>
    <t>Table 26: Commodity Price Data</t>
  </si>
  <si>
    <t>Actual non-RPP Energy Revenue</t>
  </si>
  <si>
    <t>2nd RPP Settlement True-up</t>
  </si>
  <si>
    <t>1st RPP Settlement True-up based on Actual GA Price</t>
  </si>
  <si>
    <t>RPP Settlement- 1st true-up</t>
  </si>
  <si>
    <t>RPP Settlement - 2nd true-up</t>
  </si>
  <si>
    <t>Balance for Disposition</t>
  </si>
  <si>
    <t>Account</t>
  </si>
  <si>
    <t>Dr. Account 4705 - Power Purchased  (CT 101)</t>
  </si>
  <si>
    <t>Dr. Account 4705 - Power Purchased - RPP GA Charges (CT 148)</t>
  </si>
  <si>
    <t>Dr. Account 4707 - GA Charges - Class A non-RPP (CT 147)</t>
  </si>
  <si>
    <t>Dr. Account 4707 - GA Charges - Class B non-RPP (CT 148)</t>
  </si>
  <si>
    <t>Cr. Account 4705 - Power Purchased (CT 1142)</t>
  </si>
  <si>
    <t>Cr. Billings Energy Sales Accounts 4006-4055 RPP</t>
  </si>
  <si>
    <t>Cr. Billings Energy Sales Accounts 4006-4055 Class A non-RPP GA</t>
  </si>
  <si>
    <t>Cr. Billings Energy Sales Accounts 4006-4055 Class B non-RPP GA</t>
  </si>
  <si>
    <t>Cr. Account 4707 - GA Charges - Class A non-RPP (CT 147)</t>
  </si>
  <si>
    <t>Cr. Account 4705 - Power Purchased - RPP GA Charges (CT 148)</t>
  </si>
  <si>
    <t>Cr. Account 4707 - GA Charges - Class B non-RPP (CT 148)</t>
  </si>
  <si>
    <t>Dr. Account 4705 - Power Purchased (CT 1142)</t>
  </si>
  <si>
    <t>To reverse JE #1 cost of power accrual.</t>
  </si>
  <si>
    <t>Dr. Billings Energy Sales Accounts 4006-4055 RPP</t>
  </si>
  <si>
    <t>Dr. Billings Energy Sales Accounts 4006-4055 Class A non-RPP GA</t>
  </si>
  <si>
    <t>Dr. Billings Energy Sales Accounts 4006-4055 Class B non-RPP GA</t>
  </si>
  <si>
    <t>Reconciling Item</t>
  </si>
  <si>
    <t>N/A</t>
  </si>
  <si>
    <t xml:space="preserve">Class A - Non-RPP </t>
  </si>
  <si>
    <t>Class B - Non-RPP</t>
  </si>
  <si>
    <t>Price Difference</t>
  </si>
  <si>
    <t>Commodity  (Wholesale)</t>
  </si>
  <si>
    <t>GA (Wholesale)</t>
  </si>
  <si>
    <t>1st Estimate GA</t>
  </si>
  <si>
    <t>Quantity</t>
  </si>
  <si>
    <t>Price</t>
  </si>
  <si>
    <t>Total Wholesale Cost</t>
  </si>
  <si>
    <t>Explanation</t>
  </si>
  <si>
    <t>Total</t>
  </si>
  <si>
    <t>Originally recorded</t>
  </si>
  <si>
    <t>$ Estimated RPP Settlement</t>
  </si>
  <si>
    <t>$ RPP Settlement True-UP</t>
  </si>
  <si>
    <t>$ Actual RPP Revenue</t>
  </si>
  <si>
    <t>JE#</t>
  </si>
  <si>
    <t>Account 4707 - GA Charges</t>
  </si>
  <si>
    <t>Billings Energy Sales Accounts 4006-4055</t>
  </si>
  <si>
    <t>Billings Energy Sales Sub Accounts GA 4006-4055</t>
  </si>
  <si>
    <t>Account 1588 - RSVA Power</t>
  </si>
  <si>
    <t>Account 1589 - RSVA GA</t>
  </si>
  <si>
    <t>Notes</t>
  </si>
  <si>
    <t>JE #4 - IESO Cost of Power Reversal</t>
  </si>
  <si>
    <t>Cr. Account 1589 RSVA GA</t>
  </si>
  <si>
    <t>JE #5 - Reversal of Revenue Estimate Accrual</t>
  </si>
  <si>
    <t>JE #6 - IESO Cost of Power Invoice</t>
  </si>
  <si>
    <t>Dr. Account 1589 RSVA GA</t>
  </si>
  <si>
    <t>Dr. Account 1588 RSVA Power</t>
  </si>
  <si>
    <t>Table 12A: Estimated Retail Volume Revenue Data (TLF Included)</t>
  </si>
  <si>
    <t>Amount Unbilled</t>
  </si>
  <si>
    <t>Amount billed</t>
  </si>
  <si>
    <t>Cr. Billings Energy Sales Accounts 4006-4055 non-RPP - unbilled</t>
  </si>
  <si>
    <t>Cr. Billings Energy Sales Accounts 4006-4055 Class B non-RPP GA - unbilled</t>
  </si>
  <si>
    <t>e</t>
  </si>
  <si>
    <t>f</t>
  </si>
  <si>
    <t>Cr. Account 1588 RSVA Power</t>
  </si>
  <si>
    <t>Cr. Account 1589 - RSVA GA</t>
  </si>
  <si>
    <t>Balance recorded</t>
  </si>
  <si>
    <t>Cr. Account 4707 - GA Charges</t>
  </si>
  <si>
    <r>
      <t>AQEW</t>
    </r>
    <r>
      <rPr>
        <b/>
        <vertAlign val="superscript"/>
        <sz val="11"/>
        <color theme="1"/>
        <rFont val="Calibri"/>
        <family val="2"/>
        <scheme val="minor"/>
      </rPr>
      <t>1</t>
    </r>
  </si>
  <si>
    <r>
      <t>Embedded Generation</t>
    </r>
    <r>
      <rPr>
        <b/>
        <vertAlign val="superscript"/>
        <sz val="11"/>
        <color theme="1"/>
        <rFont val="Calibri"/>
        <family val="2"/>
        <scheme val="minor"/>
      </rPr>
      <t>2</t>
    </r>
  </si>
  <si>
    <r>
      <t>Table 3: Estimated Retail Volume Revenue Data (TLF Included)</t>
    </r>
    <r>
      <rPr>
        <b/>
        <vertAlign val="superscript"/>
        <sz val="10"/>
        <color theme="1"/>
        <rFont val="Calibri"/>
        <family val="2"/>
        <scheme val="minor"/>
      </rPr>
      <t>3</t>
    </r>
  </si>
  <si>
    <t>Charge Type 1142 - RPP - 4705 - RPP Settlement - Day 4 Settlement</t>
  </si>
  <si>
    <t>Charge Type 1412 - FIT Program Settlement Amount - 4705</t>
  </si>
  <si>
    <t>Actual Payments to Embedded Generators - 4705</t>
  </si>
  <si>
    <t>Actual cost of power</t>
  </si>
  <si>
    <r>
      <t>Estimated Payments to Embedded Generators - 4705</t>
    </r>
    <r>
      <rPr>
        <b/>
        <vertAlign val="superscript"/>
        <sz val="11"/>
        <color theme="1"/>
        <rFont val="Calibri"/>
        <family val="2"/>
        <scheme val="minor"/>
      </rPr>
      <t>4</t>
    </r>
  </si>
  <si>
    <r>
      <t>Charge Type 147 - non-RPP Class A - 4707</t>
    </r>
    <r>
      <rPr>
        <b/>
        <vertAlign val="superscript"/>
        <sz val="11"/>
        <color theme="1"/>
        <rFont val="Calibri"/>
        <family val="2"/>
        <scheme val="minor"/>
      </rPr>
      <t>5</t>
    </r>
  </si>
  <si>
    <r>
      <t>Charge Type 1412 - FIT Program Settlement Amount - 4705</t>
    </r>
    <r>
      <rPr>
        <b/>
        <vertAlign val="superscript"/>
        <sz val="11"/>
        <color theme="1"/>
        <rFont val="Calibri"/>
        <family val="2"/>
        <scheme val="minor"/>
      </rPr>
      <t>6</t>
    </r>
  </si>
  <si>
    <r>
      <t>Estimated Average Energy Price for non-RPP customers</t>
    </r>
    <r>
      <rPr>
        <b/>
        <vertAlign val="superscript"/>
        <sz val="11"/>
        <color theme="1"/>
        <rFont val="Calibri"/>
        <family val="2"/>
        <scheme val="minor"/>
      </rPr>
      <t>7</t>
    </r>
    <r>
      <rPr>
        <sz val="11"/>
        <color theme="1"/>
        <rFont val="Calibri"/>
        <family val="2"/>
        <scheme val="minor"/>
      </rPr>
      <t xml:space="preserve">  </t>
    </r>
  </si>
  <si>
    <r>
      <t>Class B - GA actual</t>
    </r>
    <r>
      <rPr>
        <b/>
        <vertAlign val="superscript"/>
        <sz val="11"/>
        <color theme="1"/>
        <rFont val="Calibri"/>
        <family val="2"/>
        <scheme val="minor"/>
      </rPr>
      <t>8</t>
    </r>
  </si>
  <si>
    <r>
      <t>Class B - GA actual IESO billed</t>
    </r>
    <r>
      <rPr>
        <b/>
        <vertAlign val="superscript"/>
        <sz val="11"/>
        <color theme="1"/>
        <rFont val="Calibri"/>
        <family val="2"/>
        <scheme val="minor"/>
      </rPr>
      <t>9</t>
    </r>
  </si>
  <si>
    <r>
      <t>Charge Type 147 - non-RPP Class A - 4707</t>
    </r>
    <r>
      <rPr>
        <b/>
        <vertAlign val="superscript"/>
        <sz val="11"/>
        <color theme="1"/>
        <rFont val="Calibri"/>
        <family val="2"/>
        <scheme val="minor"/>
      </rPr>
      <t>10</t>
    </r>
  </si>
  <si>
    <t>Embedded Generation</t>
  </si>
  <si>
    <t>AQEW</t>
  </si>
  <si>
    <t>Class A customer Volumes for GA (TLF included)</t>
  </si>
  <si>
    <t>Cr. Account 4705 - Power Purchased (CT 1412)</t>
  </si>
  <si>
    <t>JE #12- Actual Revenue Entries</t>
  </si>
  <si>
    <t>JE #13 - RPP Settlement 2nd True-up</t>
  </si>
  <si>
    <t>JE #14 - RPP/non-RPP ratio True-Up</t>
  </si>
  <si>
    <t>Table 2: Estimated Volumes purchased for RPP Customers (TLF Included)</t>
  </si>
  <si>
    <t>Table 11: Updated estimated Volumes purchased for RPP Customers (TLF Included)</t>
  </si>
  <si>
    <t>Table 23: Actual Volumes purchased for RPP Customers (TLF Included)</t>
  </si>
  <si>
    <t>Table 24: Actual Retail Volume Revenue Data (TLF included)</t>
  </si>
  <si>
    <t>Table 29: non-RPP Actual Revenue</t>
  </si>
  <si>
    <t>Table 31: Estimated RPP Revenue &amp; Actual GA price</t>
  </si>
  <si>
    <t>Table 32 Final Revised RPP Settlement based on Actual RPP Revenue and Actual GA Price</t>
  </si>
  <si>
    <t>Table 33: True-up of RPP Volumes and Revenue and GA price to actual</t>
  </si>
  <si>
    <t>Table 34: RPP GA Allocation Adjustment</t>
  </si>
  <si>
    <t>Table 10: Wholesale Volume data per IESO Power Bill</t>
  </si>
  <si>
    <t>Table 14: Commodity Price Data</t>
  </si>
  <si>
    <t>Table 17: non-RPP Estimated Revenue</t>
  </si>
  <si>
    <t>Dr. Account 4705 - Power Purchased (CT 1412)</t>
  </si>
  <si>
    <t>Cr. Account 4705 - Power Purchased  from Embedded Generators</t>
  </si>
  <si>
    <t>Cr. Account 4705 - Power Purchased  (CT 101)</t>
  </si>
  <si>
    <t>Cr. Billings Energy Sales Accounts 4006-4055 RPP - unbilled</t>
  </si>
  <si>
    <r>
      <t>Dr. Account 4705 - Power Purchased  from Embedded Generators</t>
    </r>
    <r>
      <rPr>
        <vertAlign val="superscript"/>
        <sz val="11"/>
        <color theme="1"/>
        <rFont val="Calibri"/>
        <family val="2"/>
        <scheme val="minor"/>
      </rPr>
      <t>1</t>
    </r>
  </si>
  <si>
    <r>
      <t xml:space="preserve">Dr. Account 4705 - Actual Payments to Embedded Generators </t>
    </r>
    <r>
      <rPr>
        <vertAlign val="superscript"/>
        <sz val="11"/>
        <color theme="1"/>
        <rFont val="Calibri"/>
        <family val="2"/>
        <scheme val="minor"/>
      </rPr>
      <t>2</t>
    </r>
  </si>
  <si>
    <t>Billed Data Support</t>
  </si>
  <si>
    <t>Estimated Non-RPP power sales volumes and revenues</t>
  </si>
  <si>
    <t>Estimated RPP power sales volumes and revenues</t>
  </si>
  <si>
    <t>Updated Estimated RPP power sales volumes and revenues</t>
  </si>
  <si>
    <t>Updated Estimated Non-RPP power sales volumes and revenues</t>
  </si>
  <si>
    <t>Actual RPP power sales volumes and revenues</t>
  </si>
  <si>
    <t>Actual Non-RPP power sales volumes and revenues</t>
  </si>
  <si>
    <t>Dr. Billings Energy Sales Accounts 4006-4055 Non-RPP GA</t>
  </si>
  <si>
    <t>JE #7 - RPP Settlement 1st True-Up</t>
  </si>
  <si>
    <t>Pre IESO Bill balance</t>
  </si>
  <si>
    <t>Revenue - Energy Sales (Tables 28 &amp; 29)</t>
  </si>
  <si>
    <t>Revenue - GA (Table 29)</t>
  </si>
  <si>
    <t>Costs - 4705 (Table 27)</t>
  </si>
  <si>
    <t>GA Costs - 4707 (Table 27)</t>
  </si>
  <si>
    <t>Customer Group</t>
  </si>
  <si>
    <t>Price Variance</t>
  </si>
  <si>
    <t>Volume Variance</t>
  </si>
  <si>
    <t>Class B - RPP</t>
  </si>
  <si>
    <t>Class B  - RPP</t>
  </si>
  <si>
    <t>Account Balance - December 31, 2017</t>
  </si>
  <si>
    <t>Balance Per DVA Continuity</t>
  </si>
  <si>
    <t>Retail vs Wholesale Price Variances</t>
  </si>
  <si>
    <t>Retail GA Price Billed vs Wholesale GA Actual Price paid to IESO</t>
  </si>
  <si>
    <t>1588 - RSVA Power - Balance Explanation</t>
  </si>
  <si>
    <t>1589 - RSVA GA - Balance Explanation</t>
  </si>
  <si>
    <t>Balance Explained</t>
  </si>
  <si>
    <t>Variance - Type</t>
  </si>
  <si>
    <t>GA Wholesale kWh Volumes</t>
  </si>
  <si>
    <t>Energy Wholesale kWh Volumes</t>
  </si>
  <si>
    <t>Energy Retail kWh Volumes</t>
  </si>
  <si>
    <t>GA Retail
kWh Volumes</t>
  </si>
  <si>
    <t>Table 37 - Total Energy and GA Revenue</t>
  </si>
  <si>
    <t>Table 38 - Account 4705 Total Commodity Costs</t>
  </si>
  <si>
    <t>Table 39 - Account 4705 Total GA Costs</t>
  </si>
  <si>
    <t>Table 40 - Account 1588 Balance Explanation</t>
  </si>
  <si>
    <t>Table 41 - Account 1589 Balance Explanation</t>
  </si>
  <si>
    <t>Summary and Explanation of Final Balances of RSVA 1588 and 1589</t>
  </si>
  <si>
    <t>Volume Data by Customer Group</t>
  </si>
  <si>
    <r>
      <rPr>
        <b/>
        <sz val="11"/>
        <color theme="1"/>
        <rFont val="Calibri"/>
        <family val="2"/>
        <scheme val="minor"/>
      </rPr>
      <t xml:space="preserve">Amount </t>
    </r>
    <r>
      <rPr>
        <b/>
        <vertAlign val="superscript"/>
        <sz val="11"/>
        <color theme="1"/>
        <rFont val="Calibri"/>
        <family val="2"/>
        <scheme val="minor"/>
      </rPr>
      <t>12</t>
    </r>
  </si>
  <si>
    <r>
      <t>GA Actual</t>
    </r>
    <r>
      <rPr>
        <b/>
        <vertAlign val="superscript"/>
        <sz val="11"/>
        <color theme="1"/>
        <rFont val="Calibri"/>
        <family val="2"/>
        <scheme val="minor"/>
      </rPr>
      <t>13</t>
    </r>
  </si>
  <si>
    <r>
      <rPr>
        <vertAlign val="superscript"/>
        <sz val="11"/>
        <color theme="1"/>
        <rFont val="Calibri"/>
        <family val="2"/>
        <scheme val="minor"/>
      </rPr>
      <t>13</t>
    </r>
    <r>
      <rPr>
        <sz val="11"/>
        <color theme="1"/>
        <rFont val="Calibri"/>
        <family val="2"/>
        <scheme val="minor"/>
      </rPr>
      <t xml:space="preserve"> - Settlement Based on Actual unit GA billed by the IESO (not the Actual GA posted Rate)</t>
    </r>
  </si>
  <si>
    <r>
      <t>Table 25: Actual RPP Revenue Volume and Price Data</t>
    </r>
    <r>
      <rPr>
        <b/>
        <vertAlign val="superscript"/>
        <sz val="10"/>
        <color theme="1"/>
        <rFont val="Calibri"/>
        <family val="2"/>
        <scheme val="minor"/>
      </rPr>
      <t>14</t>
    </r>
  </si>
  <si>
    <r>
      <t>Charge Type 148 - RPP - 4705</t>
    </r>
    <r>
      <rPr>
        <b/>
        <vertAlign val="superscript"/>
        <sz val="11"/>
        <color theme="1"/>
        <rFont val="Calibri"/>
        <family val="2"/>
        <scheme val="minor"/>
      </rPr>
      <t>15</t>
    </r>
  </si>
  <si>
    <r>
      <t>Charge Type 148 - non-RPP - 4707</t>
    </r>
    <r>
      <rPr>
        <b/>
        <vertAlign val="superscript"/>
        <sz val="11"/>
        <color theme="1"/>
        <rFont val="Calibri"/>
        <family val="2"/>
        <scheme val="minor"/>
      </rPr>
      <t>15</t>
    </r>
  </si>
  <si>
    <r>
      <t>Charge Type 1142 - RPP - 4705 - RPP Settlement - Final Settlement Amount</t>
    </r>
    <r>
      <rPr>
        <b/>
        <vertAlign val="superscript"/>
        <sz val="11"/>
        <color theme="1"/>
        <rFont val="Calibri"/>
        <family val="2"/>
        <scheme val="minor"/>
      </rPr>
      <t>16</t>
    </r>
  </si>
  <si>
    <r>
      <t>Actuals</t>
    </r>
    <r>
      <rPr>
        <b/>
        <vertAlign val="superscript"/>
        <sz val="11"/>
        <color theme="1"/>
        <rFont val="Calibri"/>
        <family val="2"/>
        <scheme val="minor"/>
      </rPr>
      <t>17</t>
    </r>
  </si>
  <si>
    <t>Final Purchased Price</t>
  </si>
  <si>
    <t>Actual GA IESO Bill Price</t>
  </si>
  <si>
    <t>Final IESO RPP Settlement</t>
  </si>
  <si>
    <t>Retail vs Wholesale Volume Variance - (UFE differences)</t>
  </si>
  <si>
    <t>Dr. Billings Energy Sales Accounts 4006-4055  Sub-account GA</t>
  </si>
  <si>
    <r>
      <t>Charge Type 1142 - RPP - 4705 - RPP Settlement - Initial Settlement Amount</t>
    </r>
    <r>
      <rPr>
        <b/>
        <vertAlign val="superscript"/>
        <sz val="11"/>
        <color theme="1"/>
        <rFont val="Calibri"/>
        <family val="2"/>
        <scheme val="minor"/>
      </rPr>
      <t>11</t>
    </r>
  </si>
  <si>
    <t>Charge Type 1142 - RPP - 4705 - RPP Settlement - Initial Settlement Amount</t>
  </si>
  <si>
    <t>Table 18: Updated Estimated Average unit cost of power for RPP &amp; non-RPP for 1st True-up</t>
  </si>
  <si>
    <t>RPP Price/kWh</t>
  </si>
  <si>
    <t>Table 17: Updated non-RPP Energy and GA Revenue Accrual</t>
  </si>
  <si>
    <t>RPP Price</t>
  </si>
  <si>
    <t>Table 9: Estimated average unit cost of power sold for RPP &amp; non-RPP for Initial Settlement</t>
  </si>
  <si>
    <t>Table 18: Updated Estimated Average unit cost of power sold for RPP &amp; non-RPP for 1st True-up</t>
  </si>
  <si>
    <t>Table 30: Actual Average unit cost of power sold for RPP &amp; non-RPP for 2nd True-up</t>
  </si>
  <si>
    <t>Updates for ULO</t>
  </si>
  <si>
    <t>Standard TOU Off-peak</t>
  </si>
  <si>
    <t>Standard TOU Mid-peak</t>
  </si>
  <si>
    <t>Standard TOU On-peak</t>
  </si>
  <si>
    <t>ULO Weekend Off-peak</t>
  </si>
  <si>
    <t>ULO Mid-peak</t>
  </si>
  <si>
    <t>ULO On-peak</t>
  </si>
  <si>
    <t>ULO Ultra-Low Overnight</t>
  </si>
  <si>
    <r>
      <t xml:space="preserve">Data for Initial RPP Settlement based on Estimates on Day 4 </t>
    </r>
    <r>
      <rPr>
        <b/>
        <sz val="14"/>
        <color rgb="FF00B050"/>
        <rFont val="Calibri"/>
        <family val="2"/>
        <scheme val="minor"/>
      </rPr>
      <t>January 5, 2024</t>
    </r>
    <r>
      <rPr>
        <b/>
        <sz val="14"/>
        <color theme="1"/>
        <rFont val="Calibri"/>
        <family val="2"/>
        <scheme val="minor"/>
      </rPr>
      <t>:</t>
    </r>
  </si>
  <si>
    <r>
      <t xml:space="preserve">Data for 1st True up of RPP Settlement based on Actual IESO Invoice on </t>
    </r>
    <r>
      <rPr>
        <b/>
        <sz val="14"/>
        <color rgb="FF00B050"/>
        <rFont val="Calibri"/>
        <family val="2"/>
        <scheme val="minor"/>
      </rPr>
      <t>February 6, 2024</t>
    </r>
    <r>
      <rPr>
        <b/>
        <sz val="14"/>
        <color theme="1"/>
        <rFont val="Calibri"/>
        <family val="2"/>
        <scheme val="minor"/>
      </rPr>
      <t>:</t>
    </r>
  </si>
  <si>
    <r>
      <t xml:space="preserve">Data for Unbilled/Billed Entry for </t>
    </r>
    <r>
      <rPr>
        <b/>
        <sz val="14"/>
        <color rgb="FF00B050"/>
        <rFont val="Calibri"/>
        <family val="2"/>
        <scheme val="minor"/>
      </rPr>
      <t>January, 2024</t>
    </r>
    <r>
      <rPr>
        <b/>
        <sz val="14"/>
        <color theme="1"/>
        <rFont val="Calibri"/>
        <family val="2"/>
        <scheme val="minor"/>
      </rPr>
      <t>:</t>
    </r>
  </si>
  <si>
    <t xml:space="preserve">Table 13A: Billed and Unbilled RPP Revenue Volume and Price Data for December consumption </t>
  </si>
  <si>
    <r>
      <rPr>
        <b/>
        <sz val="14"/>
        <color rgb="FF00B050"/>
        <rFont val="Calibri"/>
        <family val="2"/>
        <scheme val="minor"/>
      </rPr>
      <t>January 2024</t>
    </r>
    <r>
      <rPr>
        <b/>
        <sz val="14"/>
        <color theme="1"/>
        <rFont val="Calibri"/>
        <family val="2"/>
        <scheme val="minor"/>
      </rPr>
      <t xml:space="preserve"> Billed and Unbilled Revenue from RPP &amp; non-RPP Customers for December consumption:</t>
    </r>
  </si>
  <si>
    <r>
      <t xml:space="preserve">Table 16A: RPP Commodity Revenue Billed/Unbilled for </t>
    </r>
    <r>
      <rPr>
        <b/>
        <sz val="10"/>
        <rFont val="Calibri"/>
        <family val="2"/>
        <scheme val="minor"/>
      </rPr>
      <t>December</t>
    </r>
    <r>
      <rPr>
        <b/>
        <sz val="10"/>
        <color rgb="FF00B050"/>
        <rFont val="Calibri"/>
        <family val="2"/>
        <scheme val="minor"/>
      </rPr>
      <t xml:space="preserve"> </t>
    </r>
    <r>
      <rPr>
        <b/>
        <sz val="10"/>
        <color theme="1"/>
        <rFont val="Calibri"/>
        <family val="2"/>
        <scheme val="minor"/>
      </rPr>
      <t xml:space="preserve">consumption </t>
    </r>
  </si>
  <si>
    <t>Table 17A: Non-RPP Energy and GA Revenue Billed/Unbilled for December consumption</t>
  </si>
  <si>
    <r>
      <t xml:space="preserve">Total Unbilled </t>
    </r>
    <r>
      <rPr>
        <sz val="11"/>
        <color rgb="FF00B050"/>
        <rFont val="Calibri"/>
        <family val="2"/>
        <scheme val="minor"/>
      </rPr>
      <t>January 31, 2024</t>
    </r>
  </si>
  <si>
    <t>7 -  Unit energy price for Class B non-RPP customers remains the same until actual sales data available.
8 -  Where there is a difference between the Class B GA actual posted rate and the Charge Type 148 - Class B GA Actual IESO billed price then 
      such difference should be confirmed with the IESO.
9  -  Actual GA billed price based on actual charges for CT 148 on IESO invoice divided by actual wholesale volumes.
10 - Actual GA billed price based on actual charges for CT 147 on IESO invoice.
11 - This is the initial RPP Settlement amount. 
12 -  The unit cost for RPP customers is updated due to the change in Commodity Costs paid to the IESO. It is assumed that the unit cost of 
        power for Non-RPP customers remains the same as what was used in the initial RPP settlement. The unit cost of power for RPP 
        customers is a derived residual amount. The difference between the Commodity cost paid to the IESO and the Commodity cost relating to 
        RPP customers pertains to the unaccounted for energy.</t>
  </si>
  <si>
    <r>
      <t xml:space="preserve">1 - Allocated Quantity of Energy </t>
    </r>
    <r>
      <rPr>
        <sz val="11"/>
        <rFont val="Calibri"/>
        <family val="2"/>
        <scheme val="minor"/>
      </rPr>
      <t>Withdrawn</t>
    </r>
    <r>
      <rPr>
        <sz val="11"/>
        <color theme="1"/>
        <rFont val="Calibri"/>
        <family val="2"/>
        <scheme val="minor"/>
      </rPr>
      <t xml:space="preserve"> (AQEW) is the aggregate kWh energy withdrawn by a distributor from the
     transmission grid based on quantities as per delivery point energy totalization tables.
2 - The aggregate kWh's generated by embedded generators in the distributors service territory during the month, net 
      of generated quantities injected into the transmission grid. 
3 - Total estimated Class B RPP &amp; non-RPP kWh volumes used for RPP settlement purposes must be consistent with the 
     billings minus the previous months unbilled revenue plus the current month's unbilled revenues implicit in GL 4006 - 
     4055 for the month.
4 -Based on the aggregate amounts to be paid to the embedded generator.
5 - Class A GA is the sum of amounts for each Class A customer as calculated by multiplying the customer specific peak 
     demand factor by the provincial actual total GA dollars.
6 - Based on difference between amounts paid to the embedded generator and the wholesale market cost of power 
     amount to be used in embedded generator settlement with the IESO.</t>
    </r>
  </si>
  <si>
    <r>
      <t xml:space="preserve">Data for 2nd True up of RPP Settlement based on Actual Revenue Volumes on </t>
    </r>
    <r>
      <rPr>
        <b/>
        <sz val="14"/>
        <color rgb="FF00B050"/>
        <rFont val="Calibri"/>
        <family val="2"/>
        <scheme val="minor"/>
      </rPr>
      <t>March 6, 2024</t>
    </r>
    <r>
      <rPr>
        <b/>
        <sz val="14"/>
        <color theme="1"/>
        <rFont val="Calibri"/>
        <family val="2"/>
        <scheme val="minor"/>
      </rPr>
      <t>:</t>
    </r>
  </si>
  <si>
    <r>
      <rPr>
        <vertAlign val="superscript"/>
        <sz val="11"/>
        <color theme="1"/>
        <rFont val="Calibri"/>
        <family val="2"/>
        <scheme val="minor"/>
      </rPr>
      <t>14</t>
    </r>
    <r>
      <rPr>
        <sz val="11"/>
        <color theme="1"/>
        <rFont val="Calibri"/>
        <family val="2"/>
        <scheme val="minor"/>
      </rPr>
      <t xml:space="preserve"> - Volumes related to each RPP price point for Revenue based on actual consumption during calendar month.
</t>
    </r>
    <r>
      <rPr>
        <vertAlign val="superscript"/>
        <sz val="11"/>
        <color theme="1"/>
        <rFont val="Calibri"/>
        <family val="2"/>
        <scheme val="minor"/>
      </rPr>
      <t>15</t>
    </r>
    <r>
      <rPr>
        <sz val="11"/>
        <color theme="1"/>
        <rFont val="Calibri"/>
        <family val="2"/>
        <scheme val="minor"/>
      </rPr>
      <t xml:space="preserve"> - Updated GA for RPP and non-RPP class B customers based on actual proportions for RPP and non-RPP Class B customers.
</t>
    </r>
    <r>
      <rPr>
        <vertAlign val="superscript"/>
        <sz val="11"/>
        <color theme="1"/>
        <rFont val="Calibri"/>
        <family val="2"/>
        <scheme val="minor"/>
      </rPr>
      <t>16</t>
    </r>
    <r>
      <rPr>
        <sz val="11"/>
        <color theme="1"/>
        <rFont val="Calibri"/>
        <family val="2"/>
        <scheme val="minor"/>
      </rPr>
      <t xml:space="preserve"> - This is the updated cumulative RPP Settlement amount. The true up element of this amount will be incorporated into Charge 
       Type 1142 in the RPP settlement with the IESO for</t>
    </r>
    <r>
      <rPr>
        <sz val="11"/>
        <rFont val="Calibri"/>
        <family val="2"/>
        <scheme val="minor"/>
      </rPr>
      <t xml:space="preserve"> February or March</t>
    </r>
    <r>
      <rPr>
        <sz val="11"/>
        <color theme="1"/>
        <rFont val="Calibri"/>
        <family val="2"/>
        <scheme val="minor"/>
      </rPr>
      <t xml:space="preserve"> on day four of </t>
    </r>
    <r>
      <rPr>
        <sz val="11"/>
        <rFont val="Calibri"/>
        <family val="2"/>
        <scheme val="minor"/>
      </rPr>
      <t>February or March.</t>
    </r>
  </si>
  <si>
    <r>
      <t>Data for 1st True up of RPP Settlement based on Actual IESO Invoice on</t>
    </r>
    <r>
      <rPr>
        <b/>
        <sz val="14"/>
        <color rgb="FF00B050"/>
        <rFont val="Calibri"/>
        <family val="2"/>
        <scheme val="minor"/>
      </rPr>
      <t xml:space="preserve"> February 6, 2024</t>
    </r>
    <r>
      <rPr>
        <b/>
        <sz val="14"/>
        <color theme="1"/>
        <rFont val="Calibri"/>
        <family val="2"/>
        <scheme val="minor"/>
      </rPr>
      <t>:</t>
    </r>
  </si>
  <si>
    <t>Billed in January</t>
  </si>
  <si>
    <t>Billed in February</t>
  </si>
  <si>
    <r>
      <t xml:space="preserve">RPP Settlement Calculation based on Actual GA Price on Business Day 4 of </t>
    </r>
    <r>
      <rPr>
        <b/>
        <sz val="14"/>
        <color rgb="FF00B050"/>
        <rFont val="Calibri"/>
        <family val="2"/>
        <scheme val="minor"/>
      </rPr>
      <t>February 2024</t>
    </r>
  </si>
  <si>
    <r>
      <t xml:space="preserve">Final RPP Settlement Calculation on Business Day 4 of </t>
    </r>
    <r>
      <rPr>
        <b/>
        <sz val="14"/>
        <color rgb="FF00B050"/>
        <rFont val="Calibri"/>
        <family val="2"/>
        <scheme val="minor"/>
      </rPr>
      <t>March 2024</t>
    </r>
  </si>
  <si>
    <t>$ Final RPP Settlement</t>
  </si>
  <si>
    <r>
      <t>Table 35: DVA Continuity Schedule adjustments at</t>
    </r>
    <r>
      <rPr>
        <b/>
        <sz val="11"/>
        <color rgb="FF00B050"/>
        <rFont val="Calibri"/>
        <family val="2"/>
        <scheme val="minor"/>
      </rPr>
      <t xml:space="preserve"> </t>
    </r>
    <r>
      <rPr>
        <b/>
        <sz val="11"/>
        <rFont val="Calibri"/>
        <family val="2"/>
        <scheme val="minor"/>
      </rPr>
      <t xml:space="preserve">December 31, </t>
    </r>
    <r>
      <rPr>
        <b/>
        <sz val="11"/>
        <color rgb="FF00B050"/>
        <rFont val="Calibri"/>
        <family val="2"/>
        <scheme val="minor"/>
      </rPr>
      <t>2023</t>
    </r>
  </si>
  <si>
    <r>
      <t>If Books Open and IESO Bill Posted to</t>
    </r>
    <r>
      <rPr>
        <b/>
        <sz val="11"/>
        <rFont val="Calibri"/>
        <family val="2"/>
        <scheme val="minor"/>
      </rPr>
      <t xml:space="preserve"> December 31, </t>
    </r>
    <r>
      <rPr>
        <b/>
        <sz val="11"/>
        <color rgb="FF00B050"/>
        <rFont val="Calibri"/>
        <family val="2"/>
        <scheme val="minor"/>
      </rPr>
      <t>2023</t>
    </r>
    <r>
      <rPr>
        <b/>
        <sz val="11"/>
        <color theme="1"/>
        <rFont val="Calibri"/>
        <family val="2"/>
        <scheme val="minor"/>
      </rPr>
      <t xml:space="preserve"> G/L, no DVA Continuity Adjustment</t>
    </r>
  </si>
  <si>
    <r>
      <t>Not Posted to</t>
    </r>
    <r>
      <rPr>
        <b/>
        <sz val="11"/>
        <color theme="7" tint="-0.249977111117893"/>
        <rFont val="Calibri"/>
        <family val="2"/>
        <scheme val="minor"/>
      </rPr>
      <t xml:space="preserve"> </t>
    </r>
    <r>
      <rPr>
        <b/>
        <sz val="11"/>
        <rFont val="Calibri"/>
        <family val="2"/>
        <scheme val="minor"/>
      </rPr>
      <t xml:space="preserve">December 31, </t>
    </r>
    <r>
      <rPr>
        <b/>
        <sz val="11"/>
        <color rgb="FF00B050"/>
        <rFont val="Calibri"/>
        <family val="2"/>
        <scheme val="minor"/>
      </rPr>
      <t>2023</t>
    </r>
    <r>
      <rPr>
        <b/>
        <sz val="11"/>
        <color theme="1"/>
        <rFont val="Calibri"/>
        <family val="2"/>
        <scheme val="minor"/>
      </rPr>
      <t xml:space="preserve"> G/L, DVA Continuity Adjustment needed</t>
    </r>
  </si>
  <si>
    <r>
      <t xml:space="preserve">Table 36: GA Analayis Workform Reconciling Items </t>
    </r>
    <r>
      <rPr>
        <b/>
        <sz val="11"/>
        <rFont val="Calibri"/>
        <family val="2"/>
        <scheme val="minor"/>
      </rPr>
      <t xml:space="preserve">December 31, </t>
    </r>
    <r>
      <rPr>
        <b/>
        <sz val="11"/>
        <color rgb="FF00B050"/>
        <rFont val="Calibri"/>
        <family val="2"/>
        <scheme val="minor"/>
      </rPr>
      <t>2023</t>
    </r>
  </si>
  <si>
    <r>
      <t xml:space="preserve">If Books Open and IESO Bill Posted to </t>
    </r>
    <r>
      <rPr>
        <b/>
        <sz val="11"/>
        <rFont val="Calibri"/>
        <family val="2"/>
        <scheme val="minor"/>
      </rPr>
      <t xml:space="preserve">December 31, </t>
    </r>
    <r>
      <rPr>
        <b/>
        <sz val="11"/>
        <color rgb="FF00B050"/>
        <rFont val="Calibri"/>
        <family val="2"/>
        <scheme val="minor"/>
      </rPr>
      <t>2023</t>
    </r>
    <r>
      <rPr>
        <b/>
        <sz val="11"/>
        <color theme="7" tint="-0.249977111117893"/>
        <rFont val="Calibri"/>
        <family val="2"/>
        <scheme val="minor"/>
      </rPr>
      <t xml:space="preserve"> </t>
    </r>
    <r>
      <rPr>
        <b/>
        <sz val="11"/>
        <color theme="1"/>
        <rFont val="Calibri"/>
        <family val="2"/>
        <scheme val="minor"/>
      </rPr>
      <t>G/L, no reconciling Item</t>
    </r>
  </si>
  <si>
    <r>
      <t xml:space="preserve">Per </t>
    </r>
    <r>
      <rPr>
        <b/>
        <sz val="11"/>
        <rFont val="Calibri"/>
        <family val="2"/>
        <scheme val="minor"/>
      </rPr>
      <t xml:space="preserve">Dec 31, </t>
    </r>
    <r>
      <rPr>
        <b/>
        <sz val="11"/>
        <color rgb="FF00B050"/>
        <rFont val="Calibri"/>
        <family val="2"/>
        <scheme val="minor"/>
      </rPr>
      <t>2023</t>
    </r>
    <r>
      <rPr>
        <b/>
        <sz val="11"/>
        <color theme="1"/>
        <rFont val="Calibri"/>
        <family val="2"/>
        <scheme val="minor"/>
      </rPr>
      <t xml:space="preserve"> G/L</t>
    </r>
  </si>
  <si>
    <t>December 31, 2023</t>
  </si>
  <si>
    <r>
      <t xml:space="preserve">To accrue commodity cost of power expenses. Accrual of expenses for CT 101, CT 147, CT 148, and CT 1142. See JE #4 for reversal entry in January </t>
    </r>
    <r>
      <rPr>
        <sz val="11"/>
        <color rgb="FF00B050"/>
        <rFont val="Calibri"/>
        <family val="2"/>
        <scheme val="minor"/>
      </rPr>
      <t>2024</t>
    </r>
    <r>
      <rPr>
        <sz val="11"/>
        <rFont val="Calibri"/>
        <family val="2"/>
        <scheme val="minor"/>
      </rPr>
      <t xml:space="preserve">.
</t>
    </r>
    <r>
      <rPr>
        <vertAlign val="superscript"/>
        <sz val="11"/>
        <rFont val="Calibri"/>
        <family val="2"/>
        <scheme val="minor"/>
      </rPr>
      <t>1</t>
    </r>
    <r>
      <rPr>
        <sz val="11"/>
        <rFont val="Calibri"/>
        <family val="2"/>
        <scheme val="minor"/>
      </rPr>
      <t xml:space="preserve">  Accruals for payments to Embedded Generators included in cost of power accrual.  </t>
    </r>
  </si>
  <si>
    <r>
      <t>To record the monthly RSVA entry for December</t>
    </r>
    <r>
      <rPr>
        <sz val="11"/>
        <color rgb="FF00B050"/>
        <rFont val="Calibri"/>
        <family val="2"/>
        <scheme val="minor"/>
      </rPr>
      <t xml:space="preserve"> 2023</t>
    </r>
    <r>
      <rPr>
        <sz val="11"/>
        <color theme="1"/>
        <rFont val="Calibri"/>
        <family val="2"/>
        <scheme val="minor"/>
      </rPr>
      <t>. No entry to Account 1588 as revenues and costs are equal.</t>
    </r>
  </si>
  <si>
    <r>
      <t xml:space="preserve">JE #3 - </t>
    </r>
    <r>
      <rPr>
        <sz val="11"/>
        <rFont val="Calibri"/>
        <family val="2"/>
        <scheme val="minor"/>
      </rPr>
      <t xml:space="preserve">December </t>
    </r>
    <r>
      <rPr>
        <sz val="11"/>
        <color theme="1"/>
        <rFont val="Calibri"/>
        <family val="2"/>
        <scheme val="minor"/>
      </rPr>
      <t>RSVA Entry</t>
    </r>
  </si>
  <si>
    <r>
      <t xml:space="preserve">To reverse revenue related accrual per JE #2. </t>
    </r>
    <r>
      <rPr>
        <b/>
        <sz val="11"/>
        <color theme="1"/>
        <rFont val="Calibri"/>
        <family val="2"/>
        <scheme val="minor"/>
      </rPr>
      <t>For illustrative purposes, the entire JE #2 is shown as a reversal, in practice, only the unbilled revenue journal entry from</t>
    </r>
    <r>
      <rPr>
        <b/>
        <sz val="11"/>
        <color rgb="FF00B050"/>
        <rFont val="Calibri"/>
        <family val="2"/>
        <scheme val="minor"/>
      </rPr>
      <t xml:space="preserve"> </t>
    </r>
    <r>
      <rPr>
        <b/>
        <sz val="11"/>
        <rFont val="Calibri"/>
        <family val="2"/>
        <scheme val="minor"/>
      </rPr>
      <t xml:space="preserve">December </t>
    </r>
    <r>
      <rPr>
        <b/>
        <sz val="11"/>
        <color rgb="FF00B050"/>
        <rFont val="Calibri"/>
        <family val="2"/>
        <scheme val="minor"/>
      </rPr>
      <t>2023</t>
    </r>
    <r>
      <rPr>
        <b/>
        <sz val="11"/>
        <color theme="1"/>
        <rFont val="Calibri"/>
        <family val="2"/>
        <scheme val="minor"/>
      </rPr>
      <t xml:space="preserve"> would be reversed.</t>
    </r>
  </si>
  <si>
    <r>
      <t>To record Actual charges re. CT 101, CT 147, CT 148, 1142, and CT 1412 on IESO invoice (on 10th business day of</t>
    </r>
    <r>
      <rPr>
        <sz val="11"/>
        <color rgb="FF00B050"/>
        <rFont val="Calibri"/>
        <family val="2"/>
        <scheme val="minor"/>
      </rPr>
      <t xml:space="preserve"> </t>
    </r>
    <r>
      <rPr>
        <sz val="11"/>
        <rFont val="Calibri"/>
        <family val="2"/>
        <scheme val="minor"/>
      </rPr>
      <t xml:space="preserve">January </t>
    </r>
    <r>
      <rPr>
        <sz val="11"/>
        <color rgb="FF00B050"/>
        <rFont val="Calibri"/>
        <family val="2"/>
        <scheme val="minor"/>
      </rPr>
      <t>2024</t>
    </r>
    <r>
      <rPr>
        <sz val="11"/>
        <color theme="1"/>
        <rFont val="Calibri"/>
        <family val="2"/>
        <scheme val="minor"/>
      </rPr>
      <t xml:space="preserve">) into Power Purchased and actual GA charges based on estimated RPP/Non-RPP proportions.
</t>
    </r>
    <r>
      <rPr>
        <vertAlign val="superscript"/>
        <sz val="11"/>
        <color theme="1"/>
        <rFont val="Calibri"/>
        <family val="2"/>
        <scheme val="minor"/>
      </rPr>
      <t>2</t>
    </r>
    <r>
      <rPr>
        <sz val="11"/>
        <color theme="1"/>
        <rFont val="Calibri"/>
        <family val="2"/>
        <scheme val="minor"/>
      </rPr>
      <t xml:space="preserve"> Payments to Embedded Generators included for illustrative purposes; these payments would actually be negative billed through a distributors billing system, with payments to embedded generators. </t>
    </r>
    <r>
      <rPr>
        <vertAlign val="superscript"/>
        <sz val="11"/>
        <color theme="1"/>
        <rFont val="Calibri"/>
        <family val="2"/>
        <scheme val="minor"/>
      </rPr>
      <t xml:space="preserve"> </t>
    </r>
    <r>
      <rPr>
        <sz val="11"/>
        <color theme="1"/>
        <rFont val="Calibri"/>
        <family val="2"/>
        <scheme val="minor"/>
      </rPr>
      <t xml:space="preserve">
</t>
    </r>
  </si>
  <si>
    <t>January 31,  2024</t>
  </si>
  <si>
    <t>JE #8 - Revenue Billed in January for December consumption</t>
  </si>
  <si>
    <t>January 1, 2024</t>
  </si>
  <si>
    <t>January 15, 2024</t>
  </si>
  <si>
    <t>January 31, 2024</t>
  </si>
  <si>
    <t>JE #9 - Unbilled Revenue accrued for December consumption</t>
  </si>
  <si>
    <t>JE #10 - January RSVA Entry</t>
  </si>
  <si>
    <r>
      <t xml:space="preserve">To record the monthly RSVA entry for </t>
    </r>
    <r>
      <rPr>
        <sz val="11"/>
        <color rgb="FF00B050"/>
        <rFont val="Calibri"/>
        <family val="2"/>
        <scheme val="minor"/>
      </rPr>
      <t>January 2024</t>
    </r>
    <r>
      <rPr>
        <sz val="11"/>
        <color theme="1"/>
        <rFont val="Calibri"/>
        <family val="2"/>
        <scheme val="minor"/>
      </rPr>
      <t>.</t>
    </r>
  </si>
  <si>
    <t>February 1, 2024</t>
  </si>
  <si>
    <t>JE #11 - Reversal of Unbilled revenue recorded in January for December consumption</t>
  </si>
  <si>
    <r>
      <t xml:space="preserve">To reverse the unbilled revenue entry JE#9 relating to December </t>
    </r>
    <r>
      <rPr>
        <sz val="11"/>
        <color rgb="FF00B050"/>
        <rFont val="Calibri"/>
        <family val="2"/>
        <scheme val="minor"/>
      </rPr>
      <t>2023</t>
    </r>
    <r>
      <rPr>
        <sz val="11"/>
        <color theme="1"/>
        <rFont val="Calibri"/>
        <family val="2"/>
        <scheme val="minor"/>
      </rPr>
      <t xml:space="preserve"> consumption recorded in January </t>
    </r>
    <r>
      <rPr>
        <sz val="11"/>
        <color rgb="FF00B050"/>
        <rFont val="Calibri"/>
        <family val="2"/>
        <scheme val="minor"/>
      </rPr>
      <t>2024</t>
    </r>
    <r>
      <rPr>
        <sz val="11"/>
        <color theme="1"/>
        <rFont val="Calibri"/>
        <family val="2"/>
        <scheme val="minor"/>
      </rPr>
      <t xml:space="preserve">. </t>
    </r>
  </si>
  <si>
    <t>February 29, 2024</t>
  </si>
  <si>
    <t>JE #15 - February RSVA Entry</t>
  </si>
  <si>
    <r>
      <t>To accrue billings minus the previous months unbilled revenue plus the current month's unbilled revenues implicit in GL 4006 - 4055 for the month. See JE #5 for reversal entry in January</t>
    </r>
    <r>
      <rPr>
        <sz val="11"/>
        <color rgb="FF00B050"/>
        <rFont val="Calibri"/>
        <family val="2"/>
        <scheme val="minor"/>
      </rPr>
      <t xml:space="preserve"> 2024</t>
    </r>
    <r>
      <rPr>
        <sz val="11"/>
        <color theme="1"/>
        <rFont val="Calibri"/>
        <family val="2"/>
        <scheme val="minor"/>
      </rPr>
      <t xml:space="preserve">. </t>
    </r>
    <r>
      <rPr>
        <b/>
        <sz val="11"/>
        <color theme="1"/>
        <rFont val="Calibri"/>
        <family val="2"/>
        <scheme val="minor"/>
      </rPr>
      <t>The revenue estimate is shown as a single entry for illustrative purposes. Billing entries would come from daily Billing Journal transactions and the other components would be from the December</t>
    </r>
    <r>
      <rPr>
        <b/>
        <sz val="11"/>
        <color rgb="FF00B050"/>
        <rFont val="Calibri"/>
        <family val="2"/>
        <scheme val="minor"/>
      </rPr>
      <t xml:space="preserve"> 2023</t>
    </r>
    <r>
      <rPr>
        <b/>
        <sz val="11"/>
        <color theme="1"/>
        <rFont val="Calibri"/>
        <family val="2"/>
        <scheme val="minor"/>
      </rPr>
      <t xml:space="preserve"> month-end unbilled revenue accruals and the reversal of the November</t>
    </r>
    <r>
      <rPr>
        <b/>
        <sz val="11"/>
        <color rgb="FF00B050"/>
        <rFont val="Calibri"/>
        <family val="2"/>
        <scheme val="minor"/>
      </rPr>
      <t xml:space="preserve"> 2023</t>
    </r>
    <r>
      <rPr>
        <b/>
        <sz val="11"/>
        <color theme="1"/>
        <rFont val="Calibri"/>
        <family val="2"/>
        <scheme val="minor"/>
      </rPr>
      <t xml:space="preserve"> unbilled revenue accruals would be the remaining two journal entry sources.</t>
    </r>
  </si>
  <si>
    <t>Cr. Account 4705 - FIT program settlement amount (CT 1412)</t>
  </si>
  <si>
    <t>Subtotal for December 2023</t>
  </si>
  <si>
    <t>Total for December 2023</t>
  </si>
  <si>
    <t>Total for January 2024</t>
  </si>
  <si>
    <t>Total for February 2024</t>
  </si>
  <si>
    <t>Subtotal for January 2024</t>
  </si>
  <si>
    <t>Subtotal for February 2024</t>
  </si>
  <si>
    <r>
      <t xml:space="preserve">RSVA power account 1588 entry for </t>
    </r>
    <r>
      <rPr>
        <sz val="11"/>
        <color rgb="FF00B050"/>
        <rFont val="Calibri"/>
        <family val="2"/>
        <scheme val="minor"/>
      </rPr>
      <t>December 2023</t>
    </r>
    <r>
      <rPr>
        <sz val="11"/>
        <color theme="1"/>
        <rFont val="Calibri"/>
        <family val="2"/>
        <scheme val="minor"/>
      </rPr>
      <t>, JE# 3</t>
    </r>
  </si>
  <si>
    <r>
      <t xml:space="preserve">RSVA GA account 1589 entry for </t>
    </r>
    <r>
      <rPr>
        <sz val="11"/>
        <color rgb="FF00B050"/>
        <rFont val="Calibri"/>
        <family val="2"/>
        <scheme val="minor"/>
      </rPr>
      <t>December 2023</t>
    </r>
    <r>
      <rPr>
        <sz val="11"/>
        <color theme="1"/>
        <rFont val="Calibri"/>
        <family val="2"/>
        <scheme val="minor"/>
      </rPr>
      <t>, JE# 3</t>
    </r>
  </si>
  <si>
    <r>
      <t xml:space="preserve">RSVA power account 1588 entry for </t>
    </r>
    <r>
      <rPr>
        <sz val="11"/>
        <color rgb="FF00B050"/>
        <rFont val="Calibri"/>
        <family val="2"/>
        <scheme val="minor"/>
      </rPr>
      <t>February 2024</t>
    </r>
    <r>
      <rPr>
        <sz val="11"/>
        <rFont val="Calibri"/>
        <family val="2"/>
        <scheme val="minor"/>
      </rPr>
      <t>, JE# 15</t>
    </r>
  </si>
  <si>
    <r>
      <t xml:space="preserve">RSVA GA account 1589 for </t>
    </r>
    <r>
      <rPr>
        <sz val="11"/>
        <color rgb="FF00B050"/>
        <rFont val="Calibri"/>
        <family val="2"/>
        <scheme val="minor"/>
      </rPr>
      <t>February 2024</t>
    </r>
    <r>
      <rPr>
        <sz val="11"/>
        <color theme="1"/>
        <rFont val="Calibri"/>
        <family val="2"/>
        <scheme val="minor"/>
      </rPr>
      <t>, JE# 15</t>
    </r>
  </si>
  <si>
    <r>
      <t xml:space="preserve">RSVA power account 1588 entry for </t>
    </r>
    <r>
      <rPr>
        <sz val="11"/>
        <color rgb="FF00B050"/>
        <rFont val="Calibri"/>
        <family val="2"/>
        <scheme val="minor"/>
      </rPr>
      <t>January 2024</t>
    </r>
    <r>
      <rPr>
        <sz val="11"/>
        <rFont val="Calibri"/>
        <family val="2"/>
        <scheme val="minor"/>
      </rPr>
      <t>, JE# 10</t>
    </r>
  </si>
  <si>
    <r>
      <t xml:space="preserve">RSVA GA account 1589 for </t>
    </r>
    <r>
      <rPr>
        <sz val="11"/>
        <color rgb="FF00B050"/>
        <rFont val="Calibri"/>
        <family val="2"/>
        <scheme val="minor"/>
      </rPr>
      <t>January 2024</t>
    </r>
    <r>
      <rPr>
        <sz val="11"/>
        <color theme="1"/>
        <rFont val="Calibri"/>
        <family val="2"/>
        <scheme val="minor"/>
      </rPr>
      <t>, JE# 10</t>
    </r>
  </si>
  <si>
    <r>
      <t xml:space="preserve">To record the monthly RSVA entry for </t>
    </r>
    <r>
      <rPr>
        <sz val="11"/>
        <color rgb="FF00B050"/>
        <rFont val="Calibri"/>
        <family val="2"/>
        <scheme val="minor"/>
      </rPr>
      <t>February 2024</t>
    </r>
    <r>
      <rPr>
        <sz val="11"/>
        <color theme="1"/>
        <rFont val="Calibri"/>
        <family val="2"/>
        <scheme val="minor"/>
      </rPr>
      <t>.</t>
    </r>
  </si>
  <si>
    <r>
      <t xml:space="preserve">To record the billings in January </t>
    </r>
    <r>
      <rPr>
        <sz val="11"/>
        <color rgb="FF00B050"/>
        <rFont val="Calibri"/>
        <family val="2"/>
        <scheme val="minor"/>
      </rPr>
      <t>2024</t>
    </r>
    <r>
      <rPr>
        <sz val="11"/>
        <rFont val="Calibri"/>
        <family val="2"/>
        <scheme val="minor"/>
      </rPr>
      <t xml:space="preserve"> relating to December </t>
    </r>
    <r>
      <rPr>
        <sz val="11"/>
        <color rgb="FF00B050"/>
        <rFont val="Calibri"/>
        <family val="2"/>
        <scheme val="minor"/>
      </rPr>
      <t>2023</t>
    </r>
    <r>
      <rPr>
        <sz val="11"/>
        <rFont val="Calibri"/>
        <family val="2"/>
        <scheme val="minor"/>
      </rPr>
      <t xml:space="preserve"> consumption. </t>
    </r>
    <r>
      <rPr>
        <b/>
        <sz val="11"/>
        <rFont val="Calibri"/>
        <family val="2"/>
        <scheme val="minor"/>
      </rPr>
      <t xml:space="preserve"> For illustrative purposes the portion of billings in January </t>
    </r>
    <r>
      <rPr>
        <b/>
        <sz val="11"/>
        <color rgb="FF00B050"/>
        <rFont val="Calibri"/>
        <family val="2"/>
        <scheme val="minor"/>
      </rPr>
      <t>2024</t>
    </r>
    <r>
      <rPr>
        <b/>
        <sz val="11"/>
        <rFont val="Calibri"/>
        <family val="2"/>
        <scheme val="minor"/>
      </rPr>
      <t xml:space="preserve"> that relate to December </t>
    </r>
    <r>
      <rPr>
        <b/>
        <sz val="11"/>
        <color rgb="FF00B050"/>
        <rFont val="Calibri"/>
        <family val="2"/>
        <scheme val="minor"/>
      </rPr>
      <t>2023</t>
    </r>
    <r>
      <rPr>
        <b/>
        <sz val="11"/>
        <rFont val="Calibri"/>
        <family val="2"/>
        <scheme val="minor"/>
      </rPr>
      <t xml:space="preserve"> is being shown. In this example it is assumed that half of the December </t>
    </r>
    <r>
      <rPr>
        <b/>
        <sz val="11"/>
        <color rgb="FF00B050"/>
        <rFont val="Calibri"/>
        <family val="2"/>
        <scheme val="minor"/>
      </rPr>
      <t>2023</t>
    </r>
    <r>
      <rPr>
        <b/>
        <sz val="11"/>
        <rFont val="Calibri"/>
        <family val="2"/>
        <scheme val="minor"/>
      </rPr>
      <t xml:space="preserve"> consumption is billed in January </t>
    </r>
    <r>
      <rPr>
        <b/>
        <sz val="11"/>
        <color rgb="FF00B050"/>
        <rFont val="Calibri"/>
        <family val="2"/>
        <scheme val="minor"/>
      </rPr>
      <t>2024</t>
    </r>
    <r>
      <rPr>
        <b/>
        <sz val="11"/>
        <rFont val="Calibri"/>
        <family val="2"/>
        <scheme val="minor"/>
      </rPr>
      <t xml:space="preserve"> and the balance is billed in February </t>
    </r>
    <r>
      <rPr>
        <b/>
        <sz val="11"/>
        <color rgb="FF00B050"/>
        <rFont val="Calibri"/>
        <family val="2"/>
        <scheme val="minor"/>
      </rPr>
      <t>2024</t>
    </r>
    <r>
      <rPr>
        <b/>
        <sz val="11"/>
        <rFont val="Calibri"/>
        <family val="2"/>
        <scheme val="minor"/>
      </rPr>
      <t>. In actual practice billings during the month of January</t>
    </r>
    <r>
      <rPr>
        <b/>
        <sz val="11"/>
        <color rgb="FF00B050"/>
        <rFont val="Calibri"/>
        <family val="2"/>
        <scheme val="minor"/>
      </rPr>
      <t xml:space="preserve"> 2024</t>
    </r>
    <r>
      <rPr>
        <b/>
        <sz val="11"/>
        <rFont val="Calibri"/>
        <family val="2"/>
        <scheme val="minor"/>
      </rPr>
      <t xml:space="preserve"> may include billings for November </t>
    </r>
    <r>
      <rPr>
        <b/>
        <sz val="11"/>
        <color rgb="FF00B050"/>
        <rFont val="Calibri"/>
        <family val="2"/>
        <scheme val="minor"/>
      </rPr>
      <t>2023</t>
    </r>
    <r>
      <rPr>
        <b/>
        <sz val="11"/>
        <rFont val="Calibri"/>
        <family val="2"/>
        <scheme val="minor"/>
      </rPr>
      <t xml:space="preserve">, December </t>
    </r>
    <r>
      <rPr>
        <b/>
        <sz val="11"/>
        <color rgb="FF00B050"/>
        <rFont val="Calibri"/>
        <family val="2"/>
        <scheme val="minor"/>
      </rPr>
      <t>2023</t>
    </r>
    <r>
      <rPr>
        <b/>
        <sz val="11"/>
        <rFont val="Calibri"/>
        <family val="2"/>
        <scheme val="minor"/>
      </rPr>
      <t xml:space="preserve"> and January </t>
    </r>
    <r>
      <rPr>
        <b/>
        <sz val="11"/>
        <color rgb="FF00B050"/>
        <rFont val="Calibri"/>
        <family val="2"/>
        <scheme val="minor"/>
      </rPr>
      <t>2024</t>
    </r>
    <r>
      <rPr>
        <b/>
        <sz val="11"/>
        <rFont val="Calibri"/>
        <family val="2"/>
        <scheme val="minor"/>
      </rPr>
      <t xml:space="preserve"> calendar month consumption. </t>
    </r>
  </si>
  <si>
    <r>
      <t xml:space="preserve">To record the unbilled revenue at the end of January </t>
    </r>
    <r>
      <rPr>
        <sz val="11"/>
        <color rgb="FF00B050"/>
        <rFont val="Calibri"/>
        <family val="2"/>
        <scheme val="minor"/>
      </rPr>
      <t>2024</t>
    </r>
    <r>
      <rPr>
        <sz val="11"/>
        <rFont val="Calibri"/>
        <family val="2"/>
        <scheme val="minor"/>
      </rPr>
      <t xml:space="preserve"> relating to the portion of December </t>
    </r>
    <r>
      <rPr>
        <sz val="11"/>
        <color rgb="FF00B050"/>
        <rFont val="Calibri"/>
        <family val="2"/>
        <scheme val="minor"/>
      </rPr>
      <t>2023</t>
    </r>
    <r>
      <rPr>
        <sz val="11"/>
        <rFont val="Calibri"/>
        <family val="2"/>
        <scheme val="minor"/>
      </rPr>
      <t xml:space="preserve"> consumption that still has not been billed by the end of January </t>
    </r>
    <r>
      <rPr>
        <sz val="11"/>
        <color rgb="FF00B050"/>
        <rFont val="Calibri"/>
        <family val="2"/>
        <scheme val="minor"/>
      </rPr>
      <t>2024</t>
    </r>
    <r>
      <rPr>
        <sz val="11"/>
        <rFont val="Calibri"/>
        <family val="2"/>
        <scheme val="minor"/>
      </rPr>
      <t xml:space="preserve">. This entry will be reversed in February (see JE #11). </t>
    </r>
    <r>
      <rPr>
        <b/>
        <sz val="11"/>
        <rFont val="Calibri"/>
        <family val="2"/>
        <scheme val="minor"/>
      </rPr>
      <t xml:space="preserve">For illustrative purposes it is assumed that a portion of December </t>
    </r>
    <r>
      <rPr>
        <b/>
        <sz val="11"/>
        <color rgb="FF00B050"/>
        <rFont val="Calibri"/>
        <family val="2"/>
        <scheme val="minor"/>
      </rPr>
      <t>2023</t>
    </r>
    <r>
      <rPr>
        <b/>
        <sz val="11"/>
        <rFont val="Calibri"/>
        <family val="2"/>
        <scheme val="minor"/>
      </rPr>
      <t xml:space="preserve"> consumption has still not been billed by the end of January </t>
    </r>
    <r>
      <rPr>
        <b/>
        <sz val="11"/>
        <color rgb="FF00B050"/>
        <rFont val="Calibri"/>
        <family val="2"/>
        <scheme val="minor"/>
      </rPr>
      <t>2024</t>
    </r>
    <r>
      <rPr>
        <b/>
        <sz val="11"/>
        <rFont val="Calibri"/>
        <family val="2"/>
        <scheme val="minor"/>
      </rPr>
      <t xml:space="preserve">. In this example it is also assumed that the actual consumption related to this unbilled revenue entry is billed in February </t>
    </r>
    <r>
      <rPr>
        <b/>
        <sz val="11"/>
        <color rgb="FF00B050"/>
        <rFont val="Calibri"/>
        <family val="2"/>
        <scheme val="minor"/>
      </rPr>
      <t>2024</t>
    </r>
    <r>
      <rPr>
        <b/>
        <sz val="11"/>
        <rFont val="Calibri"/>
        <family val="2"/>
        <scheme val="minor"/>
      </rPr>
      <t xml:space="preserve">. Note, the unbilled revenue relating to the January </t>
    </r>
    <r>
      <rPr>
        <b/>
        <sz val="11"/>
        <color rgb="FF00B050"/>
        <rFont val="Calibri"/>
        <family val="2"/>
        <scheme val="minor"/>
      </rPr>
      <t>2024</t>
    </r>
    <r>
      <rPr>
        <b/>
        <sz val="11"/>
        <rFont val="Calibri"/>
        <family val="2"/>
        <scheme val="minor"/>
      </rPr>
      <t xml:space="preserve"> consumption has not been incorporated into this example. The focus of the Illustrative example relates to transactions for December </t>
    </r>
    <r>
      <rPr>
        <b/>
        <sz val="11"/>
        <color rgb="FF00B050"/>
        <rFont val="Calibri"/>
        <family val="2"/>
        <scheme val="minor"/>
      </rPr>
      <t>2023</t>
    </r>
    <r>
      <rPr>
        <b/>
        <sz val="11"/>
        <rFont val="Calibri"/>
        <family val="2"/>
        <scheme val="minor"/>
      </rPr>
      <t xml:space="preserve"> consumption only.</t>
    </r>
  </si>
  <si>
    <r>
      <t xml:space="preserve">To record the billings in February </t>
    </r>
    <r>
      <rPr>
        <sz val="11"/>
        <color rgb="FF00B050"/>
        <rFont val="Calibri"/>
        <family val="2"/>
        <scheme val="minor"/>
      </rPr>
      <t>2024</t>
    </r>
    <r>
      <rPr>
        <sz val="11"/>
        <rFont val="Calibri"/>
        <family val="2"/>
        <scheme val="minor"/>
      </rPr>
      <t xml:space="preserve"> relating to December </t>
    </r>
    <r>
      <rPr>
        <sz val="11"/>
        <color rgb="FF00B050"/>
        <rFont val="Calibri"/>
        <family val="2"/>
        <scheme val="minor"/>
      </rPr>
      <t>2023</t>
    </r>
    <r>
      <rPr>
        <sz val="11"/>
        <rFont val="Calibri"/>
        <family val="2"/>
        <scheme val="minor"/>
      </rPr>
      <t xml:space="preserve"> consumption.  </t>
    </r>
    <r>
      <rPr>
        <b/>
        <sz val="11"/>
        <rFont val="Calibri"/>
        <family val="2"/>
        <scheme val="minor"/>
      </rPr>
      <t>For illustrative purposes the portion of billings in February</t>
    </r>
    <r>
      <rPr>
        <b/>
        <sz val="11"/>
        <color rgb="FF00B050"/>
        <rFont val="Calibri"/>
        <family val="2"/>
        <scheme val="minor"/>
      </rPr>
      <t xml:space="preserve"> 2024</t>
    </r>
    <r>
      <rPr>
        <b/>
        <sz val="11"/>
        <rFont val="Calibri"/>
        <family val="2"/>
        <scheme val="minor"/>
      </rPr>
      <t xml:space="preserve"> that relate to December </t>
    </r>
    <r>
      <rPr>
        <b/>
        <sz val="11"/>
        <color rgb="FF00B050"/>
        <rFont val="Calibri"/>
        <family val="2"/>
        <scheme val="minor"/>
      </rPr>
      <t>2023</t>
    </r>
    <r>
      <rPr>
        <b/>
        <sz val="11"/>
        <rFont val="Calibri"/>
        <family val="2"/>
        <scheme val="minor"/>
      </rPr>
      <t xml:space="preserve"> is being shown. In this example it is assumed that half of the December </t>
    </r>
    <r>
      <rPr>
        <b/>
        <sz val="11"/>
        <color rgb="FF00B050"/>
        <rFont val="Calibri"/>
        <family val="2"/>
        <scheme val="minor"/>
      </rPr>
      <t>2023</t>
    </r>
    <r>
      <rPr>
        <b/>
        <sz val="11"/>
        <rFont val="Calibri"/>
        <family val="2"/>
        <scheme val="minor"/>
      </rPr>
      <t xml:space="preserve"> consumption was billed in January </t>
    </r>
    <r>
      <rPr>
        <b/>
        <sz val="11"/>
        <color rgb="FF00B050"/>
        <rFont val="Calibri"/>
        <family val="2"/>
        <scheme val="minor"/>
      </rPr>
      <t>2024</t>
    </r>
    <r>
      <rPr>
        <b/>
        <sz val="11"/>
        <rFont val="Calibri"/>
        <family val="2"/>
        <scheme val="minor"/>
      </rPr>
      <t xml:space="preserve"> and the balance was billed in February </t>
    </r>
    <r>
      <rPr>
        <b/>
        <sz val="11"/>
        <color rgb="FF00B050"/>
        <rFont val="Calibri"/>
        <family val="2"/>
        <scheme val="minor"/>
      </rPr>
      <t>2024</t>
    </r>
    <r>
      <rPr>
        <b/>
        <sz val="11"/>
        <rFont val="Calibri"/>
        <family val="2"/>
        <scheme val="minor"/>
      </rPr>
      <t xml:space="preserve">. In actual practice billings during the month of February </t>
    </r>
    <r>
      <rPr>
        <b/>
        <sz val="11"/>
        <color rgb="FF00B050"/>
        <rFont val="Calibri"/>
        <family val="2"/>
        <scheme val="minor"/>
      </rPr>
      <t>2024</t>
    </r>
    <r>
      <rPr>
        <b/>
        <sz val="11"/>
        <rFont val="Calibri"/>
        <family val="2"/>
        <scheme val="minor"/>
      </rPr>
      <t xml:space="preserve"> may include billings for December </t>
    </r>
    <r>
      <rPr>
        <b/>
        <sz val="11"/>
        <color rgb="FF00B050"/>
        <rFont val="Calibri"/>
        <family val="2"/>
        <scheme val="minor"/>
      </rPr>
      <t>2023</t>
    </r>
    <r>
      <rPr>
        <b/>
        <sz val="11"/>
        <rFont val="Calibri"/>
        <family val="2"/>
        <scheme val="minor"/>
      </rPr>
      <t xml:space="preserve">,  January </t>
    </r>
    <r>
      <rPr>
        <b/>
        <sz val="11"/>
        <color rgb="FF00B050"/>
        <rFont val="Calibri"/>
        <family val="2"/>
        <scheme val="minor"/>
      </rPr>
      <t>2024</t>
    </r>
    <r>
      <rPr>
        <b/>
        <sz val="11"/>
        <rFont val="Calibri"/>
        <family val="2"/>
        <scheme val="minor"/>
      </rPr>
      <t xml:space="preserve">, and February </t>
    </r>
    <r>
      <rPr>
        <b/>
        <sz val="11"/>
        <color rgb="FF00B050"/>
        <rFont val="Calibri"/>
        <family val="2"/>
        <scheme val="minor"/>
      </rPr>
      <t>2024</t>
    </r>
    <r>
      <rPr>
        <b/>
        <sz val="11"/>
        <rFont val="Calibri"/>
        <family val="2"/>
        <scheme val="minor"/>
      </rPr>
      <t xml:space="preserve"> calendar month consumption. </t>
    </r>
  </si>
  <si>
    <r>
      <t xml:space="preserve">To accrue 2nd true-up adjustment to CT 1142 for actual December </t>
    </r>
    <r>
      <rPr>
        <sz val="11"/>
        <color rgb="FF00B050"/>
        <rFont val="Calibri"/>
        <family val="2"/>
        <scheme val="minor"/>
      </rPr>
      <t>2023</t>
    </r>
    <r>
      <rPr>
        <sz val="11"/>
        <rFont val="Calibri"/>
        <family val="2"/>
        <scheme val="minor"/>
      </rPr>
      <t xml:space="preserve"> kWh consumption sold at each RPP price point. </t>
    </r>
    <r>
      <rPr>
        <b/>
        <sz val="11"/>
        <rFont val="Calibri"/>
        <family val="2"/>
        <scheme val="minor"/>
      </rPr>
      <t>In this illustrative example it is assumed that the 2nd true-up happens on business day 4 of March</t>
    </r>
    <r>
      <rPr>
        <b/>
        <sz val="11"/>
        <color rgb="FF00B050"/>
        <rFont val="Calibri"/>
        <family val="2"/>
        <scheme val="minor"/>
      </rPr>
      <t xml:space="preserve"> 2024</t>
    </r>
    <r>
      <rPr>
        <b/>
        <sz val="11"/>
        <rFont val="Calibri"/>
        <family val="2"/>
        <scheme val="minor"/>
      </rPr>
      <t xml:space="preserve"> and is included in CT 1142 on the IESO invoice on business day 10 of March </t>
    </r>
    <r>
      <rPr>
        <b/>
        <sz val="11"/>
        <color rgb="FF00B050"/>
        <rFont val="Calibri"/>
        <family val="2"/>
        <scheme val="minor"/>
      </rPr>
      <t>2024</t>
    </r>
    <r>
      <rPr>
        <b/>
        <sz val="11"/>
        <rFont val="Calibri"/>
        <family val="2"/>
        <scheme val="minor"/>
      </rPr>
      <t xml:space="preserve">. The illustrative example does not show the reversal of this entry on March 1, </t>
    </r>
    <r>
      <rPr>
        <b/>
        <sz val="11"/>
        <color rgb="FF00B050"/>
        <rFont val="Calibri"/>
        <family val="2"/>
        <scheme val="minor"/>
      </rPr>
      <t>2024</t>
    </r>
    <r>
      <rPr>
        <b/>
        <sz val="11"/>
        <rFont val="Calibri"/>
        <family val="2"/>
        <scheme val="minor"/>
      </rPr>
      <t xml:space="preserve">, and then the recording of the same amount when the March </t>
    </r>
    <r>
      <rPr>
        <b/>
        <sz val="11"/>
        <color rgb="FF00B050"/>
        <rFont val="Calibri"/>
        <family val="2"/>
        <scheme val="minor"/>
      </rPr>
      <t>2024</t>
    </r>
    <r>
      <rPr>
        <b/>
        <sz val="11"/>
        <rFont val="Calibri"/>
        <family val="2"/>
        <scheme val="minor"/>
      </rPr>
      <t xml:space="preserve"> IESO invoice is recorded.</t>
    </r>
  </si>
  <si>
    <r>
      <rPr>
        <vertAlign val="superscript"/>
        <sz val="11"/>
        <color theme="1"/>
        <rFont val="Calibri"/>
        <family val="2"/>
        <scheme val="minor"/>
      </rPr>
      <t>17</t>
    </r>
    <r>
      <rPr>
        <sz val="11"/>
        <color theme="1"/>
        <rFont val="Calibri"/>
        <family val="2"/>
        <scheme val="minor"/>
      </rPr>
      <t xml:space="preserve"> - February</t>
    </r>
    <r>
      <rPr>
        <sz val="11"/>
        <color rgb="FF00B050"/>
        <rFont val="Calibri"/>
        <family val="2"/>
        <scheme val="minor"/>
      </rPr>
      <t xml:space="preserve"> 2024</t>
    </r>
    <r>
      <rPr>
        <sz val="11"/>
        <color theme="1"/>
        <rFont val="Calibri"/>
        <family val="2"/>
        <scheme val="minor"/>
      </rPr>
      <t xml:space="preserve"> journal entry is required to adjust amounts apportioned between Class B RPP &amp; non-RPP since actual proportions are known.</t>
    </r>
  </si>
  <si>
    <r>
      <t>Initial RPP Settlement Calculation on Business Day 4 of January</t>
    </r>
    <r>
      <rPr>
        <b/>
        <sz val="14"/>
        <color rgb="FF00B050"/>
        <rFont val="Calibri"/>
        <family val="2"/>
        <scheme val="minor"/>
      </rPr>
      <t xml:space="preserve"> 2024</t>
    </r>
  </si>
  <si>
    <r>
      <t>RPP Settlement Calculation on Business Day 4 of</t>
    </r>
    <r>
      <rPr>
        <b/>
        <sz val="14"/>
        <color rgb="FF00B050"/>
        <rFont val="Calibri"/>
        <family val="2"/>
        <scheme val="minor"/>
      </rPr>
      <t xml:space="preserve"> </t>
    </r>
    <r>
      <rPr>
        <b/>
        <sz val="14"/>
        <rFont val="Calibri"/>
        <family val="2"/>
        <scheme val="minor"/>
      </rPr>
      <t xml:space="preserve">February </t>
    </r>
    <r>
      <rPr>
        <b/>
        <sz val="14"/>
        <color rgb="FF00B050"/>
        <rFont val="Calibri"/>
        <family val="2"/>
        <scheme val="minor"/>
      </rPr>
      <t>2024</t>
    </r>
    <r>
      <rPr>
        <b/>
        <sz val="14"/>
        <color theme="1"/>
        <rFont val="Calibri"/>
        <family val="2"/>
        <scheme val="minor"/>
      </rPr>
      <t xml:space="preserve"> based on Actual GA Price</t>
    </r>
  </si>
  <si>
    <r>
      <t>To record RPP Settlement 1st true-up for CT 1142 on business day 4 of</t>
    </r>
    <r>
      <rPr>
        <sz val="11"/>
        <color theme="7" tint="-0.499984740745262"/>
        <rFont val="Calibri"/>
        <family val="2"/>
        <scheme val="minor"/>
      </rPr>
      <t xml:space="preserve"> </t>
    </r>
    <r>
      <rPr>
        <sz val="11"/>
        <color rgb="FF00B050"/>
        <rFont val="Calibri"/>
        <family val="2"/>
        <scheme val="minor"/>
      </rPr>
      <t>February 2024</t>
    </r>
    <r>
      <rPr>
        <sz val="11"/>
        <color theme="1"/>
        <rFont val="Calibri"/>
        <family val="2"/>
        <scheme val="minor"/>
      </rPr>
      <t xml:space="preserve"> for the difference between GA 2nd Estimate price and GA Actual price (based on CT 148 total amount) and for actual wholesale kWh volumes.</t>
    </r>
  </si>
  <si>
    <r>
      <t xml:space="preserve">To adjust allocation of CT 148 per IESO bill relating to actual RPP and non-RPP kWh proportions. </t>
    </r>
    <r>
      <rPr>
        <b/>
        <sz val="11"/>
        <color theme="1"/>
        <rFont val="Calibri"/>
        <family val="2"/>
        <scheme val="minor"/>
      </rPr>
      <t xml:space="preserve">In this Illustrative example it is assumed that the actual data is available by the end of </t>
    </r>
    <r>
      <rPr>
        <b/>
        <sz val="11"/>
        <color rgb="FF00B050"/>
        <rFont val="Calibri"/>
        <family val="2"/>
        <scheme val="minor"/>
      </rPr>
      <t>February 2024</t>
    </r>
    <r>
      <rPr>
        <b/>
        <sz val="11"/>
        <color theme="1"/>
        <rFont val="Calibri"/>
        <family val="2"/>
        <scheme val="minor"/>
      </rPr>
      <t>.</t>
    </r>
  </si>
  <si>
    <r>
      <t>Purple</t>
    </r>
    <r>
      <rPr>
        <sz val="12"/>
        <color theme="1"/>
        <rFont val="Calibri"/>
        <family val="2"/>
        <scheme val="minor"/>
      </rPr>
      <t xml:space="preserve"> font - Data input change </t>
    </r>
  </si>
  <si>
    <r>
      <t>Red</t>
    </r>
    <r>
      <rPr>
        <sz val="12"/>
        <color theme="1"/>
        <rFont val="Calibri"/>
        <family val="2"/>
        <scheme val="minor"/>
      </rPr>
      <t xml:space="preserve"> font - Changes that cascade from the purple font changes due to formulas</t>
    </r>
  </si>
  <si>
    <r>
      <t>Blue</t>
    </r>
    <r>
      <rPr>
        <sz val="12"/>
        <color theme="1"/>
        <rFont val="Calibri"/>
        <family val="2"/>
        <scheme val="minor"/>
      </rPr>
      <t xml:space="preserve"> font - Formula changes made to correct some existing minor issues with the Illustrative Commodity Model posted on the OEB’s website.</t>
    </r>
  </si>
  <si>
    <r>
      <t xml:space="preserve">Green </t>
    </r>
    <r>
      <rPr>
        <sz val="12"/>
        <color theme="1"/>
        <rFont val="Calibri"/>
        <family val="2"/>
        <scheme val="minor"/>
      </rPr>
      <t>font – Date changes</t>
    </r>
  </si>
  <si>
    <t>Assumption for ULO allocation in Cell B43:B46 Tab "Data for Settlement &amp; 1st TU":
Approximately 5.33% of the estimated purchased volumes are being diverted to the ULO periods from the previous Standard TOU periods. The allocation for the ULO periods is estimated to be approximately 10% for on-peak, 20% mid-peak, 40% weekend off-peak and 30% ULO overnight.</t>
  </si>
  <si>
    <t>Assumption for ULO allocation in Cell G42:G45 Tab "Data for 2nd TU":
4.8% of the actual RPP revenue volumes are being diverted to the ULO periods from the previous two RPP Tiers and Standard TOU periods. The allocation for the ULO periods is estimated to be approximately 10% for on-peak, 20% mid-peak, 40% weekend off-peak and 30% ULO overnight.</t>
  </si>
  <si>
    <t>Dates have been updated based on the assumption that the example data is for the month of December 2023.</t>
  </si>
  <si>
    <t>ULO prices effective May 1, 2023 are used in the model. To minimize the amount of changes to this document, only the ULO RPP prices have been updated to reflect recent prices. The other groupings (Tiered and Standard TOU) reflect RPP prices from 2018.</t>
  </si>
  <si>
    <t>Colour schemes used for the updates:</t>
  </si>
  <si>
    <t>Summary of Updates Made on May 23, 2023 Compared to Original Issuance Version (February 21,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</si>
</sst>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_(* #,##0_);_(* \(#,##0\);_(* &quot;-&quot;??_);_(@_)"/>
    <numFmt numFmtId="167" formatCode="_(&quot;$&quot;* #,##0.0000_);_(&quot;$&quot;* \(#,##0.0000\);_(&quot;$&quot;* &quot;-&quot;??_);_(@_)"/>
    <numFmt numFmtId="168" formatCode="_(&quot;$&quot;* #,##0_);_(&quot;$&quot;* \(#,##0\);_(&quot;$&quot;* &quot;-&quot;??_);_(@_)"/>
    <numFmt numFmtId="169" formatCode="_(* #,##0_);_(* \(#,##0\);_(* &quot;-&quot;????_);_(@_)"/>
    <numFmt numFmtId="170" formatCode="_(&quot;$&quot;* #,##0.000_);_(&quot;$&quot;* \(#,##0.000\);_(&quot;$&quot;* &quot;-&quot;??_);_(@_)"/>
    <numFmt numFmtId="171" formatCode="_-&quot;$&quot;* #,##0_-;\-&quot;$&quot;* #,##0_-;_-&quot;$&quot;* &quot;-&quot;????_-;_-@_-"/>
    <numFmt numFmtId="172" formatCode="_-&quot;$&quot;* #,##0.0000_-;\-&quot;$&quot;* #,##0.0000_-;_-&quot;$&quot;* &quot;-&quot;??_-;_-@_-"/>
    <numFmt numFmtId="173" formatCode="_-&quot;$&quot;* #,##0.00000_-;\-&quot;$&quot;* #,##0.00000_-;_-&quot;$&quot;* &quot;-&quot;??_-;_-@_-"/>
    <numFmt numFmtId="174" formatCode="_(* #,##0.0000_);_(* \(#,##0.0000\);_(* &quot;-&quot;??_);_(@_)"/>
    <numFmt numFmtId="175" formatCode="_(* #,##0.0000_);_(* \(#,##0.0000\);_(* &quot;-&quot;????_);_(@_)"/>
    <numFmt numFmtId="176" formatCode="_(* #,##0.000000_);_(* \(#,##0.000000\);_(* &quot;-&quot;??_);_(@_)"/>
    <numFmt numFmtId="177" formatCode="0.0000%"/>
    <numFmt numFmtId="178" formatCode="_(&quot;$&quot;* #,##0.00000_);_(&quot;$&quot;* \(#,##0.00000\);_(&quot;$&quot;* &quot;-&quot;??_);_(@_)"/>
    <numFmt numFmtId="179" formatCode="_(* #,##0.00000_);_(* \(#,##0.00000\);_(* &quot;-&quot;??_);_(@_)"/>
    <numFmt numFmtId="180" formatCode="_(* #,##0.0000000_);_(* \(#,##0.0000000\);_(* &quot;-&quot;??_);_(@_)"/>
    <numFmt numFmtId="181" formatCode="_-&quot;$&quot;* #,##0_-;\-&quot;$&quot;* #,##0_-;_-&quot;$&quot;* &quot;-&quot;??_-;_-@_-"/>
    <numFmt numFmtId="182" formatCode="_-* #,##0.00000_-;\-* #,##0.00000_-;_-* &quot;-&quot;??_-;_-@_-"/>
    <numFmt numFmtId="183" formatCode="_-* #,##0_-;\-* #,##0_-;_-* &quot;-&quot;??_-;_-@_-"/>
    <numFmt numFmtId="184" formatCode="_-* #,##0.000000_-;\-* #,##0.000000_-;_-* &quot;-&quot;??_-;_-@_-"/>
    <numFmt numFmtId="185" formatCode="_-* #,##0.00000000_-;\-* #,##0.00000000_-;_-* &quot;-&quot;??_-;_-@_-"/>
    <numFmt numFmtId="186" formatCode="_(&quot;$&quot;* #,##0.00000000_);_(&quot;$&quot;* \(#,##0.00000000\);_(&quot;$&quot;* &quot;-&quot;??_);_(@_)"/>
    <numFmt numFmtId="187" formatCode="0.000000"/>
  </numFmts>
  <fonts count="43"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0"/>
      <color theme="1"/>
      <name val="Calibri"/>
      <family val="2"/>
      <scheme val="minor"/>
    </font>
    <font>
      <sz val="11"/>
      <name val="Calibri"/>
      <family val="2"/>
      <scheme val="minor"/>
    </font>
    <font>
      <b/>
      <sz val="20"/>
      <color theme="1"/>
      <name val="Calibri"/>
      <family val="2"/>
      <scheme val="minor"/>
    </font>
    <font>
      <b/>
      <u/>
      <sz val="11"/>
      <color theme="1"/>
      <name val="Calibri"/>
      <family val="2"/>
      <scheme val="minor"/>
    </font>
    <font>
      <b/>
      <vertAlign val="superscript"/>
      <sz val="11"/>
      <color theme="1"/>
      <name val="Calibri"/>
      <family val="2"/>
      <scheme val="minor"/>
    </font>
    <font>
      <b/>
      <vertAlign val="superscript"/>
      <sz val="10"/>
      <color theme="1"/>
      <name val="Calibri"/>
      <family val="2"/>
      <scheme val="minor"/>
    </font>
    <font>
      <b/>
      <u/>
      <sz val="20"/>
      <color theme="1"/>
      <name val="Calibri"/>
      <family val="2"/>
      <scheme val="minor"/>
    </font>
    <font>
      <b/>
      <sz val="12"/>
      <color theme="1"/>
      <name val="Calibri"/>
      <family val="2"/>
      <scheme val="minor"/>
    </font>
    <font>
      <i/>
      <sz val="11"/>
      <color theme="1"/>
      <name val="Calibri"/>
      <family val="2"/>
      <scheme val="minor"/>
    </font>
    <font>
      <sz val="11"/>
      <color rgb="FFFF0000"/>
      <name val="Calibri"/>
      <family val="2"/>
      <scheme val="minor"/>
    </font>
    <font>
      <i/>
      <sz val="11"/>
      <name val="Calibri"/>
      <family val="2"/>
      <scheme val="minor"/>
    </font>
    <font>
      <b/>
      <sz val="10"/>
      <name val="Calibri"/>
      <family val="2"/>
      <scheme val="minor"/>
    </font>
    <font>
      <b/>
      <sz val="11"/>
      <color rgb="FFFF0000"/>
      <name val="Calibri"/>
      <family val="2"/>
      <scheme val="minor"/>
    </font>
    <font>
      <vertAlign val="superscript"/>
      <sz val="11"/>
      <color theme="1"/>
      <name val="Calibri"/>
      <family val="2"/>
      <scheme val="minor"/>
    </font>
    <font>
      <vertAlign val="superscript"/>
      <sz val="11"/>
      <name val="Calibri"/>
      <family val="2"/>
      <scheme val="minor"/>
    </font>
    <font>
      <sz val="10"/>
      <color theme="1"/>
      <name val="Calibri"/>
      <family val="2"/>
      <scheme val="minor"/>
    </font>
    <font>
      <b/>
      <u/>
      <sz val="22"/>
      <color theme="1"/>
      <name val="Calibri"/>
      <family val="2"/>
      <scheme val="minor"/>
    </font>
    <font>
      <b/>
      <sz val="11"/>
      <name val="Calibri"/>
      <family val="2"/>
      <scheme val="minor"/>
    </font>
    <font>
      <sz val="9"/>
      <color indexed="81"/>
      <name val="Tahoma"/>
      <family val="2"/>
    </font>
    <font>
      <b/>
      <sz val="9"/>
      <color indexed="81"/>
      <name val="Tahoma"/>
      <family val="2"/>
    </font>
    <font>
      <sz val="11"/>
      <color rgb="FF7030A0"/>
      <name val="Calibri"/>
      <family val="2"/>
      <scheme val="minor"/>
    </font>
    <font>
      <sz val="11"/>
      <color rgb="FF00B0F0"/>
      <name val="Calibri"/>
      <family val="2"/>
      <scheme val="minor"/>
    </font>
    <font>
      <i/>
      <sz val="11"/>
      <color rgb="FFFF0000"/>
      <name val="Calibri"/>
      <family val="2"/>
      <scheme val="minor"/>
    </font>
    <font>
      <b/>
      <sz val="11"/>
      <color theme="7" tint="-0.249977111117893"/>
      <name val="Calibri"/>
      <family val="2"/>
      <scheme val="minor"/>
    </font>
    <font>
      <sz val="11"/>
      <color theme="7" tint="-0.249977111117893"/>
      <name val="Calibri"/>
      <family val="2"/>
      <scheme val="minor"/>
    </font>
    <font>
      <sz val="11"/>
      <color theme="7" tint="-0.499984740745262"/>
      <name val="Calibri"/>
      <family val="2"/>
      <scheme val="minor"/>
    </font>
    <font>
      <sz val="8"/>
      <name val="Calibri"/>
      <family val="2"/>
      <scheme val="minor"/>
    </font>
    <font>
      <sz val="11"/>
      <color rgb="FF00B050"/>
      <name val="Calibri"/>
      <family val="2"/>
      <scheme val="minor"/>
    </font>
    <font>
      <i/>
      <sz val="11"/>
      <color rgb="FF00B050"/>
      <name val="Calibri"/>
      <family val="2"/>
      <scheme val="minor"/>
    </font>
    <font>
      <b/>
      <sz val="11"/>
      <color rgb="FF00B050"/>
      <name val="Calibri"/>
      <family val="2"/>
      <scheme val="minor"/>
    </font>
    <font>
      <b/>
      <sz val="14"/>
      <color rgb="FF00B050"/>
      <name val="Calibri"/>
      <family val="2"/>
      <scheme val="minor"/>
    </font>
    <font>
      <b/>
      <sz val="10"/>
      <color rgb="FF00B050"/>
      <name val="Calibri"/>
      <family val="2"/>
      <scheme val="minor"/>
    </font>
    <font>
      <b/>
      <sz val="14"/>
      <name val="Calibri"/>
      <family val="2"/>
      <scheme val="minor"/>
    </font>
    <font>
      <sz val="12"/>
      <color theme="1"/>
      <name val="Calibri"/>
      <family val="2"/>
      <scheme val="minor"/>
    </font>
    <font>
      <sz val="10"/>
      <name val="Arial"/>
      <family val="2"/>
    </font>
    <font>
      <sz val="12"/>
      <color rgb="FF7030A0"/>
      <name val="Calibri"/>
      <family val="2"/>
      <scheme val="minor"/>
    </font>
    <font>
      <sz val="12"/>
      <color rgb="FFFF0000"/>
      <name val="Calibri"/>
      <family val="2"/>
      <scheme val="minor"/>
    </font>
    <font>
      <sz val="12"/>
      <color rgb="FF00B0F0"/>
      <name val="Calibri"/>
      <family val="2"/>
      <scheme val="minor"/>
    </font>
    <font>
      <sz val="12"/>
      <color rgb="FF00B050"/>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6" tint="0.79998168889431442"/>
        <bgColor indexed="64"/>
      </patternFill>
    </fill>
    <fill>
      <patternFill patternType="gray0625">
        <bgColor theme="0" tint="-4.9989318521683403E-2"/>
      </patternFill>
    </fill>
    <fill>
      <patternFill patternType="solid">
        <fgColor auto="1"/>
        <bgColor indexed="64"/>
      </patternFill>
    </fill>
    <fill>
      <patternFill patternType="solid">
        <fgColor theme="4" tint="0.39997558519241921"/>
        <bgColor indexed="64"/>
      </patternFill>
    </fill>
    <fill>
      <patternFill patternType="solid">
        <fgColor theme="5" tint="0.59999389629810485"/>
        <bgColor indexed="64"/>
      </patternFill>
    </fill>
  </fills>
  <borders count="76">
    <border>
      <left/>
      <right/>
      <top/>
      <bottom/>
      <diagonal/>
    </border>
    <border>
      <left/>
      <right/>
      <top style="thin">
        <color indexed="64"/>
      </top>
      <bottom style="double">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thin">
        <color indexed="64"/>
      </top>
      <bottom style="thin">
        <color auto="1"/>
      </bottom>
      <diagonal/>
    </border>
    <border>
      <left/>
      <right style="thick">
        <color auto="1"/>
      </right>
      <top style="thick">
        <color auto="1"/>
      </top>
      <bottom/>
      <diagonal/>
    </border>
    <border>
      <left/>
      <right/>
      <top style="thick">
        <color auto="1"/>
      </top>
      <bottom/>
      <diagonal/>
    </border>
    <border>
      <left/>
      <right style="thick">
        <color auto="1"/>
      </right>
      <top/>
      <bottom/>
      <diagonal/>
    </border>
    <border>
      <left/>
      <right/>
      <top/>
      <bottom style="thick">
        <color auto="1"/>
      </bottom>
      <diagonal/>
    </border>
    <border>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auto="1"/>
      </top>
      <bottom style="medium">
        <color auto="1"/>
      </bottom>
      <diagonal/>
    </border>
    <border>
      <left/>
      <right style="thin">
        <color auto="1"/>
      </right>
      <top style="thin">
        <color auto="1"/>
      </top>
      <bottom style="medium">
        <color auto="1"/>
      </bottom>
      <diagonal/>
    </border>
    <border>
      <left/>
      <right style="hair">
        <color auto="1"/>
      </right>
      <top style="thin">
        <color auto="1"/>
      </top>
      <bottom style="thin">
        <color auto="1"/>
      </bottom>
      <diagonal/>
    </border>
    <border>
      <left style="thin">
        <color indexed="64"/>
      </left>
      <right/>
      <top style="thin">
        <color indexed="64"/>
      </top>
      <bottom style="medium">
        <color indexed="64"/>
      </bottom>
      <diagonal/>
    </border>
    <border>
      <left/>
      <right/>
      <top/>
      <bottom style="double">
        <color auto="1"/>
      </bottom>
      <diagonal/>
    </border>
    <border>
      <left/>
      <right/>
      <top style="medium">
        <color auto="1"/>
      </top>
      <bottom/>
      <diagonal/>
    </border>
    <border>
      <left style="dashed">
        <color indexed="64"/>
      </left>
      <right style="thin">
        <color auto="1"/>
      </right>
      <top style="thin">
        <color indexed="64"/>
      </top>
      <bottom style="medium">
        <color auto="1"/>
      </bottom>
      <diagonal/>
    </border>
    <border>
      <left style="dashed">
        <color indexed="64"/>
      </left>
      <right style="thin">
        <color auto="1"/>
      </right>
      <top style="thin">
        <color indexed="64"/>
      </top>
      <bottom style="thin">
        <color indexed="64"/>
      </bottom>
      <diagonal/>
    </border>
    <border>
      <left style="dashed">
        <color indexed="64"/>
      </left>
      <right style="dashed">
        <color indexed="64"/>
      </right>
      <top style="thin">
        <color indexed="64"/>
      </top>
      <bottom style="thin">
        <color auto="1"/>
      </bottom>
      <diagonal/>
    </border>
    <border>
      <left style="thick">
        <color auto="1"/>
      </left>
      <right/>
      <top/>
      <bottom/>
      <diagonal/>
    </border>
    <border>
      <left/>
      <right style="thin">
        <color auto="1"/>
      </right>
      <top style="thin">
        <color auto="1"/>
      </top>
      <bottom/>
      <diagonal/>
    </border>
    <border>
      <left style="thin">
        <color auto="1"/>
      </left>
      <right style="thin">
        <color auto="1"/>
      </right>
      <top style="thin">
        <color auto="1"/>
      </top>
      <bottom style="medium">
        <color auto="1"/>
      </bottom>
      <diagonal/>
    </border>
    <border>
      <left style="dashed">
        <color indexed="64"/>
      </left>
      <right style="dashed">
        <color indexed="64"/>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indexed="64"/>
      </left>
      <right/>
      <top style="medium">
        <color auto="1"/>
      </top>
      <bottom style="medium">
        <color auto="1"/>
      </bottom>
      <diagonal/>
    </border>
    <border>
      <left style="dashed">
        <color indexed="64"/>
      </left>
      <right style="dashed">
        <color indexed="64"/>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right style="thin">
        <color indexed="64"/>
      </right>
      <top style="medium">
        <color auto="1"/>
      </top>
      <bottom style="double">
        <color auto="1"/>
      </bottom>
      <diagonal/>
    </border>
    <border>
      <left style="thin">
        <color indexed="64"/>
      </left>
      <right style="thin">
        <color indexed="64"/>
      </right>
      <top/>
      <bottom style="double">
        <color indexed="64"/>
      </bottom>
      <diagonal/>
    </border>
    <border>
      <left style="thin">
        <color auto="1"/>
      </left>
      <right/>
      <top/>
      <bottom style="medium">
        <color auto="1"/>
      </bottom>
      <diagonal/>
    </border>
    <border>
      <left/>
      <right style="thin">
        <color indexed="64"/>
      </right>
      <top/>
      <bottom style="medium">
        <color auto="1"/>
      </bottom>
      <diagonal/>
    </border>
    <border>
      <left style="dashed">
        <color indexed="64"/>
      </left>
      <right style="medium">
        <color auto="1"/>
      </right>
      <top style="medium">
        <color auto="1"/>
      </top>
      <bottom style="medium">
        <color auto="1"/>
      </bottom>
      <diagonal/>
    </border>
    <border>
      <left style="dashed">
        <color indexed="64"/>
      </left>
      <right style="thin">
        <color auto="1"/>
      </right>
      <top style="medium">
        <color auto="1"/>
      </top>
      <bottom style="medium">
        <color auto="1"/>
      </bottom>
      <diagonal/>
    </border>
    <border>
      <left/>
      <right style="hair">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medium">
        <color auto="1"/>
      </top>
      <bottom style="thin">
        <color indexed="64"/>
      </bottom>
      <diagonal/>
    </border>
    <border>
      <left style="thin">
        <color auto="1"/>
      </left>
      <right/>
      <top style="medium">
        <color auto="1"/>
      </top>
      <bottom style="thin">
        <color auto="1"/>
      </bottom>
      <diagonal/>
    </border>
    <border>
      <left style="dashed">
        <color indexed="64"/>
      </left>
      <right style="thin">
        <color auto="1"/>
      </right>
      <top style="medium">
        <color auto="1"/>
      </top>
      <bottom style="thin">
        <color auto="1"/>
      </bottom>
      <diagonal/>
    </border>
    <border>
      <left/>
      <right style="hair">
        <color auto="1"/>
      </right>
      <top style="medium">
        <color auto="1"/>
      </top>
      <bottom style="thin">
        <color auto="1"/>
      </bottom>
      <diagonal/>
    </border>
    <border>
      <left/>
      <right style="thin">
        <color indexed="64"/>
      </right>
      <top style="medium">
        <color auto="1"/>
      </top>
      <bottom style="thin">
        <color auto="1"/>
      </bottom>
      <diagonal/>
    </border>
    <border>
      <left style="thin">
        <color indexed="64"/>
      </left>
      <right style="thin">
        <color auto="1"/>
      </right>
      <top style="medium">
        <color auto="1"/>
      </top>
      <bottom style="double">
        <color indexed="64"/>
      </bottom>
      <diagonal/>
    </border>
    <border>
      <left style="dashed">
        <color indexed="64"/>
      </left>
      <right style="thin">
        <color auto="1"/>
      </right>
      <top style="medium">
        <color auto="1"/>
      </top>
      <bottom style="double">
        <color indexed="64"/>
      </bottom>
      <diagonal/>
    </border>
    <border>
      <left style="medium">
        <color auto="1"/>
      </left>
      <right/>
      <top style="medium">
        <color auto="1"/>
      </top>
      <bottom style="thin">
        <color auto="1"/>
      </bottom>
      <diagonal/>
    </border>
    <border>
      <left style="dashed">
        <color indexed="64"/>
      </left>
      <right style="dashed">
        <color indexed="64"/>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right style="thick">
        <color rgb="FF00B050"/>
      </right>
      <top style="thin">
        <color indexed="64"/>
      </top>
      <bottom style="double">
        <color indexed="64"/>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right/>
      <top/>
      <bottom style="medium">
        <color auto="1"/>
      </bottom>
      <diagonal/>
    </border>
    <border>
      <left style="medium">
        <color indexed="64"/>
      </left>
      <right style="medium">
        <color indexed="64"/>
      </right>
      <top/>
      <bottom/>
      <diagonal/>
    </border>
    <border>
      <left/>
      <right style="medium">
        <color auto="1"/>
      </right>
      <top/>
      <bottom/>
      <diagonal/>
    </border>
    <border>
      <left style="medium">
        <color auto="1"/>
      </left>
      <right style="medium">
        <color indexed="64"/>
      </right>
      <top/>
      <bottom style="medium">
        <color indexed="64"/>
      </bottom>
      <diagonal/>
    </border>
    <border>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8" fillId="0" borderId="0"/>
  </cellStyleXfs>
  <cellXfs count="614">
    <xf numFmtId="0" fontId="0" fillId="0" borderId="0" xfId="0"/>
    <xf numFmtId="166" fontId="0" fillId="0" borderId="0" xfId="1" applyNumberFormat="1" applyFont="1"/>
    <xf numFmtId="10" fontId="0" fillId="0" borderId="0" xfId="3" applyNumberFormat="1" applyFont="1"/>
    <xf numFmtId="167" fontId="0" fillId="0" borderId="0" xfId="2" applyNumberFormat="1" applyFont="1"/>
    <xf numFmtId="168" fontId="0" fillId="0" borderId="0" xfId="2" applyNumberFormat="1" applyFont="1"/>
    <xf numFmtId="168" fontId="0" fillId="0" borderId="0" xfId="0" applyNumberFormat="1"/>
    <xf numFmtId="166" fontId="0" fillId="0" borderId="0" xfId="0" applyNumberFormat="1"/>
    <xf numFmtId="166" fontId="0" fillId="0" borderId="0" xfId="1" applyNumberFormat="1" applyFont="1" applyBorder="1"/>
    <xf numFmtId="0" fontId="0" fillId="0" borderId="0" xfId="0" applyBorder="1"/>
    <xf numFmtId="166" fontId="0" fillId="0" borderId="0" xfId="1" applyNumberFormat="1" applyFont="1" applyFill="1"/>
    <xf numFmtId="167" fontId="0" fillId="0" borderId="0" xfId="0" applyNumberFormat="1"/>
    <xf numFmtId="0" fontId="2" fillId="0" borderId="0" xfId="0" applyFont="1"/>
    <xf numFmtId="0" fontId="0" fillId="0" borderId="0" xfId="0" applyFill="1"/>
    <xf numFmtId="10" fontId="0" fillId="0" borderId="0" xfId="3" applyNumberFormat="1" applyFont="1" applyFill="1"/>
    <xf numFmtId="168" fontId="0" fillId="0" borderId="0" xfId="2" applyNumberFormat="1" applyFont="1" applyFill="1"/>
    <xf numFmtId="0" fontId="0" fillId="0" borderId="0" xfId="0" applyAlignment="1">
      <alignment horizontal="center"/>
    </xf>
    <xf numFmtId="166" fontId="0" fillId="0" borderId="1" xfId="1" applyNumberFormat="1" applyFont="1" applyBorder="1"/>
    <xf numFmtId="0" fontId="0" fillId="0" borderId="0" xfId="0" applyFont="1"/>
    <xf numFmtId="166" fontId="0" fillId="0" borderId="1" xfId="0" applyNumberFormat="1" applyBorder="1"/>
    <xf numFmtId="10" fontId="0" fillId="0" borderId="1" xfId="0" applyNumberFormat="1" applyBorder="1"/>
    <xf numFmtId="166" fontId="0" fillId="0" borderId="0" xfId="3" applyNumberFormat="1" applyFont="1"/>
    <xf numFmtId="44" fontId="0" fillId="0" borderId="0" xfId="2" applyFont="1"/>
    <xf numFmtId="170" fontId="0" fillId="0" borderId="0" xfId="2" applyNumberFormat="1" applyFont="1"/>
    <xf numFmtId="0" fontId="2" fillId="0" borderId="0" xfId="0" applyFont="1" applyAlignment="1">
      <alignment horizontal="center"/>
    </xf>
    <xf numFmtId="168" fontId="0" fillId="0" borderId="1" xfId="2" applyNumberFormat="1" applyFont="1" applyBorder="1"/>
    <xf numFmtId="0" fontId="3" fillId="0" borderId="0" xfId="0" applyFont="1"/>
    <xf numFmtId="0" fontId="4" fillId="0" borderId="0" xfId="0" applyFont="1"/>
    <xf numFmtId="171" fontId="0" fillId="0" borderId="0" xfId="0" applyNumberFormat="1"/>
    <xf numFmtId="168" fontId="0" fillId="0" borderId="0" xfId="2" applyNumberFormat="1" applyFont="1" applyBorder="1"/>
    <xf numFmtId="173" fontId="0" fillId="0" borderId="0" xfId="0" applyNumberFormat="1"/>
    <xf numFmtId="0" fontId="2" fillId="0" borderId="0" xfId="0" applyFont="1" applyBorder="1"/>
    <xf numFmtId="0" fontId="0" fillId="0" borderId="0" xfId="0" applyBorder="1" applyAlignment="1">
      <alignment horizontal="center"/>
    </xf>
    <xf numFmtId="167" fontId="0" fillId="0" borderId="0" xfId="0" applyNumberFormat="1" applyBorder="1"/>
    <xf numFmtId="166" fontId="0" fillId="0" borderId="0" xfId="0" applyNumberFormat="1" applyBorder="1"/>
    <xf numFmtId="168" fontId="0" fillId="0" borderId="0" xfId="0" applyNumberFormat="1" applyBorder="1"/>
    <xf numFmtId="0" fontId="2" fillId="0" borderId="0" xfId="0" applyFont="1" applyBorder="1" applyAlignment="1">
      <alignment horizontal="center"/>
    </xf>
    <xf numFmtId="0" fontId="2" fillId="0" borderId="0" xfId="0" applyFont="1" applyBorder="1" applyAlignment="1">
      <alignment horizontal="center" wrapText="1"/>
    </xf>
    <xf numFmtId="170" fontId="0" fillId="0" borderId="0" xfId="0" applyNumberFormat="1" applyBorder="1"/>
    <xf numFmtId="166" fontId="0" fillId="0" borderId="0" xfId="3" applyNumberFormat="1" applyFont="1" applyBorder="1"/>
    <xf numFmtId="165" fontId="0" fillId="0" borderId="0" xfId="0" applyNumberFormat="1"/>
    <xf numFmtId="0" fontId="3" fillId="0" borderId="0" xfId="0" applyFont="1" applyBorder="1"/>
    <xf numFmtId="0" fontId="2" fillId="0" borderId="0" xfId="0" applyFont="1" applyBorder="1" applyAlignment="1">
      <alignment wrapText="1"/>
    </xf>
    <xf numFmtId="167" fontId="0" fillId="0" borderId="0" xfId="2" applyNumberFormat="1" applyFont="1" applyBorder="1"/>
    <xf numFmtId="172" fontId="0" fillId="0" borderId="0" xfId="0" applyNumberFormat="1" applyBorder="1"/>
    <xf numFmtId="0" fontId="2" fillId="0" borderId="2" xfId="0" applyFont="1" applyBorder="1"/>
    <xf numFmtId="0" fontId="2" fillId="0" borderId="2" xfId="0" applyFont="1" applyBorder="1" applyAlignment="1">
      <alignment horizontal="center"/>
    </xf>
    <xf numFmtId="0" fontId="2" fillId="0" borderId="2" xfId="0" applyFont="1" applyBorder="1" applyAlignment="1">
      <alignment horizontal="center" wrapText="1"/>
    </xf>
    <xf numFmtId="0" fontId="0" fillId="0" borderId="3" xfId="0" applyBorder="1"/>
    <xf numFmtId="170" fontId="0" fillId="0" borderId="4" xfId="0" applyNumberFormat="1" applyBorder="1"/>
    <xf numFmtId="167" fontId="0" fillId="0" borderId="4" xfId="2" applyNumberFormat="1" applyFont="1" applyBorder="1"/>
    <xf numFmtId="172" fontId="0" fillId="0" borderId="4" xfId="0" applyNumberFormat="1" applyBorder="1"/>
    <xf numFmtId="0" fontId="0" fillId="0" borderId="5" xfId="0" applyBorder="1"/>
    <xf numFmtId="166" fontId="2" fillId="0" borderId="0" xfId="1" applyNumberFormat="1" applyFont="1" applyBorder="1" applyAlignment="1">
      <alignment horizontal="center"/>
    </xf>
    <xf numFmtId="168" fontId="2" fillId="0" borderId="0" xfId="2" applyNumberFormat="1" applyFont="1" applyBorder="1" applyAlignment="1">
      <alignment horizontal="center"/>
    </xf>
    <xf numFmtId="0" fontId="2" fillId="0" borderId="0" xfId="0" applyFont="1" applyAlignment="1">
      <alignment horizontal="center" wrapText="1"/>
    </xf>
    <xf numFmtId="166" fontId="1" fillId="0" borderId="0" xfId="1" applyNumberFormat="1" applyFont="1" applyBorder="1"/>
    <xf numFmtId="168" fontId="0" fillId="0" borderId="1" xfId="2" applyNumberFormat="1" applyFont="1" applyFill="1" applyBorder="1"/>
    <xf numFmtId="166" fontId="0" fillId="2" borderId="0" xfId="1" applyNumberFormat="1" applyFont="1" applyFill="1"/>
    <xf numFmtId="0" fontId="2" fillId="0" borderId="0" xfId="0" applyFont="1" applyFill="1" applyBorder="1" applyAlignment="1">
      <alignment horizontal="center" wrapText="1"/>
    </xf>
    <xf numFmtId="167" fontId="0" fillId="0" borderId="0" xfId="0" applyNumberFormat="1" applyFill="1"/>
    <xf numFmtId="168" fontId="0" fillId="0" borderId="0" xfId="2" applyNumberFormat="1" applyFont="1" applyFill="1" applyBorder="1"/>
    <xf numFmtId="168" fontId="2" fillId="0" borderId="0" xfId="2" applyNumberFormat="1" applyFont="1" applyFill="1" applyBorder="1" applyAlignment="1">
      <alignment horizontal="center"/>
    </xf>
    <xf numFmtId="168" fontId="1" fillId="0" borderId="0" xfId="2" applyNumberFormat="1" applyFont="1" applyFill="1" applyBorder="1"/>
    <xf numFmtId="166" fontId="5" fillId="0" borderId="0" xfId="1" applyNumberFormat="1" applyFont="1" applyFill="1"/>
    <xf numFmtId="170" fontId="0" fillId="0" borderId="0" xfId="2" applyNumberFormat="1" applyFont="1" applyFill="1"/>
    <xf numFmtId="164" fontId="0" fillId="0" borderId="0" xfId="0" applyNumberFormat="1"/>
    <xf numFmtId="172" fontId="0" fillId="0" borderId="0" xfId="0" applyNumberFormat="1"/>
    <xf numFmtId="164" fontId="0" fillId="0" borderId="0" xfId="0" applyNumberFormat="1" applyBorder="1"/>
    <xf numFmtId="43" fontId="0" fillId="0" borderId="0" xfId="0" applyNumberFormat="1"/>
    <xf numFmtId="0" fontId="2" fillId="0" borderId="2" xfId="0" applyFont="1" applyBorder="1" applyAlignment="1">
      <alignment wrapText="1"/>
    </xf>
    <xf numFmtId="10" fontId="0" fillId="0" borderId="1" xfId="3" applyNumberFormat="1" applyFont="1" applyBorder="1"/>
    <xf numFmtId="0" fontId="4" fillId="0" borderId="0" xfId="0" applyFont="1" applyBorder="1"/>
    <xf numFmtId="167" fontId="0" fillId="0" borderId="0" xfId="0" applyNumberFormat="1" applyFill="1" applyBorder="1"/>
    <xf numFmtId="0" fontId="2" fillId="0" borderId="0" xfId="0" applyFont="1" applyAlignment="1">
      <alignment horizontal="center"/>
    </xf>
    <xf numFmtId="166" fontId="0" fillId="0" borderId="8" xfId="1" applyNumberFormat="1" applyFont="1" applyFill="1" applyBorder="1"/>
    <xf numFmtId="0" fontId="6" fillId="0" borderId="0" xfId="0" applyFont="1"/>
    <xf numFmtId="10" fontId="0" fillId="0" borderId="0" xfId="3" applyNumberFormat="1" applyFont="1" applyBorder="1"/>
    <xf numFmtId="44" fontId="0" fillId="0" borderId="0" xfId="0" applyNumberFormat="1"/>
    <xf numFmtId="174" fontId="0" fillId="0" borderId="0" xfId="0" applyNumberFormat="1"/>
    <xf numFmtId="168" fontId="0" fillId="2" borderId="0" xfId="2" applyNumberFormat="1" applyFont="1" applyFill="1"/>
    <xf numFmtId="168" fontId="0" fillId="0" borderId="1" xfId="0" applyNumberFormat="1" applyBorder="1"/>
    <xf numFmtId="167" fontId="0" fillId="0" borderId="0" xfId="0" applyNumberFormat="1" applyFont="1" applyFill="1"/>
    <xf numFmtId="167" fontId="0" fillId="0" borderId="8" xfId="0" applyNumberFormat="1" applyBorder="1"/>
    <xf numFmtId="166" fontId="0" fillId="0" borderId="8" xfId="1" applyNumberFormat="1" applyFont="1" applyBorder="1"/>
    <xf numFmtId="0" fontId="0" fillId="0" borderId="0" xfId="0" applyAlignment="1"/>
    <xf numFmtId="43" fontId="0" fillId="0" borderId="0" xfId="1" applyFont="1"/>
    <xf numFmtId="0" fontId="0" fillId="0" borderId="0" xfId="0" applyAlignment="1">
      <alignment wrapText="1"/>
    </xf>
    <xf numFmtId="43" fontId="0" fillId="0" borderId="0" xfId="0" applyNumberFormat="1" applyAlignment="1">
      <alignment wrapText="1"/>
    </xf>
    <xf numFmtId="168" fontId="0" fillId="0" borderId="0" xfId="0" applyNumberFormat="1" applyFill="1"/>
    <xf numFmtId="0" fontId="0" fillId="0" borderId="0" xfId="0" applyFill="1" applyAlignment="1">
      <alignment horizontal="center"/>
    </xf>
    <xf numFmtId="166" fontId="0" fillId="0" borderId="0" xfId="1" applyNumberFormat="1" applyFont="1" applyAlignment="1">
      <alignment wrapText="1"/>
    </xf>
    <xf numFmtId="172" fontId="0" fillId="0" borderId="0" xfId="0" applyNumberFormat="1" applyFill="1"/>
    <xf numFmtId="166" fontId="0" fillId="0" borderId="0" xfId="0" applyNumberFormat="1" applyAlignment="1">
      <alignment wrapText="1"/>
    </xf>
    <xf numFmtId="0" fontId="2" fillId="0" borderId="0" xfId="0" applyFont="1" applyFill="1" applyAlignment="1">
      <alignment horizontal="center"/>
    </xf>
    <xf numFmtId="0" fontId="0" fillId="0" borderId="0" xfId="0" applyBorder="1" applyAlignment="1">
      <alignment wrapText="1"/>
    </xf>
    <xf numFmtId="166" fontId="0" fillId="0" borderId="0" xfId="0" applyNumberFormat="1" applyBorder="1" applyAlignment="1">
      <alignment wrapText="1"/>
    </xf>
    <xf numFmtId="0" fontId="0" fillId="0" borderId="0" xfId="0" applyFill="1" applyBorder="1"/>
    <xf numFmtId="166" fontId="0" fillId="0" borderId="0" xfId="0" applyNumberFormat="1" applyFill="1" applyBorder="1"/>
    <xf numFmtId="10" fontId="0" fillId="0" borderId="0" xfId="0" applyNumberFormat="1" applyFill="1"/>
    <xf numFmtId="0" fontId="3" fillId="0" borderId="0" xfId="0" applyFont="1" applyFill="1" applyBorder="1"/>
    <xf numFmtId="166" fontId="0" fillId="0" borderId="0" xfId="1" applyNumberFormat="1" applyFont="1" applyFill="1" applyBorder="1"/>
    <xf numFmtId="167" fontId="0" fillId="0" borderId="0" xfId="2" applyNumberFormat="1" applyFont="1" applyFill="1" applyBorder="1"/>
    <xf numFmtId="0" fontId="4" fillId="0" borderId="0" xfId="0" applyFont="1" applyFill="1" applyBorder="1"/>
    <xf numFmtId="0" fontId="2" fillId="0" borderId="0" xfId="0" applyFont="1" applyFill="1" applyBorder="1" applyAlignment="1">
      <alignment horizontal="center"/>
    </xf>
    <xf numFmtId="166" fontId="2" fillId="0" borderId="0" xfId="1" applyNumberFormat="1" applyFont="1" applyFill="1" applyBorder="1" applyAlignment="1">
      <alignment horizontal="center"/>
    </xf>
    <xf numFmtId="0" fontId="0" fillId="0" borderId="0" xfId="0" applyFill="1" applyBorder="1" applyAlignment="1">
      <alignment horizontal="right"/>
    </xf>
    <xf numFmtId="0" fontId="7" fillId="0" borderId="0" xfId="0" applyFont="1" applyFill="1"/>
    <xf numFmtId="0" fontId="2" fillId="0" borderId="0" xfId="0" applyFont="1" applyAlignment="1">
      <alignment horizontal="center"/>
    </xf>
    <xf numFmtId="0" fontId="2" fillId="0" borderId="0" xfId="0" applyFont="1" applyAlignment="1">
      <alignment horizontal="center"/>
    </xf>
    <xf numFmtId="0" fontId="0" fillId="0" borderId="0" xfId="0" applyAlignment="1">
      <alignment horizontal="center"/>
    </xf>
    <xf numFmtId="0" fontId="5" fillId="0" borderId="0" xfId="0" applyFont="1" applyFill="1" applyAlignment="1">
      <alignment horizontal="left" wrapText="1"/>
    </xf>
    <xf numFmtId="168" fontId="0" fillId="0" borderId="0" xfId="0" applyNumberFormat="1" applyFill="1" applyBorder="1"/>
    <xf numFmtId="166" fontId="0" fillId="0" borderId="0" xfId="0" applyNumberFormat="1" applyFill="1"/>
    <xf numFmtId="164" fontId="0" fillId="0" borderId="0" xfId="0" applyNumberFormat="1" applyFill="1"/>
    <xf numFmtId="165" fontId="0" fillId="0" borderId="0" xfId="0" applyNumberFormat="1" applyFill="1"/>
    <xf numFmtId="171" fontId="0" fillId="0" borderId="0" xfId="0" applyNumberFormat="1" applyFill="1"/>
    <xf numFmtId="44" fontId="0" fillId="0" borderId="0" xfId="0" applyNumberFormat="1" applyFill="1"/>
    <xf numFmtId="0" fontId="0" fillId="0" borderId="2" xfId="0" applyBorder="1"/>
    <xf numFmtId="0" fontId="0" fillId="0" borderId="2" xfId="0" applyBorder="1" applyAlignment="1">
      <alignment wrapText="1"/>
    </xf>
    <xf numFmtId="168" fontId="0" fillId="0" borderId="15" xfId="2" applyNumberFormat="1" applyFont="1" applyBorder="1"/>
    <xf numFmtId="0" fontId="2" fillId="0" borderId="14" xfId="0" applyFont="1" applyBorder="1" applyAlignment="1">
      <alignment horizontal="center" wrapText="1"/>
    </xf>
    <xf numFmtId="168" fontId="0" fillId="0" borderId="15" xfId="2" applyNumberFormat="1" applyFont="1" applyFill="1" applyBorder="1"/>
    <xf numFmtId="178" fontId="0" fillId="0" borderId="0" xfId="2" applyNumberFormat="1" applyFont="1" applyBorder="1"/>
    <xf numFmtId="168" fontId="0" fillId="0" borderId="0" xfId="0" applyNumberFormat="1" applyAlignment="1">
      <alignment wrapText="1"/>
    </xf>
    <xf numFmtId="44" fontId="0" fillId="0" borderId="0" xfId="0" applyNumberFormat="1" applyAlignment="1">
      <alignment wrapText="1"/>
    </xf>
    <xf numFmtId="174" fontId="0" fillId="0" borderId="0" xfId="0" applyNumberFormat="1" applyAlignment="1">
      <alignment wrapText="1"/>
    </xf>
    <xf numFmtId="9" fontId="0" fillId="0" borderId="0" xfId="3" applyFont="1" applyBorder="1"/>
    <xf numFmtId="43" fontId="0" fillId="0" borderId="0" xfId="1" applyFont="1" applyBorder="1"/>
    <xf numFmtId="179" fontId="0" fillId="0" borderId="0" xfId="0" applyNumberFormat="1" applyBorder="1"/>
    <xf numFmtId="174" fontId="0" fillId="0" borderId="0" xfId="1" applyNumberFormat="1" applyFont="1"/>
    <xf numFmtId="179" fontId="0" fillId="0" borderId="0" xfId="0" applyNumberFormat="1" applyAlignment="1">
      <alignment wrapText="1"/>
    </xf>
    <xf numFmtId="180" fontId="0" fillId="0" borderId="0" xfId="0" applyNumberFormat="1" applyAlignment="1">
      <alignment wrapText="1"/>
    </xf>
    <xf numFmtId="0" fontId="2" fillId="0" borderId="0" xfId="0" applyFont="1" applyAlignment="1">
      <alignment horizontal="center"/>
    </xf>
    <xf numFmtId="0" fontId="0" fillId="0" borderId="0" xfId="0" applyAlignment="1">
      <alignment horizontal="center"/>
    </xf>
    <xf numFmtId="0" fontId="0" fillId="0" borderId="5" xfId="0" applyFill="1" applyBorder="1" applyAlignment="1"/>
    <xf numFmtId="0" fontId="0" fillId="0" borderId="0" xfId="0" applyFill="1" applyBorder="1" applyAlignment="1"/>
    <xf numFmtId="44" fontId="0" fillId="0" borderId="0" xfId="0" applyNumberFormat="1" applyAlignment="1"/>
    <xf numFmtId="0" fontId="0" fillId="0" borderId="23" xfId="0" applyBorder="1"/>
    <xf numFmtId="167" fontId="0" fillId="0" borderId="23" xfId="0" applyNumberFormat="1" applyBorder="1"/>
    <xf numFmtId="166" fontId="0" fillId="0" borderId="5" xfId="0" applyNumberFormat="1" applyBorder="1" applyAlignment="1">
      <alignment wrapText="1"/>
    </xf>
    <xf numFmtId="0" fontId="2" fillId="0" borderId="3" xfId="0" applyFont="1" applyBorder="1" applyAlignment="1">
      <alignment horizontal="center" wrapText="1"/>
    </xf>
    <xf numFmtId="0" fontId="10" fillId="0" borderId="0" xfId="0" applyFont="1" applyAlignment="1"/>
    <xf numFmtId="0" fontId="2" fillId="0" borderId="0" xfId="0" applyFont="1" applyFill="1" applyAlignment="1">
      <alignment horizontal="left"/>
    </xf>
    <xf numFmtId="168" fontId="0" fillId="0" borderId="14" xfId="2" applyNumberFormat="1" applyFont="1" applyFill="1" applyBorder="1"/>
    <xf numFmtId="44" fontId="0" fillId="0" borderId="0" xfId="2" applyFont="1" applyFill="1"/>
    <xf numFmtId="10" fontId="0" fillId="0" borderId="0" xfId="3" applyNumberFormat="1" applyFont="1" applyFill="1" applyBorder="1"/>
    <xf numFmtId="0" fontId="5" fillId="0" borderId="0" xfId="0" applyFont="1" applyFill="1" applyAlignment="1">
      <alignment horizontal="left" wrapText="1"/>
    </xf>
    <xf numFmtId="0" fontId="0" fillId="0" borderId="0" xfId="0" applyFill="1" applyAlignment="1">
      <alignment horizontal="left" wrapText="1"/>
    </xf>
    <xf numFmtId="0" fontId="2" fillId="0" borderId="0" xfId="0" applyFont="1" applyFill="1" applyAlignment="1">
      <alignment horizontal="center"/>
    </xf>
    <xf numFmtId="0" fontId="0" fillId="0" borderId="10" xfId="0" applyBorder="1"/>
    <xf numFmtId="0" fontId="2" fillId="0" borderId="12" xfId="0" applyFont="1" applyBorder="1"/>
    <xf numFmtId="168" fontId="0" fillId="0" borderId="9" xfId="2" applyNumberFormat="1" applyFont="1" applyBorder="1"/>
    <xf numFmtId="168" fontId="0" fillId="0" borderId="11" xfId="2" applyNumberFormat="1" applyFont="1" applyBorder="1"/>
    <xf numFmtId="168" fontId="0" fillId="0" borderId="10" xfId="2" applyNumberFormat="1" applyFont="1" applyBorder="1"/>
    <xf numFmtId="181" fontId="0" fillId="0" borderId="0" xfId="2" applyNumberFormat="1" applyFont="1" applyFill="1"/>
    <xf numFmtId="0" fontId="5" fillId="0" borderId="0" xfId="0" applyFont="1" applyFill="1" applyAlignment="1">
      <alignment horizontal="left" wrapText="1"/>
    </xf>
    <xf numFmtId="0" fontId="0" fillId="0" borderId="0" xfId="0" applyFill="1" applyAlignment="1">
      <alignment horizontal="left" wrapText="1"/>
    </xf>
    <xf numFmtId="0" fontId="13" fillId="0" borderId="0" xfId="0" applyFont="1"/>
    <xf numFmtId="0" fontId="13" fillId="0" borderId="0" xfId="0" applyFont="1" applyAlignment="1">
      <alignment horizontal="center"/>
    </xf>
    <xf numFmtId="168" fontId="13" fillId="0" borderId="0" xfId="2" applyNumberFormat="1" applyFont="1"/>
    <xf numFmtId="0" fontId="5" fillId="0" borderId="0" xfId="0" applyFont="1"/>
    <xf numFmtId="0" fontId="5" fillId="0" borderId="0" xfId="0" applyFont="1" applyAlignment="1">
      <alignment horizontal="center"/>
    </xf>
    <xf numFmtId="168" fontId="5" fillId="0" borderId="11" xfId="2" applyNumberFormat="1" applyFont="1" applyBorder="1"/>
    <xf numFmtId="168" fontId="5" fillId="0" borderId="0" xfId="2" applyNumberFormat="1" applyFont="1"/>
    <xf numFmtId="0" fontId="5" fillId="0" borderId="10" xfId="0" applyFont="1" applyBorder="1"/>
    <xf numFmtId="168" fontId="5" fillId="0" borderId="9" xfId="2" applyNumberFormat="1" applyFont="1" applyBorder="1"/>
    <xf numFmtId="168" fontId="5" fillId="0" borderId="10" xfId="2" applyNumberFormat="1" applyFont="1" applyBorder="1"/>
    <xf numFmtId="0" fontId="14" fillId="0" borderId="0" xfId="0" applyFont="1"/>
    <xf numFmtId="0" fontId="14" fillId="0" borderId="0" xfId="0" applyFont="1" applyAlignment="1">
      <alignment horizontal="center"/>
    </xf>
    <xf numFmtId="168" fontId="14" fillId="0" borderId="11" xfId="2" applyNumberFormat="1" applyFont="1" applyBorder="1"/>
    <xf numFmtId="168" fontId="14" fillId="0" borderId="0" xfId="2" applyNumberFormat="1" applyFont="1"/>
    <xf numFmtId="168" fontId="14" fillId="0" borderId="0" xfId="0" applyNumberFormat="1" applyFont="1"/>
    <xf numFmtId="0" fontId="12" fillId="0" borderId="0" xfId="0" applyFont="1"/>
    <xf numFmtId="0" fontId="12" fillId="0" borderId="0" xfId="0" applyFont="1" applyAlignment="1">
      <alignment horizontal="center"/>
    </xf>
    <xf numFmtId="168" fontId="12" fillId="0" borderId="11" xfId="2" applyNumberFormat="1" applyFont="1" applyBorder="1"/>
    <xf numFmtId="168" fontId="12" fillId="0" borderId="0" xfId="2" applyNumberFormat="1" applyFont="1"/>
    <xf numFmtId="0" fontId="0" fillId="6" borderId="0" xfId="0" applyFill="1"/>
    <xf numFmtId="0" fontId="0" fillId="6" borderId="0" xfId="0" applyFill="1" applyAlignment="1">
      <alignment horizontal="center"/>
    </xf>
    <xf numFmtId="0" fontId="2" fillId="6" borderId="0" xfId="0" applyFont="1" applyFill="1" applyAlignment="1">
      <alignment horizontal="center"/>
    </xf>
    <xf numFmtId="168" fontId="0" fillId="6" borderId="0" xfId="0" applyNumberFormat="1" applyFill="1"/>
    <xf numFmtId="166" fontId="0" fillId="6" borderId="0" xfId="1" applyNumberFormat="1" applyFont="1" applyFill="1"/>
    <xf numFmtId="168" fontId="0" fillId="6" borderId="0" xfId="2" applyNumberFormat="1" applyFont="1" applyFill="1"/>
    <xf numFmtId="0" fontId="16" fillId="0" borderId="0" xfId="0" applyFont="1" applyFill="1" applyAlignment="1">
      <alignment horizontal="left"/>
    </xf>
    <xf numFmtId="0" fontId="13" fillId="0" borderId="0" xfId="0" applyFont="1" applyFill="1"/>
    <xf numFmtId="0" fontId="0" fillId="0" borderId="0" xfId="0" applyFill="1" applyAlignment="1">
      <alignment horizontal="left" wrapText="1"/>
    </xf>
    <xf numFmtId="0" fontId="5" fillId="0" borderId="0" xfId="0" applyFont="1" applyFill="1" applyAlignment="1">
      <alignment horizontal="left" wrapText="1"/>
    </xf>
    <xf numFmtId="0" fontId="5" fillId="0" borderId="0" xfId="0" applyFont="1" applyFill="1"/>
    <xf numFmtId="0" fontId="5" fillId="0" borderId="0" xfId="0" applyFont="1" applyFill="1" applyAlignment="1">
      <alignment wrapText="1"/>
    </xf>
    <xf numFmtId="0" fontId="0" fillId="7" borderId="0" xfId="0" applyFill="1" applyAlignment="1">
      <alignment horizontal="left" wrapText="1"/>
    </xf>
    <xf numFmtId="0" fontId="0" fillId="0" borderId="4" xfId="0" applyBorder="1"/>
    <xf numFmtId="0" fontId="0" fillId="0" borderId="25" xfId="0" applyBorder="1"/>
    <xf numFmtId="166" fontId="0" fillId="4" borderId="26" xfId="0" applyNumberFormat="1" applyFill="1" applyBorder="1"/>
    <xf numFmtId="166" fontId="0" fillId="0" borderId="27" xfId="0" applyNumberFormat="1" applyFill="1" applyBorder="1"/>
    <xf numFmtId="166" fontId="0" fillId="0" borderId="0" xfId="0" applyNumberFormat="1" applyFill="1" applyBorder="1" applyAlignment="1">
      <alignment wrapText="1"/>
    </xf>
    <xf numFmtId="0" fontId="2" fillId="0" borderId="0" xfId="0" applyFont="1" applyAlignment="1">
      <alignment horizontal="center"/>
    </xf>
    <xf numFmtId="0" fontId="0" fillId="0" borderId="0" xfId="0" applyAlignment="1">
      <alignment horizontal="center"/>
    </xf>
    <xf numFmtId="0" fontId="2" fillId="0" borderId="12" xfId="0" applyFont="1" applyBorder="1" applyAlignment="1">
      <alignment horizontal="center"/>
    </xf>
    <xf numFmtId="0" fontId="10" fillId="0" borderId="0" xfId="0" applyFont="1" applyAlignment="1">
      <alignment horizontal="center"/>
    </xf>
    <xf numFmtId="0" fontId="13" fillId="0" borderId="0" xfId="0" applyFont="1" applyFill="1" applyAlignment="1">
      <alignment horizontal="right"/>
    </xf>
    <xf numFmtId="168" fontId="0" fillId="0" borderId="0" xfId="0" applyNumberFormat="1" applyFont="1"/>
    <xf numFmtId="0" fontId="0" fillId="0" borderId="0" xfId="0" applyBorder="1" applyAlignment="1">
      <alignment horizontal="center"/>
    </xf>
    <xf numFmtId="0" fontId="0" fillId="0" borderId="0" xfId="0" applyAlignment="1">
      <alignment horizontal="center"/>
    </xf>
    <xf numFmtId="165" fontId="0" fillId="0" borderId="0" xfId="1" applyNumberFormat="1" applyFont="1" applyBorder="1"/>
    <xf numFmtId="0" fontId="0" fillId="0" borderId="2" xfId="0" applyBorder="1" applyAlignment="1">
      <alignment horizontal="center" wrapText="1"/>
    </xf>
    <xf numFmtId="43" fontId="0" fillId="0" borderId="2" xfId="0" applyNumberFormat="1" applyBorder="1" applyAlignment="1">
      <alignment horizontal="center" wrapText="1"/>
    </xf>
    <xf numFmtId="0" fontId="0" fillId="0" borderId="2" xfId="0" applyFill="1" applyBorder="1" applyAlignment="1">
      <alignment horizontal="center" wrapText="1"/>
    </xf>
    <xf numFmtId="0" fontId="2" fillId="0" borderId="14" xfId="0" applyFont="1" applyBorder="1"/>
    <xf numFmtId="0" fontId="2" fillId="0" borderId="15" xfId="0" applyFont="1" applyBorder="1"/>
    <xf numFmtId="166" fontId="0" fillId="0" borderId="2" xfId="0" applyNumberFormat="1" applyBorder="1"/>
    <xf numFmtId="166" fontId="0" fillId="0" borderId="31" xfId="0" applyNumberFormat="1" applyBorder="1"/>
    <xf numFmtId="0" fontId="2" fillId="0" borderId="33" xfId="0" applyFont="1" applyBorder="1"/>
    <xf numFmtId="0" fontId="2" fillId="0" borderId="34" xfId="0" applyFont="1" applyBorder="1"/>
    <xf numFmtId="166" fontId="2" fillId="0" borderId="35" xfId="0" applyNumberFormat="1" applyFont="1" applyFill="1" applyBorder="1" applyAlignment="1">
      <alignment horizontal="center" wrapText="1"/>
    </xf>
    <xf numFmtId="0" fontId="2" fillId="0" borderId="36" xfId="0" applyFont="1" applyBorder="1" applyAlignment="1">
      <alignment horizontal="center" wrapText="1"/>
    </xf>
    <xf numFmtId="0" fontId="2" fillId="0" borderId="37" xfId="0" applyFont="1" applyBorder="1" applyAlignment="1">
      <alignment horizontal="center"/>
    </xf>
    <xf numFmtId="166" fontId="0" fillId="4" borderId="39" xfId="0" applyNumberFormat="1" applyFill="1" applyBorder="1" applyAlignment="1">
      <alignment wrapText="1"/>
    </xf>
    <xf numFmtId="0" fontId="0" fillId="0" borderId="19" xfId="0" applyBorder="1"/>
    <xf numFmtId="166" fontId="0" fillId="0" borderId="40" xfId="0" applyNumberFormat="1" applyFill="1" applyBorder="1"/>
    <xf numFmtId="0" fontId="19" fillId="0" borderId="15" xfId="0" applyFont="1" applyBorder="1"/>
    <xf numFmtId="0" fontId="19" fillId="0" borderId="6" xfId="0" applyFont="1" applyBorder="1" applyAlignment="1">
      <alignment wrapText="1"/>
    </xf>
    <xf numFmtId="0" fontId="19" fillId="0" borderId="2" xfId="0" applyFont="1" applyBorder="1"/>
    <xf numFmtId="0" fontId="19" fillId="0" borderId="16" xfId="0" applyFont="1" applyBorder="1" applyAlignment="1">
      <alignment wrapText="1"/>
    </xf>
    <xf numFmtId="0" fontId="19" fillId="0" borderId="2" xfId="0" applyFont="1" applyBorder="1" applyAlignment="1">
      <alignment wrapText="1"/>
    </xf>
    <xf numFmtId="0" fontId="0" fillId="0" borderId="3" xfId="0" applyBorder="1" applyAlignment="1"/>
    <xf numFmtId="0" fontId="0" fillId="0" borderId="2" xfId="0" applyFont="1" applyBorder="1"/>
    <xf numFmtId="0" fontId="0" fillId="0" borderId="15" xfId="0" applyFont="1" applyBorder="1"/>
    <xf numFmtId="0" fontId="2" fillId="0" borderId="35"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horizontal="center" wrapText="1"/>
    </xf>
    <xf numFmtId="0" fontId="2" fillId="0" borderId="38" xfId="0" applyFont="1" applyBorder="1" applyAlignment="1">
      <alignment horizontal="center"/>
    </xf>
    <xf numFmtId="0" fontId="0" fillId="0" borderId="4" xfId="0" applyBorder="1" applyAlignment="1"/>
    <xf numFmtId="0" fontId="2" fillId="0" borderId="5" xfId="0" applyFont="1" applyBorder="1" applyAlignment="1">
      <alignment horizontal="center" wrapText="1"/>
    </xf>
    <xf numFmtId="0" fontId="0" fillId="0" borderId="19" xfId="0" applyBorder="1" applyAlignment="1">
      <alignment horizontal="left"/>
    </xf>
    <xf numFmtId="0" fontId="2" fillId="0" borderId="34" xfId="0" applyFont="1" applyBorder="1" applyAlignment="1">
      <alignment horizontal="center" wrapText="1"/>
    </xf>
    <xf numFmtId="166" fontId="0" fillId="0" borderId="47" xfId="0" applyNumberFormat="1" applyBorder="1"/>
    <xf numFmtId="0" fontId="0" fillId="0" borderId="47" xfId="0" applyBorder="1"/>
    <xf numFmtId="167" fontId="0" fillId="0" borderId="2" xfId="0" applyNumberFormat="1" applyBorder="1"/>
    <xf numFmtId="166" fontId="0" fillId="0" borderId="48" xfId="0" applyNumberFormat="1" applyBorder="1"/>
    <xf numFmtId="166" fontId="0" fillId="0" borderId="49" xfId="0" applyNumberFormat="1" applyBorder="1"/>
    <xf numFmtId="167" fontId="0" fillId="0" borderId="48" xfId="0" applyNumberFormat="1" applyBorder="1"/>
    <xf numFmtId="166" fontId="0" fillId="0" borderId="16" xfId="0" applyNumberFormat="1" applyBorder="1"/>
    <xf numFmtId="166" fontId="0" fillId="0" borderId="27" xfId="0" applyNumberFormat="1" applyBorder="1"/>
    <xf numFmtId="167" fontId="0" fillId="0" borderId="16" xfId="0" applyNumberFormat="1" applyBorder="1"/>
    <xf numFmtId="0" fontId="0" fillId="0" borderId="22" xfId="0" applyBorder="1"/>
    <xf numFmtId="166" fontId="0" fillId="0" borderId="17" xfId="0" applyNumberFormat="1" applyBorder="1"/>
    <xf numFmtId="43" fontId="0" fillId="0" borderId="27" xfId="0" applyNumberFormat="1" applyBorder="1"/>
    <xf numFmtId="167" fontId="0" fillId="0" borderId="31" xfId="0" applyNumberFormat="1" applyBorder="1"/>
    <xf numFmtId="166" fontId="0" fillId="0" borderId="52" xfId="0" applyNumberFormat="1" applyBorder="1"/>
    <xf numFmtId="166" fontId="0" fillId="4" borderId="53" xfId="0" applyNumberFormat="1" applyFill="1" applyBorder="1"/>
    <xf numFmtId="0" fontId="0" fillId="0" borderId="0" xfId="0" applyBorder="1" applyAlignment="1">
      <alignment horizontal="left"/>
    </xf>
    <xf numFmtId="166" fontId="0" fillId="0" borderId="54" xfId="0" applyNumberFormat="1" applyFill="1" applyBorder="1" applyAlignment="1">
      <alignment wrapText="1"/>
    </xf>
    <xf numFmtId="167" fontId="0" fillId="0" borderId="55" xfId="2" applyNumberFormat="1" applyFont="1" applyFill="1" applyBorder="1" applyAlignment="1">
      <alignment wrapText="1"/>
    </xf>
    <xf numFmtId="168" fontId="0" fillId="0" borderId="56" xfId="0" applyNumberFormat="1" applyFill="1" applyBorder="1" applyAlignment="1">
      <alignment wrapText="1"/>
    </xf>
    <xf numFmtId="166" fontId="0" fillId="0" borderId="57" xfId="0" applyNumberFormat="1" applyBorder="1" applyAlignment="1">
      <alignment wrapText="1"/>
    </xf>
    <xf numFmtId="168" fontId="0" fillId="0" borderId="58" xfId="0" applyNumberFormat="1" applyBorder="1" applyAlignment="1">
      <alignment wrapText="1"/>
    </xf>
    <xf numFmtId="167" fontId="0" fillId="0" borderId="28" xfId="0" applyNumberFormat="1" applyBorder="1" applyAlignment="1">
      <alignment wrapText="1"/>
    </xf>
    <xf numFmtId="166" fontId="0" fillId="0" borderId="59" xfId="1" applyNumberFormat="1" applyFont="1" applyBorder="1" applyAlignment="1">
      <alignment wrapText="1"/>
    </xf>
    <xf numFmtId="167" fontId="0" fillId="0" borderId="32" xfId="2" applyNumberFormat="1" applyFont="1" applyBorder="1" applyAlignment="1">
      <alignment wrapText="1"/>
    </xf>
    <xf numFmtId="168" fontId="0" fillId="0" borderId="60" xfId="0" applyNumberFormat="1" applyBorder="1" applyAlignment="1">
      <alignment wrapText="1"/>
    </xf>
    <xf numFmtId="166" fontId="0" fillId="0" borderId="54" xfId="1" applyNumberFormat="1" applyFont="1" applyBorder="1" applyAlignment="1">
      <alignment wrapText="1"/>
    </xf>
    <xf numFmtId="167" fontId="0" fillId="0" borderId="55" xfId="2" applyNumberFormat="1" applyFont="1" applyBorder="1" applyAlignment="1">
      <alignment wrapText="1"/>
    </xf>
    <xf numFmtId="168" fontId="0" fillId="0" borderId="56" xfId="0" applyNumberFormat="1" applyBorder="1" applyAlignment="1">
      <alignment wrapText="1"/>
    </xf>
    <xf numFmtId="166" fontId="0" fillId="0" borderId="59" xfId="0" applyNumberFormat="1" applyBorder="1" applyAlignment="1">
      <alignment wrapText="1"/>
    </xf>
    <xf numFmtId="167" fontId="0" fillId="0" borderId="32" xfId="2" applyNumberFormat="1" applyFont="1" applyFill="1" applyBorder="1" applyAlignment="1">
      <alignment wrapText="1"/>
    </xf>
    <xf numFmtId="168" fontId="0" fillId="0" borderId="60" xfId="2" applyNumberFormat="1" applyFont="1" applyBorder="1" applyAlignment="1">
      <alignment wrapText="1"/>
    </xf>
    <xf numFmtId="0" fontId="2" fillId="0" borderId="35" xfId="0" applyFont="1" applyBorder="1" applyAlignment="1">
      <alignment horizontal="center" wrapText="1"/>
    </xf>
    <xf numFmtId="0" fontId="0" fillId="3" borderId="30" xfId="0" applyFill="1" applyBorder="1" applyAlignment="1"/>
    <xf numFmtId="0" fontId="0" fillId="3" borderId="3" xfId="0" applyFill="1" applyBorder="1"/>
    <xf numFmtId="0" fontId="0" fillId="3" borderId="4" xfId="0" applyFill="1" applyBorder="1"/>
    <xf numFmtId="0" fontId="2" fillId="0" borderId="38" xfId="0" applyFont="1" applyBorder="1" applyAlignment="1">
      <alignment horizontal="center" wrapText="1"/>
    </xf>
    <xf numFmtId="0" fontId="0" fillId="3" borderId="21" xfId="0" applyFill="1" applyBorder="1"/>
    <xf numFmtId="0" fontId="3" fillId="0" borderId="0" xfId="0" applyFont="1" applyProtection="1"/>
    <xf numFmtId="0" fontId="2" fillId="0" borderId="0" xfId="0" applyFont="1" applyProtection="1"/>
    <xf numFmtId="0" fontId="0" fillId="0" borderId="0" xfId="0" applyProtection="1"/>
    <xf numFmtId="0" fontId="2" fillId="0" borderId="0" xfId="0" applyFont="1" applyAlignment="1" applyProtection="1">
      <alignment horizontal="center" wrapText="1"/>
    </xf>
    <xf numFmtId="0" fontId="2" fillId="0" borderId="0" xfId="0" applyFont="1" applyAlignment="1" applyProtection="1">
      <alignment horizontal="center"/>
    </xf>
    <xf numFmtId="0" fontId="0" fillId="0" borderId="0" xfId="0" applyFont="1" applyProtection="1"/>
    <xf numFmtId="166" fontId="0" fillId="2" borderId="0" xfId="1" applyNumberFormat="1" applyFont="1" applyFill="1" applyProtection="1"/>
    <xf numFmtId="166" fontId="0" fillId="0" borderId="0" xfId="1" applyNumberFormat="1" applyFont="1" applyFill="1" applyProtection="1"/>
    <xf numFmtId="166" fontId="0" fillId="0" borderId="8" xfId="1" applyNumberFormat="1" applyFont="1" applyFill="1" applyBorder="1" applyProtection="1"/>
    <xf numFmtId="10" fontId="0" fillId="0" borderId="0" xfId="3" applyNumberFormat="1" applyFont="1" applyProtection="1"/>
    <xf numFmtId="166" fontId="0" fillId="0" borderId="0" xfId="1" applyNumberFormat="1" applyFont="1" applyProtection="1"/>
    <xf numFmtId="166" fontId="0" fillId="0" borderId="0" xfId="0" applyNumberFormat="1" applyProtection="1"/>
    <xf numFmtId="10" fontId="0" fillId="0" borderId="0" xfId="3" applyNumberFormat="1" applyFont="1" applyFill="1" applyProtection="1"/>
    <xf numFmtId="176" fontId="0" fillId="0" borderId="0" xfId="1" applyNumberFormat="1" applyFont="1" applyProtection="1"/>
    <xf numFmtId="0" fontId="0" fillId="0" borderId="0" xfId="0" applyFill="1" applyProtection="1"/>
    <xf numFmtId="10" fontId="0" fillId="0" borderId="1" xfId="0" applyNumberFormat="1" applyBorder="1" applyProtection="1"/>
    <xf numFmtId="166" fontId="0" fillId="0" borderId="1" xfId="0" applyNumberFormat="1" applyBorder="1" applyProtection="1"/>
    <xf numFmtId="0" fontId="15" fillId="0" borderId="0" xfId="0" applyFont="1" applyFill="1" applyProtection="1"/>
    <xf numFmtId="0" fontId="4" fillId="0" borderId="0" xfId="0" applyFont="1" applyFill="1" applyProtection="1"/>
    <xf numFmtId="0" fontId="4" fillId="0" borderId="0" xfId="0" applyFont="1" applyProtection="1"/>
    <xf numFmtId="0" fontId="2" fillId="0" borderId="0" xfId="0" applyFont="1" applyFill="1" applyAlignment="1" applyProtection="1">
      <alignment horizontal="center" wrapText="1"/>
    </xf>
    <xf numFmtId="170" fontId="0" fillId="0" borderId="0" xfId="2" applyNumberFormat="1" applyFont="1" applyFill="1" applyProtection="1"/>
    <xf numFmtId="0" fontId="0" fillId="0" borderId="0" xfId="0" applyAlignment="1" applyProtection="1">
      <alignment horizontal="center"/>
    </xf>
    <xf numFmtId="10" fontId="0" fillId="2" borderId="0" xfId="3" applyNumberFormat="1" applyFont="1" applyFill="1" applyProtection="1"/>
    <xf numFmtId="170" fontId="0" fillId="2" borderId="0" xfId="2" applyNumberFormat="1" applyFont="1" applyFill="1" applyProtection="1"/>
    <xf numFmtId="170" fontId="0" fillId="0" borderId="0" xfId="2" applyNumberFormat="1" applyFont="1" applyProtection="1"/>
    <xf numFmtId="10" fontId="0" fillId="0" borderId="0" xfId="0" applyNumberFormat="1" applyFill="1" applyBorder="1" applyProtection="1"/>
    <xf numFmtId="0" fontId="2" fillId="0" borderId="0" xfId="0" applyFont="1" applyFill="1" applyProtection="1"/>
    <xf numFmtId="0" fontId="2" fillId="0" borderId="0" xfId="0" applyFont="1" applyFill="1" applyAlignment="1" applyProtection="1">
      <alignment horizontal="center"/>
    </xf>
    <xf numFmtId="167" fontId="0" fillId="0" borderId="0" xfId="0" applyNumberFormat="1" applyFill="1" applyProtection="1"/>
    <xf numFmtId="168" fontId="0" fillId="0" borderId="0" xfId="0" applyNumberFormat="1" applyProtection="1"/>
    <xf numFmtId="43" fontId="0" fillId="0" borderId="0" xfId="1" applyNumberFormat="1" applyFont="1" applyProtection="1"/>
    <xf numFmtId="43" fontId="0" fillId="0" borderId="0" xfId="1" applyNumberFormat="1" applyFont="1" applyFill="1" applyProtection="1"/>
    <xf numFmtId="43" fontId="0" fillId="0" borderId="0" xfId="0" applyNumberFormat="1" applyProtection="1"/>
    <xf numFmtId="43" fontId="0" fillId="0" borderId="0" xfId="0" applyNumberFormat="1" applyFill="1" applyProtection="1"/>
    <xf numFmtId="167" fontId="0" fillId="2" borderId="0" xfId="2" applyNumberFormat="1" applyFont="1" applyFill="1" applyProtection="1"/>
    <xf numFmtId="167" fontId="0" fillId="0" borderId="0" xfId="2" applyNumberFormat="1" applyFont="1" applyFill="1" applyProtection="1"/>
    <xf numFmtId="167" fontId="0" fillId="0" borderId="0" xfId="2" applyNumberFormat="1" applyFont="1" applyProtection="1"/>
    <xf numFmtId="167" fontId="0" fillId="0" borderId="0" xfId="0" applyNumberFormat="1" applyProtection="1"/>
    <xf numFmtId="167" fontId="0" fillId="0" borderId="0" xfId="2" applyNumberFormat="1" applyFont="1" applyFill="1" applyBorder="1" applyProtection="1"/>
    <xf numFmtId="168" fontId="0" fillId="2" borderId="0" xfId="0" applyNumberFormat="1" applyFill="1" applyProtection="1"/>
    <xf numFmtId="168" fontId="0" fillId="0" borderId="0" xfId="0" applyNumberFormat="1" applyFill="1" applyProtection="1"/>
    <xf numFmtId="174" fontId="0" fillId="0" borderId="0" xfId="0" applyNumberFormat="1" applyProtection="1"/>
    <xf numFmtId="174" fontId="0" fillId="0" borderId="0" xfId="1" applyNumberFormat="1" applyFont="1" applyProtection="1"/>
    <xf numFmtId="165" fontId="0" fillId="0" borderId="0" xfId="0" applyNumberFormat="1" applyProtection="1"/>
    <xf numFmtId="182" fontId="0" fillId="0" borderId="0" xfId="0" applyNumberFormat="1" applyProtection="1"/>
    <xf numFmtId="175" fontId="0" fillId="0" borderId="0" xfId="0" applyNumberFormat="1" applyProtection="1"/>
    <xf numFmtId="166" fontId="2" fillId="0" borderId="0" xfId="1" applyNumberFormat="1" applyFont="1" applyBorder="1" applyAlignment="1" applyProtection="1">
      <alignment horizontal="center" wrapText="1"/>
    </xf>
    <xf numFmtId="168" fontId="2" fillId="0" borderId="0" xfId="2" applyNumberFormat="1" applyFont="1" applyBorder="1" applyAlignment="1" applyProtection="1">
      <alignment horizontal="center"/>
    </xf>
    <xf numFmtId="166" fontId="2" fillId="0" borderId="0" xfId="1" applyNumberFormat="1" applyFont="1" applyBorder="1" applyAlignment="1" applyProtection="1">
      <alignment horizontal="center"/>
    </xf>
    <xf numFmtId="168" fontId="1" fillId="2" borderId="0" xfId="2" applyNumberFormat="1" applyFont="1" applyFill="1" applyBorder="1" applyAlignment="1" applyProtection="1">
      <alignment horizontal="center"/>
    </xf>
    <xf numFmtId="181" fontId="0" fillId="2" borderId="0" xfId="2" applyNumberFormat="1" applyFont="1" applyFill="1" applyProtection="1"/>
    <xf numFmtId="168" fontId="0" fillId="2" borderId="0" xfId="2" applyNumberFormat="1" applyFont="1" applyFill="1" applyProtection="1"/>
    <xf numFmtId="168" fontId="0" fillId="0" borderId="0" xfId="2" applyNumberFormat="1" applyFont="1" applyFill="1" applyProtection="1"/>
    <xf numFmtId="44" fontId="0" fillId="0" borderId="0" xfId="2" applyFont="1" applyProtection="1"/>
    <xf numFmtId="44" fontId="0" fillId="0" borderId="0" xfId="2" applyFont="1" applyFill="1" applyProtection="1"/>
    <xf numFmtId="168" fontId="0" fillId="0" borderId="0" xfId="2" applyNumberFormat="1" applyFont="1" applyFill="1" applyBorder="1" applyProtection="1"/>
    <xf numFmtId="171" fontId="0" fillId="0" borderId="0" xfId="0" applyNumberFormat="1" applyProtection="1"/>
    <xf numFmtId="166" fontId="0" fillId="0" borderId="1" xfId="1" applyNumberFormat="1" applyFont="1" applyBorder="1" applyProtection="1"/>
    <xf numFmtId="168" fontId="0" fillId="0" borderId="0" xfId="2" applyNumberFormat="1" applyFont="1" applyBorder="1" applyProtection="1"/>
    <xf numFmtId="168" fontId="0" fillId="0" borderId="1" xfId="2" applyNumberFormat="1" applyFont="1" applyBorder="1" applyProtection="1"/>
    <xf numFmtId="166" fontId="0" fillId="0" borderId="0" xfId="1" applyNumberFormat="1" applyFont="1" applyBorder="1" applyProtection="1"/>
    <xf numFmtId="168" fontId="2" fillId="0" borderId="0" xfId="2" applyNumberFormat="1" applyFont="1" applyFill="1" applyBorder="1" applyAlignment="1" applyProtection="1">
      <alignment horizontal="center"/>
    </xf>
    <xf numFmtId="167" fontId="0" fillId="0" borderId="0" xfId="0" applyNumberFormat="1" applyFont="1" applyProtection="1"/>
    <xf numFmtId="168" fontId="1" fillId="0" borderId="0" xfId="2" applyNumberFormat="1" applyFont="1" applyFill="1" applyBorder="1" applyProtection="1"/>
    <xf numFmtId="174" fontId="0" fillId="0" borderId="0" xfId="1" applyNumberFormat="1" applyFont="1" applyBorder="1" applyProtection="1"/>
    <xf numFmtId="166" fontId="1" fillId="0" borderId="0" xfId="1" applyNumberFormat="1" applyFont="1" applyBorder="1" applyProtection="1"/>
    <xf numFmtId="177" fontId="0" fillId="0" borderId="0" xfId="3" applyNumberFormat="1" applyFont="1" applyBorder="1" applyProtection="1"/>
    <xf numFmtId="44" fontId="0" fillId="0" borderId="0" xfId="0" applyNumberFormat="1" applyProtection="1"/>
    <xf numFmtId="181" fontId="0" fillId="0" borderId="0" xfId="2" applyNumberFormat="1" applyFont="1" applyFill="1" applyProtection="1"/>
    <xf numFmtId="43" fontId="0" fillId="0" borderId="0" xfId="1" applyNumberFormat="1" applyFont="1" applyBorder="1" applyProtection="1"/>
    <xf numFmtId="167" fontId="0" fillId="0" borderId="8" xfId="0" applyNumberFormat="1" applyBorder="1" applyProtection="1"/>
    <xf numFmtId="166" fontId="0" fillId="0" borderId="8" xfId="1" applyNumberFormat="1" applyFont="1" applyBorder="1" applyProtection="1"/>
    <xf numFmtId="168" fontId="0" fillId="0" borderId="1" xfId="0" applyNumberFormat="1" applyBorder="1" applyProtection="1"/>
    <xf numFmtId="0" fontId="0" fillId="0" borderId="0" xfId="0" applyAlignment="1" applyProtection="1">
      <alignment wrapText="1"/>
    </xf>
    <xf numFmtId="0" fontId="0" fillId="0" borderId="0" xfId="0" applyFill="1" applyBorder="1" applyProtection="1"/>
    <xf numFmtId="167" fontId="0" fillId="0" borderId="0" xfId="0" applyNumberFormat="1" applyFill="1" applyBorder="1" applyProtection="1"/>
    <xf numFmtId="166" fontId="0" fillId="0" borderId="0" xfId="1" applyNumberFormat="1" applyFont="1" applyFill="1" applyBorder="1" applyProtection="1"/>
    <xf numFmtId="168" fontId="0" fillId="0" borderId="0" xfId="0" applyNumberFormat="1" applyFill="1" applyBorder="1" applyProtection="1"/>
    <xf numFmtId="183" fontId="0" fillId="0" borderId="0" xfId="1" applyNumberFormat="1" applyFont="1" applyProtection="1"/>
    <xf numFmtId="183" fontId="0" fillId="0" borderId="0" xfId="1" applyNumberFormat="1" applyFont="1"/>
    <xf numFmtId="182" fontId="0" fillId="0" borderId="0" xfId="0" applyNumberFormat="1"/>
    <xf numFmtId="184" fontId="0" fillId="0" borderId="0" xfId="0" applyNumberFormat="1"/>
    <xf numFmtId="185" fontId="0" fillId="0" borderId="0" xfId="0" applyNumberFormat="1"/>
    <xf numFmtId="185" fontId="0" fillId="0" borderId="0" xfId="1" applyNumberFormat="1" applyFont="1"/>
    <xf numFmtId="178" fontId="0" fillId="0" borderId="0" xfId="0" applyNumberFormat="1" applyFill="1"/>
    <xf numFmtId="180" fontId="0" fillId="0" borderId="0" xfId="0" applyNumberFormat="1" applyProtection="1"/>
    <xf numFmtId="179" fontId="0" fillId="0" borderId="0" xfId="1" applyNumberFormat="1" applyFont="1" applyBorder="1"/>
    <xf numFmtId="178" fontId="0" fillId="0" borderId="0" xfId="3" applyNumberFormat="1" applyFont="1" applyBorder="1"/>
    <xf numFmtId="186" fontId="0" fillId="0" borderId="0" xfId="2" applyNumberFormat="1" applyFont="1" applyBorder="1"/>
    <xf numFmtId="181" fontId="0" fillId="0" borderId="0" xfId="0" applyNumberFormat="1" applyProtection="1"/>
    <xf numFmtId="164" fontId="0" fillId="0" borderId="0" xfId="0" applyNumberFormat="1" applyProtection="1"/>
    <xf numFmtId="164" fontId="0" fillId="0" borderId="0" xfId="2" applyNumberFormat="1" applyFont="1" applyFill="1" applyProtection="1"/>
    <xf numFmtId="168" fontId="2" fillId="0" borderId="0" xfId="0" applyNumberFormat="1" applyFont="1" applyFill="1" applyProtection="1"/>
    <xf numFmtId="183" fontId="0" fillId="0" borderId="0" xfId="0" applyNumberFormat="1" applyBorder="1"/>
    <xf numFmtId="165" fontId="0" fillId="0" borderId="0" xfId="0" applyNumberFormat="1" applyBorder="1"/>
    <xf numFmtId="0" fontId="0" fillId="0" borderId="0" xfId="0" applyFill="1" applyBorder="1" applyAlignment="1">
      <alignment horizontal="center"/>
    </xf>
    <xf numFmtId="0" fontId="0" fillId="0" borderId="62" xfId="0" applyFill="1" applyBorder="1"/>
    <xf numFmtId="166" fontId="0" fillId="0" borderId="62" xfId="1" applyNumberFormat="1" applyFont="1" applyFill="1" applyBorder="1"/>
    <xf numFmtId="166" fontId="0" fillId="0" borderId="63" xfId="1" applyNumberFormat="1" applyFont="1" applyFill="1" applyBorder="1"/>
    <xf numFmtId="0" fontId="0" fillId="0" borderId="64" xfId="0" applyFill="1" applyBorder="1"/>
    <xf numFmtId="0" fontId="0" fillId="0" borderId="65" xfId="0" applyFill="1" applyBorder="1" applyAlignment="1">
      <alignment horizontal="center"/>
    </xf>
    <xf numFmtId="0" fontId="2" fillId="0" borderId="64" xfId="0" applyFont="1" applyFill="1" applyBorder="1" applyAlignment="1">
      <alignment horizontal="center"/>
    </xf>
    <xf numFmtId="0" fontId="2" fillId="0" borderId="65" xfId="0" applyFont="1" applyFill="1" applyBorder="1" applyAlignment="1">
      <alignment horizontal="center"/>
    </xf>
    <xf numFmtId="168" fontId="0" fillId="0" borderId="65" xfId="2" applyNumberFormat="1" applyFont="1" applyFill="1" applyBorder="1"/>
    <xf numFmtId="168" fontId="0" fillId="0" borderId="66" xfId="2" applyNumberFormat="1" applyFont="1" applyFill="1" applyBorder="1"/>
    <xf numFmtId="0" fontId="0" fillId="0" borderId="63" xfId="0" applyFill="1" applyBorder="1"/>
    <xf numFmtId="0" fontId="0" fillId="0" borderId="65" xfId="0" applyFill="1" applyBorder="1"/>
    <xf numFmtId="0" fontId="0" fillId="7" borderId="64" xfId="0" applyFill="1" applyBorder="1"/>
    <xf numFmtId="0" fontId="0" fillId="7" borderId="0" xfId="0" applyFill="1" applyBorder="1"/>
    <xf numFmtId="0" fontId="0" fillId="7" borderId="0" xfId="0" applyFill="1" applyBorder="1" applyAlignment="1">
      <alignment horizontal="center"/>
    </xf>
    <xf numFmtId="0" fontId="0" fillId="7" borderId="65" xfId="0" applyFill="1" applyBorder="1" applyAlignment="1">
      <alignment horizontal="center"/>
    </xf>
    <xf numFmtId="0" fontId="2" fillId="7" borderId="64" xfId="0" applyFont="1" applyFill="1" applyBorder="1" applyAlignment="1">
      <alignment horizontal="center"/>
    </xf>
    <xf numFmtId="0" fontId="2" fillId="7" borderId="0" xfId="0" applyFont="1" applyFill="1" applyBorder="1" applyAlignment="1">
      <alignment horizontal="center"/>
    </xf>
    <xf numFmtId="0" fontId="2" fillId="7" borderId="65" xfId="0" applyFont="1" applyFill="1" applyBorder="1" applyAlignment="1">
      <alignment horizontal="center"/>
    </xf>
    <xf numFmtId="0" fontId="0" fillId="7" borderId="64" xfId="0" applyFill="1" applyBorder="1" applyAlignment="1">
      <alignment wrapText="1"/>
    </xf>
    <xf numFmtId="0" fontId="0" fillId="7" borderId="0" xfId="0" applyFill="1" applyBorder="1" applyAlignment="1">
      <alignment wrapText="1"/>
    </xf>
    <xf numFmtId="168" fontId="0" fillId="0" borderId="65" xfId="0" applyNumberFormat="1" applyFill="1" applyBorder="1"/>
    <xf numFmtId="0" fontId="12" fillId="0" borderId="0" xfId="0" applyFont="1" applyFill="1" applyAlignment="1">
      <alignment horizontal="center"/>
    </xf>
    <xf numFmtId="0" fontId="14" fillId="0" borderId="0" xfId="0" applyFont="1" applyFill="1" applyAlignment="1">
      <alignment horizontal="center"/>
    </xf>
    <xf numFmtId="0" fontId="0" fillId="0" borderId="0" xfId="0" applyFill="1" applyBorder="1" applyAlignment="1">
      <alignment horizontal="left" wrapText="1"/>
    </xf>
    <xf numFmtId="0" fontId="21" fillId="0" borderId="0" xfId="0" applyFont="1" applyAlignment="1" applyProtection="1">
      <alignment horizontal="center"/>
    </xf>
    <xf numFmtId="0" fontId="15" fillId="0" borderId="0" xfId="0" applyFont="1" applyProtection="1"/>
    <xf numFmtId="0" fontId="0" fillId="0" borderId="62" xfId="0" applyFill="1" applyBorder="1" applyAlignment="1">
      <alignment horizontal="left" wrapText="1"/>
    </xf>
    <xf numFmtId="0" fontId="0" fillId="0" borderId="63" xfId="0" applyFill="1" applyBorder="1" applyAlignment="1">
      <alignment horizontal="left" wrapText="1"/>
    </xf>
    <xf numFmtId="0" fontId="0" fillId="0" borderId="65" xfId="0" applyFill="1" applyBorder="1" applyAlignment="1">
      <alignment horizontal="left" wrapText="1"/>
    </xf>
    <xf numFmtId="0" fontId="0" fillId="0" borderId="67" xfId="0" applyFill="1" applyBorder="1"/>
    <xf numFmtId="0" fontId="0" fillId="0" borderId="68" xfId="0" applyFill="1" applyBorder="1"/>
    <xf numFmtId="168" fontId="0" fillId="0" borderId="68" xfId="2" applyNumberFormat="1" applyFont="1" applyFill="1" applyBorder="1"/>
    <xf numFmtId="168" fontId="0" fillId="0" borderId="69" xfId="2" applyNumberFormat="1" applyFont="1" applyFill="1" applyBorder="1"/>
    <xf numFmtId="0" fontId="0" fillId="0" borderId="69" xfId="0" applyFill="1" applyBorder="1"/>
    <xf numFmtId="168" fontId="0" fillId="0" borderId="0" xfId="0" applyNumberFormat="1" applyFont="1" applyFill="1" applyBorder="1" applyAlignment="1">
      <alignment horizontal="center"/>
    </xf>
    <xf numFmtId="168" fontId="0" fillId="0" borderId="62" xfId="2" applyNumberFormat="1" applyFont="1" applyFill="1" applyBorder="1"/>
    <xf numFmtId="168" fontId="0" fillId="0" borderId="63" xfId="2" applyNumberFormat="1" applyFont="1" applyFill="1" applyBorder="1"/>
    <xf numFmtId="183" fontId="13" fillId="0" borderId="0" xfId="1" applyNumberFormat="1" applyFont="1" applyProtection="1"/>
    <xf numFmtId="0" fontId="13" fillId="8" borderId="0" xfId="0" applyFont="1" applyFill="1" applyProtection="1"/>
    <xf numFmtId="10" fontId="13" fillId="0" borderId="0" xfId="3" applyNumberFormat="1" applyFont="1" applyFill="1" applyProtection="1"/>
    <xf numFmtId="170" fontId="13" fillId="0" borderId="0" xfId="2" applyNumberFormat="1" applyFont="1" applyProtection="1"/>
    <xf numFmtId="166" fontId="13" fillId="0" borderId="0" xfId="1" applyNumberFormat="1" applyFont="1" applyFill="1" applyProtection="1"/>
    <xf numFmtId="171" fontId="13" fillId="0" borderId="0" xfId="0" applyNumberFormat="1" applyFont="1" applyProtection="1"/>
    <xf numFmtId="176" fontId="0" fillId="0" borderId="0" xfId="0" applyNumberFormat="1" applyProtection="1"/>
    <xf numFmtId="167" fontId="13" fillId="0" borderId="0" xfId="2" applyNumberFormat="1" applyFont="1" applyProtection="1"/>
    <xf numFmtId="166" fontId="13" fillId="0" borderId="0" xfId="1" applyNumberFormat="1" applyFont="1" applyProtection="1"/>
    <xf numFmtId="168" fontId="13" fillId="0" borderId="1" xfId="2" applyNumberFormat="1" applyFont="1" applyFill="1" applyBorder="1" applyProtection="1"/>
    <xf numFmtId="168" fontId="13" fillId="0" borderId="1" xfId="2" applyNumberFormat="1" applyFont="1" applyBorder="1" applyProtection="1"/>
    <xf numFmtId="10" fontId="13" fillId="0" borderId="0" xfId="3" applyNumberFormat="1" applyFont="1" applyFill="1"/>
    <xf numFmtId="183" fontId="13" fillId="0" borderId="0" xfId="1" applyNumberFormat="1" applyFont="1"/>
    <xf numFmtId="167" fontId="13" fillId="0" borderId="0" xfId="2" applyNumberFormat="1" applyFont="1"/>
    <xf numFmtId="166" fontId="13" fillId="0" borderId="0" xfId="1" applyNumberFormat="1" applyFont="1"/>
    <xf numFmtId="171" fontId="13" fillId="0" borderId="0" xfId="0" applyNumberFormat="1" applyFont="1"/>
    <xf numFmtId="170" fontId="13" fillId="0" borderId="0" xfId="2" applyNumberFormat="1" applyFont="1"/>
    <xf numFmtId="170" fontId="5" fillId="0" borderId="0" xfId="2" applyNumberFormat="1" applyFont="1"/>
    <xf numFmtId="187" fontId="0" fillId="0" borderId="0" xfId="0" applyNumberFormat="1"/>
    <xf numFmtId="178" fontId="0" fillId="0" borderId="0" xfId="2" applyNumberFormat="1" applyFont="1"/>
    <xf numFmtId="178" fontId="0" fillId="0" borderId="0" xfId="0" applyNumberFormat="1"/>
    <xf numFmtId="168" fontId="13" fillId="0" borderId="0" xfId="2" applyNumberFormat="1" applyFont="1" applyFill="1"/>
    <xf numFmtId="167" fontId="13" fillId="0" borderId="0" xfId="2" applyNumberFormat="1" applyFont="1" applyBorder="1"/>
    <xf numFmtId="172" fontId="13" fillId="0" borderId="0" xfId="0" applyNumberFormat="1" applyFont="1" applyBorder="1"/>
    <xf numFmtId="166" fontId="13" fillId="0" borderId="0" xfId="3" applyNumberFormat="1" applyFont="1"/>
    <xf numFmtId="167" fontId="13" fillId="0" borderId="7" xfId="2" applyNumberFormat="1" applyFont="1" applyBorder="1"/>
    <xf numFmtId="172" fontId="13" fillId="0" borderId="7" xfId="0" applyNumberFormat="1" applyFont="1" applyBorder="1"/>
    <xf numFmtId="170" fontId="13" fillId="0" borderId="0" xfId="0" applyNumberFormat="1" applyFont="1" applyBorder="1"/>
    <xf numFmtId="166" fontId="13" fillId="0" borderId="0" xfId="3" applyNumberFormat="1" applyFont="1" applyBorder="1"/>
    <xf numFmtId="170" fontId="13" fillId="0" borderId="7" xfId="0" applyNumberFormat="1" applyFont="1" applyBorder="1"/>
    <xf numFmtId="168" fontId="13" fillId="0" borderId="1" xfId="2" applyNumberFormat="1" applyFont="1" applyFill="1" applyBorder="1"/>
    <xf numFmtId="168" fontId="13" fillId="0" borderId="1" xfId="2" applyNumberFormat="1" applyFont="1" applyBorder="1"/>
    <xf numFmtId="168" fontId="13" fillId="0" borderId="0" xfId="2" applyNumberFormat="1" applyFont="1" applyBorder="1"/>
    <xf numFmtId="166" fontId="13" fillId="0" borderId="7" xfId="3" applyNumberFormat="1" applyFont="1" applyBorder="1"/>
    <xf numFmtId="168" fontId="13" fillId="0" borderId="7" xfId="2" applyNumberFormat="1" applyFont="1" applyBorder="1"/>
    <xf numFmtId="168" fontId="13" fillId="0" borderId="24" xfId="2" applyNumberFormat="1" applyFont="1" applyBorder="1"/>
    <xf numFmtId="170" fontId="13" fillId="0" borderId="0" xfId="2" applyNumberFormat="1" applyFont="1" applyFill="1" applyProtection="1"/>
    <xf numFmtId="0" fontId="24" fillId="0" borderId="0" xfId="0" applyFont="1"/>
    <xf numFmtId="0" fontId="24" fillId="8" borderId="0" xfId="0" applyFont="1" applyFill="1"/>
    <xf numFmtId="0" fontId="24" fillId="0" borderId="0" xfId="0" applyFont="1" applyProtection="1"/>
    <xf numFmtId="0" fontId="24" fillId="8" borderId="0" xfId="0" applyFont="1" applyFill="1" applyProtection="1"/>
    <xf numFmtId="10" fontId="24" fillId="2" borderId="0" xfId="3" applyNumberFormat="1" applyFont="1" applyFill="1" applyProtection="1"/>
    <xf numFmtId="170" fontId="5" fillId="0" borderId="0" xfId="2" applyNumberFormat="1" applyFont="1" applyProtection="1"/>
    <xf numFmtId="166" fontId="5" fillId="0" borderId="1" xfId="0" applyNumberFormat="1" applyFont="1" applyBorder="1" applyProtection="1"/>
    <xf numFmtId="10" fontId="5" fillId="0" borderId="1" xfId="0" applyNumberFormat="1" applyFont="1" applyBorder="1" applyProtection="1"/>
    <xf numFmtId="170" fontId="5" fillId="2" borderId="0" xfId="2" applyNumberFormat="1" applyFont="1" applyFill="1" applyProtection="1"/>
    <xf numFmtId="170" fontId="24" fillId="2" borderId="0" xfId="2" applyNumberFormat="1" applyFont="1" applyFill="1" applyProtection="1"/>
    <xf numFmtId="168" fontId="13" fillId="0" borderId="0" xfId="2" applyNumberFormat="1" applyFont="1" applyFill="1" applyProtection="1"/>
    <xf numFmtId="166" fontId="5" fillId="0" borderId="1" xfId="1" applyNumberFormat="1" applyFont="1" applyBorder="1" applyProtection="1"/>
    <xf numFmtId="0" fontId="24" fillId="8" borderId="7" xfId="0" applyFont="1" applyFill="1" applyBorder="1"/>
    <xf numFmtId="167" fontId="13" fillId="0" borderId="20" xfId="2" applyNumberFormat="1" applyFont="1" applyBorder="1"/>
    <xf numFmtId="167" fontId="5" fillId="0" borderId="0" xfId="2" applyNumberFormat="1" applyFont="1" applyBorder="1"/>
    <xf numFmtId="172" fontId="5" fillId="0" borderId="0" xfId="0" applyNumberFormat="1" applyFont="1" applyBorder="1"/>
    <xf numFmtId="170" fontId="13" fillId="0" borderId="0" xfId="2" applyNumberFormat="1" applyFont="1" applyFill="1"/>
    <xf numFmtId="166" fontId="13" fillId="0" borderId="1" xfId="1" applyNumberFormat="1" applyFont="1" applyBorder="1"/>
    <xf numFmtId="168" fontId="25" fillId="0" borderId="0" xfId="2" applyNumberFormat="1" applyFont="1"/>
    <xf numFmtId="10" fontId="24" fillId="2" borderId="0" xfId="3" applyNumberFormat="1" applyFont="1" applyFill="1"/>
    <xf numFmtId="167" fontId="13" fillId="0" borderId="70" xfId="2" applyNumberFormat="1" applyFont="1" applyBorder="1"/>
    <xf numFmtId="168" fontId="13" fillId="0" borderId="14" xfId="2" applyNumberFormat="1" applyFont="1" applyFill="1" applyBorder="1"/>
    <xf numFmtId="168" fontId="13" fillId="0" borderId="14" xfId="2" applyNumberFormat="1" applyFont="1" applyBorder="1"/>
    <xf numFmtId="167" fontId="13" fillId="0" borderId="47" xfId="0" applyNumberFormat="1" applyFont="1" applyBorder="1"/>
    <xf numFmtId="166" fontId="13" fillId="0" borderId="47" xfId="0" applyNumberFormat="1" applyFont="1" applyBorder="1"/>
    <xf numFmtId="166" fontId="13" fillId="4" borderId="53" xfId="0" applyNumberFormat="1" applyFont="1" applyFill="1" applyBorder="1"/>
    <xf numFmtId="166" fontId="13" fillId="0" borderId="50" xfId="1" applyNumberFormat="1" applyFont="1" applyBorder="1"/>
    <xf numFmtId="166" fontId="13" fillId="0" borderId="51" xfId="0" applyNumberFormat="1" applyFont="1" applyBorder="1"/>
    <xf numFmtId="166" fontId="13" fillId="0" borderId="52" xfId="0" applyNumberFormat="1" applyFont="1" applyBorder="1"/>
    <xf numFmtId="166" fontId="13" fillId="4" borderId="39" xfId="0" applyNumberFormat="1" applyFont="1" applyFill="1" applyBorder="1" applyAlignment="1">
      <alignment wrapText="1"/>
    </xf>
    <xf numFmtId="167" fontId="13" fillId="0" borderId="28" xfId="2" applyNumberFormat="1" applyFont="1" applyFill="1" applyBorder="1" applyAlignment="1">
      <alignment wrapText="1"/>
    </xf>
    <xf numFmtId="168" fontId="13" fillId="0" borderId="58" xfId="0" applyNumberFormat="1" applyFont="1" applyBorder="1" applyAlignment="1">
      <alignment wrapText="1"/>
    </xf>
    <xf numFmtId="166" fontId="13" fillId="0" borderId="40" xfId="0" applyNumberFormat="1" applyFont="1" applyFill="1" applyBorder="1"/>
    <xf numFmtId="168" fontId="13" fillId="0" borderId="65" xfId="2" applyNumberFormat="1" applyFont="1" applyFill="1" applyBorder="1"/>
    <xf numFmtId="168" fontId="13" fillId="6" borderId="0" xfId="2" applyNumberFormat="1" applyFont="1" applyFill="1"/>
    <xf numFmtId="168" fontId="13" fillId="6" borderId="1" xfId="2" applyNumberFormat="1" applyFont="1" applyFill="1" applyBorder="1"/>
    <xf numFmtId="168" fontId="25" fillId="0" borderId="66" xfId="2" applyNumberFormat="1" applyFont="1" applyFill="1" applyBorder="1"/>
    <xf numFmtId="168" fontId="13" fillId="0" borderId="0" xfId="2" applyNumberFormat="1" applyFont="1" applyFill="1" applyBorder="1"/>
    <xf numFmtId="168" fontId="25" fillId="6" borderId="1" xfId="2" applyNumberFormat="1" applyFont="1" applyFill="1" applyBorder="1"/>
    <xf numFmtId="169" fontId="13" fillId="0" borderId="0" xfId="0" applyNumberFormat="1" applyFont="1" applyFill="1" applyBorder="1"/>
    <xf numFmtId="169" fontId="13" fillId="0" borderId="65" xfId="0" applyNumberFormat="1" applyFont="1" applyFill="1" applyBorder="1"/>
    <xf numFmtId="168" fontId="13" fillId="0" borderId="66" xfId="2" applyNumberFormat="1" applyFont="1" applyFill="1" applyBorder="1"/>
    <xf numFmtId="0" fontId="13" fillId="0" borderId="65" xfId="0" applyFont="1" applyFill="1" applyBorder="1"/>
    <xf numFmtId="0" fontId="13" fillId="0" borderId="0" xfId="0" applyFont="1" applyFill="1" applyBorder="1"/>
    <xf numFmtId="168" fontId="13" fillId="6" borderId="0" xfId="0" applyNumberFormat="1" applyFont="1" applyFill="1"/>
    <xf numFmtId="168" fontId="13" fillId="7" borderId="0" xfId="0" applyNumberFormat="1" applyFont="1" applyFill="1" applyBorder="1"/>
    <xf numFmtId="168" fontId="13" fillId="7" borderId="65" xfId="0" applyNumberFormat="1" applyFont="1" applyFill="1" applyBorder="1"/>
    <xf numFmtId="168" fontId="25" fillId="7" borderId="1" xfId="2" applyNumberFormat="1" applyFont="1" applyFill="1" applyBorder="1"/>
    <xf numFmtId="168" fontId="13" fillId="0" borderId="0" xfId="0" applyNumberFormat="1" applyFont="1"/>
    <xf numFmtId="168" fontId="13" fillId="0" borderId="11" xfId="2" applyNumberFormat="1" applyFont="1" applyBorder="1"/>
    <xf numFmtId="168" fontId="13" fillId="0" borderId="29" xfId="2" applyNumberFormat="1" applyFont="1" applyBorder="1"/>
    <xf numFmtId="168" fontId="26" fillId="0" borderId="0" xfId="2" applyNumberFormat="1" applyFont="1"/>
    <xf numFmtId="168" fontId="26" fillId="0" borderId="11" xfId="2" applyNumberFormat="1" applyFont="1" applyBorder="1"/>
    <xf numFmtId="168" fontId="13" fillId="0" borderId="10" xfId="2" applyNumberFormat="1" applyFont="1" applyBorder="1"/>
    <xf numFmtId="168" fontId="25" fillId="0" borderId="11" xfId="2" applyNumberFormat="1" applyFont="1" applyBorder="1"/>
    <xf numFmtId="167" fontId="5" fillId="0" borderId="0" xfId="2" applyNumberFormat="1" applyFont="1" applyFill="1" applyProtection="1"/>
    <xf numFmtId="167" fontId="5" fillId="0" borderId="0" xfId="2" applyNumberFormat="1" applyFont="1" applyProtection="1"/>
    <xf numFmtId="168" fontId="13" fillId="0" borderId="24" xfId="0" applyNumberFormat="1" applyFont="1" applyBorder="1" applyProtection="1"/>
    <xf numFmtId="166" fontId="5" fillId="0" borderId="1" xfId="0" applyNumberFormat="1" applyFont="1" applyBorder="1"/>
    <xf numFmtId="166" fontId="5" fillId="0" borderId="24" xfId="0" applyNumberFormat="1" applyFont="1" applyBorder="1"/>
    <xf numFmtId="168" fontId="5" fillId="0" borderId="24" xfId="2" applyNumberFormat="1" applyFont="1" applyBorder="1"/>
    <xf numFmtId="168" fontId="5" fillId="0" borderId="1" xfId="2" applyNumberFormat="1" applyFont="1" applyFill="1" applyBorder="1"/>
    <xf numFmtId="168" fontId="5" fillId="0" borderId="1" xfId="2" applyNumberFormat="1" applyFont="1" applyBorder="1"/>
    <xf numFmtId="168" fontId="5" fillId="0" borderId="65" xfId="2" applyNumberFormat="1" applyFont="1" applyFill="1" applyBorder="1"/>
    <xf numFmtId="168" fontId="5" fillId="6" borderId="0" xfId="2" applyNumberFormat="1" applyFont="1" applyFill="1"/>
    <xf numFmtId="168" fontId="5" fillId="0" borderId="0" xfId="2" applyNumberFormat="1" applyFont="1" applyFill="1" applyBorder="1"/>
    <xf numFmtId="0" fontId="3" fillId="0" borderId="0" xfId="0" applyFont="1" applyFill="1" applyProtection="1"/>
    <xf numFmtId="0" fontId="3" fillId="0" borderId="0" xfId="0" applyFont="1" applyFill="1"/>
    <xf numFmtId="0" fontId="2" fillId="0" borderId="0" xfId="0" applyFont="1" applyFill="1" applyBorder="1"/>
    <xf numFmtId="173" fontId="0" fillId="0" borderId="0" xfId="0" applyNumberFormat="1" applyFill="1" applyBorder="1"/>
    <xf numFmtId="0" fontId="2" fillId="0" borderId="14" xfId="0" applyFont="1" applyFill="1" applyBorder="1" applyAlignment="1">
      <alignment horizontal="center" wrapText="1"/>
    </xf>
    <xf numFmtId="0" fontId="28" fillId="0" borderId="62" xfId="0" applyFont="1" applyFill="1" applyBorder="1"/>
    <xf numFmtId="0" fontId="29" fillId="6" borderId="0" xfId="0" applyFont="1" applyFill="1"/>
    <xf numFmtId="0" fontId="29" fillId="0" borderId="0" xfId="0" applyFont="1"/>
    <xf numFmtId="0" fontId="2" fillId="0" borderId="0" xfId="0" applyFont="1" applyAlignment="1">
      <alignment horizontal="center" wrapText="1"/>
    </xf>
    <xf numFmtId="0" fontId="24" fillId="0" borderId="0" xfId="0" applyFont="1" applyAlignment="1">
      <alignment horizontal="center"/>
    </xf>
    <xf numFmtId="0" fontId="31" fillId="0" borderId="0" xfId="0" applyFont="1"/>
    <xf numFmtId="0" fontId="32" fillId="0" borderId="0" xfId="0" applyFont="1"/>
    <xf numFmtId="0" fontId="31" fillId="0" borderId="61" xfId="0" quotePrefix="1" applyFont="1" applyFill="1" applyBorder="1"/>
    <xf numFmtId="0" fontId="31" fillId="6" borderId="0" xfId="0" quotePrefix="1" applyFont="1" applyFill="1"/>
    <xf numFmtId="0" fontId="31" fillId="0" borderId="61" xfId="0" quotePrefix="1" applyFont="1" applyFill="1" applyBorder="1" applyAlignment="1">
      <alignment vertical="top"/>
    </xf>
    <xf numFmtId="168" fontId="25" fillId="7" borderId="66" xfId="0" applyNumberFormat="1" applyFont="1" applyFill="1" applyBorder="1"/>
    <xf numFmtId="0" fontId="0" fillId="0" borderId="64" xfId="0" applyBorder="1"/>
    <xf numFmtId="0" fontId="37" fillId="0" borderId="71" xfId="0" applyFont="1" applyBorder="1" applyAlignment="1">
      <alignment horizontal="center" vertical="top"/>
    </xf>
    <xf numFmtId="0" fontId="37" fillId="0" borderId="73" xfId="0" applyFont="1" applyBorder="1" applyAlignment="1">
      <alignment horizontal="center" vertical="top"/>
    </xf>
    <xf numFmtId="0" fontId="37" fillId="0" borderId="75" xfId="0" applyFont="1" applyBorder="1" applyAlignment="1">
      <alignment horizontal="center" vertical="top"/>
    </xf>
    <xf numFmtId="0" fontId="37" fillId="0" borderId="75" xfId="4" applyFont="1" applyBorder="1" applyAlignment="1">
      <alignment horizontal="left" vertical="top" wrapText="1"/>
    </xf>
    <xf numFmtId="0" fontId="37" fillId="0" borderId="73" xfId="4" applyFont="1" applyBorder="1" applyAlignment="1">
      <alignment horizontal="left" vertical="top" wrapText="1"/>
    </xf>
    <xf numFmtId="0" fontId="37" fillId="0" borderId="71" xfId="4" applyFont="1" applyBorder="1" applyAlignment="1">
      <alignment horizontal="left" vertical="top" wrapText="1"/>
    </xf>
    <xf numFmtId="0" fontId="39" fillId="0" borderId="72" xfId="0" applyFont="1" applyBorder="1" applyAlignment="1">
      <alignment horizontal="left" vertical="top" indent="1"/>
    </xf>
    <xf numFmtId="0" fontId="40" fillId="0" borderId="72" xfId="0" applyFont="1" applyBorder="1" applyAlignment="1">
      <alignment horizontal="left" vertical="top" indent="1"/>
    </xf>
    <xf numFmtId="0" fontId="41" fillId="0" borderId="72" xfId="0" applyFont="1" applyBorder="1" applyAlignment="1">
      <alignment horizontal="left" vertical="top" indent="1"/>
    </xf>
    <xf numFmtId="0" fontId="42" fillId="0" borderId="74" xfId="0" applyFont="1" applyBorder="1" applyAlignment="1">
      <alignment horizontal="left" vertical="top" indent="1"/>
    </xf>
    <xf numFmtId="0" fontId="3" fillId="9" borderId="46" xfId="0" applyFont="1" applyFill="1" applyBorder="1" applyAlignment="1">
      <alignment horizontal="center"/>
    </xf>
    <xf numFmtId="0" fontId="3" fillId="9" borderId="38" xfId="0" applyFont="1" applyFill="1" applyBorder="1" applyAlignment="1">
      <alignment horizontal="center"/>
    </xf>
    <xf numFmtId="0" fontId="0" fillId="0" borderId="0" xfId="0" applyAlignment="1" applyProtection="1">
      <alignment horizontal="left" wrapText="1"/>
    </xf>
    <xf numFmtId="0" fontId="0" fillId="0" borderId="0" xfId="0" applyAlignment="1" applyProtection="1">
      <alignment horizontal="left" vertical="center" wrapText="1"/>
    </xf>
    <xf numFmtId="0" fontId="5" fillId="0" borderId="0" xfId="0" applyFont="1" applyAlignment="1" applyProtection="1">
      <alignment horizontal="left" vertical="top" wrapText="1"/>
    </xf>
    <xf numFmtId="0" fontId="0" fillId="0" borderId="0" xfId="0" applyAlignment="1" applyProtection="1">
      <alignment horizontal="left" vertical="top" wrapText="1"/>
    </xf>
    <xf numFmtId="0" fontId="2" fillId="0" borderId="0" xfId="0" applyFont="1" applyBorder="1" applyAlignment="1">
      <alignment horizontal="center"/>
    </xf>
    <xf numFmtId="0" fontId="0" fillId="0" borderId="0" xfId="0" applyBorder="1" applyAlignment="1">
      <alignment horizontal="center"/>
    </xf>
    <xf numFmtId="0" fontId="0" fillId="0" borderId="0" xfId="0" applyAlignment="1">
      <alignment horizontal="left" vertical="top" wrapText="1"/>
    </xf>
    <xf numFmtId="0" fontId="0" fillId="0" borderId="0" xfId="0" applyAlignment="1">
      <alignment horizontal="left" wrapText="1"/>
    </xf>
    <xf numFmtId="0" fontId="2" fillId="0" borderId="0" xfId="0" applyFont="1" applyAlignment="1">
      <alignment horizontal="center"/>
    </xf>
    <xf numFmtId="0" fontId="0" fillId="0" borderId="0" xfId="0" applyAlignment="1">
      <alignment horizontal="center"/>
    </xf>
    <xf numFmtId="0" fontId="11" fillId="3" borderId="46" xfId="0" applyFont="1" applyFill="1" applyBorder="1" applyAlignment="1">
      <alignment horizontal="center"/>
    </xf>
    <xf numFmtId="0" fontId="11" fillId="3" borderId="13" xfId="0" applyFont="1" applyFill="1" applyBorder="1" applyAlignment="1">
      <alignment horizontal="center"/>
    </xf>
    <xf numFmtId="0" fontId="11" fillId="3" borderId="38" xfId="0" applyFont="1" applyFill="1" applyBorder="1" applyAlignment="1">
      <alignment horizontal="center"/>
    </xf>
    <xf numFmtId="0" fontId="0" fillId="0" borderId="3" xfId="0" applyBorder="1" applyAlignment="1">
      <alignment horizontal="center"/>
    </xf>
    <xf numFmtId="0" fontId="0" fillId="0" borderId="30" xfId="0" applyBorder="1" applyAlignment="1">
      <alignment horizontal="center"/>
    </xf>
    <xf numFmtId="0" fontId="0" fillId="0" borderId="5" xfId="0" applyBorder="1" applyAlignment="1">
      <alignment horizontal="center"/>
    </xf>
    <xf numFmtId="0" fontId="0" fillId="0" borderId="18"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44" fontId="0" fillId="0" borderId="8" xfId="0" applyNumberFormat="1" applyBorder="1" applyAlignment="1">
      <alignment horizontal="left"/>
    </xf>
    <xf numFmtId="44" fontId="0" fillId="0" borderId="17" xfId="0" applyNumberFormat="1" applyBorder="1" applyAlignment="1">
      <alignment horizontal="left"/>
    </xf>
    <xf numFmtId="0" fontId="0" fillId="0" borderId="16" xfId="0" applyBorder="1" applyAlignment="1">
      <alignment horizontal="left"/>
    </xf>
    <xf numFmtId="0" fontId="0" fillId="0" borderId="8" xfId="0" applyBorder="1" applyAlignment="1">
      <alignment horizontal="left"/>
    </xf>
    <xf numFmtId="0" fontId="0" fillId="0" borderId="17" xfId="0" applyBorder="1" applyAlignment="1">
      <alignment horizontal="left"/>
    </xf>
    <xf numFmtId="44" fontId="0" fillId="0" borderId="3" xfId="0" applyNumberFormat="1" applyBorder="1" applyAlignment="1">
      <alignment horizontal="center" wrapText="1"/>
    </xf>
    <xf numFmtId="44" fontId="0" fillId="0" borderId="4" xfId="0" applyNumberFormat="1" applyBorder="1" applyAlignment="1">
      <alignment horizontal="center" wrapText="1"/>
    </xf>
    <xf numFmtId="44" fontId="0" fillId="0" borderId="30" xfId="0" applyNumberFormat="1" applyBorder="1" applyAlignment="1">
      <alignment horizontal="center" wrapText="1"/>
    </xf>
    <xf numFmtId="0" fontId="0" fillId="0" borderId="16" xfId="0" applyBorder="1" applyAlignment="1">
      <alignment horizontal="center"/>
    </xf>
    <xf numFmtId="0" fontId="0" fillId="0" borderId="8" xfId="0" applyBorder="1" applyAlignment="1">
      <alignment horizontal="center"/>
    </xf>
    <xf numFmtId="0" fontId="0" fillId="0" borderId="17" xfId="0" applyBorder="1" applyAlignment="1">
      <alignment horizontal="center"/>
    </xf>
    <xf numFmtId="0" fontId="2" fillId="0" borderId="5" xfId="0" applyFont="1" applyBorder="1" applyAlignment="1">
      <alignment horizontal="center" wrapText="1"/>
    </xf>
    <xf numFmtId="0" fontId="2" fillId="0" borderId="0" xfId="0" applyFont="1" applyAlignment="1">
      <alignment horizontal="center" wrapText="1"/>
    </xf>
    <xf numFmtId="168" fontId="0" fillId="0" borderId="5" xfId="0" applyNumberFormat="1" applyBorder="1" applyAlignment="1">
      <alignment horizontal="center" wrapText="1"/>
    </xf>
    <xf numFmtId="168" fontId="0" fillId="0" borderId="0" xfId="0" applyNumberFormat="1" applyBorder="1" applyAlignment="1">
      <alignment horizontal="center" wrapText="1"/>
    </xf>
    <xf numFmtId="168" fontId="0" fillId="0" borderId="18" xfId="0" applyNumberFormat="1" applyBorder="1" applyAlignment="1">
      <alignment horizontal="center" wrapText="1"/>
    </xf>
    <xf numFmtId="0" fontId="11" fillId="5" borderId="35" xfId="0" applyFont="1" applyFill="1" applyBorder="1" applyAlignment="1">
      <alignment horizontal="center"/>
    </xf>
    <xf numFmtId="0" fontId="11" fillId="5" borderId="13" xfId="0" applyFont="1" applyFill="1" applyBorder="1" applyAlignment="1">
      <alignment horizontal="center"/>
    </xf>
    <xf numFmtId="0" fontId="11" fillId="5" borderId="38" xfId="0" applyFont="1" applyFill="1" applyBorder="1" applyAlignment="1">
      <alignment horizontal="center"/>
    </xf>
    <xf numFmtId="44" fontId="0" fillId="0" borderId="7" xfId="0" applyNumberFormat="1" applyBorder="1" applyAlignment="1">
      <alignment horizontal="left"/>
    </xf>
    <xf numFmtId="44" fontId="0" fillId="0" borderId="19" xfId="0" applyNumberFormat="1" applyBorder="1" applyAlignment="1">
      <alignment horizontal="left"/>
    </xf>
    <xf numFmtId="0" fontId="20" fillId="0" borderId="0" xfId="0" applyFont="1" applyAlignment="1">
      <alignment horizontal="center"/>
    </xf>
    <xf numFmtId="0" fontId="11" fillId="3" borderId="35" xfId="0" applyFont="1" applyFill="1" applyBorder="1" applyAlignment="1">
      <alignment horizontal="center"/>
    </xf>
    <xf numFmtId="0" fontId="11" fillId="3" borderId="3" xfId="0" applyFont="1" applyFill="1" applyBorder="1" applyAlignment="1">
      <alignment horizontal="center"/>
    </xf>
    <xf numFmtId="0" fontId="11" fillId="3" borderId="30" xfId="0" applyFont="1" applyFill="1" applyBorder="1" applyAlignment="1">
      <alignment horizontal="center"/>
    </xf>
    <xf numFmtId="0" fontId="2" fillId="0" borderId="35" xfId="0" applyFont="1" applyBorder="1" applyAlignment="1">
      <alignment horizontal="center" wrapText="1"/>
    </xf>
    <xf numFmtId="0" fontId="2" fillId="0" borderId="37" xfId="0" applyFont="1" applyBorder="1" applyAlignment="1">
      <alignment horizontal="center" wrapText="1"/>
    </xf>
    <xf numFmtId="0" fontId="2" fillId="0" borderId="13" xfId="0" applyFont="1" applyBorder="1" applyAlignment="1">
      <alignment horizontal="center" wrapText="1"/>
    </xf>
    <xf numFmtId="0" fontId="11" fillId="3" borderId="16" xfId="0" applyFont="1" applyFill="1" applyBorder="1" applyAlignment="1">
      <alignment horizontal="center"/>
    </xf>
    <xf numFmtId="0" fontId="11" fillId="3" borderId="17" xfId="0" applyFont="1" applyFill="1" applyBorder="1" applyAlignment="1">
      <alignment horizontal="center"/>
    </xf>
    <xf numFmtId="0" fontId="11" fillId="3" borderId="16" xfId="0" applyFont="1" applyFill="1" applyBorder="1" applyAlignment="1">
      <alignment horizontal="center" wrapText="1"/>
    </xf>
    <xf numFmtId="0" fontId="11" fillId="3" borderId="17" xfId="0" applyFont="1" applyFill="1" applyBorder="1" applyAlignment="1">
      <alignment horizontal="center" wrapText="1"/>
    </xf>
    <xf numFmtId="0" fontId="2" fillId="3" borderId="23" xfId="0" applyFont="1" applyFill="1" applyBorder="1" applyAlignment="1">
      <alignment horizontal="center"/>
    </xf>
    <xf numFmtId="0" fontId="2" fillId="3" borderId="20" xfId="0" applyFont="1" applyFill="1" applyBorder="1" applyAlignment="1">
      <alignment horizontal="center"/>
    </xf>
    <xf numFmtId="0" fontId="2" fillId="3" borderId="21" xfId="0" applyFont="1" applyFill="1" applyBorder="1" applyAlignment="1">
      <alignment horizontal="center"/>
    </xf>
    <xf numFmtId="0" fontId="2" fillId="0" borderId="46" xfId="0" applyFont="1" applyBorder="1" applyAlignment="1">
      <alignment horizontal="center"/>
    </xf>
    <xf numFmtId="0" fontId="2" fillId="0" borderId="13" xfId="0" applyFont="1" applyBorder="1" applyAlignment="1">
      <alignment horizontal="center"/>
    </xf>
    <xf numFmtId="0" fontId="2" fillId="0" borderId="37" xfId="0" applyFont="1" applyBorder="1" applyAlignment="1">
      <alignment horizontal="center"/>
    </xf>
    <xf numFmtId="0" fontId="0" fillId="0" borderId="67" xfId="0" applyFill="1" applyBorder="1" applyAlignment="1">
      <alignment horizontal="left" wrapText="1"/>
    </xf>
    <xf numFmtId="0" fontId="0" fillId="0" borderId="68" xfId="0" applyFill="1" applyBorder="1" applyAlignment="1">
      <alignment horizontal="left" wrapText="1"/>
    </xf>
    <xf numFmtId="0" fontId="0" fillId="0" borderId="69" xfId="0" applyFill="1" applyBorder="1" applyAlignment="1">
      <alignment horizontal="left" wrapText="1"/>
    </xf>
    <xf numFmtId="0" fontId="5" fillId="6" borderId="0" xfId="0" applyFont="1" applyFill="1" applyAlignment="1">
      <alignment horizontal="left" wrapText="1"/>
    </xf>
    <xf numFmtId="0" fontId="0" fillId="0" borderId="64" xfId="0" applyFill="1" applyBorder="1" applyAlignment="1">
      <alignment horizontal="left" wrapText="1"/>
    </xf>
    <xf numFmtId="0" fontId="0" fillId="0" borderId="0" xfId="0" applyFill="1" applyBorder="1" applyAlignment="1">
      <alignment horizontal="left" wrapText="1"/>
    </xf>
    <xf numFmtId="0" fontId="0" fillId="6" borderId="0" xfId="0" applyFill="1" applyAlignment="1">
      <alignment horizontal="left" wrapText="1"/>
    </xf>
    <xf numFmtId="0" fontId="2" fillId="0" borderId="0" xfId="0" applyFont="1" applyFill="1" applyAlignment="1">
      <alignment horizontal="left" wrapText="1"/>
    </xf>
    <xf numFmtId="0" fontId="5" fillId="0" borderId="67" xfId="0" applyFont="1" applyFill="1" applyBorder="1" applyAlignment="1">
      <alignment horizontal="left" wrapText="1"/>
    </xf>
    <xf numFmtId="0" fontId="5" fillId="0" borderId="68" xfId="0" applyFont="1" applyFill="1" applyBorder="1" applyAlignment="1">
      <alignment horizontal="left" wrapText="1"/>
    </xf>
    <xf numFmtId="0" fontId="5" fillId="0" borderId="69" xfId="0" applyFont="1" applyFill="1" applyBorder="1" applyAlignment="1">
      <alignment horizontal="left" wrapText="1"/>
    </xf>
    <xf numFmtId="0" fontId="5" fillId="7" borderId="67" xfId="0" applyFont="1" applyFill="1" applyBorder="1" applyAlignment="1">
      <alignment horizontal="left" wrapText="1"/>
    </xf>
    <xf numFmtId="0" fontId="5" fillId="7" borderId="68" xfId="0" applyFont="1" applyFill="1" applyBorder="1" applyAlignment="1">
      <alignment horizontal="left" wrapText="1"/>
    </xf>
    <xf numFmtId="0" fontId="5" fillId="7" borderId="69" xfId="0" applyFont="1" applyFill="1" applyBorder="1" applyAlignment="1">
      <alignment horizontal="left" wrapText="1"/>
    </xf>
    <xf numFmtId="0" fontId="0" fillId="0" borderId="65" xfId="0" applyFill="1" applyBorder="1" applyAlignment="1">
      <alignment horizontal="left" wrapText="1"/>
    </xf>
    <xf numFmtId="0" fontId="2" fillId="0" borderId="12" xfId="0" applyFont="1" applyBorder="1" applyAlignment="1">
      <alignment horizontal="center"/>
    </xf>
    <xf numFmtId="0" fontId="2" fillId="0" borderId="0" xfId="0" applyFont="1" applyAlignment="1">
      <alignment horizontal="right"/>
    </xf>
    <xf numFmtId="49" fontId="5" fillId="0" borderId="0" xfId="2" applyNumberFormat="1" applyFont="1" applyAlignment="1">
      <alignment horizontal="left" vertical="center" wrapText="1"/>
    </xf>
    <xf numFmtId="49" fontId="0" fillId="0" borderId="0" xfId="2" applyNumberFormat="1" applyFont="1" applyAlignment="1">
      <alignment horizontal="left" vertical="center" wrapText="1"/>
    </xf>
  </cellXfs>
  <cellStyles count="5">
    <cellStyle name="Comma" xfId="1" builtinId="3"/>
    <cellStyle name="Currency" xfId="2" builtinId="4"/>
    <cellStyle name="Normal" xfId="0" builtinId="0"/>
    <cellStyle name="Normal 3 3" xfId="4" xr:uid="{1D7E172F-65D5-49DF-8408-0DE20742EDE5}"/>
    <cellStyle name="Percent" xfId="3" builtinId="5"/>
  </cellStyles>
  <dxfs count="0"/>
  <tableStyles count="0" defaultTableStyle="TableStyleMedium2" defaultPivotStyle="PivotStyleLight16"/>
  <colors>
    <mruColors>
      <color rgb="FFFF66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A4ED0-9883-4F9D-B677-11B60A9B6E9E}">
  <dimension ref="B1:C11"/>
  <sheetViews>
    <sheetView tabSelected="1" workbookViewId="0">
      <selection activeCell="C12" sqref="C12"/>
    </sheetView>
  </sheetViews>
  <sheetFormatPr defaultRowHeight="15" x14ac:dyDescent="0.25"/>
  <cols>
    <col min="1" max="1" width="2.42578125" customWidth="1"/>
    <col min="2" max="2" width="7.28515625" customWidth="1"/>
    <col min="3" max="3" width="145.28515625" customWidth="1"/>
  </cols>
  <sheetData>
    <row r="1" spans="2:3" ht="15.75" thickBot="1" x14ac:dyDescent="0.3"/>
    <row r="2" spans="2:3" ht="19.5" thickBot="1" x14ac:dyDescent="0.35">
      <c r="B2" s="536" t="s">
        <v>382</v>
      </c>
      <c r="C2" s="537"/>
    </row>
    <row r="3" spans="2:3" ht="15.75" x14ac:dyDescent="0.25">
      <c r="B3" s="526">
        <v>1</v>
      </c>
      <c r="C3" s="531" t="s">
        <v>381</v>
      </c>
    </row>
    <row r="4" spans="2:3" ht="15.75" x14ac:dyDescent="0.25">
      <c r="B4" s="526"/>
      <c r="C4" s="532" t="s">
        <v>373</v>
      </c>
    </row>
    <row r="5" spans="2:3" ht="15.75" x14ac:dyDescent="0.25">
      <c r="B5" s="526"/>
      <c r="C5" s="533" t="s">
        <v>374</v>
      </c>
    </row>
    <row r="6" spans="2:3" ht="15.75" x14ac:dyDescent="0.25">
      <c r="B6" s="526"/>
      <c r="C6" s="534" t="s">
        <v>375</v>
      </c>
    </row>
    <row r="7" spans="2:3" ht="16.5" thickBot="1" x14ac:dyDescent="0.3">
      <c r="B7" s="527"/>
      <c r="C7" s="535" t="s">
        <v>376</v>
      </c>
    </row>
    <row r="8" spans="2:3" ht="38.450000000000003" customHeight="1" thickBot="1" x14ac:dyDescent="0.3">
      <c r="B8" s="528">
        <v>2</v>
      </c>
      <c r="C8" s="529" t="s">
        <v>380</v>
      </c>
    </row>
    <row r="9" spans="2:3" ht="52.5" customHeight="1" thickBot="1" x14ac:dyDescent="0.3">
      <c r="B9" s="527">
        <v>3</v>
      </c>
      <c r="C9" s="530" t="s">
        <v>377</v>
      </c>
    </row>
    <row r="10" spans="2:3" ht="52.5" customHeight="1" thickBot="1" x14ac:dyDescent="0.3">
      <c r="B10" s="527">
        <v>4</v>
      </c>
      <c r="C10" s="530" t="s">
        <v>378</v>
      </c>
    </row>
    <row r="11" spans="2:3" ht="41.65" customHeight="1" thickBot="1" x14ac:dyDescent="0.3">
      <c r="B11" s="528">
        <v>5</v>
      </c>
      <c r="C11" s="530" t="s">
        <v>379</v>
      </c>
    </row>
  </sheetData>
  <mergeCells count="1">
    <mergeCell ref="B2:C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U80"/>
  <sheetViews>
    <sheetView topLeftCell="A54" zoomScaleNormal="100" workbookViewId="0">
      <selection activeCell="J66" sqref="J66"/>
    </sheetView>
  </sheetViews>
  <sheetFormatPr defaultRowHeight="15" x14ac:dyDescent="0.25"/>
  <cols>
    <col min="1" max="1" width="19.85546875" customWidth="1"/>
    <col min="2" max="2" width="9.28515625" style="195"/>
    <col min="3" max="3" width="5" customWidth="1"/>
    <col min="4" max="4" width="17.28515625" style="4" customWidth="1"/>
    <col min="5" max="5" width="3" customWidth="1"/>
    <col min="6" max="6" width="13.7109375" style="4" customWidth="1"/>
    <col min="7" max="7" width="13.42578125" customWidth="1"/>
    <col min="8" max="8" width="6" style="195" customWidth="1"/>
    <col min="9" max="9" width="6.5703125" customWidth="1"/>
    <col min="10" max="10" width="16.5703125" customWidth="1"/>
    <col min="11" max="11" width="9.28515625" style="195"/>
    <col min="12" max="12" width="2.7109375" customWidth="1"/>
    <col min="13" max="13" width="14.5703125" style="4" customWidth="1"/>
    <col min="14" max="14" width="3" customWidth="1"/>
    <col min="15" max="15" width="14.7109375" style="4" customWidth="1"/>
    <col min="16" max="16" width="13.7109375" customWidth="1"/>
    <col min="17" max="17" width="9.5703125" style="195" customWidth="1"/>
    <col min="19" max="19" width="13.42578125" bestFit="1" customWidth="1"/>
  </cols>
  <sheetData>
    <row r="2" spans="1:17" x14ac:dyDescent="0.25">
      <c r="G2" s="5"/>
    </row>
    <row r="3" spans="1:17" s="11" customFormat="1" x14ac:dyDescent="0.25">
      <c r="B3" s="194"/>
      <c r="C3" s="546" t="s">
        <v>58</v>
      </c>
      <c r="D3" s="546"/>
      <c r="E3" s="546"/>
      <c r="F3" s="546"/>
      <c r="H3" s="194"/>
      <c r="K3" s="194"/>
      <c r="L3" s="546" t="s">
        <v>176</v>
      </c>
      <c r="M3" s="546"/>
      <c r="N3" s="546"/>
      <c r="O3" s="546"/>
      <c r="Q3" s="194"/>
    </row>
    <row r="4" spans="1:17" s="11" customFormat="1" ht="15.75" thickBot="1" x14ac:dyDescent="0.3">
      <c r="A4" s="11" t="s">
        <v>59</v>
      </c>
      <c r="B4" s="194" t="s">
        <v>175</v>
      </c>
      <c r="C4" s="610" t="s">
        <v>93</v>
      </c>
      <c r="D4" s="610"/>
      <c r="E4" s="610" t="s">
        <v>94</v>
      </c>
      <c r="F4" s="610"/>
      <c r="G4" s="150" t="s">
        <v>60</v>
      </c>
      <c r="H4" s="196" t="s">
        <v>181</v>
      </c>
      <c r="J4" s="11" t="s">
        <v>59</v>
      </c>
      <c r="K4" s="194" t="s">
        <v>175</v>
      </c>
      <c r="L4" s="610" t="s">
        <v>93</v>
      </c>
      <c r="M4" s="610"/>
      <c r="N4" s="610" t="s">
        <v>94</v>
      </c>
      <c r="O4" s="610"/>
      <c r="P4" s="150" t="s">
        <v>60</v>
      </c>
      <c r="Q4" s="196" t="s">
        <v>181</v>
      </c>
    </row>
    <row r="5" spans="1:17" ht="15.75" thickTop="1" x14ac:dyDescent="0.25">
      <c r="A5" s="519" t="str">
        <f>+JEs!B2</f>
        <v>December 31, 2023</v>
      </c>
      <c r="B5" s="195">
        <v>1</v>
      </c>
      <c r="C5" s="149"/>
      <c r="D5" s="151">
        <f>JEs!D5</f>
        <v>5200000</v>
      </c>
      <c r="E5" s="149"/>
      <c r="F5" s="153"/>
      <c r="J5" s="519" t="str">
        <f>+JEs!B2</f>
        <v>December 31, 2023</v>
      </c>
      <c r="K5" s="195">
        <v>1</v>
      </c>
      <c r="L5" s="149"/>
      <c r="M5" s="151">
        <f>JEs!D8</f>
        <v>1850000</v>
      </c>
      <c r="N5" s="149"/>
      <c r="O5" s="153"/>
    </row>
    <row r="6" spans="1:17" x14ac:dyDescent="0.25">
      <c r="A6" s="519" t="str">
        <f>+A5</f>
        <v>December 31, 2023</v>
      </c>
      <c r="B6" s="195">
        <v>1</v>
      </c>
      <c r="C6" s="8"/>
      <c r="D6" s="152">
        <f>JEs!D6</f>
        <v>15434562.8717077</v>
      </c>
      <c r="E6" s="8"/>
      <c r="F6" s="28"/>
      <c r="J6" s="519" t="str">
        <f>+J5</f>
        <v>December 31, 2023</v>
      </c>
      <c r="K6" s="195">
        <v>1</v>
      </c>
      <c r="M6" s="152">
        <f>JEs!D9</f>
        <v>21642500</v>
      </c>
    </row>
    <row r="7" spans="1:17" x14ac:dyDescent="0.25">
      <c r="A7" s="519" t="str">
        <f t="shared" ref="A7:A9" si="0">+A6</f>
        <v>December 31, 2023</v>
      </c>
      <c r="B7" s="195">
        <v>1</v>
      </c>
      <c r="D7" s="152">
        <f>JEs!D7</f>
        <v>17707500</v>
      </c>
      <c r="J7" s="519" t="s">
        <v>352</v>
      </c>
      <c r="M7" s="152">
        <f>SUM(M5:M6)</f>
        <v>23492500</v>
      </c>
      <c r="P7" s="5">
        <f>M7-O7</f>
        <v>23492500</v>
      </c>
      <c r="Q7" s="173"/>
    </row>
    <row r="8" spans="1:17" x14ac:dyDescent="0.25">
      <c r="A8" s="519" t="str">
        <f t="shared" si="0"/>
        <v>December 31, 2023</v>
      </c>
      <c r="B8" s="195">
        <v>1</v>
      </c>
      <c r="D8" s="152"/>
      <c r="F8" s="159">
        <f>-JEs!E10</f>
        <v>-4496000.0000000019</v>
      </c>
      <c r="J8" s="519"/>
      <c r="M8" s="152"/>
    </row>
    <row r="9" spans="1:17" x14ac:dyDescent="0.25">
      <c r="A9" s="519" t="str">
        <f t="shared" si="0"/>
        <v>December 31, 2023</v>
      </c>
      <c r="B9" s="161">
        <v>1</v>
      </c>
      <c r="C9" s="160"/>
      <c r="D9" s="162"/>
      <c r="E9" s="160"/>
      <c r="F9" s="163">
        <f>-JEs!E11</f>
        <v>-4965699.2353440998</v>
      </c>
      <c r="J9" s="519" t="str">
        <f>+JEs!B38</f>
        <v>January 1, 2024</v>
      </c>
      <c r="K9" s="195">
        <v>4</v>
      </c>
      <c r="M9" s="152"/>
      <c r="O9" s="4">
        <f>-JEs!E47</f>
        <v>-1850000</v>
      </c>
    </row>
    <row r="10" spans="1:17" x14ac:dyDescent="0.25">
      <c r="A10" s="519" t="s">
        <v>351</v>
      </c>
      <c r="D10" s="152">
        <f>SUM(D5:D9)</f>
        <v>38342062.8717077</v>
      </c>
      <c r="F10" s="159">
        <f>SUM(F5:F9)</f>
        <v>-9461699.2353441007</v>
      </c>
      <c r="G10" s="491">
        <f>D10+F10</f>
        <v>28880363.636363599</v>
      </c>
      <c r="H10" s="173"/>
      <c r="J10" s="519" t="str">
        <f>+J9</f>
        <v>January 1, 2024</v>
      </c>
      <c r="K10" s="195">
        <v>4</v>
      </c>
      <c r="M10" s="152"/>
      <c r="O10" s="4">
        <f>-JEs!E48</f>
        <v>-21642500</v>
      </c>
    </row>
    <row r="11" spans="1:17" x14ac:dyDescent="0.25">
      <c r="A11" s="516"/>
      <c r="B11" s="201"/>
      <c r="D11" s="152"/>
      <c r="G11" s="5"/>
      <c r="H11" s="173"/>
      <c r="J11" s="519" t="str">
        <f>+JEs!B66</f>
        <v>January 15, 2024</v>
      </c>
      <c r="K11" s="195">
        <v>6</v>
      </c>
      <c r="M11" s="152">
        <f>JEs!D71</f>
        <v>1980000</v>
      </c>
    </row>
    <row r="12" spans="1:17" x14ac:dyDescent="0.25">
      <c r="A12" s="519" t="s">
        <v>352</v>
      </c>
      <c r="B12" s="201"/>
      <c r="D12" s="152">
        <f>+D10+D11</f>
        <v>38342062.8717077</v>
      </c>
      <c r="F12" s="159">
        <f>+F10+F11</f>
        <v>-9461699.2353441007</v>
      </c>
      <c r="G12" s="491">
        <f>+D12+F12</f>
        <v>28880363.636363599</v>
      </c>
      <c r="H12" s="173"/>
      <c r="J12" s="519" t="str">
        <f>+J11</f>
        <v>January 15, 2024</v>
      </c>
      <c r="K12" s="195">
        <v>6</v>
      </c>
      <c r="M12" s="152">
        <f>JEs!D73</f>
        <v>24310976.25</v>
      </c>
    </row>
    <row r="13" spans="1:17" x14ac:dyDescent="0.25">
      <c r="A13" s="519"/>
      <c r="D13" s="152"/>
      <c r="G13" s="5"/>
      <c r="J13" s="519" t="s">
        <v>355</v>
      </c>
      <c r="M13" s="497">
        <f>SUM(M9:M12)</f>
        <v>26290976.25</v>
      </c>
      <c r="O13" s="4">
        <f>SUM(O9:O12)</f>
        <v>-23492500</v>
      </c>
      <c r="P13" s="5">
        <f>M13+O13</f>
        <v>2798476.25</v>
      </c>
    </row>
    <row r="14" spans="1:17" ht="15.75" customHeight="1" x14ac:dyDescent="0.25">
      <c r="A14" s="519" t="str">
        <f>+JEs!B38</f>
        <v>January 1, 2024</v>
      </c>
      <c r="B14" s="195">
        <v>4</v>
      </c>
      <c r="C14" s="157"/>
      <c r="D14" s="492">
        <f>JEs!D41</f>
        <v>4496000.0000000019</v>
      </c>
      <c r="E14" s="157"/>
      <c r="F14" s="159"/>
      <c r="G14" s="157"/>
      <c r="H14" s="158"/>
      <c r="J14" s="520" t="str">
        <f>+JEs!B113</f>
        <v>January 31, 2024</v>
      </c>
      <c r="K14" s="168">
        <v>10</v>
      </c>
      <c r="L14" s="167"/>
      <c r="M14" s="169"/>
      <c r="N14" s="167"/>
      <c r="O14" s="170">
        <f>-P13-P49</f>
        <v>-2668476.25</v>
      </c>
      <c r="P14" s="171"/>
      <c r="Q14" s="391" t="s">
        <v>95</v>
      </c>
    </row>
    <row r="15" spans="1:17" x14ac:dyDescent="0.25">
      <c r="A15" s="519" t="str">
        <f>+A14</f>
        <v>January 1, 2024</v>
      </c>
      <c r="B15" s="195">
        <v>4</v>
      </c>
      <c r="D15" s="152">
        <f>JEs!D42</f>
        <v>4965699.2353440998</v>
      </c>
      <c r="J15" s="519" t="s">
        <v>353</v>
      </c>
      <c r="M15" s="497">
        <f>SUM(M13:M14)</f>
        <v>26290976.25</v>
      </c>
      <c r="O15" s="4">
        <f>SUM(O13:O14)</f>
        <v>-26160976.25</v>
      </c>
      <c r="P15" s="5">
        <f>M15+O15</f>
        <v>130000</v>
      </c>
    </row>
    <row r="16" spans="1:17" x14ac:dyDescent="0.25">
      <c r="A16" s="519" t="str">
        <f t="shared" ref="A16:A18" si="1">+A15</f>
        <v>January 1, 2024</v>
      </c>
      <c r="B16" s="195">
        <v>4</v>
      </c>
      <c r="D16" s="152"/>
      <c r="F16" s="4">
        <f>-JEs!E44</f>
        <v>-5200000</v>
      </c>
      <c r="M16" s="152"/>
    </row>
    <row r="17" spans="1:19" x14ac:dyDescent="0.25">
      <c r="A17" s="519" t="str">
        <f t="shared" si="1"/>
        <v>January 1, 2024</v>
      </c>
      <c r="B17" s="195">
        <v>4</v>
      </c>
      <c r="D17" s="152"/>
      <c r="F17" s="4">
        <f>-JEs!E45</f>
        <v>-15434562.8717077</v>
      </c>
      <c r="J17" s="519" t="str">
        <f>+JEs!B155</f>
        <v>February 29, 2024</v>
      </c>
      <c r="K17" s="195">
        <v>14</v>
      </c>
      <c r="M17" s="152">
        <f>JEs!D158</f>
        <v>1010798.695137158</v>
      </c>
    </row>
    <row r="18" spans="1:19" x14ac:dyDescent="0.25">
      <c r="A18" s="519" t="str">
        <f t="shared" si="1"/>
        <v>January 1, 2024</v>
      </c>
      <c r="B18" s="195">
        <v>4</v>
      </c>
      <c r="D18" s="152"/>
      <c r="F18" s="4">
        <f>-JEs!E46</f>
        <v>-17707500</v>
      </c>
      <c r="J18" s="519" t="s">
        <v>354</v>
      </c>
      <c r="M18" s="152">
        <f>SUM(M17)</f>
        <v>1010798.695137158</v>
      </c>
      <c r="O18" s="4">
        <f>SUM(O17)</f>
        <v>0</v>
      </c>
      <c r="P18" s="5">
        <f>M18+O18</f>
        <v>1010798.695137158</v>
      </c>
      <c r="Q18" s="173"/>
    </row>
    <row r="19" spans="1:19" x14ac:dyDescent="0.25">
      <c r="A19" s="519" t="str">
        <f>+JEs!B66</f>
        <v>January 15, 2024</v>
      </c>
      <c r="B19" s="195">
        <v>6</v>
      </c>
      <c r="D19" s="152">
        <f>JEs!D69</f>
        <v>5200000</v>
      </c>
      <c r="M19" s="152"/>
    </row>
    <row r="20" spans="1:19" x14ac:dyDescent="0.25">
      <c r="A20" s="519" t="str">
        <f>+A19</f>
        <v>January 15, 2024</v>
      </c>
      <c r="B20" s="195">
        <v>6</v>
      </c>
      <c r="D20" s="152">
        <f>JEs!D70</f>
        <v>15520433.765469097</v>
      </c>
      <c r="M20" s="152"/>
    </row>
    <row r="21" spans="1:19" x14ac:dyDescent="0.25">
      <c r="A21" s="519" t="str">
        <f>+A20</f>
        <v>January 15, 2024</v>
      </c>
      <c r="B21" s="195">
        <v>6</v>
      </c>
      <c r="D21" s="152">
        <f>JEs!D72</f>
        <v>19890798.75</v>
      </c>
      <c r="M21" s="152"/>
    </row>
    <row r="22" spans="1:19" x14ac:dyDescent="0.25">
      <c r="A22" s="519" t="str">
        <f t="shared" ref="A22:A23" si="2">+A21</f>
        <v>January 15, 2024</v>
      </c>
      <c r="B22" s="518">
        <v>6</v>
      </c>
      <c r="D22" s="152"/>
      <c r="F22" s="159">
        <f>-JEs!E74</f>
        <v>-4496000.0000000019</v>
      </c>
    </row>
    <row r="23" spans="1:19" x14ac:dyDescent="0.25">
      <c r="A23" s="519" t="str">
        <f t="shared" si="2"/>
        <v>January 15, 2024</v>
      </c>
      <c r="B23" s="195">
        <v>6</v>
      </c>
      <c r="D23" s="152"/>
      <c r="F23" s="163">
        <f>-JEs!E75</f>
        <v>-4965699.2353440998</v>
      </c>
    </row>
    <row r="24" spans="1:19" x14ac:dyDescent="0.25">
      <c r="A24" s="519" t="str">
        <f>+JEs!B81</f>
        <v>January 31,  2024</v>
      </c>
      <c r="B24" s="195">
        <v>7</v>
      </c>
      <c r="D24" s="152"/>
      <c r="F24" s="159">
        <f>-JEs!E85</f>
        <v>-2255213.8937613554</v>
      </c>
    </row>
    <row r="25" spans="1:19" x14ac:dyDescent="0.25">
      <c r="A25" s="519" t="s">
        <v>355</v>
      </c>
      <c r="D25" s="492">
        <f>SUM(D14:D24)</f>
        <v>50072931.750813201</v>
      </c>
      <c r="E25" s="493"/>
      <c r="F25" s="438">
        <f>SUM(F14:F24)</f>
        <v>-50058976.000813156</v>
      </c>
      <c r="G25" s="491">
        <f>+D25+F25</f>
        <v>13955.750000044703</v>
      </c>
    </row>
    <row r="26" spans="1:19" x14ac:dyDescent="0.25">
      <c r="A26" s="520" t="str">
        <f>+JEs!B113</f>
        <v>January 31, 2024</v>
      </c>
      <c r="B26" s="173">
        <v>10</v>
      </c>
      <c r="C26" s="172"/>
      <c r="D26" s="174"/>
      <c r="E26" s="172"/>
      <c r="F26" s="494">
        <f>-G25-G51</f>
        <v>-13955.750000044703</v>
      </c>
      <c r="G26" s="172"/>
      <c r="H26" s="390" t="s">
        <v>64</v>
      </c>
    </row>
    <row r="27" spans="1:19" x14ac:dyDescent="0.25">
      <c r="A27" s="519" t="s">
        <v>353</v>
      </c>
      <c r="D27" s="497">
        <f>SUM(D25:D26)</f>
        <v>50072931.750813201</v>
      </c>
      <c r="F27" s="159">
        <f>SUM(F25:F26)</f>
        <v>-50072931.750813201</v>
      </c>
      <c r="G27" s="5">
        <f>D27+F27</f>
        <v>0</v>
      </c>
    </row>
    <row r="28" spans="1:19" x14ac:dyDescent="0.25">
      <c r="A28" s="519"/>
      <c r="D28" s="152"/>
      <c r="S28" s="5"/>
    </row>
    <row r="29" spans="1:19" x14ac:dyDescent="0.25">
      <c r="A29" s="519" t="str">
        <f>+JEs!B146</f>
        <v>February 29, 2024</v>
      </c>
      <c r="B29" s="195">
        <v>13</v>
      </c>
      <c r="D29" s="492">
        <f>'RPP 2nd TU'!K46</f>
        <v>648851.85457577126</v>
      </c>
      <c r="S29" s="5"/>
    </row>
    <row r="30" spans="1:19" x14ac:dyDescent="0.25">
      <c r="A30" s="519" t="str">
        <f>+JEs!B155</f>
        <v>February 29, 2024</v>
      </c>
      <c r="B30" s="195">
        <v>14</v>
      </c>
      <c r="D30" s="152"/>
      <c r="F30" s="4">
        <f>-JEs!E159</f>
        <v>-1010798.695137158</v>
      </c>
      <c r="S30" s="5"/>
    </row>
    <row r="31" spans="1:19" x14ac:dyDescent="0.25">
      <c r="A31" s="519" t="s">
        <v>356</v>
      </c>
      <c r="D31" s="492">
        <f>SUM(D29:D30)</f>
        <v>648851.85457577126</v>
      </c>
      <c r="F31" s="461">
        <f>SUM(F29:F30)</f>
        <v>-1010798.695137158</v>
      </c>
      <c r="G31" s="491">
        <f>D31+F31</f>
        <v>-361946.84056138678</v>
      </c>
      <c r="S31" s="5"/>
    </row>
    <row r="32" spans="1:19" x14ac:dyDescent="0.25">
      <c r="A32" s="520" t="str">
        <f>+JEs!B164</f>
        <v>February 29, 2024</v>
      </c>
      <c r="B32" s="173">
        <v>15</v>
      </c>
      <c r="C32" s="172"/>
      <c r="D32" s="495">
        <f>-G31-G57</f>
        <v>69049.526660426171</v>
      </c>
      <c r="E32" s="172"/>
      <c r="F32" s="175"/>
      <c r="G32" s="172"/>
      <c r="H32" s="390" t="s">
        <v>193</v>
      </c>
      <c r="S32" s="5"/>
    </row>
    <row r="33" spans="1:19" x14ac:dyDescent="0.25">
      <c r="A33" s="519" t="s">
        <v>354</v>
      </c>
      <c r="D33" s="492">
        <f>SUM(D31:D32)</f>
        <v>717901.38123619743</v>
      </c>
      <c r="F33" s="461">
        <f>SUM(F31:F32)</f>
        <v>-1010798.695137158</v>
      </c>
      <c r="G33" s="491">
        <f>SUM(D33:F33)</f>
        <v>-292897.31390096061</v>
      </c>
      <c r="S33" s="5"/>
    </row>
    <row r="34" spans="1:19" x14ac:dyDescent="0.25">
      <c r="S34" s="5"/>
    </row>
    <row r="36" spans="1:19" s="11" customFormat="1" ht="27.75" customHeight="1" x14ac:dyDescent="0.25">
      <c r="B36" s="194"/>
      <c r="C36" s="546" t="s">
        <v>177</v>
      </c>
      <c r="D36" s="546"/>
      <c r="E36" s="546"/>
      <c r="F36" s="546"/>
      <c r="H36" s="194"/>
      <c r="K36" s="194"/>
      <c r="L36" s="569" t="s">
        <v>178</v>
      </c>
      <c r="M36" s="569"/>
      <c r="N36" s="569"/>
      <c r="O36" s="569"/>
      <c r="Q36" s="194"/>
    </row>
    <row r="37" spans="1:19" s="11" customFormat="1" ht="15.75" thickBot="1" x14ac:dyDescent="0.3">
      <c r="A37" s="11" t="s">
        <v>59</v>
      </c>
      <c r="B37" s="194" t="s">
        <v>175</v>
      </c>
      <c r="C37" s="610" t="s">
        <v>93</v>
      </c>
      <c r="D37" s="610"/>
      <c r="E37" s="610" t="s">
        <v>94</v>
      </c>
      <c r="F37" s="610"/>
      <c r="G37" s="150" t="s">
        <v>60</v>
      </c>
      <c r="H37" s="196" t="s">
        <v>181</v>
      </c>
      <c r="J37" s="11" t="s">
        <v>59</v>
      </c>
      <c r="K37" s="194" t="s">
        <v>175</v>
      </c>
      <c r="L37" s="610" t="s">
        <v>93</v>
      </c>
      <c r="M37" s="610"/>
      <c r="N37" s="610" t="s">
        <v>94</v>
      </c>
      <c r="O37" s="610"/>
      <c r="P37" s="150" t="s">
        <v>60</v>
      </c>
      <c r="Q37" s="196" t="s">
        <v>181</v>
      </c>
    </row>
    <row r="38" spans="1:19" ht="15.75" thickTop="1" x14ac:dyDescent="0.25">
      <c r="A38" s="519" t="str">
        <f>+JEs!B17</f>
        <v>December 31, 2023</v>
      </c>
      <c r="B38" s="195">
        <v>2</v>
      </c>
      <c r="C38" s="149"/>
      <c r="D38" s="151"/>
      <c r="E38" s="149"/>
      <c r="F38" s="496">
        <f>-JEs!E21</f>
        <v>-20299000</v>
      </c>
      <c r="J38" s="519" t="str">
        <f>+JEs!B17</f>
        <v>December 31, 2023</v>
      </c>
      <c r="K38" s="195">
        <v>2</v>
      </c>
      <c r="L38" s="149"/>
      <c r="M38" s="151"/>
      <c r="N38" s="149"/>
      <c r="O38" s="153">
        <f>-JEs!E23</f>
        <v>-1850000</v>
      </c>
    </row>
    <row r="39" spans="1:19" x14ac:dyDescent="0.25">
      <c r="A39" s="519" t="str">
        <f>+A38</f>
        <v>December 31, 2023</v>
      </c>
      <c r="B39" s="195">
        <v>2</v>
      </c>
      <c r="D39" s="152"/>
      <c r="F39" s="4">
        <f>-JEs!E22</f>
        <v>-8581363.6363636367</v>
      </c>
      <c r="J39" s="519" t="str">
        <f>+J38</f>
        <v>December 31, 2023</v>
      </c>
      <c r="K39" s="195">
        <v>2</v>
      </c>
      <c r="M39" s="152"/>
      <c r="O39" s="4">
        <f>-JEs!E24</f>
        <v>-29122500</v>
      </c>
    </row>
    <row r="40" spans="1:19" x14ac:dyDescent="0.25">
      <c r="A40" s="519" t="s">
        <v>351</v>
      </c>
      <c r="D40" s="497"/>
      <c r="F40" s="159">
        <f>SUM(F38:F39)</f>
        <v>-28880363.636363637</v>
      </c>
      <c r="G40" s="491">
        <f>D40+F40</f>
        <v>-28880363.636363637</v>
      </c>
      <c r="H40" s="173"/>
      <c r="J40" s="519" t="s">
        <v>351</v>
      </c>
      <c r="M40" s="497"/>
      <c r="O40" s="4">
        <f>SUM(O38:O39)</f>
        <v>-30972500</v>
      </c>
      <c r="P40" s="5">
        <f>M40+O40</f>
        <v>-30972500</v>
      </c>
      <c r="Q40" s="173"/>
      <c r="S40" s="5"/>
    </row>
    <row r="41" spans="1:19" x14ac:dyDescent="0.25">
      <c r="A41" s="519" t="str">
        <f>+JEs!B29</f>
        <v>December 31, 2023</v>
      </c>
      <c r="B41" s="201">
        <v>3</v>
      </c>
      <c r="D41" s="152">
        <f>-G10-G40</f>
        <v>3.7252902984619141E-8</v>
      </c>
      <c r="G41" s="5"/>
      <c r="H41" s="390" t="s">
        <v>62</v>
      </c>
      <c r="J41" s="520" t="str">
        <f>+JEs!B29</f>
        <v>December 31, 2023</v>
      </c>
      <c r="K41" s="173">
        <v>3</v>
      </c>
      <c r="L41" s="172"/>
      <c r="M41" s="174">
        <f>-P40-P7</f>
        <v>7480000</v>
      </c>
      <c r="N41" s="172"/>
      <c r="O41" s="175"/>
      <c r="P41" s="172"/>
      <c r="Q41" s="390" t="s">
        <v>63</v>
      </c>
      <c r="S41" s="5"/>
    </row>
    <row r="42" spans="1:19" x14ac:dyDescent="0.25">
      <c r="A42" s="519" t="s">
        <v>352</v>
      </c>
      <c r="B42" s="201"/>
      <c r="D42" s="152">
        <f>+D40+D41</f>
        <v>3.7252902984619141E-8</v>
      </c>
      <c r="F42" s="159">
        <f>+F40+F41</f>
        <v>-28880363.636363637</v>
      </c>
      <c r="G42" s="491">
        <f>+D42+F42</f>
        <v>-28880363.636363599</v>
      </c>
      <c r="H42" s="173"/>
      <c r="J42" s="519" t="s">
        <v>352</v>
      </c>
      <c r="K42" s="173"/>
      <c r="L42" s="172"/>
      <c r="M42" s="497">
        <f>SUM(M40:M41)</f>
        <v>7480000</v>
      </c>
      <c r="N42" s="172"/>
      <c r="O42" s="461">
        <f>SUM(O40:O41)</f>
        <v>-30972500</v>
      </c>
      <c r="P42" s="199">
        <f>M42+O42</f>
        <v>-23492500</v>
      </c>
      <c r="Q42" s="173"/>
      <c r="S42" s="5"/>
    </row>
    <row r="43" spans="1:19" x14ac:dyDescent="0.25">
      <c r="A43" s="519"/>
      <c r="D43" s="152"/>
      <c r="J43" s="519"/>
      <c r="M43" s="152"/>
    </row>
    <row r="44" spans="1:19" x14ac:dyDescent="0.25">
      <c r="A44" s="519"/>
      <c r="D44" s="152"/>
      <c r="J44" s="519" t="str">
        <f>+JEs!B53</f>
        <v>January 1, 2024</v>
      </c>
      <c r="K44" s="195">
        <v>5</v>
      </c>
      <c r="M44" s="152">
        <f>JEs!D59</f>
        <v>1850000</v>
      </c>
    </row>
    <row r="45" spans="1:19" x14ac:dyDescent="0.25">
      <c r="A45" s="519" t="str">
        <f>+JEs!B53</f>
        <v>January 1, 2024</v>
      </c>
      <c r="B45" s="195">
        <v>5</v>
      </c>
      <c r="D45" s="492">
        <f>JEs!D57</f>
        <v>20299000</v>
      </c>
      <c r="J45" s="519" t="str">
        <f>+J44</f>
        <v>January 1, 2024</v>
      </c>
      <c r="K45" s="195">
        <v>5</v>
      </c>
      <c r="M45" s="152">
        <f>JEs!D60</f>
        <v>29122500</v>
      </c>
    </row>
    <row r="46" spans="1:19" x14ac:dyDescent="0.25">
      <c r="A46" s="519" t="str">
        <f>+A45</f>
        <v>January 1, 2024</v>
      </c>
      <c r="B46" s="195">
        <v>5</v>
      </c>
      <c r="D46" s="152">
        <f>JEs!D58</f>
        <v>8581363.6363636367</v>
      </c>
      <c r="J46" s="519" t="str">
        <f>+JEs!B90</f>
        <v>January 31,  2024</v>
      </c>
      <c r="K46" s="195">
        <v>8</v>
      </c>
      <c r="M46" s="152"/>
      <c r="O46" s="4">
        <f>-JEs!E96</f>
        <v>-1980000</v>
      </c>
    </row>
    <row r="47" spans="1:19" x14ac:dyDescent="0.25">
      <c r="A47" s="519" t="str">
        <f>+JEs!B90</f>
        <v>January 31,  2024</v>
      </c>
      <c r="B47" s="195">
        <v>8</v>
      </c>
      <c r="D47" s="152"/>
      <c r="F47" s="159">
        <f>-JEs!E94</f>
        <v>-10149500</v>
      </c>
      <c r="G47" s="5"/>
      <c r="J47" s="519" t="str">
        <f>+J46</f>
        <v>January 31,  2024</v>
      </c>
      <c r="K47" s="195">
        <v>8</v>
      </c>
      <c r="M47" s="152"/>
      <c r="O47" s="4">
        <f>-JEs!E97</f>
        <v>-14561250</v>
      </c>
    </row>
    <row r="48" spans="1:19" x14ac:dyDescent="0.25">
      <c r="A48" s="519" t="str">
        <f>+A47</f>
        <v>January 31,  2024</v>
      </c>
      <c r="B48" s="195">
        <v>8</v>
      </c>
      <c r="D48" s="152"/>
      <c r="F48" s="163">
        <f>-JEs!E95</f>
        <v>-4290681.8181818184</v>
      </c>
      <c r="J48" s="519" t="str">
        <f>+JEs!B102</f>
        <v>January 31, 2024</v>
      </c>
      <c r="K48" s="161">
        <v>9</v>
      </c>
      <c r="L48" s="160"/>
      <c r="M48" s="162"/>
      <c r="N48" s="160"/>
      <c r="O48" s="163">
        <f>-JEs!E108</f>
        <v>-14561250</v>
      </c>
    </row>
    <row r="49" spans="1:17" x14ac:dyDescent="0.25">
      <c r="A49" s="519" t="str">
        <f>+JEs!B102</f>
        <v>January 31, 2024</v>
      </c>
      <c r="B49" s="195">
        <v>9</v>
      </c>
      <c r="D49" s="152"/>
      <c r="F49" s="159">
        <f>-JEs!E106</f>
        <v>-10149500</v>
      </c>
      <c r="J49" s="519" t="s">
        <v>353</v>
      </c>
      <c r="M49" s="152">
        <f>SUM(M44:M48)</f>
        <v>30972500</v>
      </c>
      <c r="O49" s="4">
        <f>SUM(O44:O48)</f>
        <v>-31102500</v>
      </c>
      <c r="P49" s="5">
        <f>M49+O49</f>
        <v>-130000</v>
      </c>
      <c r="Q49" s="173"/>
    </row>
    <row r="50" spans="1:17" x14ac:dyDescent="0.25">
      <c r="A50" s="519" t="str">
        <f>+A49</f>
        <v>January 31, 2024</v>
      </c>
      <c r="B50" s="195">
        <v>9</v>
      </c>
      <c r="D50" s="152"/>
      <c r="F50" s="163">
        <f>-JEs!E107</f>
        <v>-4290681.8181818184</v>
      </c>
      <c r="M50" s="152"/>
      <c r="Q50" s="173"/>
    </row>
    <row r="51" spans="1:17" x14ac:dyDescent="0.25">
      <c r="A51" s="519" t="s">
        <v>353</v>
      </c>
      <c r="D51" s="497">
        <f>SUM(D45:D50)</f>
        <v>28880363.636363637</v>
      </c>
      <c r="F51" s="461">
        <f>SUM(F45:F50)</f>
        <v>-28880363.63636364</v>
      </c>
      <c r="G51" s="5">
        <f>D51+F51</f>
        <v>0</v>
      </c>
      <c r="J51" s="519" t="str">
        <f>+JEs!B124</f>
        <v>February 1, 2024</v>
      </c>
      <c r="K51" s="195">
        <v>11</v>
      </c>
      <c r="M51" s="152">
        <f>JEs!D129</f>
        <v>14561250</v>
      </c>
    </row>
    <row r="52" spans="1:17" x14ac:dyDescent="0.25">
      <c r="A52" s="519"/>
      <c r="D52" s="152"/>
      <c r="G52" s="5"/>
      <c r="J52" s="519" t="str">
        <f>+JEs!B135</f>
        <v>February 29, 2024</v>
      </c>
      <c r="K52" s="195">
        <v>12</v>
      </c>
      <c r="M52" s="152"/>
      <c r="O52" s="4">
        <f>-JEs!E141</f>
        <v>-15847935</v>
      </c>
    </row>
    <row r="53" spans="1:17" x14ac:dyDescent="0.25">
      <c r="A53" s="519" t="str">
        <f>+JEs!B124</f>
        <v>February 1, 2024</v>
      </c>
      <c r="B53" s="195">
        <v>11</v>
      </c>
      <c r="D53" s="492">
        <f>JEs!D127</f>
        <v>10149500</v>
      </c>
      <c r="J53" s="519" t="s">
        <v>356</v>
      </c>
      <c r="M53" s="152">
        <f>SUM(M51:M52)</f>
        <v>14561250</v>
      </c>
      <c r="O53" s="461">
        <f>SUM(O51:O52)</f>
        <v>-15847935</v>
      </c>
      <c r="P53" s="5">
        <f>M53+O53</f>
        <v>-1286685</v>
      </c>
      <c r="Q53" s="173"/>
    </row>
    <row r="54" spans="1:17" x14ac:dyDescent="0.25">
      <c r="A54" s="519" t="str">
        <f>+A53</f>
        <v>February 1, 2024</v>
      </c>
      <c r="B54" s="195">
        <v>11</v>
      </c>
      <c r="D54" s="152">
        <f>JEs!D128</f>
        <v>4290681.8181818184</v>
      </c>
      <c r="J54" s="520" t="str">
        <f>+JEs!B164</f>
        <v>February 29, 2024</v>
      </c>
      <c r="K54" s="173">
        <v>15</v>
      </c>
      <c r="L54" s="172"/>
      <c r="M54" s="174">
        <f>-P18-P53</f>
        <v>275886.30486284196</v>
      </c>
      <c r="N54" s="172"/>
      <c r="O54" s="175"/>
      <c r="P54" s="172"/>
      <c r="Q54" s="390" t="s">
        <v>194</v>
      </c>
    </row>
    <row r="55" spans="1:17" x14ac:dyDescent="0.25">
      <c r="A55" s="519" t="str">
        <f>+JEs!B135</f>
        <v>February 29, 2024</v>
      </c>
      <c r="B55" s="195">
        <v>12</v>
      </c>
      <c r="D55" s="152"/>
      <c r="F55" s="159">
        <f>-JEs!E139</f>
        <v>-9494062.7505511977</v>
      </c>
      <c r="J55" s="519" t="s">
        <v>354</v>
      </c>
      <c r="M55" s="152">
        <f>SUM(M53:M54)</f>
        <v>14837136.304862842</v>
      </c>
      <c r="O55" s="461">
        <f>SUM(O53:O54)</f>
        <v>-15847935</v>
      </c>
      <c r="P55" s="5">
        <f>M55+O55</f>
        <v>-1010798.695137158</v>
      </c>
    </row>
    <row r="56" spans="1:17" x14ac:dyDescent="0.25">
      <c r="A56" s="519" t="str">
        <f>+A55</f>
        <v>February 29, 2024</v>
      </c>
      <c r="B56" s="195">
        <v>12</v>
      </c>
      <c r="D56" s="152"/>
      <c r="F56" s="4">
        <f>-JEs!E140</f>
        <v>-4653221.7537296601</v>
      </c>
      <c r="M56" s="152"/>
    </row>
    <row r="57" spans="1:17" x14ac:dyDescent="0.25">
      <c r="A57" s="519" t="s">
        <v>354</v>
      </c>
      <c r="D57" s="492">
        <f>SUM(D53:D56)</f>
        <v>14440181.818181818</v>
      </c>
      <c r="F57" s="461">
        <f>SUM(F53:F56)</f>
        <v>-14147284.504280858</v>
      </c>
      <c r="G57" s="491">
        <f>D57+F57</f>
        <v>292897.31390096061</v>
      </c>
      <c r="H57" s="173"/>
      <c r="M57" s="152"/>
      <c r="O57" s="28"/>
      <c r="P57" s="8"/>
    </row>
    <row r="58" spans="1:17" x14ac:dyDescent="0.25">
      <c r="D58" s="152"/>
      <c r="M58" s="152"/>
    </row>
    <row r="59" spans="1:17" x14ac:dyDescent="0.25">
      <c r="D59" s="28"/>
      <c r="E59" s="8"/>
    </row>
    <row r="61" spans="1:17" s="11" customFormat="1" x14ac:dyDescent="0.25">
      <c r="B61" s="194"/>
      <c r="C61" s="546" t="s">
        <v>179</v>
      </c>
      <c r="D61" s="546"/>
      <c r="E61" s="546"/>
      <c r="F61" s="546"/>
      <c r="H61" s="194"/>
      <c r="K61" s="194"/>
      <c r="L61" s="546" t="s">
        <v>180</v>
      </c>
      <c r="M61" s="546"/>
      <c r="N61" s="546"/>
      <c r="O61" s="546"/>
      <c r="Q61" s="194"/>
    </row>
    <row r="62" spans="1:17" s="11" customFormat="1" ht="15.75" thickBot="1" x14ac:dyDescent="0.3">
      <c r="A62" s="11" t="s">
        <v>59</v>
      </c>
      <c r="B62" s="194" t="s">
        <v>175</v>
      </c>
      <c r="C62" s="610" t="s">
        <v>93</v>
      </c>
      <c r="D62" s="610"/>
      <c r="E62" s="610" t="s">
        <v>94</v>
      </c>
      <c r="F62" s="610"/>
      <c r="G62" s="150" t="s">
        <v>60</v>
      </c>
      <c r="H62" s="196" t="s">
        <v>181</v>
      </c>
      <c r="J62" s="11" t="s">
        <v>59</v>
      </c>
      <c r="K62" s="194" t="s">
        <v>175</v>
      </c>
      <c r="L62" s="610" t="s">
        <v>93</v>
      </c>
      <c r="M62" s="610"/>
      <c r="N62" s="610" t="s">
        <v>94</v>
      </c>
      <c r="O62" s="610"/>
      <c r="P62" s="150" t="s">
        <v>60</v>
      </c>
      <c r="Q62" s="196" t="s">
        <v>181</v>
      </c>
    </row>
    <row r="63" spans="1:17" ht="15.75" thickTop="1" x14ac:dyDescent="0.25">
      <c r="A63" s="519" t="str">
        <f>+JEs!B29</f>
        <v>December 31, 2023</v>
      </c>
      <c r="B63" s="161">
        <v>3</v>
      </c>
      <c r="C63" s="164"/>
      <c r="D63" s="165">
        <v>0</v>
      </c>
      <c r="E63" s="164"/>
      <c r="F63" s="166">
        <f>-D41</f>
        <v>-3.7252902984619141E-8</v>
      </c>
      <c r="G63" s="160"/>
      <c r="H63" s="390" t="s">
        <v>62</v>
      </c>
      <c r="J63" s="519" t="str">
        <f>+JEs!B29</f>
        <v>December 31, 2023</v>
      </c>
      <c r="K63" s="195">
        <v>3</v>
      </c>
      <c r="L63" s="149"/>
      <c r="M63" s="151"/>
      <c r="N63" s="149"/>
      <c r="O63" s="166">
        <f>-M41</f>
        <v>-7480000</v>
      </c>
      <c r="Q63" s="390" t="s">
        <v>63</v>
      </c>
    </row>
    <row r="64" spans="1:17" x14ac:dyDescent="0.25">
      <c r="A64" s="519" t="str">
        <f>+JEs!B113</f>
        <v>January 31, 2024</v>
      </c>
      <c r="B64" s="195">
        <v>10</v>
      </c>
      <c r="C64" s="8"/>
      <c r="D64" s="492">
        <f>-F26</f>
        <v>13955.750000044703</v>
      </c>
      <c r="E64" s="8"/>
      <c r="F64" s="28"/>
      <c r="H64" s="390" t="s">
        <v>64</v>
      </c>
      <c r="J64" s="519" t="str">
        <f>+JEs!B113</f>
        <v>January 31, 2024</v>
      </c>
      <c r="K64" s="195">
        <v>10</v>
      </c>
      <c r="M64" s="152">
        <f>-O14</f>
        <v>2668476.25</v>
      </c>
      <c r="Q64" s="390" t="s">
        <v>95</v>
      </c>
    </row>
    <row r="65" spans="1:21" x14ac:dyDescent="0.25">
      <c r="A65" s="519" t="str">
        <f>+JEs!B164</f>
        <v>February 29, 2024</v>
      </c>
      <c r="B65" s="195">
        <v>15</v>
      </c>
      <c r="D65" s="152"/>
      <c r="F65" s="159">
        <f>-D32</f>
        <v>-69049.526660426171</v>
      </c>
      <c r="H65" s="390" t="s">
        <v>193</v>
      </c>
      <c r="J65" s="519" t="str">
        <f>+JEs!B164</f>
        <v>February 29, 2024</v>
      </c>
      <c r="K65" s="195">
        <v>15</v>
      </c>
      <c r="M65" s="152"/>
      <c r="O65" s="4">
        <f>-M54</f>
        <v>-275886.30486284196</v>
      </c>
      <c r="Q65" s="390" t="s">
        <v>194</v>
      </c>
    </row>
    <row r="66" spans="1:21" x14ac:dyDescent="0.25">
      <c r="A66" s="160" t="s">
        <v>197</v>
      </c>
      <c r="D66" s="492">
        <f>SUM(D63:D65)</f>
        <v>13955.750000044703</v>
      </c>
      <c r="F66" s="159">
        <f>SUM(F63:F65)</f>
        <v>-69049.526660463423</v>
      </c>
      <c r="G66" s="491">
        <f>D66+F66</f>
        <v>-55093.77666041872</v>
      </c>
      <c r="J66" s="160" t="s">
        <v>197</v>
      </c>
      <c r="M66" s="497">
        <f>SUM(M63:M65)</f>
        <v>2668476.25</v>
      </c>
      <c r="O66" s="4">
        <f>SUM(O63:O65)</f>
        <v>-7755886.304862842</v>
      </c>
      <c r="P66" s="5">
        <f>M66+O66</f>
        <v>-5087410.054862842</v>
      </c>
    </row>
    <row r="67" spans="1:21" x14ac:dyDescent="0.25">
      <c r="D67" s="152"/>
      <c r="M67" s="152"/>
      <c r="P67" s="5"/>
    </row>
    <row r="68" spans="1:21" x14ac:dyDescent="0.25">
      <c r="D68" s="152"/>
      <c r="M68" s="152"/>
    </row>
    <row r="69" spans="1:21" x14ac:dyDescent="0.25">
      <c r="A69" s="8"/>
      <c r="B69" s="200"/>
      <c r="C69" s="8"/>
      <c r="D69" s="28"/>
      <c r="E69" s="8"/>
      <c r="F69" s="28"/>
      <c r="G69" s="8"/>
      <c r="H69" s="200"/>
      <c r="I69" s="8"/>
      <c r="J69" s="8"/>
      <c r="K69" s="200"/>
      <c r="L69" s="8"/>
      <c r="M69" s="28"/>
      <c r="N69" s="8"/>
      <c r="O69" s="28"/>
    </row>
    <row r="70" spans="1:21" x14ac:dyDescent="0.25">
      <c r="A70" s="611" t="s">
        <v>61</v>
      </c>
      <c r="B70" s="611"/>
      <c r="C70" s="4"/>
      <c r="D70"/>
      <c r="E70" s="4"/>
      <c r="F70"/>
      <c r="G70" s="195"/>
      <c r="H70"/>
      <c r="J70" s="195"/>
      <c r="K70"/>
      <c r="L70" s="4"/>
      <c r="M70"/>
      <c r="N70" s="4"/>
      <c r="O70"/>
      <c r="P70" s="195"/>
    </row>
    <row r="71" spans="1:21" x14ac:dyDescent="0.25">
      <c r="A71" s="89"/>
      <c r="B71" s="173" t="s">
        <v>62</v>
      </c>
      <c r="C71" s="613" t="s">
        <v>357</v>
      </c>
      <c r="D71" s="613"/>
      <c r="E71" s="613"/>
      <c r="F71" s="613"/>
      <c r="G71" s="613"/>
      <c r="H71" s="613"/>
      <c r="I71" s="613"/>
      <c r="J71" s="613"/>
      <c r="K71" s="613"/>
      <c r="L71" s="613"/>
      <c r="M71" s="613"/>
      <c r="N71" s="613"/>
      <c r="O71" s="613"/>
      <c r="P71" s="613"/>
    </row>
    <row r="72" spans="1:21" x14ac:dyDescent="0.25">
      <c r="A72" s="89"/>
      <c r="B72" s="173" t="s">
        <v>63</v>
      </c>
      <c r="C72" s="613" t="s">
        <v>358</v>
      </c>
      <c r="D72" s="613"/>
      <c r="E72" s="613"/>
      <c r="F72" s="613"/>
      <c r="G72" s="613"/>
      <c r="H72" s="613"/>
      <c r="I72" s="613"/>
      <c r="J72" s="613"/>
      <c r="K72" s="613"/>
      <c r="L72" s="613"/>
      <c r="M72" s="613"/>
      <c r="N72" s="613"/>
      <c r="O72" s="613"/>
      <c r="P72" s="613"/>
    </row>
    <row r="73" spans="1:21" x14ac:dyDescent="0.25">
      <c r="A73" s="89"/>
      <c r="B73" s="173" t="s">
        <v>64</v>
      </c>
      <c r="C73" s="612" t="s">
        <v>361</v>
      </c>
      <c r="D73" s="612"/>
      <c r="E73" s="612"/>
      <c r="F73" s="612"/>
      <c r="G73" s="612"/>
      <c r="H73" s="612"/>
      <c r="I73" s="612"/>
      <c r="J73" s="612"/>
      <c r="K73" s="612"/>
      <c r="L73" s="612"/>
      <c r="M73" s="612"/>
      <c r="N73" s="612"/>
      <c r="O73" s="612"/>
      <c r="P73" s="612"/>
    </row>
    <row r="74" spans="1:21" x14ac:dyDescent="0.25">
      <c r="A74" s="89"/>
      <c r="B74" s="173" t="s">
        <v>95</v>
      </c>
      <c r="C74" s="613" t="s">
        <v>362</v>
      </c>
      <c r="D74" s="613"/>
      <c r="E74" s="613"/>
      <c r="F74" s="613"/>
      <c r="G74" s="613"/>
      <c r="H74" s="613"/>
      <c r="I74" s="613"/>
      <c r="J74" s="613"/>
      <c r="K74" s="613"/>
      <c r="L74" s="613"/>
      <c r="M74" s="613"/>
      <c r="N74" s="613"/>
      <c r="O74" s="613"/>
      <c r="P74" s="613"/>
    </row>
    <row r="75" spans="1:21" x14ac:dyDescent="0.25">
      <c r="A75" s="89"/>
      <c r="B75" s="173" t="s">
        <v>193</v>
      </c>
      <c r="C75" s="612" t="s">
        <v>359</v>
      </c>
      <c r="D75" s="612"/>
      <c r="E75" s="612"/>
      <c r="F75" s="612"/>
      <c r="G75" s="612"/>
      <c r="H75" s="612"/>
      <c r="I75" s="612"/>
      <c r="J75" s="612"/>
      <c r="K75" s="612"/>
      <c r="L75" s="612"/>
      <c r="M75" s="612"/>
      <c r="N75" s="612"/>
      <c r="O75" s="612"/>
      <c r="P75" s="612"/>
    </row>
    <row r="76" spans="1:21" x14ac:dyDescent="0.25">
      <c r="A76" s="89"/>
      <c r="B76" s="173" t="s">
        <v>194</v>
      </c>
      <c r="C76" s="613" t="s">
        <v>360</v>
      </c>
      <c r="D76" s="613"/>
      <c r="E76" s="613"/>
      <c r="F76" s="613"/>
      <c r="G76" s="613"/>
      <c r="H76" s="613"/>
      <c r="I76" s="613"/>
      <c r="J76" s="613"/>
      <c r="K76" s="613"/>
      <c r="L76" s="613"/>
      <c r="M76" s="613"/>
      <c r="N76" s="613"/>
      <c r="O76" s="613"/>
      <c r="P76" s="613"/>
    </row>
    <row r="77" spans="1:21" x14ac:dyDescent="0.25">
      <c r="A77" s="8"/>
      <c r="B77" s="200"/>
      <c r="C77" s="8"/>
      <c r="D77" s="28"/>
      <c r="E77" s="8"/>
      <c r="F77" s="28"/>
      <c r="G77" s="8"/>
      <c r="H77" s="200"/>
      <c r="I77" s="8"/>
      <c r="J77" s="8"/>
      <c r="K77" s="200"/>
      <c r="L77" s="8"/>
      <c r="M77" s="28"/>
      <c r="N77" s="8"/>
      <c r="O77" s="28"/>
    </row>
    <row r="80" spans="1:21" x14ac:dyDescent="0.25">
      <c r="R80" s="12"/>
      <c r="S80" s="12"/>
      <c r="T80" s="12"/>
      <c r="U80" s="12"/>
    </row>
  </sheetData>
  <mergeCells count="25">
    <mergeCell ref="A70:B70"/>
    <mergeCell ref="C73:P73"/>
    <mergeCell ref="C74:P74"/>
    <mergeCell ref="C75:P75"/>
    <mergeCell ref="C76:P76"/>
    <mergeCell ref="C71:P71"/>
    <mergeCell ref="C72:P72"/>
    <mergeCell ref="L61:O61"/>
    <mergeCell ref="C62:D62"/>
    <mergeCell ref="E62:F62"/>
    <mergeCell ref="L62:M62"/>
    <mergeCell ref="N62:O62"/>
    <mergeCell ref="C61:F61"/>
    <mergeCell ref="C3:F3"/>
    <mergeCell ref="C4:D4"/>
    <mergeCell ref="E4:F4"/>
    <mergeCell ref="L4:M4"/>
    <mergeCell ref="N4:O4"/>
    <mergeCell ref="L3:O3"/>
    <mergeCell ref="C36:F36"/>
    <mergeCell ref="L36:O36"/>
    <mergeCell ref="C37:D37"/>
    <mergeCell ref="E37:F37"/>
    <mergeCell ref="L37:M37"/>
    <mergeCell ref="N37:O37"/>
  </mergeCells>
  <phoneticPr fontId="30" type="noConversion"/>
  <pageMargins left="0.7" right="0.7" top="0.75" bottom="0.75" header="0.3" footer="0.3"/>
  <pageSetup paperSize="17" scale="73" orientation="portrait" r:id="rId1"/>
  <ignoredErrors>
    <ignoredError sqref="A19 A49 A47 A55 J11 J46"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09"/>
  <sheetViews>
    <sheetView showGridLines="0" zoomScaleNormal="100" workbookViewId="0">
      <selection activeCell="E23" sqref="E23"/>
    </sheetView>
  </sheetViews>
  <sheetFormatPr defaultColWidth="8.7109375" defaultRowHeight="15" x14ac:dyDescent="0.25"/>
  <cols>
    <col min="1" max="1" width="59.7109375" style="274" customWidth="1"/>
    <col min="2" max="2" width="14.7109375" style="274" customWidth="1"/>
    <col min="3" max="3" width="15.7109375" style="274" customWidth="1"/>
    <col min="4" max="4" width="15.7109375" style="274" bestFit="1" customWidth="1"/>
    <col min="5" max="5" width="14.7109375" style="274" customWidth="1"/>
    <col min="6" max="6" width="70.28515625" style="274" customWidth="1"/>
    <col min="7" max="7" width="12.5703125" style="274" customWidth="1"/>
    <col min="8" max="8" width="15" style="274" bestFit="1" customWidth="1"/>
    <col min="9" max="9" width="20.42578125" style="274" customWidth="1"/>
    <col min="10" max="10" width="14.7109375" style="274" customWidth="1"/>
    <col min="11" max="11" width="50.7109375" style="274" customWidth="1"/>
    <col min="12" max="12" width="19.7109375" style="274" customWidth="1"/>
    <col min="13" max="13" width="14.7109375" style="274" customWidth="1"/>
    <col min="14" max="14" width="16.28515625" style="274" customWidth="1"/>
    <col min="15" max="15" width="15.28515625" style="274" customWidth="1"/>
    <col min="16" max="16" width="17" style="274" customWidth="1"/>
    <col min="17" max="17" width="15.7109375" style="274" customWidth="1"/>
    <col min="18" max="22" width="14.7109375" style="274" customWidth="1"/>
    <col min="23" max="23" width="12.28515625" style="274" bestFit="1" customWidth="1"/>
    <col min="24" max="16384" width="8.7109375" style="274"/>
  </cols>
  <sheetData>
    <row r="1" spans="1:15" x14ac:dyDescent="0.25">
      <c r="D1" s="407" t="s">
        <v>298</v>
      </c>
    </row>
    <row r="2" spans="1:15" s="273" customFormat="1" ht="18.75" x14ac:dyDescent="0.3">
      <c r="A2" s="509" t="s">
        <v>306</v>
      </c>
      <c r="B2" s="299"/>
      <c r="C2" s="299"/>
      <c r="F2" s="509" t="s">
        <v>307</v>
      </c>
      <c r="G2" s="299"/>
      <c r="H2" s="299"/>
      <c r="I2" s="299"/>
      <c r="J2" s="299"/>
      <c r="K2" s="509" t="s">
        <v>308</v>
      </c>
      <c r="L2" s="299"/>
      <c r="M2" s="299"/>
      <c r="N2" s="299"/>
      <c r="O2" s="299"/>
    </row>
    <row r="4" spans="1:15" x14ac:dyDescent="0.25">
      <c r="A4" s="273" t="s">
        <v>22</v>
      </c>
      <c r="F4" s="273" t="s">
        <v>112</v>
      </c>
    </row>
    <row r="5" spans="1:15" ht="30" x14ac:dyDescent="0.25">
      <c r="A5" s="273"/>
      <c r="B5" s="275" t="s">
        <v>104</v>
      </c>
      <c r="C5" s="276" t="s">
        <v>96</v>
      </c>
      <c r="D5" s="276" t="s">
        <v>97</v>
      </c>
      <c r="F5" s="273"/>
      <c r="G5" s="275" t="s">
        <v>104</v>
      </c>
      <c r="H5" s="276" t="s">
        <v>96</v>
      </c>
      <c r="I5" s="276" t="s">
        <v>97</v>
      </c>
    </row>
    <row r="6" spans="1:15" ht="17.25" x14ac:dyDescent="0.25">
      <c r="A6" s="277" t="s">
        <v>199</v>
      </c>
      <c r="C6" s="278">
        <v>527000000</v>
      </c>
      <c r="D6" s="279">
        <f>C6</f>
        <v>527000000</v>
      </c>
      <c r="F6" s="277" t="s">
        <v>214</v>
      </c>
      <c r="H6" s="278">
        <v>527250000</v>
      </c>
      <c r="I6" s="279">
        <f>+H6</f>
        <v>527250000</v>
      </c>
    </row>
    <row r="7" spans="1:15" ht="17.25" x14ac:dyDescent="0.25">
      <c r="A7" s="277" t="s">
        <v>200</v>
      </c>
      <c r="C7" s="278">
        <v>8000000</v>
      </c>
      <c r="D7" s="279">
        <f>+C7</f>
        <v>8000000</v>
      </c>
      <c r="F7" s="277" t="s">
        <v>213</v>
      </c>
      <c r="H7" s="278">
        <v>8000000</v>
      </c>
      <c r="I7" s="279">
        <f>+H7</f>
        <v>8000000</v>
      </c>
    </row>
    <row r="8" spans="1:15" x14ac:dyDescent="0.25">
      <c r="A8" s="277" t="s">
        <v>99</v>
      </c>
      <c r="C8" s="278">
        <v>-35000000</v>
      </c>
      <c r="D8" s="279"/>
      <c r="F8" s="277" t="s">
        <v>215</v>
      </c>
      <c r="H8" s="278">
        <v>-35000000</v>
      </c>
      <c r="I8" s="279"/>
    </row>
    <row r="9" spans="1:15" x14ac:dyDescent="0.25">
      <c r="A9" s="277"/>
      <c r="C9" s="280">
        <f>+C6+C7+C8</f>
        <v>500000000</v>
      </c>
      <c r="D9" s="280">
        <f>+D6+D7+D8</f>
        <v>535000000</v>
      </c>
      <c r="F9" s="277"/>
      <c r="H9" s="280">
        <f>+H6+H7+H8</f>
        <v>500250000</v>
      </c>
      <c r="I9" s="280">
        <f>+I6+I7+I8</f>
        <v>535250000</v>
      </c>
    </row>
    <row r="10" spans="1:15" x14ac:dyDescent="0.25">
      <c r="A10" s="277"/>
      <c r="F10" s="277"/>
    </row>
    <row r="11" spans="1:15" x14ac:dyDescent="0.25">
      <c r="A11" s="274" t="s">
        <v>32</v>
      </c>
      <c r="B11" s="281">
        <f>+B32</f>
        <v>0.45</v>
      </c>
      <c r="C11" s="282">
        <f>+C9*B11</f>
        <v>225000000</v>
      </c>
      <c r="D11" s="283">
        <f>C11</f>
        <v>225000000</v>
      </c>
      <c r="F11" s="274" t="s">
        <v>32</v>
      </c>
      <c r="G11" s="284">
        <f>+G32</f>
        <v>0.45</v>
      </c>
      <c r="H11" s="282">
        <f>+H9*G11</f>
        <v>225112500</v>
      </c>
      <c r="I11" s="283">
        <f>H11</f>
        <v>225112500</v>
      </c>
      <c r="J11" s="285"/>
      <c r="K11" s="286"/>
    </row>
    <row r="12" spans="1:15" x14ac:dyDescent="0.25">
      <c r="A12" s="274" t="s">
        <v>33</v>
      </c>
      <c r="B12" s="281">
        <f>+B33</f>
        <v>0.55000000000000004</v>
      </c>
      <c r="C12" s="282">
        <f>+C9*B12</f>
        <v>275000000</v>
      </c>
      <c r="D12" s="283">
        <f>C12-C8</f>
        <v>310000000</v>
      </c>
      <c r="F12" s="274" t="s">
        <v>33</v>
      </c>
      <c r="G12" s="284">
        <f>+G33</f>
        <v>0.55000000000000004</v>
      </c>
      <c r="H12" s="282">
        <f>+H9*G12</f>
        <v>275137500</v>
      </c>
      <c r="I12" s="283">
        <f>H12-H8</f>
        <v>310137500</v>
      </c>
      <c r="J12" s="285"/>
    </row>
    <row r="13" spans="1:15" ht="15.75" thickBot="1" x14ac:dyDescent="0.3">
      <c r="A13" s="274" t="s">
        <v>13</v>
      </c>
      <c r="B13" s="287">
        <f>+B11+B12</f>
        <v>1</v>
      </c>
      <c r="C13" s="288">
        <f>+C11+C12</f>
        <v>500000000</v>
      </c>
      <c r="D13" s="288">
        <f>+D11+D12</f>
        <v>535000000</v>
      </c>
      <c r="F13" s="274" t="s">
        <v>13</v>
      </c>
      <c r="G13" s="287">
        <f>+G11+G12</f>
        <v>1</v>
      </c>
      <c r="H13" s="288">
        <f>+H11+H12</f>
        <v>500250000</v>
      </c>
      <c r="I13" s="288">
        <f>+I11+I12</f>
        <v>535250000</v>
      </c>
    </row>
    <row r="14" spans="1:15" ht="15.75" thickTop="1" x14ac:dyDescent="0.25"/>
    <row r="15" spans="1:15" x14ac:dyDescent="0.25">
      <c r="A15" s="289" t="s">
        <v>220</v>
      </c>
      <c r="F15" s="290" t="s">
        <v>221</v>
      </c>
    </row>
    <row r="16" spans="1:15" x14ac:dyDescent="0.25">
      <c r="A16" s="291"/>
      <c r="B16" s="276" t="s">
        <v>8</v>
      </c>
      <c r="C16" s="276" t="s">
        <v>14</v>
      </c>
      <c r="D16" s="292"/>
      <c r="F16" s="291"/>
      <c r="G16" s="393" t="s">
        <v>8</v>
      </c>
      <c r="H16" s="276" t="s">
        <v>14</v>
      </c>
    </row>
    <row r="17" spans="1:14" x14ac:dyDescent="0.25">
      <c r="A17" s="274" t="s">
        <v>2</v>
      </c>
      <c r="B17" s="284">
        <f>B38</f>
        <v>2.2222222222222223E-2</v>
      </c>
      <c r="C17" s="351">
        <f>+B17*$C$11</f>
        <v>5000000</v>
      </c>
      <c r="D17" s="293"/>
      <c r="F17" s="274" t="s">
        <v>2</v>
      </c>
      <c r="G17" s="284">
        <f t="shared" ref="G17:G24" si="0">G38</f>
        <v>2.2222222222222223E-2</v>
      </c>
      <c r="H17" s="351">
        <f>+G17*$H$11</f>
        <v>5002500</v>
      </c>
    </row>
    <row r="18" spans="1:14" x14ac:dyDescent="0.25">
      <c r="A18" s="274" t="s">
        <v>3</v>
      </c>
      <c r="B18" s="284">
        <f t="shared" ref="B18:B25" si="1">B39</f>
        <v>3.111111111111111E-2</v>
      </c>
      <c r="C18" s="351">
        <f t="shared" ref="C18:C25" si="2">+B18*$C$11</f>
        <v>7000000</v>
      </c>
      <c r="D18" s="293"/>
      <c r="F18" s="274" t="s">
        <v>3</v>
      </c>
      <c r="G18" s="284">
        <f t="shared" si="0"/>
        <v>3.111111111111111E-2</v>
      </c>
      <c r="H18" s="351">
        <f t="shared" ref="H18:H25" si="3">+G18*$H$11</f>
        <v>7003500</v>
      </c>
    </row>
    <row r="19" spans="1:14" x14ac:dyDescent="0.25">
      <c r="A19" s="445" t="s">
        <v>299</v>
      </c>
      <c r="B19" s="408">
        <f t="shared" si="1"/>
        <v>0.42222222222222222</v>
      </c>
      <c r="C19" s="406">
        <f t="shared" si="2"/>
        <v>95000000</v>
      </c>
      <c r="D19" s="293"/>
      <c r="F19" s="445" t="s">
        <v>299</v>
      </c>
      <c r="G19" s="408">
        <f t="shared" si="0"/>
        <v>0.42222222222222222</v>
      </c>
      <c r="H19" s="406">
        <f t="shared" si="3"/>
        <v>95047500</v>
      </c>
    </row>
    <row r="20" spans="1:14" x14ac:dyDescent="0.25">
      <c r="A20" s="445" t="s">
        <v>300</v>
      </c>
      <c r="B20" s="408">
        <f t="shared" si="1"/>
        <v>0.2088888888888889</v>
      </c>
      <c r="C20" s="406">
        <f t="shared" si="2"/>
        <v>47000000</v>
      </c>
      <c r="D20" s="293"/>
      <c r="F20" s="445" t="s">
        <v>300</v>
      </c>
      <c r="G20" s="408">
        <f t="shared" si="0"/>
        <v>0.2088888888888889</v>
      </c>
      <c r="H20" s="406">
        <f t="shared" si="3"/>
        <v>47023500</v>
      </c>
    </row>
    <row r="21" spans="1:14" x14ac:dyDescent="0.25">
      <c r="A21" s="445" t="s">
        <v>301</v>
      </c>
      <c r="B21" s="408">
        <f t="shared" si="1"/>
        <v>0.26222222222222225</v>
      </c>
      <c r="C21" s="406">
        <f t="shared" si="2"/>
        <v>59000000.000000007</v>
      </c>
      <c r="D21" s="293"/>
      <c r="F21" s="445" t="s">
        <v>301</v>
      </c>
      <c r="G21" s="408">
        <f t="shared" si="0"/>
        <v>0.26222222222222225</v>
      </c>
      <c r="H21" s="406">
        <f t="shared" si="3"/>
        <v>59029500.000000007</v>
      </c>
    </row>
    <row r="22" spans="1:14" x14ac:dyDescent="0.25">
      <c r="A22" s="444" t="s">
        <v>302</v>
      </c>
      <c r="B22" s="408">
        <f t="shared" si="1"/>
        <v>2.2222222222222223E-2</v>
      </c>
      <c r="C22" s="406">
        <f>+B22*$C$11</f>
        <v>5000000</v>
      </c>
      <c r="D22" s="293"/>
      <c r="F22" s="444" t="s">
        <v>302</v>
      </c>
      <c r="G22" s="408">
        <f t="shared" si="0"/>
        <v>2.2222222222222223E-2</v>
      </c>
      <c r="H22" s="406">
        <f>+G22*$H$11</f>
        <v>5002500</v>
      </c>
    </row>
    <row r="23" spans="1:14" x14ac:dyDescent="0.25">
      <c r="A23" s="446" t="s">
        <v>303</v>
      </c>
      <c r="B23" s="408">
        <f t="shared" si="1"/>
        <v>8.8888888888888889E-3</v>
      </c>
      <c r="C23" s="406">
        <f t="shared" si="2"/>
        <v>2000000</v>
      </c>
      <c r="D23" s="293"/>
      <c r="F23" s="444" t="s">
        <v>303</v>
      </c>
      <c r="G23" s="408">
        <f t="shared" si="0"/>
        <v>8.8888888888888889E-3</v>
      </c>
      <c r="H23" s="406">
        <f t="shared" si="3"/>
        <v>2001000</v>
      </c>
    </row>
    <row r="24" spans="1:14" x14ac:dyDescent="0.25">
      <c r="A24" s="444" t="s">
        <v>304</v>
      </c>
      <c r="B24" s="408">
        <f t="shared" si="1"/>
        <v>4.4444444444444444E-3</v>
      </c>
      <c r="C24" s="406">
        <f>+B24*$C$11</f>
        <v>1000000</v>
      </c>
      <c r="D24" s="293"/>
      <c r="F24" s="444" t="s">
        <v>304</v>
      </c>
      <c r="G24" s="408">
        <f t="shared" si="0"/>
        <v>4.4444444444444444E-3</v>
      </c>
      <c r="H24" s="406">
        <f>+G24*$H$11</f>
        <v>1000500</v>
      </c>
    </row>
    <row r="25" spans="1:14" x14ac:dyDescent="0.25">
      <c r="A25" s="444" t="s">
        <v>305</v>
      </c>
      <c r="B25" s="408">
        <f t="shared" si="1"/>
        <v>1.7777777777777778E-2</v>
      </c>
      <c r="C25" s="406">
        <f t="shared" si="2"/>
        <v>4000000</v>
      </c>
      <c r="D25" s="293"/>
      <c r="F25" s="444" t="s">
        <v>305</v>
      </c>
      <c r="G25" s="408">
        <f t="shared" ref="G25" si="4">G46</f>
        <v>1.7777777777777778E-2</v>
      </c>
      <c r="H25" s="406">
        <f t="shared" si="3"/>
        <v>4002000</v>
      </c>
    </row>
    <row r="26" spans="1:14" ht="15.75" thickBot="1" x14ac:dyDescent="0.3">
      <c r="B26" s="287">
        <f>SUM(B17:B25)</f>
        <v>1</v>
      </c>
      <c r="C26" s="288">
        <f>SUM(C17:C25)</f>
        <v>225000000</v>
      </c>
      <c r="D26" s="412"/>
      <c r="G26" s="450">
        <f>SUM(G17:G25)</f>
        <v>1</v>
      </c>
      <c r="H26" s="449">
        <f>SUM(H17:H25)</f>
        <v>225112500</v>
      </c>
    </row>
    <row r="27" spans="1:14" ht="15.75" thickTop="1" x14ac:dyDescent="0.25"/>
    <row r="28" spans="1:14" ht="15.75" x14ac:dyDescent="0.25">
      <c r="A28" s="291" t="s">
        <v>201</v>
      </c>
      <c r="F28" s="291" t="s">
        <v>113</v>
      </c>
      <c r="K28" s="291" t="s">
        <v>188</v>
      </c>
    </row>
    <row r="29" spans="1:14" ht="30" x14ac:dyDescent="0.25">
      <c r="A29" s="291"/>
      <c r="B29" s="275" t="s">
        <v>98</v>
      </c>
      <c r="C29" s="276" t="s">
        <v>96</v>
      </c>
      <c r="D29" s="276" t="s">
        <v>97</v>
      </c>
      <c r="F29" s="291"/>
      <c r="G29" s="275" t="s">
        <v>98</v>
      </c>
      <c r="H29" s="276" t="s">
        <v>96</v>
      </c>
      <c r="I29" s="276" t="s">
        <v>97</v>
      </c>
      <c r="K29" s="291"/>
      <c r="L29" s="275" t="s">
        <v>98</v>
      </c>
      <c r="M29" s="276" t="s">
        <v>96</v>
      </c>
      <c r="N29" s="276" t="s">
        <v>97</v>
      </c>
    </row>
    <row r="30" spans="1:14" x14ac:dyDescent="0.25">
      <c r="A30" s="277" t="s">
        <v>105</v>
      </c>
      <c r="C30" s="282">
        <f>+C34</f>
        <v>500000000</v>
      </c>
      <c r="D30" s="282">
        <f>+D9</f>
        <v>535000000</v>
      </c>
      <c r="F30" s="277" t="s">
        <v>105</v>
      </c>
      <c r="H30" s="279">
        <f>+H34</f>
        <v>500000000</v>
      </c>
      <c r="I30" s="283">
        <f>+I34</f>
        <v>535000000</v>
      </c>
      <c r="K30" s="277" t="s">
        <v>105</v>
      </c>
      <c r="M30" s="279">
        <f>+M34</f>
        <v>500000000</v>
      </c>
      <c r="N30" s="283">
        <f>+N34</f>
        <v>535000000</v>
      </c>
    </row>
    <row r="31" spans="1:14" x14ac:dyDescent="0.25">
      <c r="A31" s="277"/>
      <c r="F31" s="277"/>
      <c r="K31" s="277"/>
    </row>
    <row r="32" spans="1:14" x14ac:dyDescent="0.25">
      <c r="A32" s="274" t="s">
        <v>11</v>
      </c>
      <c r="B32" s="281">
        <f>+C32/C34</f>
        <v>0.45</v>
      </c>
      <c r="C32" s="278">
        <v>225000000</v>
      </c>
      <c r="D32" s="279">
        <f>+C32</f>
        <v>225000000</v>
      </c>
      <c r="F32" s="274" t="s">
        <v>65</v>
      </c>
      <c r="G32" s="284">
        <f>+H32/H34</f>
        <v>0.45</v>
      </c>
      <c r="H32" s="279">
        <f>+C32</f>
        <v>225000000</v>
      </c>
      <c r="I32" s="279">
        <f>+D32</f>
        <v>225000000</v>
      </c>
      <c r="K32" s="274" t="s">
        <v>65</v>
      </c>
      <c r="L32" s="284">
        <f>+M32/M34</f>
        <v>0.45</v>
      </c>
      <c r="M32" s="279">
        <f>+H32</f>
        <v>225000000</v>
      </c>
      <c r="N32" s="279">
        <f>+I32</f>
        <v>225000000</v>
      </c>
    </row>
    <row r="33" spans="1:14" x14ac:dyDescent="0.25">
      <c r="A33" s="274" t="s">
        <v>12</v>
      </c>
      <c r="B33" s="281">
        <f>+C33/C34</f>
        <v>0.55000000000000004</v>
      </c>
      <c r="C33" s="278">
        <v>275000000</v>
      </c>
      <c r="D33" s="279">
        <f>+C33-C8</f>
        <v>310000000</v>
      </c>
      <c r="F33" s="274" t="s">
        <v>66</v>
      </c>
      <c r="G33" s="284">
        <f>+H33/H34</f>
        <v>0.55000000000000004</v>
      </c>
      <c r="H33" s="279">
        <f>+C33</f>
        <v>275000000</v>
      </c>
      <c r="I33" s="279">
        <f>+D33</f>
        <v>310000000</v>
      </c>
      <c r="K33" s="274" t="s">
        <v>66</v>
      </c>
      <c r="L33" s="284">
        <f>+M33/M34</f>
        <v>0.55000000000000004</v>
      </c>
      <c r="M33" s="279">
        <f>+H33</f>
        <v>275000000</v>
      </c>
      <c r="N33" s="279">
        <f>+I33</f>
        <v>310000000</v>
      </c>
    </row>
    <row r="34" spans="1:14" ht="15.75" thickBot="1" x14ac:dyDescent="0.3">
      <c r="A34" s="274" t="s">
        <v>52</v>
      </c>
      <c r="B34" s="287">
        <f>+B32+B33</f>
        <v>1</v>
      </c>
      <c r="C34" s="288">
        <f>+C32+C33</f>
        <v>500000000</v>
      </c>
      <c r="D34" s="288">
        <f>+D32+D33</f>
        <v>535000000</v>
      </c>
      <c r="F34" s="274" t="s">
        <v>52</v>
      </c>
      <c r="G34" s="287">
        <f>+G32+G33</f>
        <v>1</v>
      </c>
      <c r="H34" s="288">
        <f>+H32+H33</f>
        <v>500000000</v>
      </c>
      <c r="I34" s="288">
        <f>+I32+I33</f>
        <v>535000000</v>
      </c>
      <c r="K34" s="274" t="s">
        <v>52</v>
      </c>
      <c r="L34" s="287">
        <f>+L32+L33</f>
        <v>1</v>
      </c>
      <c r="M34" s="288">
        <f>+M32+M33</f>
        <v>500000000</v>
      </c>
      <c r="N34" s="288">
        <f>+N32+N33</f>
        <v>535000000</v>
      </c>
    </row>
    <row r="35" spans="1:14" ht="15.75" thickTop="1" x14ac:dyDescent="0.25"/>
    <row r="36" spans="1:14" x14ac:dyDescent="0.25">
      <c r="A36" s="291" t="s">
        <v>108</v>
      </c>
      <c r="F36" s="291" t="s">
        <v>114</v>
      </c>
      <c r="K36" s="291" t="s">
        <v>309</v>
      </c>
    </row>
    <row r="37" spans="1:14" x14ac:dyDescent="0.25">
      <c r="A37" s="291"/>
      <c r="B37" s="276" t="s">
        <v>8</v>
      </c>
      <c r="C37" s="276" t="s">
        <v>14</v>
      </c>
      <c r="D37" s="275" t="s">
        <v>292</v>
      </c>
      <c r="F37" s="291"/>
      <c r="G37" s="276" t="s">
        <v>9</v>
      </c>
      <c r="H37" s="276" t="s">
        <v>14</v>
      </c>
      <c r="I37" s="275" t="s">
        <v>292</v>
      </c>
      <c r="J37" s="294"/>
      <c r="K37" s="291"/>
      <c r="L37" s="276" t="s">
        <v>9</v>
      </c>
      <c r="M37" s="276" t="s">
        <v>14</v>
      </c>
      <c r="N37" s="275" t="s">
        <v>17</v>
      </c>
    </row>
    <row r="38" spans="1:14" x14ac:dyDescent="0.25">
      <c r="A38" s="274" t="s">
        <v>2</v>
      </c>
      <c r="B38" s="295">
        <v>2.2222222222222223E-2</v>
      </c>
      <c r="C38" s="351">
        <f>+B38*$C$32</f>
        <v>5000000</v>
      </c>
      <c r="D38" s="296">
        <v>7.6999999999999999E-2</v>
      </c>
      <c r="E38" s="282"/>
      <c r="F38" s="274" t="s">
        <v>2</v>
      </c>
      <c r="G38" s="284">
        <f>+B38</f>
        <v>2.2222222222222223E-2</v>
      </c>
      <c r="H38" s="351">
        <f>+G38*$H$32</f>
        <v>5000000</v>
      </c>
      <c r="I38" s="297">
        <f t="shared" ref="I38:I46" si="5">+D38</f>
        <v>7.6999999999999999E-2</v>
      </c>
      <c r="J38" s="297"/>
      <c r="K38" s="274" t="s">
        <v>2</v>
      </c>
      <c r="L38" s="284">
        <f>+G38</f>
        <v>2.2222222222222223E-2</v>
      </c>
      <c r="M38" s="282">
        <f>+L38*$H$32</f>
        <v>5000000</v>
      </c>
      <c r="N38" s="297">
        <f t="shared" ref="N38:N42" si="6">+I38</f>
        <v>7.6999999999999999E-2</v>
      </c>
    </row>
    <row r="39" spans="1:14" x14ac:dyDescent="0.25">
      <c r="A39" s="274" t="s">
        <v>3</v>
      </c>
      <c r="B39" s="295">
        <v>3.111111111111111E-2</v>
      </c>
      <c r="C39" s="351">
        <f t="shared" ref="C39:C46" si="7">+B39*$C$32</f>
        <v>7000000</v>
      </c>
      <c r="D39" s="296">
        <v>8.8999999999999996E-2</v>
      </c>
      <c r="E39" s="282"/>
      <c r="F39" s="274" t="s">
        <v>3</v>
      </c>
      <c r="G39" s="284">
        <f t="shared" ref="G39:G46" si="8">+B39</f>
        <v>3.111111111111111E-2</v>
      </c>
      <c r="H39" s="351">
        <f t="shared" ref="H39:H46" si="9">+G39*$H$32</f>
        <v>7000000</v>
      </c>
      <c r="I39" s="297">
        <f t="shared" si="5"/>
        <v>8.8999999999999996E-2</v>
      </c>
      <c r="J39" s="297"/>
      <c r="K39" s="274" t="s">
        <v>3</v>
      </c>
      <c r="L39" s="284">
        <f t="shared" ref="L39:L42" si="10">+G39</f>
        <v>3.111111111111111E-2</v>
      </c>
      <c r="M39" s="282">
        <f t="shared" ref="M39:M42" si="11">+L39*$H$32</f>
        <v>7000000</v>
      </c>
      <c r="N39" s="297">
        <f t="shared" si="6"/>
        <v>8.8999999999999996E-2</v>
      </c>
    </row>
    <row r="40" spans="1:14" x14ac:dyDescent="0.25">
      <c r="A40" s="445" t="s">
        <v>299</v>
      </c>
      <c r="B40" s="447">
        <v>0.42222222222222222</v>
      </c>
      <c r="C40" s="406">
        <f>+B40*$C$32</f>
        <v>95000000</v>
      </c>
      <c r="D40" s="451">
        <v>6.5000000000000002E-2</v>
      </c>
      <c r="E40" s="282"/>
      <c r="F40" s="445" t="s">
        <v>299</v>
      </c>
      <c r="G40" s="408">
        <f t="shared" si="8"/>
        <v>0.42222222222222222</v>
      </c>
      <c r="H40" s="406">
        <f t="shared" si="9"/>
        <v>95000000</v>
      </c>
      <c r="I40" s="448">
        <f t="shared" si="5"/>
        <v>6.5000000000000002E-2</v>
      </c>
      <c r="J40" s="297"/>
      <c r="K40" s="445" t="s">
        <v>299</v>
      </c>
      <c r="L40" s="408">
        <f t="shared" si="10"/>
        <v>0.42222222222222222</v>
      </c>
      <c r="M40" s="414">
        <f t="shared" si="11"/>
        <v>95000000</v>
      </c>
      <c r="N40" s="448">
        <f t="shared" si="6"/>
        <v>6.5000000000000002E-2</v>
      </c>
    </row>
    <row r="41" spans="1:14" x14ac:dyDescent="0.25">
      <c r="A41" s="445" t="s">
        <v>300</v>
      </c>
      <c r="B41" s="447">
        <v>0.2088888888888889</v>
      </c>
      <c r="C41" s="406">
        <f t="shared" si="7"/>
        <v>47000000</v>
      </c>
      <c r="D41" s="451">
        <v>9.4E-2</v>
      </c>
      <c r="E41" s="282"/>
      <c r="F41" s="445" t="s">
        <v>300</v>
      </c>
      <c r="G41" s="408">
        <f t="shared" si="8"/>
        <v>0.2088888888888889</v>
      </c>
      <c r="H41" s="406">
        <f>+G41*$H$32</f>
        <v>47000000</v>
      </c>
      <c r="I41" s="448">
        <f t="shared" si="5"/>
        <v>9.4E-2</v>
      </c>
      <c r="J41" s="297"/>
      <c r="K41" s="445" t="s">
        <v>300</v>
      </c>
      <c r="L41" s="408">
        <f t="shared" si="10"/>
        <v>0.2088888888888889</v>
      </c>
      <c r="M41" s="414">
        <f t="shared" si="11"/>
        <v>47000000</v>
      </c>
      <c r="N41" s="448">
        <f t="shared" si="6"/>
        <v>9.4E-2</v>
      </c>
    </row>
    <row r="42" spans="1:14" x14ac:dyDescent="0.25">
      <c r="A42" s="445" t="s">
        <v>301</v>
      </c>
      <c r="B42" s="447">
        <v>0.26222222222222225</v>
      </c>
      <c r="C42" s="406">
        <f t="shared" si="7"/>
        <v>59000000.000000007</v>
      </c>
      <c r="D42" s="451">
        <v>0.13200000000000001</v>
      </c>
      <c r="E42" s="282"/>
      <c r="F42" s="445" t="s">
        <v>301</v>
      </c>
      <c r="G42" s="408">
        <f t="shared" si="8"/>
        <v>0.26222222222222225</v>
      </c>
      <c r="H42" s="406">
        <f t="shared" si="9"/>
        <v>59000000.000000007</v>
      </c>
      <c r="I42" s="448">
        <f t="shared" si="5"/>
        <v>0.13200000000000001</v>
      </c>
      <c r="J42" s="297"/>
      <c r="K42" s="445" t="s">
        <v>301</v>
      </c>
      <c r="L42" s="408">
        <f t="shared" si="10"/>
        <v>0.26222222222222225</v>
      </c>
      <c r="M42" s="414">
        <f t="shared" si="11"/>
        <v>59000000.000000007</v>
      </c>
      <c r="N42" s="448">
        <f t="shared" si="6"/>
        <v>0.13200000000000001</v>
      </c>
    </row>
    <row r="43" spans="1:14" x14ac:dyDescent="0.25">
      <c r="A43" s="444" t="s">
        <v>302</v>
      </c>
      <c r="B43" s="447">
        <v>2.2222222222222223E-2</v>
      </c>
      <c r="C43" s="406">
        <f>+B43*$C$32</f>
        <v>5000000</v>
      </c>
      <c r="D43" s="452">
        <v>7.3999999999999996E-2</v>
      </c>
      <c r="E43" s="282"/>
      <c r="F43" s="444" t="s">
        <v>302</v>
      </c>
      <c r="G43" s="408">
        <f>+B43</f>
        <v>2.2222222222222223E-2</v>
      </c>
      <c r="H43" s="406">
        <f>+G43*$H$32</f>
        <v>5000000</v>
      </c>
      <c r="I43" s="409">
        <f>+D43</f>
        <v>7.3999999999999996E-2</v>
      </c>
      <c r="J43" s="297"/>
      <c r="K43" s="444" t="s">
        <v>302</v>
      </c>
      <c r="L43" s="408">
        <f>+G43</f>
        <v>2.2222222222222223E-2</v>
      </c>
      <c r="M43" s="414">
        <f>+L43*$H$32</f>
        <v>5000000</v>
      </c>
      <c r="N43" s="409">
        <f>+I43</f>
        <v>7.3999999999999996E-2</v>
      </c>
    </row>
    <row r="44" spans="1:14" x14ac:dyDescent="0.25">
      <c r="A44" s="444" t="s">
        <v>303</v>
      </c>
      <c r="B44" s="447">
        <v>8.8888888888888889E-3</v>
      </c>
      <c r="C44" s="406">
        <f t="shared" si="7"/>
        <v>2000000</v>
      </c>
      <c r="D44" s="452">
        <v>0.10199999999999999</v>
      </c>
      <c r="E44" s="282"/>
      <c r="F44" s="444" t="s">
        <v>303</v>
      </c>
      <c r="G44" s="408">
        <f t="shared" si="8"/>
        <v>8.8888888888888889E-3</v>
      </c>
      <c r="H44" s="406">
        <f t="shared" si="9"/>
        <v>2000000</v>
      </c>
      <c r="I44" s="409">
        <f t="shared" si="5"/>
        <v>0.10199999999999999</v>
      </c>
      <c r="J44" s="297"/>
      <c r="K44" s="444" t="s">
        <v>303</v>
      </c>
      <c r="L44" s="408">
        <f t="shared" ref="L44:L46" si="12">+G44</f>
        <v>8.8888888888888889E-3</v>
      </c>
      <c r="M44" s="414">
        <f t="shared" ref="M44:M46" si="13">+L44*$H$32</f>
        <v>2000000</v>
      </c>
      <c r="N44" s="409">
        <f t="shared" ref="N44:N46" si="14">+I44</f>
        <v>0.10199999999999999</v>
      </c>
    </row>
    <row r="45" spans="1:14" x14ac:dyDescent="0.25">
      <c r="A45" s="444" t="s">
        <v>304</v>
      </c>
      <c r="B45" s="447">
        <v>4.4444444444444444E-3</v>
      </c>
      <c r="C45" s="406">
        <f>+B45*$C$32</f>
        <v>1000000</v>
      </c>
      <c r="D45" s="452">
        <v>0.24</v>
      </c>
      <c r="E45" s="282"/>
      <c r="F45" s="444" t="s">
        <v>304</v>
      </c>
      <c r="G45" s="408">
        <f>+B45</f>
        <v>4.4444444444444444E-3</v>
      </c>
      <c r="H45" s="406">
        <f>+G45*$H$32</f>
        <v>1000000</v>
      </c>
      <c r="I45" s="409">
        <f>+D45</f>
        <v>0.24</v>
      </c>
      <c r="J45" s="297"/>
      <c r="K45" s="444" t="s">
        <v>304</v>
      </c>
      <c r="L45" s="408">
        <f>+G45</f>
        <v>4.4444444444444444E-3</v>
      </c>
      <c r="M45" s="414">
        <f>+L45*$H$32</f>
        <v>1000000</v>
      </c>
      <c r="N45" s="409">
        <f>+I45</f>
        <v>0.24</v>
      </c>
    </row>
    <row r="46" spans="1:14" x14ac:dyDescent="0.25">
      <c r="A46" s="444" t="s">
        <v>305</v>
      </c>
      <c r="B46" s="447">
        <v>1.7777777777777778E-2</v>
      </c>
      <c r="C46" s="406">
        <f t="shared" si="7"/>
        <v>4000000</v>
      </c>
      <c r="D46" s="452">
        <v>2.4E-2</v>
      </c>
      <c r="E46" s="282"/>
      <c r="F46" s="444" t="s">
        <v>305</v>
      </c>
      <c r="G46" s="408">
        <f t="shared" si="8"/>
        <v>1.7777777777777778E-2</v>
      </c>
      <c r="H46" s="406">
        <f t="shared" si="9"/>
        <v>4000000</v>
      </c>
      <c r="I46" s="409">
        <f t="shared" si="5"/>
        <v>2.4E-2</v>
      </c>
      <c r="J46" s="297"/>
      <c r="K46" s="444" t="s">
        <v>305</v>
      </c>
      <c r="L46" s="408">
        <f t="shared" si="12"/>
        <v>1.7777777777777778E-2</v>
      </c>
      <c r="M46" s="414">
        <f t="shared" si="13"/>
        <v>4000000</v>
      </c>
      <c r="N46" s="409">
        <f t="shared" si="14"/>
        <v>2.4E-2</v>
      </c>
    </row>
    <row r="47" spans="1:14" ht="15.75" thickBot="1" x14ac:dyDescent="0.3">
      <c r="B47" s="287">
        <f>SUM(B38:B46)</f>
        <v>1</v>
      </c>
      <c r="C47" s="288">
        <f>SUM(C38:C46)</f>
        <v>225000000</v>
      </c>
      <c r="D47" s="298"/>
      <c r="E47" s="283"/>
      <c r="G47" s="287">
        <f>SUM(G38:G46)</f>
        <v>1</v>
      </c>
      <c r="H47" s="449">
        <f>SUM(H38:H46)</f>
        <v>225000000</v>
      </c>
      <c r="L47" s="450">
        <f>SUM(L38:L46)</f>
        <v>1</v>
      </c>
      <c r="M47" s="449">
        <f>SUM(M38:M46)</f>
        <v>225000000</v>
      </c>
    </row>
    <row r="48" spans="1:14" ht="15.75" thickTop="1" x14ac:dyDescent="0.25"/>
    <row r="49" spans="1:15" x14ac:dyDescent="0.25">
      <c r="A49" s="291" t="s">
        <v>109</v>
      </c>
      <c r="F49" s="291" t="s">
        <v>115</v>
      </c>
      <c r="K49" s="290"/>
      <c r="L49" s="286"/>
      <c r="M49" s="286"/>
      <c r="N49" s="286"/>
      <c r="O49" s="286"/>
    </row>
    <row r="50" spans="1:15" x14ac:dyDescent="0.25">
      <c r="A50" s="273"/>
      <c r="B50" s="276" t="s">
        <v>53</v>
      </c>
      <c r="D50" s="276"/>
      <c r="F50" s="273"/>
      <c r="G50" s="276" t="s">
        <v>53</v>
      </c>
      <c r="K50" s="299"/>
      <c r="L50" s="300"/>
      <c r="M50" s="286"/>
      <c r="N50" s="286"/>
      <c r="O50" s="286"/>
    </row>
    <row r="51" spans="1:15" x14ac:dyDescent="0.25">
      <c r="A51" s="273" t="s">
        <v>107</v>
      </c>
      <c r="B51" s="276" t="s">
        <v>10</v>
      </c>
      <c r="D51" s="276"/>
      <c r="F51" s="273" t="s">
        <v>107</v>
      </c>
      <c r="G51" s="276" t="s">
        <v>10</v>
      </c>
      <c r="K51" s="299"/>
      <c r="L51" s="300"/>
      <c r="M51" s="286"/>
      <c r="N51" s="286"/>
      <c r="O51" s="286"/>
    </row>
    <row r="52" spans="1:15" x14ac:dyDescent="0.25">
      <c r="A52" s="274" t="s">
        <v>69</v>
      </c>
      <c r="B52" s="301">
        <f>+B97</f>
        <v>3.15E-2</v>
      </c>
      <c r="D52" s="301"/>
      <c r="E52" s="302"/>
      <c r="F52" s="274" t="s">
        <v>69</v>
      </c>
      <c r="G52" s="301">
        <f>+G97</f>
        <v>3.1848807346377295E-2</v>
      </c>
      <c r="I52" s="303"/>
      <c r="K52" s="286"/>
      <c r="L52" s="301"/>
      <c r="M52" s="286"/>
      <c r="N52" s="304"/>
      <c r="O52" s="286"/>
    </row>
    <row r="53" spans="1:15" ht="17.25" x14ac:dyDescent="0.25">
      <c r="A53" s="274" t="s">
        <v>70</v>
      </c>
      <c r="B53" s="301">
        <f>+B98</f>
        <v>2.7681818181818182E-2</v>
      </c>
      <c r="D53" s="301"/>
      <c r="F53" s="274" t="s">
        <v>209</v>
      </c>
      <c r="G53" s="301">
        <f>+G98</f>
        <v>2.7681818181818182E-2</v>
      </c>
      <c r="I53" s="305"/>
      <c r="K53" s="286"/>
      <c r="L53" s="301"/>
      <c r="M53" s="286"/>
      <c r="N53" s="306"/>
      <c r="O53" s="286"/>
    </row>
    <row r="54" spans="1:15" x14ac:dyDescent="0.25">
      <c r="A54" s="274" t="s">
        <v>19</v>
      </c>
      <c r="B54" s="307">
        <v>0.10589999999999999</v>
      </c>
      <c r="D54" s="308"/>
      <c r="F54" s="274" t="s">
        <v>19</v>
      </c>
      <c r="G54" s="309">
        <f>+B54</f>
        <v>0.10589999999999999</v>
      </c>
      <c r="I54" s="282"/>
      <c r="K54" s="286"/>
      <c r="L54" s="308"/>
      <c r="M54" s="286"/>
      <c r="N54" s="279"/>
      <c r="O54" s="286"/>
    </row>
    <row r="55" spans="1:15" x14ac:dyDescent="0.25">
      <c r="A55" s="274" t="s">
        <v>20</v>
      </c>
      <c r="B55" s="307">
        <v>7.8700000000000006E-2</v>
      </c>
      <c r="D55" s="308"/>
      <c r="F55" s="274" t="s">
        <v>20</v>
      </c>
      <c r="G55" s="309">
        <f>+B55</f>
        <v>7.8700000000000006E-2</v>
      </c>
      <c r="J55" s="310"/>
      <c r="K55" s="286"/>
      <c r="L55" s="308"/>
      <c r="M55" s="286"/>
      <c r="N55" s="286"/>
      <c r="O55" s="286"/>
    </row>
    <row r="56" spans="1:15" ht="17.25" x14ac:dyDescent="0.25">
      <c r="F56" s="274" t="s">
        <v>210</v>
      </c>
      <c r="G56" s="307">
        <v>8.7099999999999997E-2</v>
      </c>
      <c r="H56" s="286"/>
      <c r="I56" s="286" t="s">
        <v>71</v>
      </c>
      <c r="K56" s="286"/>
      <c r="L56" s="308"/>
      <c r="M56" s="286"/>
      <c r="N56" s="286"/>
      <c r="O56" s="286"/>
    </row>
    <row r="57" spans="1:15" ht="17.25" x14ac:dyDescent="0.25">
      <c r="C57" s="283"/>
      <c r="D57" s="282"/>
      <c r="F57" s="274" t="s">
        <v>211</v>
      </c>
      <c r="G57" s="311">
        <f>+H57/H13</f>
        <v>8.8359370314842575E-2</v>
      </c>
      <c r="H57" s="312">
        <v>44201775</v>
      </c>
      <c r="I57" s="274" t="s">
        <v>83</v>
      </c>
      <c r="K57" s="286"/>
      <c r="L57" s="311"/>
      <c r="M57" s="313"/>
      <c r="N57" s="286"/>
      <c r="O57" s="286"/>
    </row>
    <row r="58" spans="1:15" x14ac:dyDescent="0.25">
      <c r="B58" s="310"/>
      <c r="C58" s="305"/>
      <c r="D58" s="282"/>
      <c r="J58" s="314"/>
      <c r="K58" s="305"/>
    </row>
    <row r="59" spans="1:15" ht="18.75" x14ac:dyDescent="0.3">
      <c r="A59" s="272" t="s">
        <v>21</v>
      </c>
      <c r="B59" s="310"/>
      <c r="C59" s="315"/>
      <c r="D59" s="282"/>
      <c r="E59" s="302"/>
      <c r="F59" s="272" t="s">
        <v>23</v>
      </c>
      <c r="G59" s="310"/>
      <c r="H59" s="316"/>
    </row>
    <row r="60" spans="1:15" x14ac:dyDescent="0.25">
      <c r="A60" s="282"/>
      <c r="B60" s="309"/>
      <c r="C60" s="314"/>
      <c r="D60" s="309"/>
      <c r="E60" s="302"/>
      <c r="F60" s="282"/>
      <c r="G60" s="309"/>
      <c r="H60" s="316"/>
      <c r="I60" s="317"/>
    </row>
    <row r="61" spans="1:15" x14ac:dyDescent="0.25">
      <c r="A61" s="291" t="s">
        <v>110</v>
      </c>
      <c r="F61" s="291" t="s">
        <v>116</v>
      </c>
      <c r="I61" s="318"/>
    </row>
    <row r="62" spans="1:15" x14ac:dyDescent="0.25">
      <c r="A62" s="291"/>
      <c r="B62" s="275" t="s">
        <v>36</v>
      </c>
      <c r="C62" s="319" t="s">
        <v>14</v>
      </c>
      <c r="D62" s="320" t="s">
        <v>37</v>
      </c>
      <c r="F62" s="291"/>
      <c r="G62" s="276" t="s">
        <v>36</v>
      </c>
      <c r="H62" s="321" t="s">
        <v>14</v>
      </c>
      <c r="I62" s="320" t="s">
        <v>37</v>
      </c>
      <c r="J62" s="273"/>
    </row>
    <row r="63" spans="1:15" ht="17.25" x14ac:dyDescent="0.25">
      <c r="A63" s="274" t="s">
        <v>206</v>
      </c>
      <c r="B63" s="308">
        <f>+D63/C63</f>
        <v>0.65</v>
      </c>
      <c r="C63" s="282">
        <f>+D7</f>
        <v>8000000</v>
      </c>
      <c r="D63" s="322">
        <v>5200000</v>
      </c>
      <c r="F63" s="274" t="s">
        <v>204</v>
      </c>
      <c r="G63" s="308">
        <f>+I63/H63</f>
        <v>0.65</v>
      </c>
      <c r="H63" s="282">
        <f>+I7</f>
        <v>8000000</v>
      </c>
      <c r="I63" s="322">
        <v>5200000</v>
      </c>
      <c r="J63" s="365"/>
      <c r="K63" s="302"/>
    </row>
    <row r="64" spans="1:15" x14ac:dyDescent="0.25">
      <c r="A64" s="274" t="s">
        <v>68</v>
      </c>
      <c r="B64" s="309">
        <f>+D64/C64</f>
        <v>2.9287595581988048E-2</v>
      </c>
      <c r="C64" s="282">
        <f>+D6</f>
        <v>527000000</v>
      </c>
      <c r="D64" s="323">
        <v>15434562.8717077</v>
      </c>
      <c r="F64" s="274" t="s">
        <v>68</v>
      </c>
      <c r="G64" s="309">
        <f>+I64/H64</f>
        <v>2.9436574235123938E-2</v>
      </c>
      <c r="H64" s="282">
        <f>+I6</f>
        <v>527250000</v>
      </c>
      <c r="I64" s="324">
        <v>15520433.765469097</v>
      </c>
      <c r="J64" s="365"/>
      <c r="K64" s="364"/>
      <c r="L64" s="325"/>
      <c r="M64" s="325"/>
    </row>
    <row r="65" spans="1:16" ht="17.25" x14ac:dyDescent="0.25">
      <c r="A65" s="274" t="s">
        <v>207</v>
      </c>
      <c r="B65" s="309"/>
      <c r="C65" s="282"/>
      <c r="D65" s="324">
        <v>1850000</v>
      </c>
      <c r="F65" s="274" t="s">
        <v>212</v>
      </c>
      <c r="G65" s="309"/>
      <c r="H65" s="282"/>
      <c r="I65" s="324">
        <v>1980000</v>
      </c>
      <c r="J65" s="365"/>
      <c r="K65" s="325"/>
      <c r="L65" s="325"/>
      <c r="M65" s="325"/>
    </row>
    <row r="66" spans="1:16" x14ac:dyDescent="0.25">
      <c r="A66" s="274" t="s">
        <v>39</v>
      </c>
      <c r="B66" s="310">
        <f>+B55</f>
        <v>7.8700000000000006E-2</v>
      </c>
      <c r="C66" s="283">
        <f>+C11</f>
        <v>225000000</v>
      </c>
      <c r="D66" s="325">
        <f>+C66*B66</f>
        <v>17707500</v>
      </c>
      <c r="F66" s="274" t="s">
        <v>39</v>
      </c>
      <c r="G66" s="301">
        <f>+G57</f>
        <v>8.8359370314842575E-2</v>
      </c>
      <c r="H66" s="283">
        <f>+H11</f>
        <v>225112500</v>
      </c>
      <c r="I66" s="325">
        <f>+H66*G66</f>
        <v>19890798.75</v>
      </c>
      <c r="J66" s="365"/>
      <c r="K66" s="325"/>
      <c r="L66" s="325"/>
      <c r="M66" s="325"/>
    </row>
    <row r="67" spans="1:16" x14ac:dyDescent="0.25">
      <c r="A67" s="274" t="s">
        <v>100</v>
      </c>
      <c r="B67" s="310">
        <f>+B55</f>
        <v>7.8700000000000006E-2</v>
      </c>
      <c r="C67" s="283">
        <f>+C12</f>
        <v>275000000</v>
      </c>
      <c r="D67" s="325">
        <f>+C67*B67</f>
        <v>21642500</v>
      </c>
      <c r="F67" s="274" t="s">
        <v>38</v>
      </c>
      <c r="G67" s="301">
        <f>+G57</f>
        <v>8.8359370314842575E-2</v>
      </c>
      <c r="H67" s="283">
        <f>+H12</f>
        <v>275137500</v>
      </c>
      <c r="I67" s="325">
        <f>+H67*G67</f>
        <v>24310976.25</v>
      </c>
      <c r="J67" s="365"/>
      <c r="K67" s="325"/>
      <c r="L67" s="325"/>
      <c r="M67" s="325"/>
    </row>
    <row r="68" spans="1:16" ht="17.25" x14ac:dyDescent="0.25">
      <c r="A68" s="274" t="s">
        <v>202</v>
      </c>
      <c r="B68" s="310"/>
      <c r="C68" s="283"/>
      <c r="D68" s="453">
        <f>+'RPP Settlement &amp; 1st TU'!K16</f>
        <v>-4496000.0000000019</v>
      </c>
      <c r="F68" s="274" t="s">
        <v>289</v>
      </c>
      <c r="G68" s="310"/>
      <c r="H68" s="283"/>
      <c r="I68" s="453">
        <f>+D68</f>
        <v>-4496000.0000000019</v>
      </c>
      <c r="J68" s="365"/>
      <c r="L68" s="325"/>
      <c r="M68" s="325"/>
    </row>
    <row r="69" spans="1:16" ht="17.25" x14ac:dyDescent="0.25">
      <c r="A69" s="274" t="s">
        <v>208</v>
      </c>
      <c r="B69" s="301">
        <f>+D69/C69</f>
        <v>-0.62071240441801245</v>
      </c>
      <c r="C69" s="283">
        <f>+D7</f>
        <v>8000000</v>
      </c>
      <c r="D69" s="324">
        <v>-4965699.2353440998</v>
      </c>
      <c r="F69" s="274" t="s">
        <v>203</v>
      </c>
      <c r="G69" s="301">
        <f>+I69/H69</f>
        <v>-0.62071240441801245</v>
      </c>
      <c r="H69" s="283">
        <f>+I7</f>
        <v>8000000</v>
      </c>
      <c r="I69" s="324">
        <v>-4965699.2353440998</v>
      </c>
      <c r="J69" s="365"/>
      <c r="K69" s="325"/>
      <c r="L69" s="325"/>
      <c r="M69" s="325"/>
    </row>
    <row r="70" spans="1:16" ht="15.75" thickBot="1" x14ac:dyDescent="0.3">
      <c r="A70" s="274" t="s">
        <v>46</v>
      </c>
      <c r="B70" s="310"/>
      <c r="C70" s="283"/>
      <c r="D70" s="415">
        <f>SUM(D63:D69)</f>
        <v>52372863.636363603</v>
      </c>
      <c r="F70" s="274" t="s">
        <v>205</v>
      </c>
      <c r="G70" s="310"/>
      <c r="H70" s="283"/>
      <c r="I70" s="415">
        <f>SUM(I63:I69)</f>
        <v>57440509.530125</v>
      </c>
      <c r="J70" s="327"/>
      <c r="K70" s="327"/>
      <c r="L70" s="327"/>
      <c r="M70" s="327"/>
    </row>
    <row r="71" spans="1:16" ht="15.75" thickTop="1" x14ac:dyDescent="0.25">
      <c r="B71" s="310"/>
      <c r="C71" s="283"/>
      <c r="D71" s="328"/>
      <c r="G71" s="310"/>
      <c r="H71" s="283"/>
      <c r="I71" s="328"/>
      <c r="J71" s="326"/>
      <c r="K71" s="327"/>
      <c r="L71" s="327"/>
      <c r="M71" s="327"/>
    </row>
    <row r="72" spans="1:16" ht="18.75" x14ac:dyDescent="0.3">
      <c r="A72" s="272" t="s">
        <v>120</v>
      </c>
      <c r="D72" s="302"/>
      <c r="E72" s="302"/>
      <c r="F72" s="272" t="s">
        <v>121</v>
      </c>
      <c r="I72" s="302"/>
      <c r="K72" s="272" t="s">
        <v>310</v>
      </c>
    </row>
    <row r="73" spans="1:16" ht="18.75" x14ac:dyDescent="0.3">
      <c r="A73" s="272"/>
      <c r="F73" s="272"/>
    </row>
    <row r="74" spans="1:16" x14ac:dyDescent="0.25">
      <c r="A74" s="291" t="s">
        <v>111</v>
      </c>
      <c r="F74" s="291" t="s">
        <v>117</v>
      </c>
      <c r="K74" s="291" t="s">
        <v>311</v>
      </c>
    </row>
    <row r="75" spans="1:16" ht="30" x14ac:dyDescent="0.25">
      <c r="A75" s="291"/>
      <c r="B75" s="275" t="s">
        <v>292</v>
      </c>
      <c r="C75" s="276" t="s">
        <v>14</v>
      </c>
      <c r="D75" s="276" t="s">
        <v>37</v>
      </c>
      <c r="F75" s="291"/>
      <c r="G75" s="275" t="s">
        <v>292</v>
      </c>
      <c r="H75" s="276" t="s">
        <v>14</v>
      </c>
      <c r="I75" s="276" t="s">
        <v>37</v>
      </c>
      <c r="K75" s="291"/>
      <c r="L75" s="275" t="s">
        <v>292</v>
      </c>
      <c r="M75" s="276" t="s">
        <v>14</v>
      </c>
      <c r="N75" s="276" t="s">
        <v>170</v>
      </c>
      <c r="O75" s="273" t="s">
        <v>190</v>
      </c>
      <c r="P75" s="273" t="s">
        <v>189</v>
      </c>
    </row>
    <row r="76" spans="1:16" x14ac:dyDescent="0.25">
      <c r="A76" s="274" t="s">
        <v>2</v>
      </c>
      <c r="B76" s="308">
        <f t="shared" ref="B76:B84" si="15">+D38</f>
        <v>7.6999999999999999E-2</v>
      </c>
      <c r="C76" s="279">
        <f t="shared" ref="C76:C84" si="16">+C38</f>
        <v>5000000</v>
      </c>
      <c r="D76" s="329">
        <f t="shared" ref="D76:D81" si="17">+C76*B76</f>
        <v>385000</v>
      </c>
      <c r="F76" s="274" t="s">
        <v>2</v>
      </c>
      <c r="G76" s="309">
        <f>+I38</f>
        <v>7.6999999999999999E-2</v>
      </c>
      <c r="H76" s="282">
        <f t="shared" ref="H76:H84" si="18">+H38</f>
        <v>5000000</v>
      </c>
      <c r="I76" s="329">
        <f>+H76*G76</f>
        <v>385000</v>
      </c>
      <c r="J76" s="329"/>
      <c r="K76" s="274" t="s">
        <v>2</v>
      </c>
      <c r="L76" s="309">
        <f t="shared" ref="L76:L84" si="19">+N38</f>
        <v>7.6999999999999999E-2</v>
      </c>
      <c r="M76" s="282">
        <f t="shared" ref="M76:M84" si="20">+M38</f>
        <v>5000000</v>
      </c>
      <c r="N76" s="329">
        <f>+M76*L76</f>
        <v>385000</v>
      </c>
      <c r="O76" s="329">
        <f>N76/2</f>
        <v>192500</v>
      </c>
      <c r="P76" s="329">
        <f>O76</f>
        <v>192500</v>
      </c>
    </row>
    <row r="77" spans="1:16" x14ac:dyDescent="0.25">
      <c r="A77" s="274" t="s">
        <v>3</v>
      </c>
      <c r="B77" s="308">
        <f t="shared" si="15"/>
        <v>8.8999999999999996E-2</v>
      </c>
      <c r="C77" s="279">
        <f t="shared" si="16"/>
        <v>7000000</v>
      </c>
      <c r="D77" s="329">
        <f t="shared" si="17"/>
        <v>623000</v>
      </c>
      <c r="F77" s="274" t="s">
        <v>3</v>
      </c>
      <c r="G77" s="309">
        <f>+I39</f>
        <v>8.8999999999999996E-2</v>
      </c>
      <c r="H77" s="282">
        <f t="shared" si="18"/>
        <v>7000000</v>
      </c>
      <c r="I77" s="329">
        <f t="shared" ref="I77:I84" si="21">+H77*G77</f>
        <v>623000</v>
      </c>
      <c r="J77" s="329"/>
      <c r="K77" s="274" t="s">
        <v>3</v>
      </c>
      <c r="L77" s="309">
        <f t="shared" si="19"/>
        <v>8.8999999999999996E-2</v>
      </c>
      <c r="M77" s="282">
        <f t="shared" si="20"/>
        <v>7000000</v>
      </c>
      <c r="N77" s="329">
        <f t="shared" ref="N77:N84" si="22">+M77*L77</f>
        <v>623000</v>
      </c>
      <c r="O77" s="329">
        <f t="shared" ref="O77" si="23">N77/2</f>
        <v>311500</v>
      </c>
      <c r="P77" s="329">
        <f t="shared" ref="P77:P84" si="24">O77</f>
        <v>311500</v>
      </c>
    </row>
    <row r="78" spans="1:16" x14ac:dyDescent="0.25">
      <c r="A78" s="445" t="s">
        <v>299</v>
      </c>
      <c r="B78" s="498">
        <f t="shared" si="15"/>
        <v>6.5000000000000002E-2</v>
      </c>
      <c r="C78" s="410">
        <f t="shared" si="16"/>
        <v>95000000</v>
      </c>
      <c r="D78" s="411">
        <f t="shared" si="17"/>
        <v>6175000</v>
      </c>
      <c r="F78" s="445" t="s">
        <v>299</v>
      </c>
      <c r="G78" s="499">
        <f>+I40</f>
        <v>6.5000000000000002E-2</v>
      </c>
      <c r="H78" s="414">
        <f t="shared" si="18"/>
        <v>95000000</v>
      </c>
      <c r="I78" s="411">
        <f t="shared" si="21"/>
        <v>6175000</v>
      </c>
      <c r="J78" s="329"/>
      <c r="K78" s="445" t="s">
        <v>299</v>
      </c>
      <c r="L78" s="499">
        <f t="shared" si="19"/>
        <v>6.5000000000000002E-2</v>
      </c>
      <c r="M78" s="414">
        <f t="shared" si="20"/>
        <v>95000000</v>
      </c>
      <c r="N78" s="411">
        <f t="shared" si="22"/>
        <v>6175000</v>
      </c>
      <c r="O78" s="411">
        <f t="shared" ref="O78" si="25">N78/2</f>
        <v>3087500</v>
      </c>
      <c r="P78" s="411">
        <f t="shared" si="24"/>
        <v>3087500</v>
      </c>
    </row>
    <row r="79" spans="1:16" x14ac:dyDescent="0.25">
      <c r="A79" s="445" t="s">
        <v>300</v>
      </c>
      <c r="B79" s="498">
        <f t="shared" si="15"/>
        <v>9.4E-2</v>
      </c>
      <c r="C79" s="410">
        <f t="shared" si="16"/>
        <v>47000000</v>
      </c>
      <c r="D79" s="411">
        <f t="shared" si="17"/>
        <v>4418000</v>
      </c>
      <c r="F79" s="445" t="s">
        <v>300</v>
      </c>
      <c r="G79" s="499">
        <f>+I41</f>
        <v>9.4E-2</v>
      </c>
      <c r="H79" s="414">
        <f t="shared" si="18"/>
        <v>47000000</v>
      </c>
      <c r="I79" s="411">
        <f t="shared" si="21"/>
        <v>4418000</v>
      </c>
      <c r="J79" s="329"/>
      <c r="K79" s="445" t="s">
        <v>300</v>
      </c>
      <c r="L79" s="499">
        <f t="shared" si="19"/>
        <v>9.4E-2</v>
      </c>
      <c r="M79" s="414">
        <f t="shared" si="20"/>
        <v>47000000</v>
      </c>
      <c r="N79" s="411">
        <f t="shared" si="22"/>
        <v>4418000</v>
      </c>
      <c r="O79" s="411">
        <f t="shared" ref="O79" si="26">N79/2</f>
        <v>2209000</v>
      </c>
      <c r="P79" s="411">
        <f t="shared" si="24"/>
        <v>2209000</v>
      </c>
    </row>
    <row r="80" spans="1:16" x14ac:dyDescent="0.25">
      <c r="A80" s="445" t="s">
        <v>301</v>
      </c>
      <c r="B80" s="498">
        <f t="shared" si="15"/>
        <v>0.13200000000000001</v>
      </c>
      <c r="C80" s="410">
        <f t="shared" si="16"/>
        <v>59000000.000000007</v>
      </c>
      <c r="D80" s="411">
        <f t="shared" si="17"/>
        <v>7788000.0000000009</v>
      </c>
      <c r="F80" s="445" t="s">
        <v>301</v>
      </c>
      <c r="G80" s="499">
        <f>+I42</f>
        <v>0.13200000000000001</v>
      </c>
      <c r="H80" s="414">
        <f t="shared" si="18"/>
        <v>59000000.000000007</v>
      </c>
      <c r="I80" s="411">
        <f t="shared" si="21"/>
        <v>7788000.0000000009</v>
      </c>
      <c r="J80" s="329"/>
      <c r="K80" s="445" t="s">
        <v>301</v>
      </c>
      <c r="L80" s="499">
        <f t="shared" si="19"/>
        <v>0.13200000000000001</v>
      </c>
      <c r="M80" s="414">
        <f t="shared" si="20"/>
        <v>59000000.000000007</v>
      </c>
      <c r="N80" s="411">
        <f t="shared" si="22"/>
        <v>7788000.0000000009</v>
      </c>
      <c r="O80" s="411">
        <f t="shared" ref="O80:O84" si="27">N80/2</f>
        <v>3894000.0000000005</v>
      </c>
      <c r="P80" s="411">
        <f t="shared" si="24"/>
        <v>3894000.0000000005</v>
      </c>
    </row>
    <row r="81" spans="1:17" x14ac:dyDescent="0.25">
      <c r="A81" s="444" t="s">
        <v>302</v>
      </c>
      <c r="B81" s="442">
        <f t="shared" si="15"/>
        <v>7.3999999999999996E-2</v>
      </c>
      <c r="C81" s="410">
        <f t="shared" si="16"/>
        <v>5000000</v>
      </c>
      <c r="D81" s="411">
        <f t="shared" si="17"/>
        <v>370000</v>
      </c>
      <c r="F81" s="444" t="s">
        <v>302</v>
      </c>
      <c r="G81" s="442">
        <f>B81</f>
        <v>7.3999999999999996E-2</v>
      </c>
      <c r="H81" s="414">
        <f t="shared" si="18"/>
        <v>5000000</v>
      </c>
      <c r="I81" s="411">
        <f>+H81*G81</f>
        <v>370000</v>
      </c>
      <c r="J81" s="329"/>
      <c r="K81" s="444" t="s">
        <v>302</v>
      </c>
      <c r="L81" s="413">
        <f t="shared" si="19"/>
        <v>7.3999999999999996E-2</v>
      </c>
      <c r="M81" s="414">
        <f t="shared" si="20"/>
        <v>5000000</v>
      </c>
      <c r="N81" s="411">
        <f>+M81*L81</f>
        <v>370000</v>
      </c>
      <c r="O81" s="411">
        <f>N81/2</f>
        <v>185000</v>
      </c>
      <c r="P81" s="411">
        <f>O81</f>
        <v>185000</v>
      </c>
    </row>
    <row r="82" spans="1:17" x14ac:dyDescent="0.25">
      <c r="A82" s="444" t="s">
        <v>303</v>
      </c>
      <c r="B82" s="442">
        <f t="shared" si="15"/>
        <v>0.10199999999999999</v>
      </c>
      <c r="C82" s="410">
        <f t="shared" si="16"/>
        <v>2000000</v>
      </c>
      <c r="D82" s="411">
        <f t="shared" ref="D82:D84" si="28">+C82*B82</f>
        <v>204000</v>
      </c>
      <c r="F82" s="444" t="s">
        <v>303</v>
      </c>
      <c r="G82" s="442">
        <f t="shared" ref="G82:G84" si="29">B82</f>
        <v>0.10199999999999999</v>
      </c>
      <c r="H82" s="414">
        <f t="shared" si="18"/>
        <v>2000000</v>
      </c>
      <c r="I82" s="411">
        <f t="shared" si="21"/>
        <v>204000</v>
      </c>
      <c r="J82" s="329"/>
      <c r="K82" s="444" t="s">
        <v>303</v>
      </c>
      <c r="L82" s="413">
        <f t="shared" si="19"/>
        <v>0.10199999999999999</v>
      </c>
      <c r="M82" s="414">
        <f t="shared" si="20"/>
        <v>2000000</v>
      </c>
      <c r="N82" s="411">
        <f t="shared" si="22"/>
        <v>204000</v>
      </c>
      <c r="O82" s="411">
        <f t="shared" si="27"/>
        <v>102000</v>
      </c>
      <c r="P82" s="411">
        <f t="shared" si="24"/>
        <v>102000</v>
      </c>
    </row>
    <row r="83" spans="1:17" x14ac:dyDescent="0.25">
      <c r="A83" s="444" t="s">
        <v>304</v>
      </c>
      <c r="B83" s="442">
        <f t="shared" si="15"/>
        <v>0.24</v>
      </c>
      <c r="C83" s="410">
        <f t="shared" si="16"/>
        <v>1000000</v>
      </c>
      <c r="D83" s="411">
        <f>+C83*B83</f>
        <v>240000</v>
      </c>
      <c r="F83" s="444" t="s">
        <v>304</v>
      </c>
      <c r="G83" s="442">
        <f>B83</f>
        <v>0.24</v>
      </c>
      <c r="H83" s="414">
        <f t="shared" si="18"/>
        <v>1000000</v>
      </c>
      <c r="I83" s="411">
        <f>+H83*G83</f>
        <v>240000</v>
      </c>
      <c r="J83" s="329"/>
      <c r="K83" s="444" t="s">
        <v>304</v>
      </c>
      <c r="L83" s="413">
        <f t="shared" si="19"/>
        <v>0.24</v>
      </c>
      <c r="M83" s="414">
        <f t="shared" si="20"/>
        <v>1000000</v>
      </c>
      <c r="N83" s="411">
        <f>+M83*L83</f>
        <v>240000</v>
      </c>
      <c r="O83" s="411">
        <f>N83/2</f>
        <v>120000</v>
      </c>
      <c r="P83" s="411">
        <f>O83</f>
        <v>120000</v>
      </c>
    </row>
    <row r="84" spans="1:17" x14ac:dyDescent="0.25">
      <c r="A84" s="444" t="s">
        <v>305</v>
      </c>
      <c r="B84" s="442">
        <f t="shared" si="15"/>
        <v>2.4E-2</v>
      </c>
      <c r="C84" s="410">
        <f t="shared" si="16"/>
        <v>4000000</v>
      </c>
      <c r="D84" s="411">
        <f t="shared" si="28"/>
        <v>96000</v>
      </c>
      <c r="F84" s="444" t="s">
        <v>305</v>
      </c>
      <c r="G84" s="442">
        <f t="shared" si="29"/>
        <v>2.4E-2</v>
      </c>
      <c r="H84" s="414">
        <f t="shared" si="18"/>
        <v>4000000</v>
      </c>
      <c r="I84" s="411">
        <f t="shared" si="21"/>
        <v>96000</v>
      </c>
      <c r="J84" s="329"/>
      <c r="K84" s="444" t="s">
        <v>305</v>
      </c>
      <c r="L84" s="413">
        <f t="shared" si="19"/>
        <v>2.4E-2</v>
      </c>
      <c r="M84" s="414">
        <f t="shared" si="20"/>
        <v>4000000</v>
      </c>
      <c r="N84" s="411">
        <f t="shared" si="22"/>
        <v>96000</v>
      </c>
      <c r="O84" s="411">
        <f t="shared" si="27"/>
        <v>48000</v>
      </c>
      <c r="P84" s="411">
        <f t="shared" si="24"/>
        <v>48000</v>
      </c>
    </row>
    <row r="85" spans="1:17" ht="15.75" thickBot="1" x14ac:dyDescent="0.3">
      <c r="A85" s="274" t="s">
        <v>18</v>
      </c>
      <c r="B85" s="286"/>
      <c r="C85" s="330">
        <f>SUM(C76:C84)</f>
        <v>225000000</v>
      </c>
      <c r="D85" s="415">
        <f>SUM(D76:D84)</f>
        <v>20299000</v>
      </c>
      <c r="F85" s="274" t="s">
        <v>26</v>
      </c>
      <c r="H85" s="454">
        <f>SUM(H76:H84)</f>
        <v>225000000</v>
      </c>
      <c r="I85" s="415">
        <f>SUM(I76:I84)</f>
        <v>20299000</v>
      </c>
      <c r="J85" s="331"/>
      <c r="K85" s="274" t="s">
        <v>26</v>
      </c>
      <c r="M85" s="454">
        <f>SUM(M76:M84)</f>
        <v>225000000</v>
      </c>
      <c r="N85" s="415">
        <f>SUM(N76:N84)</f>
        <v>20299000</v>
      </c>
      <c r="O85" s="416">
        <f t="shared" ref="O85" si="30">N85/2</f>
        <v>10149500</v>
      </c>
      <c r="P85" s="415">
        <f>SUM(P76:P84)</f>
        <v>10149500</v>
      </c>
    </row>
    <row r="86" spans="1:17" ht="15.75" thickTop="1" x14ac:dyDescent="0.25">
      <c r="C86" s="333"/>
      <c r="D86" s="331"/>
      <c r="I86" s="286"/>
      <c r="N86" s="286"/>
    </row>
    <row r="87" spans="1:17" x14ac:dyDescent="0.25">
      <c r="A87" s="291" t="s">
        <v>118</v>
      </c>
      <c r="F87" s="291" t="s">
        <v>293</v>
      </c>
      <c r="I87" s="286"/>
      <c r="J87" s="331"/>
      <c r="K87" s="291" t="s">
        <v>312</v>
      </c>
      <c r="N87" s="286"/>
    </row>
    <row r="88" spans="1:17" x14ac:dyDescent="0.25">
      <c r="A88" s="291"/>
      <c r="B88" s="276" t="s">
        <v>36</v>
      </c>
      <c r="C88" s="321" t="s">
        <v>14</v>
      </c>
      <c r="D88" s="320" t="s">
        <v>37</v>
      </c>
      <c r="F88" s="291"/>
      <c r="G88" s="276" t="s">
        <v>36</v>
      </c>
      <c r="H88" s="321" t="s">
        <v>14</v>
      </c>
      <c r="I88" s="334" t="s">
        <v>37</v>
      </c>
      <c r="J88" s="331"/>
      <c r="K88" s="291"/>
      <c r="L88" s="276" t="s">
        <v>36</v>
      </c>
      <c r="M88" s="321" t="s">
        <v>14</v>
      </c>
      <c r="N88" s="334" t="s">
        <v>37</v>
      </c>
      <c r="O88" s="273" t="s">
        <v>190</v>
      </c>
      <c r="P88" s="273" t="s">
        <v>189</v>
      </c>
    </row>
    <row r="89" spans="1:17" x14ac:dyDescent="0.25">
      <c r="A89" s="274" t="s">
        <v>128</v>
      </c>
      <c r="B89" s="310">
        <f>+B53</f>
        <v>2.7681818181818182E-2</v>
      </c>
      <c r="C89" s="333">
        <f>+D33</f>
        <v>310000000</v>
      </c>
      <c r="D89" s="328">
        <f>+B89*C89</f>
        <v>8581363.6363636367</v>
      </c>
      <c r="E89" s="302"/>
      <c r="F89" s="274" t="s">
        <v>128</v>
      </c>
      <c r="G89" s="335">
        <f>+G53</f>
        <v>2.7681818181818182E-2</v>
      </c>
      <c r="H89" s="333">
        <f>+I33</f>
        <v>310000000</v>
      </c>
      <c r="I89" s="336">
        <f>+G89*H89</f>
        <v>8581363.6363636367</v>
      </c>
      <c r="J89" s="337"/>
      <c r="K89" s="274" t="s">
        <v>128</v>
      </c>
      <c r="L89" s="335">
        <f>+G89</f>
        <v>2.7681818181818182E-2</v>
      </c>
      <c r="M89" s="333">
        <f>+N33</f>
        <v>310000000</v>
      </c>
      <c r="N89" s="336">
        <f>+L89*M89</f>
        <v>8581363.6363636367</v>
      </c>
      <c r="O89" s="302">
        <f>N89/2</f>
        <v>4290681.8181818184</v>
      </c>
      <c r="P89" s="302">
        <f>O89</f>
        <v>4290681.8181818184</v>
      </c>
    </row>
    <row r="90" spans="1:17" x14ac:dyDescent="0.25">
      <c r="A90" s="274" t="s">
        <v>102</v>
      </c>
      <c r="B90" s="310"/>
      <c r="C90" s="333"/>
      <c r="D90" s="328">
        <f>D65</f>
        <v>1850000</v>
      </c>
      <c r="F90" s="274" t="s">
        <v>119</v>
      </c>
      <c r="G90" s="335"/>
      <c r="H90" s="338"/>
      <c r="I90" s="336">
        <f>+I65</f>
        <v>1980000</v>
      </c>
      <c r="J90" s="337"/>
      <c r="K90" s="274" t="s">
        <v>119</v>
      </c>
      <c r="L90" s="335"/>
      <c r="M90" s="338"/>
      <c r="N90" s="336">
        <f>I90</f>
        <v>1980000</v>
      </c>
      <c r="O90" s="302">
        <f>N90</f>
        <v>1980000</v>
      </c>
    </row>
    <row r="91" spans="1:17" x14ac:dyDescent="0.25">
      <c r="A91" s="274" t="s">
        <v>101</v>
      </c>
      <c r="B91" s="310">
        <f>+B54</f>
        <v>0.10589999999999999</v>
      </c>
      <c r="C91" s="333">
        <f>+C33</f>
        <v>275000000</v>
      </c>
      <c r="D91" s="328">
        <f>+B91*C91</f>
        <v>29122500</v>
      </c>
      <c r="F91" s="274" t="s">
        <v>101</v>
      </c>
      <c r="G91" s="310">
        <f>+G54</f>
        <v>0.10589999999999999</v>
      </c>
      <c r="H91" s="333">
        <f>+H33</f>
        <v>275000000</v>
      </c>
      <c r="I91" s="328">
        <f>+G91*H91</f>
        <v>29122500</v>
      </c>
      <c r="J91" s="331"/>
      <c r="K91" s="274" t="s">
        <v>101</v>
      </c>
      <c r="L91" s="310">
        <f>G91</f>
        <v>0.10589999999999999</v>
      </c>
      <c r="M91" s="333">
        <f>+M33</f>
        <v>275000000</v>
      </c>
      <c r="N91" s="328">
        <f>I91</f>
        <v>29122500</v>
      </c>
      <c r="O91" s="302">
        <f>N91/2</f>
        <v>14561250</v>
      </c>
      <c r="P91" s="302">
        <f>O91</f>
        <v>14561250</v>
      </c>
    </row>
    <row r="92" spans="1:17" ht="15.75" thickBot="1" x14ac:dyDescent="0.3">
      <c r="C92" s="333"/>
      <c r="D92" s="332">
        <f>SUM(D89:D91)</f>
        <v>39553863.63636364</v>
      </c>
      <c r="E92" s="302"/>
      <c r="H92" s="333"/>
      <c r="I92" s="332">
        <f>SUM(I89:I91)</f>
        <v>39683863.63636364</v>
      </c>
      <c r="J92" s="331"/>
      <c r="M92" s="333"/>
      <c r="N92" s="332">
        <f>SUM(N89:N91)</f>
        <v>39683863.63636364</v>
      </c>
      <c r="O92" s="332">
        <f t="shared" ref="O92:P92" si="31">SUM(O89:O91)</f>
        <v>20831931.81818182</v>
      </c>
      <c r="P92" s="332">
        <f t="shared" si="31"/>
        <v>18851931.81818182</v>
      </c>
    </row>
    <row r="93" spans="1:17" ht="15.75" thickTop="1" x14ac:dyDescent="0.25">
      <c r="C93" s="333"/>
      <c r="D93" s="331"/>
      <c r="E93" s="362"/>
      <c r="H93" s="333"/>
      <c r="I93" s="331"/>
      <c r="J93" s="331"/>
      <c r="K93" s="331"/>
      <c r="L93" s="331"/>
      <c r="M93" s="331"/>
    </row>
    <row r="94" spans="1:17" ht="15.75" thickBot="1" x14ac:dyDescent="0.3">
      <c r="A94" s="291" t="s">
        <v>295</v>
      </c>
      <c r="D94" s="302"/>
      <c r="E94" s="363"/>
      <c r="F94" s="394" t="s">
        <v>291</v>
      </c>
      <c r="I94" s="302"/>
      <c r="J94" s="331"/>
      <c r="K94" s="331"/>
      <c r="L94" s="331"/>
      <c r="M94" s="331"/>
      <c r="N94" s="274" t="s">
        <v>313</v>
      </c>
      <c r="P94" s="500">
        <f>P92+P85</f>
        <v>29001431.81818182</v>
      </c>
    </row>
    <row r="95" spans="1:17" ht="15.75" thickTop="1" x14ac:dyDescent="0.25">
      <c r="D95" s="302"/>
      <c r="E95" s="302"/>
      <c r="I95" s="302"/>
      <c r="J95" s="331"/>
      <c r="K95" s="331"/>
      <c r="L95" s="339"/>
      <c r="M95" s="331"/>
      <c r="Q95" s="340"/>
    </row>
    <row r="96" spans="1:17" ht="17.25" x14ac:dyDescent="0.25">
      <c r="A96" s="291"/>
      <c r="B96" s="276" t="s">
        <v>36</v>
      </c>
      <c r="C96" s="321" t="s">
        <v>14</v>
      </c>
      <c r="D96" s="320" t="s">
        <v>37</v>
      </c>
      <c r="F96" s="291"/>
      <c r="G96" s="276" t="s">
        <v>36</v>
      </c>
      <c r="H96" s="321" t="s">
        <v>14</v>
      </c>
      <c r="I96" s="276" t="s">
        <v>276</v>
      </c>
      <c r="J96" s="331"/>
      <c r="K96" s="331"/>
      <c r="L96" s="339"/>
      <c r="M96" s="331"/>
    </row>
    <row r="97" spans="1:17" x14ac:dyDescent="0.25">
      <c r="A97" s="286" t="s">
        <v>240</v>
      </c>
      <c r="B97" s="310">
        <f>+D97/C97</f>
        <v>3.15E-2</v>
      </c>
      <c r="C97" s="282">
        <f>+D32</f>
        <v>225000000</v>
      </c>
      <c r="D97" s="324">
        <v>7087500</v>
      </c>
      <c r="F97" s="286" t="s">
        <v>241</v>
      </c>
      <c r="G97" s="10">
        <f>((+I63+I64+I69)-(I98/(I33/I12)))/I11</f>
        <v>3.1848807346377295E-2</v>
      </c>
      <c r="H97" s="282">
        <f>+I32</f>
        <v>225000000</v>
      </c>
      <c r="I97" s="341">
        <f>+H97*G97</f>
        <v>7165981.6529348912</v>
      </c>
      <c r="J97" s="342"/>
      <c r="K97" s="342"/>
      <c r="L97" s="339"/>
      <c r="M97" s="331"/>
      <c r="Q97" s="305"/>
    </row>
    <row r="98" spans="1:17" x14ac:dyDescent="0.25">
      <c r="A98" s="286" t="s">
        <v>239</v>
      </c>
      <c r="B98" s="310">
        <f>+D98/C98</f>
        <v>2.7681818181818182E-2</v>
      </c>
      <c r="C98" s="282">
        <f>+D33</f>
        <v>310000000</v>
      </c>
      <c r="D98" s="324">
        <v>8581363.6363636367</v>
      </c>
      <c r="F98" s="286" t="s">
        <v>242</v>
      </c>
      <c r="G98" s="310">
        <f>+I98/H98</f>
        <v>2.7681818181818182E-2</v>
      </c>
      <c r="H98" s="282">
        <f>+I33</f>
        <v>310000000</v>
      </c>
      <c r="I98" s="325">
        <f>+D98</f>
        <v>8581363.6363636367</v>
      </c>
      <c r="J98" s="342"/>
      <c r="K98" s="342"/>
      <c r="L98" s="339"/>
      <c r="M98" s="331"/>
    </row>
    <row r="99" spans="1:17" ht="15.75" thickBot="1" x14ac:dyDescent="0.3">
      <c r="B99" s="343">
        <f>+D99/C99</f>
        <v>2.9287595581988107E-2</v>
      </c>
      <c r="C99" s="344">
        <f>SUM(C97:C98)</f>
        <v>535000000</v>
      </c>
      <c r="D99" s="345">
        <f>+D97+D98</f>
        <v>15668863.636363637</v>
      </c>
      <c r="G99" s="343">
        <f>+I99/H99</f>
        <v>2.9434290260371077E-2</v>
      </c>
      <c r="H99" s="344">
        <f>SUM(H97:H98)</f>
        <v>535000000</v>
      </c>
      <c r="I99" s="345">
        <f>+I97+I98</f>
        <v>15747345.289298527</v>
      </c>
      <c r="J99" s="333"/>
      <c r="K99" s="331"/>
      <c r="L99" s="331"/>
      <c r="M99" s="331"/>
    </row>
    <row r="100" spans="1:17" ht="15.75" thickTop="1" x14ac:dyDescent="0.25">
      <c r="D100" s="313"/>
      <c r="J100" s="358"/>
    </row>
    <row r="101" spans="1:17" ht="378.75" customHeight="1" x14ac:dyDescent="0.25">
      <c r="A101" s="541" t="s">
        <v>315</v>
      </c>
      <c r="B101" s="541"/>
      <c r="C101" s="541"/>
      <c r="D101" s="541"/>
      <c r="F101" s="540" t="s">
        <v>314</v>
      </c>
      <c r="G101" s="540"/>
      <c r="H101" s="540"/>
      <c r="I101" s="540"/>
    </row>
    <row r="102" spans="1:17" x14ac:dyDescent="0.25">
      <c r="A102" s="539"/>
      <c r="B102" s="539"/>
      <c r="C102" s="539"/>
      <c r="D102" s="539"/>
      <c r="F102" s="539"/>
      <c r="G102" s="539"/>
      <c r="H102" s="539"/>
      <c r="I102" s="539"/>
    </row>
    <row r="103" spans="1:17" x14ac:dyDescent="0.25">
      <c r="A103" s="539"/>
      <c r="B103" s="539"/>
      <c r="C103" s="539"/>
      <c r="D103" s="539"/>
      <c r="E103" s="346"/>
      <c r="F103" s="539"/>
      <c r="G103" s="539"/>
      <c r="H103" s="539"/>
      <c r="I103" s="539"/>
    </row>
    <row r="104" spans="1:17" x14ac:dyDescent="0.25">
      <c r="A104" s="541"/>
      <c r="B104" s="541"/>
      <c r="C104" s="541"/>
      <c r="D104" s="541"/>
      <c r="F104" s="539"/>
      <c r="G104" s="539"/>
      <c r="H104" s="539"/>
      <c r="I104" s="539"/>
    </row>
    <row r="105" spans="1:17" x14ac:dyDescent="0.25">
      <c r="A105" s="538"/>
      <c r="B105" s="538"/>
      <c r="C105" s="538"/>
      <c r="D105" s="538"/>
      <c r="E105" s="346"/>
      <c r="F105" s="539"/>
      <c r="G105" s="539"/>
      <c r="H105" s="539"/>
      <c r="I105" s="539"/>
    </row>
    <row r="106" spans="1:17" x14ac:dyDescent="0.25">
      <c r="A106" s="538"/>
      <c r="B106" s="538"/>
      <c r="C106" s="538"/>
      <c r="D106" s="538"/>
      <c r="E106" s="282"/>
      <c r="J106" s="302"/>
    </row>
    <row r="107" spans="1:17" x14ac:dyDescent="0.25">
      <c r="E107" s="282"/>
      <c r="F107" s="347"/>
      <c r="G107" s="348"/>
      <c r="H107" s="349"/>
      <c r="I107" s="328"/>
      <c r="J107" s="302"/>
    </row>
    <row r="108" spans="1:17" x14ac:dyDescent="0.25">
      <c r="F108" s="347"/>
      <c r="G108" s="348"/>
      <c r="H108" s="349"/>
      <c r="I108" s="350"/>
    </row>
    <row r="109" spans="1:17" x14ac:dyDescent="0.25">
      <c r="F109" s="347"/>
      <c r="G109" s="347"/>
      <c r="H109" s="347"/>
      <c r="I109" s="347"/>
    </row>
  </sheetData>
  <mergeCells count="11">
    <mergeCell ref="A105:D105"/>
    <mergeCell ref="A106:D106"/>
    <mergeCell ref="A102:D102"/>
    <mergeCell ref="F101:I101"/>
    <mergeCell ref="F105:I105"/>
    <mergeCell ref="F102:I102"/>
    <mergeCell ref="A101:D101"/>
    <mergeCell ref="A103:D103"/>
    <mergeCell ref="F103:I103"/>
    <mergeCell ref="F104:I104"/>
    <mergeCell ref="A104:D104"/>
  </mergeCells>
  <pageMargins left="0.7" right="0.7" top="0.75" bottom="0.75" header="0.3" footer="0.3"/>
  <pageSetup paperSize="17" scale="51" orientation="portrait" horizontalDpi="4294967293"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49"/>
  <sheetViews>
    <sheetView showGridLines="0" zoomScale="68" zoomScaleNormal="68" workbookViewId="0">
      <selection activeCell="E6" sqref="E6"/>
    </sheetView>
  </sheetViews>
  <sheetFormatPr defaultRowHeight="15" x14ac:dyDescent="0.25"/>
  <cols>
    <col min="1" max="1" width="43.5703125" customWidth="1"/>
    <col min="2" max="2" width="11.28515625" customWidth="1"/>
    <col min="3" max="3" width="15.7109375" customWidth="1"/>
    <col min="4" max="4" width="16.7109375" bestFit="1" customWidth="1"/>
    <col min="5" max="5" width="15" customWidth="1"/>
    <col min="6" max="6" width="12.7109375" customWidth="1"/>
    <col min="7" max="7" width="15.7109375" bestFit="1" customWidth="1"/>
    <col min="8" max="8" width="13.7109375" bestFit="1" customWidth="1"/>
    <col min="9" max="9" width="13.28515625" customWidth="1"/>
    <col min="10" max="10" width="13.7109375" bestFit="1" customWidth="1"/>
    <col min="11" max="11" width="13.28515625" customWidth="1"/>
    <col min="12" max="12" width="6.28515625" customWidth="1"/>
    <col min="13" max="13" width="43.5703125" customWidth="1"/>
    <col min="14" max="14" width="11.28515625" customWidth="1"/>
    <col min="15" max="15" width="15.7109375" customWidth="1"/>
    <col min="16" max="20" width="14.7109375" customWidth="1"/>
    <col min="22" max="22" width="43.5703125" customWidth="1"/>
    <col min="23" max="23" width="11.28515625" customWidth="1"/>
    <col min="24" max="24" width="15.7109375" customWidth="1"/>
    <col min="25" max="29" width="14.7109375" customWidth="1"/>
    <col min="30" max="30" width="12.28515625" bestFit="1" customWidth="1"/>
  </cols>
  <sheetData>
    <row r="1" spans="1:32" ht="26.25" x14ac:dyDescent="0.4">
      <c r="A1" s="75" t="s">
        <v>72</v>
      </c>
    </row>
    <row r="3" spans="1:32" s="12" customFormat="1" ht="18.75" x14ac:dyDescent="0.3">
      <c r="A3" s="510" t="s">
        <v>369</v>
      </c>
      <c r="M3" s="99"/>
      <c r="N3" s="96"/>
      <c r="O3" s="96"/>
      <c r="P3" s="96"/>
      <c r="Q3" s="96"/>
      <c r="R3" s="96"/>
      <c r="S3" s="96"/>
      <c r="T3" s="96"/>
      <c r="U3" s="96"/>
      <c r="V3" s="99"/>
      <c r="W3" s="96"/>
      <c r="X3" s="96"/>
      <c r="Y3" s="96"/>
      <c r="Z3" s="96"/>
      <c r="AA3" s="96"/>
      <c r="AB3" s="96"/>
      <c r="AC3" s="96"/>
      <c r="AD3" s="96"/>
      <c r="AE3" s="96"/>
      <c r="AF3" s="96"/>
    </row>
    <row r="4" spans="1:32" x14ac:dyDescent="0.25">
      <c r="A4" s="11"/>
      <c r="M4" s="30"/>
      <c r="N4" s="8"/>
      <c r="O4" s="8"/>
      <c r="P4" s="8"/>
      <c r="Q4" s="8"/>
      <c r="R4" s="8"/>
      <c r="S4" s="8"/>
      <c r="T4" s="8"/>
      <c r="U4" s="8"/>
      <c r="V4" s="30"/>
      <c r="W4" s="8"/>
      <c r="X4" s="8"/>
      <c r="Y4" s="8"/>
      <c r="Z4" s="8"/>
      <c r="AA4" s="8"/>
      <c r="AB4" s="8"/>
      <c r="AC4" s="8"/>
      <c r="AD4" s="8"/>
      <c r="AE4" s="8"/>
      <c r="AF4" s="8"/>
    </row>
    <row r="5" spans="1:32" x14ac:dyDescent="0.25">
      <c r="A5" s="11" t="s">
        <v>131</v>
      </c>
      <c r="M5" s="30"/>
      <c r="N5" s="8"/>
      <c r="O5" s="8"/>
      <c r="P5" s="8"/>
      <c r="Q5" s="8"/>
      <c r="R5" s="8"/>
      <c r="S5" s="8"/>
      <c r="T5" s="8"/>
      <c r="U5" s="8"/>
      <c r="V5" s="30"/>
      <c r="W5" s="8"/>
      <c r="X5" s="8"/>
      <c r="Y5" s="8"/>
      <c r="Z5" s="8"/>
      <c r="AA5" s="8"/>
      <c r="AB5" s="8"/>
      <c r="AC5" s="8"/>
      <c r="AD5" s="8"/>
      <c r="AE5" s="8"/>
      <c r="AF5" s="8"/>
    </row>
    <row r="6" spans="1:32" ht="45" x14ac:dyDescent="0.25">
      <c r="A6" s="44" t="s">
        <v>35</v>
      </c>
      <c r="B6" s="45" t="s">
        <v>16</v>
      </c>
      <c r="C6" s="46" t="s">
        <v>67</v>
      </c>
      <c r="D6" s="45" t="s">
        <v>28</v>
      </c>
      <c r="E6" s="46" t="s">
        <v>27</v>
      </c>
      <c r="F6" s="45" t="s">
        <v>7</v>
      </c>
      <c r="G6" s="45" t="s">
        <v>14</v>
      </c>
      <c r="H6" s="46" t="s">
        <v>78</v>
      </c>
      <c r="I6" s="46" t="s">
        <v>74</v>
      </c>
      <c r="J6" s="46" t="s">
        <v>77</v>
      </c>
      <c r="K6" s="46" t="s">
        <v>172</v>
      </c>
      <c r="M6" s="30"/>
      <c r="N6" s="35"/>
      <c r="O6" s="35"/>
      <c r="P6" s="35"/>
      <c r="Q6" s="41"/>
      <c r="R6" s="30"/>
      <c r="S6" s="35"/>
      <c r="T6" s="36"/>
      <c r="U6" s="8"/>
      <c r="V6" s="30"/>
      <c r="W6" s="35"/>
      <c r="X6" s="35"/>
      <c r="Y6" s="35"/>
      <c r="Z6" s="41"/>
      <c r="AA6" s="30"/>
      <c r="AB6" s="35"/>
      <c r="AC6" s="36"/>
      <c r="AD6" s="8"/>
      <c r="AE6" s="8"/>
      <c r="AF6" s="8"/>
    </row>
    <row r="7" spans="1:32" x14ac:dyDescent="0.25">
      <c r="A7" s="8" t="s">
        <v>2</v>
      </c>
      <c r="B7" s="42">
        <f>+'Data for Settlement &amp; 1st TU'!D38</f>
        <v>7.6999999999999999E-2</v>
      </c>
      <c r="C7" s="42">
        <f>+'Data for Settlement &amp; 1st TU'!$B$52</f>
        <v>3.15E-2</v>
      </c>
      <c r="D7" s="42">
        <f>+'Data for Settlement &amp; 1st TU'!$B$55</f>
        <v>7.8700000000000006E-2</v>
      </c>
      <c r="E7" s="42">
        <f>+C7+D7</f>
        <v>0.11020000000000001</v>
      </c>
      <c r="F7" s="43">
        <f>+B7-E7</f>
        <v>-3.3200000000000007E-2</v>
      </c>
      <c r="G7" s="38">
        <f>'Data for Settlement &amp; 1st TU'!C17</f>
        <v>5000000</v>
      </c>
      <c r="H7" s="28">
        <f>+G7*B7</f>
        <v>385000</v>
      </c>
      <c r="I7" s="28">
        <f>+G7*C7</f>
        <v>157500</v>
      </c>
      <c r="J7" s="28">
        <f>+G7*D7</f>
        <v>393500.00000000006</v>
      </c>
      <c r="K7" s="28">
        <f>+H7-I7-J7</f>
        <v>-166000.00000000006</v>
      </c>
      <c r="M7" s="8"/>
      <c r="N7" s="37"/>
      <c r="O7" s="42"/>
      <c r="P7" s="42"/>
      <c r="Q7" s="42"/>
      <c r="R7" s="43"/>
      <c r="S7" s="38"/>
      <c r="T7" s="28"/>
      <c r="U7" s="8"/>
      <c r="V7" s="8"/>
      <c r="W7" s="42"/>
      <c r="X7" s="42"/>
      <c r="Y7" s="42"/>
      <c r="Z7" s="42"/>
      <c r="AA7" s="43"/>
      <c r="AB7" s="38"/>
      <c r="AC7" s="28"/>
      <c r="AD7" s="34"/>
      <c r="AE7" s="8"/>
      <c r="AF7" s="8"/>
    </row>
    <row r="8" spans="1:32" x14ac:dyDescent="0.25">
      <c r="A8" s="8" t="s">
        <v>3</v>
      </c>
      <c r="B8" s="42">
        <f>+'Data for Settlement &amp; 1st TU'!D39</f>
        <v>8.8999999999999996E-2</v>
      </c>
      <c r="C8" s="42">
        <f>+'Data for Settlement &amp; 1st TU'!$B$52</f>
        <v>3.15E-2</v>
      </c>
      <c r="D8" s="42">
        <f>+'Data for Settlement &amp; 1st TU'!$B$55</f>
        <v>7.8700000000000006E-2</v>
      </c>
      <c r="E8" s="42">
        <f t="shared" ref="E8:E11" si="0">+C8+D8</f>
        <v>0.11020000000000001</v>
      </c>
      <c r="F8" s="43">
        <f t="shared" ref="F8:F11" si="1">+B8-E8</f>
        <v>-2.1200000000000011E-2</v>
      </c>
      <c r="G8" s="38">
        <f>'Data for Settlement &amp; 1st TU'!C18</f>
        <v>7000000</v>
      </c>
      <c r="H8" s="28">
        <f t="shared" ref="H8:H11" si="2">+G8*B8</f>
        <v>623000</v>
      </c>
      <c r="I8" s="28">
        <f t="shared" ref="I8:I11" si="3">+G8*C8</f>
        <v>220500</v>
      </c>
      <c r="J8" s="28">
        <f t="shared" ref="J8:J11" si="4">+G8*D8</f>
        <v>550900</v>
      </c>
      <c r="K8" s="28">
        <f t="shared" ref="K8:K11" si="5">+H8-I8-J8</f>
        <v>-148400</v>
      </c>
      <c r="M8" s="8"/>
      <c r="N8" s="37"/>
      <c r="O8" s="42"/>
      <c r="P8" s="42"/>
      <c r="Q8" s="42"/>
      <c r="R8" s="43"/>
      <c r="S8" s="38"/>
      <c r="T8" s="28"/>
      <c r="U8" s="8"/>
      <c r="V8" s="8"/>
      <c r="W8" s="42"/>
      <c r="X8" s="42"/>
      <c r="Y8" s="42"/>
      <c r="Z8" s="42"/>
      <c r="AA8" s="43"/>
      <c r="AB8" s="38"/>
      <c r="AC8" s="28"/>
      <c r="AD8" s="34"/>
      <c r="AE8" s="8"/>
      <c r="AF8" s="8"/>
    </row>
    <row r="9" spans="1:32" x14ac:dyDescent="0.25">
      <c r="A9" s="443" t="s">
        <v>299</v>
      </c>
      <c r="B9" s="457">
        <f>+'Data for Settlement &amp; 1st TU'!D40</f>
        <v>6.5000000000000002E-2</v>
      </c>
      <c r="C9" s="42">
        <f>+'Data for Settlement &amp; 1st TU'!$B$52</f>
        <v>3.15E-2</v>
      </c>
      <c r="D9" s="42">
        <f>+'Data for Settlement &amp; 1st TU'!$B$55</f>
        <v>7.8700000000000006E-2</v>
      </c>
      <c r="E9" s="42">
        <f t="shared" si="0"/>
        <v>0.11020000000000001</v>
      </c>
      <c r="F9" s="458">
        <f t="shared" si="1"/>
        <v>-4.5200000000000004E-2</v>
      </c>
      <c r="G9" s="434">
        <f>'Data for Settlement &amp; 1st TU'!C19</f>
        <v>95000000</v>
      </c>
      <c r="H9" s="438">
        <f t="shared" si="2"/>
        <v>6175000</v>
      </c>
      <c r="I9" s="438">
        <f t="shared" si="3"/>
        <v>2992500</v>
      </c>
      <c r="J9" s="438">
        <f t="shared" si="4"/>
        <v>7476500.0000000009</v>
      </c>
      <c r="K9" s="438">
        <f t="shared" si="5"/>
        <v>-4294000.0000000009</v>
      </c>
      <c r="M9" s="8"/>
      <c r="N9" s="37"/>
      <c r="O9" s="42"/>
      <c r="P9" s="42"/>
      <c r="Q9" s="42"/>
      <c r="R9" s="43"/>
      <c r="S9" s="38"/>
      <c r="T9" s="28"/>
      <c r="U9" s="8"/>
      <c r="V9" s="8"/>
      <c r="W9" s="42"/>
      <c r="X9" s="42"/>
      <c r="Y9" s="42"/>
      <c r="Z9" s="42"/>
      <c r="AA9" s="43"/>
      <c r="AB9" s="38"/>
      <c r="AC9" s="28"/>
      <c r="AD9" s="34"/>
      <c r="AE9" s="8"/>
      <c r="AF9" s="8"/>
    </row>
    <row r="10" spans="1:32" x14ac:dyDescent="0.25">
      <c r="A10" s="443" t="s">
        <v>300</v>
      </c>
      <c r="B10" s="457">
        <f>+'Data for Settlement &amp; 1st TU'!D41</f>
        <v>9.4E-2</v>
      </c>
      <c r="C10" s="42">
        <f>+'Data for Settlement &amp; 1st TU'!$B$52</f>
        <v>3.15E-2</v>
      </c>
      <c r="D10" s="42">
        <f>+'Data for Settlement &amp; 1st TU'!$B$55</f>
        <v>7.8700000000000006E-2</v>
      </c>
      <c r="E10" s="42">
        <f t="shared" si="0"/>
        <v>0.11020000000000001</v>
      </c>
      <c r="F10" s="458">
        <f t="shared" si="1"/>
        <v>-1.6200000000000006E-2</v>
      </c>
      <c r="G10" s="434">
        <f>'Data for Settlement &amp; 1st TU'!C20</f>
        <v>47000000</v>
      </c>
      <c r="H10" s="438">
        <f t="shared" si="2"/>
        <v>4418000</v>
      </c>
      <c r="I10" s="438">
        <f t="shared" si="3"/>
        <v>1480500</v>
      </c>
      <c r="J10" s="438">
        <f t="shared" si="4"/>
        <v>3698900.0000000005</v>
      </c>
      <c r="K10" s="438">
        <f t="shared" si="5"/>
        <v>-761400.00000000047</v>
      </c>
      <c r="M10" s="8"/>
      <c r="N10" s="37"/>
      <c r="O10" s="42"/>
      <c r="P10" s="42"/>
      <c r="Q10" s="42"/>
      <c r="R10" s="43"/>
      <c r="S10" s="38"/>
      <c r="T10" s="28"/>
      <c r="U10" s="8"/>
      <c r="V10" s="8"/>
      <c r="W10" s="42"/>
      <c r="X10" s="42"/>
      <c r="Y10" s="42"/>
      <c r="Z10" s="42"/>
      <c r="AA10" s="43"/>
      <c r="AB10" s="38"/>
      <c r="AC10" s="28"/>
      <c r="AD10" s="34"/>
      <c r="AE10" s="8"/>
      <c r="AF10" s="8"/>
    </row>
    <row r="11" spans="1:32" x14ac:dyDescent="0.25">
      <c r="A11" s="443" t="s">
        <v>301</v>
      </c>
      <c r="B11" s="457">
        <f>+'Data for Settlement &amp; 1st TU'!D42</f>
        <v>0.13200000000000001</v>
      </c>
      <c r="C11" s="42">
        <f>+'Data for Settlement &amp; 1st TU'!$B$52</f>
        <v>3.15E-2</v>
      </c>
      <c r="D11" s="42">
        <f>+'Data for Settlement &amp; 1st TU'!$B$55</f>
        <v>7.8700000000000006E-2</v>
      </c>
      <c r="E11" s="42">
        <f t="shared" si="0"/>
        <v>0.11020000000000001</v>
      </c>
      <c r="F11" s="458">
        <f t="shared" si="1"/>
        <v>2.18E-2</v>
      </c>
      <c r="G11" s="434">
        <f>'Data for Settlement &amp; 1st TU'!C21</f>
        <v>59000000.000000007</v>
      </c>
      <c r="H11" s="438">
        <f t="shared" si="2"/>
        <v>7788000.0000000009</v>
      </c>
      <c r="I11" s="438">
        <f t="shared" si="3"/>
        <v>1858500.0000000002</v>
      </c>
      <c r="J11" s="438">
        <f t="shared" si="4"/>
        <v>4643300.0000000009</v>
      </c>
      <c r="K11" s="438">
        <f t="shared" si="5"/>
        <v>1286200</v>
      </c>
      <c r="M11" s="8"/>
      <c r="N11" s="37"/>
      <c r="O11" s="42"/>
      <c r="P11" s="42"/>
      <c r="Q11" s="42"/>
      <c r="R11" s="43"/>
      <c r="S11" s="38"/>
      <c r="T11" s="28"/>
      <c r="U11" s="8"/>
      <c r="V11" s="8"/>
      <c r="W11" s="42"/>
      <c r="X11" s="42"/>
      <c r="Y11" s="42"/>
      <c r="Z11" s="42"/>
      <c r="AA11" s="43"/>
      <c r="AB11" s="38"/>
      <c r="AC11" s="28"/>
      <c r="AD11" s="34"/>
      <c r="AE11" s="8"/>
      <c r="AF11" s="8"/>
    </row>
    <row r="12" spans="1:32" x14ac:dyDescent="0.25">
      <c r="A12" s="444" t="s">
        <v>302</v>
      </c>
      <c r="B12" s="428">
        <f>+'Data for Settlement &amp; 1st TU'!D43</f>
        <v>7.3999999999999996E-2</v>
      </c>
      <c r="C12" s="428">
        <f>+'Data for Settlement &amp; 1st TU'!$B$52</f>
        <v>3.15E-2</v>
      </c>
      <c r="D12" s="428">
        <f>+'Data for Settlement &amp; 1st TU'!$B$55</f>
        <v>7.8700000000000006E-2</v>
      </c>
      <c r="E12" s="428">
        <f>+C12+D12</f>
        <v>0.11020000000000001</v>
      </c>
      <c r="F12" s="429">
        <f>+B12-E12</f>
        <v>-3.620000000000001E-2</v>
      </c>
      <c r="G12" s="434">
        <f>'Data for Settlement &amp; 1st TU'!C22</f>
        <v>5000000</v>
      </c>
      <c r="H12" s="438">
        <f>+G12*B12</f>
        <v>370000</v>
      </c>
      <c r="I12" s="438">
        <f>+G12*C12</f>
        <v>157500</v>
      </c>
      <c r="J12" s="438">
        <f>+G12*D12</f>
        <v>393500.00000000006</v>
      </c>
      <c r="K12" s="438">
        <f>+H12-I12-J12</f>
        <v>-181000.00000000006</v>
      </c>
      <c r="M12" s="8"/>
      <c r="N12" s="37"/>
      <c r="O12" s="42"/>
      <c r="P12" s="42"/>
      <c r="Q12" s="42"/>
      <c r="R12" s="43"/>
      <c r="S12" s="38"/>
      <c r="T12" s="28"/>
      <c r="U12" s="8"/>
      <c r="V12" s="8"/>
      <c r="W12" s="42"/>
      <c r="X12" s="42"/>
      <c r="Y12" s="42"/>
      <c r="Z12" s="42"/>
      <c r="AA12" s="43"/>
      <c r="AB12" s="38"/>
      <c r="AC12" s="28"/>
      <c r="AD12" s="34"/>
      <c r="AE12" s="8"/>
      <c r="AF12" s="8"/>
    </row>
    <row r="13" spans="1:32" x14ac:dyDescent="0.25">
      <c r="A13" s="444" t="s">
        <v>303</v>
      </c>
      <c r="B13" s="428">
        <f>+'Data for Settlement &amp; 1st TU'!D44</f>
        <v>0.10199999999999999</v>
      </c>
      <c r="C13" s="428">
        <f>+'Data for Settlement &amp; 1st TU'!$B$52</f>
        <v>3.15E-2</v>
      </c>
      <c r="D13" s="428">
        <f>+'Data for Settlement &amp; 1st TU'!$B$55</f>
        <v>7.8700000000000006E-2</v>
      </c>
      <c r="E13" s="428">
        <f t="shared" ref="E13:E15" si="6">+C13+D13</f>
        <v>0.11020000000000001</v>
      </c>
      <c r="F13" s="429">
        <f t="shared" ref="F13:F15" si="7">+B13-E13</f>
        <v>-8.2000000000000128E-3</v>
      </c>
      <c r="G13" s="434">
        <f>'Data for Settlement &amp; 1st TU'!C23</f>
        <v>2000000</v>
      </c>
      <c r="H13" s="438">
        <f t="shared" ref="H13:H15" si="8">+G13*B13</f>
        <v>204000</v>
      </c>
      <c r="I13" s="438">
        <f t="shared" ref="I13:I15" si="9">+G13*C13</f>
        <v>63000</v>
      </c>
      <c r="J13" s="438">
        <f t="shared" ref="J13:J15" si="10">+G13*D13</f>
        <v>157400</v>
      </c>
      <c r="K13" s="438">
        <f t="shared" ref="K13:K15" si="11">+H13-I13-J13</f>
        <v>-16400</v>
      </c>
      <c r="M13" s="8"/>
      <c r="N13" s="37"/>
      <c r="O13" s="42"/>
      <c r="P13" s="42"/>
      <c r="Q13" s="42"/>
      <c r="R13" s="43"/>
      <c r="S13" s="38"/>
      <c r="T13" s="28"/>
      <c r="U13" s="8"/>
      <c r="V13" s="8"/>
      <c r="W13" s="42"/>
      <c r="X13" s="42"/>
      <c r="Y13" s="42"/>
      <c r="Z13" s="42"/>
      <c r="AA13" s="43"/>
      <c r="AB13" s="38"/>
      <c r="AC13" s="28"/>
      <c r="AD13" s="34"/>
      <c r="AE13" s="8"/>
      <c r="AF13" s="8"/>
    </row>
    <row r="14" spans="1:32" x14ac:dyDescent="0.25">
      <c r="A14" s="444" t="s">
        <v>304</v>
      </c>
      <c r="B14" s="428">
        <f>+'Data for Settlement &amp; 1st TU'!D45</f>
        <v>0.24</v>
      </c>
      <c r="C14" s="428">
        <f>+'Data for Settlement &amp; 1st TU'!$B$52</f>
        <v>3.15E-2</v>
      </c>
      <c r="D14" s="428">
        <f>+'Data for Settlement &amp; 1st TU'!$B$55</f>
        <v>7.8700000000000006E-2</v>
      </c>
      <c r="E14" s="428">
        <f>+C14+D14</f>
        <v>0.11020000000000001</v>
      </c>
      <c r="F14" s="429">
        <f>+B14-E14</f>
        <v>0.12979999999999997</v>
      </c>
      <c r="G14" s="434">
        <f>'Data for Settlement &amp; 1st TU'!C24</f>
        <v>1000000</v>
      </c>
      <c r="H14" s="438">
        <f>+G14*B14</f>
        <v>240000</v>
      </c>
      <c r="I14" s="438">
        <f>+G14*C14</f>
        <v>31500</v>
      </c>
      <c r="J14" s="438">
        <f>+G14*D14</f>
        <v>78700</v>
      </c>
      <c r="K14" s="438">
        <f>+H14-I14-J14</f>
        <v>129800</v>
      </c>
      <c r="M14" s="8"/>
      <c r="N14" s="37"/>
      <c r="O14" s="42"/>
      <c r="P14" s="42"/>
      <c r="Q14" s="42"/>
      <c r="R14" s="43"/>
      <c r="S14" s="38"/>
      <c r="T14" s="28"/>
      <c r="U14" s="8"/>
      <c r="V14" s="8"/>
      <c r="W14" s="42"/>
      <c r="X14" s="42"/>
      <c r="Y14" s="42"/>
      <c r="Z14" s="42"/>
      <c r="AA14" s="43"/>
      <c r="AB14" s="38"/>
      <c r="AC14" s="28"/>
      <c r="AD14" s="34"/>
      <c r="AE14" s="8"/>
      <c r="AF14" s="8"/>
    </row>
    <row r="15" spans="1:32" x14ac:dyDescent="0.25">
      <c r="A15" s="455" t="s">
        <v>305</v>
      </c>
      <c r="B15" s="428">
        <f>+'Data for Settlement &amp; 1st TU'!D46</f>
        <v>2.4E-2</v>
      </c>
      <c r="C15" s="428">
        <f>+'Data for Settlement &amp; 1st TU'!$B$52</f>
        <v>3.15E-2</v>
      </c>
      <c r="D15" s="428">
        <f>+'Data for Settlement &amp; 1st TU'!$B$55</f>
        <v>7.8700000000000006E-2</v>
      </c>
      <c r="E15" s="428">
        <f t="shared" si="6"/>
        <v>0.11020000000000001</v>
      </c>
      <c r="F15" s="429">
        <f t="shared" si="7"/>
        <v>-8.6199999999999999E-2</v>
      </c>
      <c r="G15" s="434">
        <f>'Data for Settlement &amp; 1st TU'!C25</f>
        <v>4000000</v>
      </c>
      <c r="H15" s="438">
        <f t="shared" si="8"/>
        <v>96000</v>
      </c>
      <c r="I15" s="438">
        <f t="shared" si="9"/>
        <v>126000</v>
      </c>
      <c r="J15" s="438">
        <f t="shared" si="10"/>
        <v>314800</v>
      </c>
      <c r="K15" s="438">
        <f t="shared" si="11"/>
        <v>-344800</v>
      </c>
      <c r="M15" s="8"/>
      <c r="N15" s="37"/>
      <c r="O15" s="42"/>
      <c r="P15" s="42"/>
      <c r="Q15" s="42"/>
      <c r="R15" s="43"/>
      <c r="S15" s="38"/>
      <c r="T15" s="28"/>
      <c r="U15" s="8"/>
      <c r="V15" s="8"/>
      <c r="W15" s="42"/>
      <c r="X15" s="42"/>
      <c r="Y15" s="42"/>
      <c r="Z15" s="42"/>
      <c r="AA15" s="43"/>
      <c r="AB15" s="38"/>
      <c r="AC15" s="28"/>
      <c r="AD15" s="34"/>
      <c r="AE15" s="8"/>
      <c r="AF15" s="8"/>
    </row>
    <row r="16" spans="1:32" ht="15.75" thickBot="1" x14ac:dyDescent="0.3">
      <c r="B16" s="456">
        <f>+H16/G16</f>
        <v>9.0217777777777772E-2</v>
      </c>
      <c r="C16" s="189"/>
      <c r="D16" s="189"/>
      <c r="E16" s="189"/>
      <c r="F16" s="189"/>
      <c r="G16" s="501">
        <f>SUM(G7:G15)</f>
        <v>225000000</v>
      </c>
      <c r="H16" s="437">
        <f>SUM(H7:H15)</f>
        <v>20299000</v>
      </c>
      <c r="I16" s="505">
        <f>SUM(I7:I15)</f>
        <v>7087500</v>
      </c>
      <c r="J16" s="505">
        <f>SUM(J7:J15)</f>
        <v>17707500</v>
      </c>
      <c r="K16" s="437">
        <f>SUM(K7:K15)</f>
        <v>-4496000.0000000019</v>
      </c>
      <c r="M16" s="8"/>
      <c r="N16" s="8"/>
      <c r="O16" s="8"/>
      <c r="P16" s="8"/>
      <c r="Q16" s="28"/>
      <c r="R16" s="28"/>
      <c r="S16" s="33"/>
      <c r="T16" s="28"/>
      <c r="U16" s="8"/>
      <c r="V16" s="8"/>
      <c r="W16" s="8"/>
      <c r="X16" s="8"/>
      <c r="Y16" s="8"/>
      <c r="Z16" s="28"/>
      <c r="AA16" s="28"/>
      <c r="AB16" s="33"/>
      <c r="AC16" s="28"/>
      <c r="AD16" s="34"/>
      <c r="AE16" s="8"/>
      <c r="AF16" s="8"/>
    </row>
    <row r="17" spans="1:32" x14ac:dyDescent="0.25">
      <c r="I17" s="5"/>
      <c r="M17" s="8"/>
      <c r="N17" s="8"/>
      <c r="O17" s="8"/>
      <c r="P17" s="8"/>
      <c r="Q17" s="8"/>
      <c r="R17" s="8"/>
      <c r="S17" s="8"/>
      <c r="T17" s="8"/>
      <c r="U17" s="8"/>
      <c r="V17" s="8"/>
      <c r="W17" s="8"/>
      <c r="X17" s="8"/>
      <c r="Y17" s="8"/>
      <c r="Z17" s="8"/>
      <c r="AA17" s="8"/>
      <c r="AB17" s="8"/>
      <c r="AC17" s="8"/>
      <c r="AD17" s="8"/>
      <c r="AE17" s="8"/>
      <c r="AF17" s="8"/>
    </row>
    <row r="18" spans="1:32" s="12" customFormat="1" ht="18.75" x14ac:dyDescent="0.3">
      <c r="A18" s="510" t="s">
        <v>370</v>
      </c>
      <c r="M18" s="511"/>
      <c r="N18" s="96"/>
      <c r="O18" s="96"/>
      <c r="P18" s="96"/>
      <c r="Q18" s="96"/>
      <c r="R18" s="96"/>
      <c r="S18" s="96"/>
      <c r="T18" s="96"/>
      <c r="U18" s="96"/>
      <c r="V18" s="511"/>
      <c r="W18" s="96"/>
      <c r="X18" s="96"/>
      <c r="Y18" s="96"/>
      <c r="Z18" s="96"/>
      <c r="AA18" s="512"/>
      <c r="AB18" s="96"/>
      <c r="AC18" s="96"/>
      <c r="AD18" s="96"/>
      <c r="AE18" s="96"/>
      <c r="AF18" s="96"/>
    </row>
    <row r="19" spans="1:32" x14ac:dyDescent="0.25">
      <c r="A19" s="11"/>
      <c r="M19" s="30"/>
      <c r="N19" s="31"/>
      <c r="O19" s="31"/>
      <c r="P19" s="31"/>
      <c r="Q19" s="31"/>
      <c r="R19" s="31"/>
      <c r="S19" s="15"/>
      <c r="T19" s="15"/>
      <c r="V19" s="30"/>
      <c r="W19" s="31"/>
      <c r="X19" s="31"/>
      <c r="Y19" s="31"/>
      <c r="AA19" s="29"/>
    </row>
    <row r="20" spans="1:32" x14ac:dyDescent="0.25">
      <c r="A20" s="11" t="s">
        <v>132</v>
      </c>
      <c r="M20" s="8"/>
      <c r="N20" s="32"/>
      <c r="O20" s="33"/>
      <c r="P20" s="28"/>
      <c r="Q20" s="28"/>
      <c r="R20" s="28"/>
      <c r="S20" s="4"/>
      <c r="T20" s="4"/>
      <c r="V20" s="8"/>
      <c r="W20" s="32"/>
      <c r="X20" s="33"/>
      <c r="Y20" s="28"/>
      <c r="AA20" s="29"/>
    </row>
    <row r="21" spans="1:32" ht="45" x14ac:dyDescent="0.25">
      <c r="A21" s="44" t="s">
        <v>35</v>
      </c>
      <c r="B21" s="45" t="s">
        <v>16</v>
      </c>
      <c r="C21" s="46" t="s">
        <v>67</v>
      </c>
      <c r="D21" s="45" t="s">
        <v>277</v>
      </c>
      <c r="E21" s="46" t="s">
        <v>27</v>
      </c>
      <c r="F21" s="45" t="s">
        <v>7</v>
      </c>
      <c r="G21" s="45" t="s">
        <v>14</v>
      </c>
      <c r="H21" s="46" t="s">
        <v>78</v>
      </c>
      <c r="I21" s="46" t="s">
        <v>74</v>
      </c>
      <c r="J21" s="46" t="s">
        <v>76</v>
      </c>
      <c r="K21" s="46" t="s">
        <v>172</v>
      </c>
      <c r="M21" s="8"/>
      <c r="N21" s="32"/>
      <c r="O21" s="33"/>
      <c r="P21" s="28"/>
      <c r="Q21" s="28"/>
      <c r="R21" s="28"/>
      <c r="S21" s="4"/>
      <c r="T21" s="4"/>
      <c r="V21" s="8"/>
      <c r="W21" s="32"/>
      <c r="X21" s="33"/>
      <c r="Y21" s="28"/>
      <c r="AA21" s="29"/>
    </row>
    <row r="22" spans="1:32" x14ac:dyDescent="0.25">
      <c r="A22" s="47" t="s">
        <v>2</v>
      </c>
      <c r="B22" s="49">
        <f>+'Data for Settlement &amp; 1st TU'!I38</f>
        <v>7.6999999999999999E-2</v>
      </c>
      <c r="C22" s="49">
        <f>+'Data for Settlement &amp; 1st TU'!$G$52</f>
        <v>3.1848807346377295E-2</v>
      </c>
      <c r="D22" s="49">
        <f>+'Data for Settlement &amp; 1st TU'!$G$57</f>
        <v>8.8359370314842575E-2</v>
      </c>
      <c r="E22" s="49">
        <f>+C22+D22</f>
        <v>0.12020817766121987</v>
      </c>
      <c r="F22" s="50">
        <f>+B22-E22</f>
        <v>-4.3208177661219871E-2</v>
      </c>
      <c r="G22" s="20">
        <f>'Data for Settlement &amp; 1st TU'!H17</f>
        <v>5002500</v>
      </c>
      <c r="H22" s="4">
        <f>+G22*B22</f>
        <v>385192.5</v>
      </c>
      <c r="I22" s="4">
        <f>+G22*C22</f>
        <v>159323.65875025242</v>
      </c>
      <c r="J22" s="4">
        <f>+G22*D22</f>
        <v>442017.75</v>
      </c>
      <c r="K22" s="4">
        <f>+H22-I22-J22</f>
        <v>-216148.90875025242</v>
      </c>
      <c r="M22" s="8"/>
      <c r="N22" s="8"/>
      <c r="O22" s="8"/>
      <c r="P22" s="28"/>
      <c r="Q22" s="28"/>
      <c r="R22" s="28"/>
      <c r="S22" s="28"/>
      <c r="T22" s="28"/>
      <c r="V22" s="8"/>
      <c r="W22" s="8"/>
      <c r="X22" s="8"/>
      <c r="Y22" s="28"/>
      <c r="AA22" s="29"/>
    </row>
    <row r="23" spans="1:32" x14ac:dyDescent="0.25">
      <c r="A23" s="51" t="s">
        <v>3</v>
      </c>
      <c r="B23" s="42">
        <f>+'Data for Settlement &amp; 1st TU'!I39</f>
        <v>8.8999999999999996E-2</v>
      </c>
      <c r="C23" s="42">
        <f>+'Data for Settlement &amp; 1st TU'!$G$52</f>
        <v>3.1848807346377295E-2</v>
      </c>
      <c r="D23" s="42">
        <f>+'Data for Settlement &amp; 1st TU'!$G$57</f>
        <v>8.8359370314842575E-2</v>
      </c>
      <c r="E23" s="42">
        <f t="shared" ref="E23:E30" si="12">+C23+D23</f>
        <v>0.12020817766121987</v>
      </c>
      <c r="F23" s="43">
        <f t="shared" ref="F23:F30" si="13">+B23-E23</f>
        <v>-3.1208177661219874E-2</v>
      </c>
      <c r="G23" s="20">
        <f>'Data for Settlement &amp; 1st TU'!H18</f>
        <v>7003500</v>
      </c>
      <c r="H23" s="4">
        <f t="shared" ref="H23:H26" si="14">+G23*B23</f>
        <v>623311.5</v>
      </c>
      <c r="I23" s="4">
        <f t="shared" ref="I23:I26" si="15">+G23*C23</f>
        <v>223053.12225035339</v>
      </c>
      <c r="J23" s="4">
        <f t="shared" ref="J23:J26" si="16">+G23*D23</f>
        <v>618824.85</v>
      </c>
      <c r="K23" s="4">
        <f t="shared" ref="K23:K26" si="17">+H23-I23-J23</f>
        <v>-218566.47225035337</v>
      </c>
      <c r="M23" s="8"/>
      <c r="N23" s="8"/>
      <c r="O23" s="8"/>
      <c r="P23" s="8"/>
      <c r="Q23" s="8"/>
      <c r="R23" s="8"/>
      <c r="V23" s="8"/>
      <c r="W23" s="8"/>
      <c r="X23" s="8"/>
      <c r="Y23" s="8"/>
      <c r="AA23" s="29"/>
    </row>
    <row r="24" spans="1:32" x14ac:dyDescent="0.25">
      <c r="A24" s="443" t="s">
        <v>299</v>
      </c>
      <c r="B24" s="42">
        <f>+'Data for Settlement &amp; 1st TU'!I40</f>
        <v>6.5000000000000002E-2</v>
      </c>
      <c r="C24" s="42">
        <f>+'Data for Settlement &amp; 1st TU'!$G$52</f>
        <v>3.1848807346377295E-2</v>
      </c>
      <c r="D24" s="42">
        <f>+'Data for Settlement &amp; 1st TU'!$G$57</f>
        <v>8.8359370314842575E-2</v>
      </c>
      <c r="E24" s="42">
        <f t="shared" si="12"/>
        <v>0.12020817766121987</v>
      </c>
      <c r="F24" s="43">
        <f t="shared" si="13"/>
        <v>-5.5208177661219868E-2</v>
      </c>
      <c r="G24" s="430">
        <f>'Data for Settlement &amp; 1st TU'!H19</f>
        <v>95047500</v>
      </c>
      <c r="H24" s="159">
        <f t="shared" si="14"/>
        <v>6178087.5</v>
      </c>
      <c r="I24" s="159">
        <f t="shared" si="15"/>
        <v>3027149.5162547957</v>
      </c>
      <c r="J24" s="159">
        <f t="shared" si="16"/>
        <v>8398337.25</v>
      </c>
      <c r="K24" s="159">
        <f t="shared" si="17"/>
        <v>-5247399.2662547957</v>
      </c>
      <c r="M24" s="30"/>
      <c r="N24" s="8"/>
      <c r="O24" s="8"/>
      <c r="P24" s="8"/>
      <c r="Q24" s="8"/>
      <c r="R24" s="8"/>
      <c r="V24" s="30"/>
      <c r="W24" s="8"/>
      <c r="X24" s="8"/>
      <c r="Y24" s="8"/>
    </row>
    <row r="25" spans="1:32" x14ac:dyDescent="0.25">
      <c r="A25" s="443" t="s">
        <v>300</v>
      </c>
      <c r="B25" s="42">
        <f>+'Data for Settlement &amp; 1st TU'!I41</f>
        <v>9.4E-2</v>
      </c>
      <c r="C25" s="42">
        <f>+'Data for Settlement &amp; 1st TU'!$G$52</f>
        <v>3.1848807346377295E-2</v>
      </c>
      <c r="D25" s="42">
        <f>+'Data for Settlement &amp; 1st TU'!$G$57</f>
        <v>8.8359370314842575E-2</v>
      </c>
      <c r="E25" s="42">
        <f t="shared" si="12"/>
        <v>0.12020817766121987</v>
      </c>
      <c r="F25" s="43">
        <f t="shared" si="13"/>
        <v>-2.620817766121987E-2</v>
      </c>
      <c r="G25" s="430">
        <f>'Data for Settlement &amp; 1st TU'!H20</f>
        <v>47023500</v>
      </c>
      <c r="H25" s="159">
        <f t="shared" si="14"/>
        <v>4420209</v>
      </c>
      <c r="I25" s="159">
        <f t="shared" si="15"/>
        <v>1497642.3922523728</v>
      </c>
      <c r="J25" s="159">
        <f t="shared" si="16"/>
        <v>4154966.8499999996</v>
      </c>
      <c r="K25" s="159">
        <f t="shared" si="17"/>
        <v>-1232400.2422523722</v>
      </c>
      <c r="M25" s="8"/>
      <c r="N25" s="8"/>
      <c r="O25" s="8"/>
      <c r="P25" s="34"/>
      <c r="Q25" s="34"/>
      <c r="R25" s="34"/>
      <c r="S25" s="5"/>
      <c r="T25" s="5"/>
      <c r="V25" s="8"/>
      <c r="W25" s="8"/>
      <c r="X25" s="8"/>
      <c r="Y25" s="34"/>
    </row>
    <row r="26" spans="1:32" x14ac:dyDescent="0.25">
      <c r="A26" s="443" t="s">
        <v>301</v>
      </c>
      <c r="B26" s="42">
        <f>+'Data for Settlement &amp; 1st TU'!I42</f>
        <v>0.13200000000000001</v>
      </c>
      <c r="C26" s="42">
        <f>+'Data for Settlement &amp; 1st TU'!$G$52</f>
        <v>3.1848807346377295E-2</v>
      </c>
      <c r="D26" s="42">
        <f>+'Data for Settlement &amp; 1st TU'!$G$57</f>
        <v>8.8359370314842575E-2</v>
      </c>
      <c r="E26" s="42">
        <f t="shared" si="12"/>
        <v>0.12020817766121987</v>
      </c>
      <c r="F26" s="43">
        <f t="shared" si="13"/>
        <v>1.1791822338780136E-2</v>
      </c>
      <c r="G26" s="430">
        <f>'Data for Settlement &amp; 1st TU'!H21</f>
        <v>59029500.000000007</v>
      </c>
      <c r="H26" s="159">
        <f t="shared" si="14"/>
        <v>7791894.0000000009</v>
      </c>
      <c r="I26" s="159">
        <f t="shared" si="15"/>
        <v>1880019.1732529788</v>
      </c>
      <c r="J26" s="159">
        <f t="shared" si="16"/>
        <v>5215809.45</v>
      </c>
      <c r="K26" s="159">
        <f t="shared" si="17"/>
        <v>696065.37674702238</v>
      </c>
      <c r="M26" s="8"/>
      <c r="N26" s="8"/>
      <c r="O26" s="8"/>
      <c r="P26" s="34"/>
      <c r="Q26" s="34"/>
      <c r="R26" s="34"/>
      <c r="S26" s="5"/>
      <c r="T26" s="5"/>
      <c r="V26" s="8"/>
      <c r="W26" s="8"/>
      <c r="X26" s="8"/>
      <c r="Y26" s="34"/>
    </row>
    <row r="27" spans="1:32" x14ac:dyDescent="0.25">
      <c r="A27" s="444" t="s">
        <v>302</v>
      </c>
      <c r="B27" s="428">
        <f>+'Data for Settlement &amp; 1st TU'!I43</f>
        <v>7.3999999999999996E-2</v>
      </c>
      <c r="C27" s="428">
        <f>+'Data for Settlement &amp; 1st TU'!$G$52</f>
        <v>3.1848807346377295E-2</v>
      </c>
      <c r="D27" s="428">
        <f>+'Data for Settlement &amp; 1st TU'!$G$57</f>
        <v>8.8359370314842575E-2</v>
      </c>
      <c r="E27" s="428">
        <f>+C27+D27</f>
        <v>0.12020817766121987</v>
      </c>
      <c r="F27" s="429">
        <f>+B27-E27</f>
        <v>-4.6208177661219874E-2</v>
      </c>
      <c r="G27" s="430">
        <f>'Data for Settlement &amp; 1st TU'!H22</f>
        <v>5002500</v>
      </c>
      <c r="H27" s="159">
        <f>+G27*B27</f>
        <v>370185</v>
      </c>
      <c r="I27" s="159">
        <f>+G27*C27</f>
        <v>159323.65875025242</v>
      </c>
      <c r="J27" s="159">
        <f>+G27*D27</f>
        <v>442017.75</v>
      </c>
      <c r="K27" s="159">
        <f>+H27-I27-J27</f>
        <v>-231156.40875025242</v>
      </c>
      <c r="M27" s="8"/>
      <c r="N27" s="8"/>
      <c r="O27" s="8"/>
      <c r="P27" s="34"/>
      <c r="Q27" s="34"/>
      <c r="R27" s="34"/>
      <c r="S27" s="5"/>
      <c r="T27" s="5"/>
      <c r="V27" s="8"/>
      <c r="W27" s="8"/>
      <c r="X27" s="8"/>
      <c r="Y27" s="34"/>
    </row>
    <row r="28" spans="1:32" x14ac:dyDescent="0.25">
      <c r="A28" s="444" t="s">
        <v>303</v>
      </c>
      <c r="B28" s="428">
        <f>+'Data for Settlement &amp; 1st TU'!I44</f>
        <v>0.10199999999999999</v>
      </c>
      <c r="C28" s="428">
        <f>+'Data for Settlement &amp; 1st TU'!$G$52</f>
        <v>3.1848807346377295E-2</v>
      </c>
      <c r="D28" s="428">
        <f>+'Data for Settlement &amp; 1st TU'!$G$57</f>
        <v>8.8359370314842575E-2</v>
      </c>
      <c r="E28" s="428">
        <f t="shared" si="12"/>
        <v>0.12020817766121987</v>
      </c>
      <c r="F28" s="429">
        <f t="shared" si="13"/>
        <v>-1.8208177661219876E-2</v>
      </c>
      <c r="G28" s="430">
        <f>'Data for Settlement &amp; 1st TU'!H23</f>
        <v>2001000</v>
      </c>
      <c r="H28" s="159">
        <f t="shared" ref="H28:H30" si="18">+G28*B28</f>
        <v>204102</v>
      </c>
      <c r="I28" s="159">
        <f t="shared" ref="I28:I30" si="19">+G28*C28</f>
        <v>63729.463500100966</v>
      </c>
      <c r="J28" s="159">
        <f t="shared" ref="J28:J30" si="20">+G28*D28</f>
        <v>176807.1</v>
      </c>
      <c r="K28" s="159">
        <f t="shared" ref="K28:K30" si="21">+H28-I28-J28</f>
        <v>-36434.56350010098</v>
      </c>
      <c r="M28" s="8"/>
      <c r="N28" s="8"/>
      <c r="O28" s="8"/>
      <c r="P28" s="34"/>
      <c r="Q28" s="34"/>
      <c r="R28" s="34"/>
      <c r="S28" s="5"/>
      <c r="T28" s="5"/>
      <c r="V28" s="8"/>
      <c r="W28" s="8"/>
      <c r="X28" s="8"/>
      <c r="Y28" s="34"/>
    </row>
    <row r="29" spans="1:32" x14ac:dyDescent="0.25">
      <c r="A29" s="444" t="s">
        <v>304</v>
      </c>
      <c r="B29" s="428">
        <f>+'Data for Settlement &amp; 1st TU'!I45</f>
        <v>0.24</v>
      </c>
      <c r="C29" s="428">
        <f>+'Data for Settlement &amp; 1st TU'!$G$52</f>
        <v>3.1848807346377295E-2</v>
      </c>
      <c r="D29" s="428">
        <f>+'Data for Settlement &amp; 1st TU'!$G$57</f>
        <v>8.8359370314842575E-2</v>
      </c>
      <c r="E29" s="428">
        <f>+C29+D29</f>
        <v>0.12020817766121987</v>
      </c>
      <c r="F29" s="429">
        <f>+B29-E29</f>
        <v>0.11979182233878012</v>
      </c>
      <c r="G29" s="430">
        <f>'Data for Settlement &amp; 1st TU'!H24</f>
        <v>1000500</v>
      </c>
      <c r="H29" s="159">
        <f>+G29*B29</f>
        <v>240120</v>
      </c>
      <c r="I29" s="159">
        <f>+G29*C29</f>
        <v>31864.731750050483</v>
      </c>
      <c r="J29" s="159">
        <f>+G29*D29</f>
        <v>88403.55</v>
      </c>
      <c r="K29" s="159">
        <f>+H29-I29-J29</f>
        <v>119851.71824994952</v>
      </c>
      <c r="M29" s="8"/>
      <c r="N29" s="8"/>
      <c r="O29" s="8"/>
      <c r="P29" s="34"/>
      <c r="Q29" s="34"/>
      <c r="R29" s="34"/>
      <c r="S29" s="5"/>
      <c r="T29" s="5"/>
      <c r="V29" s="8"/>
      <c r="W29" s="8"/>
      <c r="X29" s="8"/>
      <c r="Y29" s="34"/>
    </row>
    <row r="30" spans="1:32" x14ac:dyDescent="0.25">
      <c r="A30" s="455" t="s">
        <v>305</v>
      </c>
      <c r="B30" s="428">
        <f>+'Data for Settlement &amp; 1st TU'!I46</f>
        <v>2.4E-2</v>
      </c>
      <c r="C30" s="428">
        <f>+'Data for Settlement &amp; 1st TU'!$G$52</f>
        <v>3.1848807346377295E-2</v>
      </c>
      <c r="D30" s="428">
        <f>+'Data for Settlement &amp; 1st TU'!$G$57</f>
        <v>8.8359370314842575E-2</v>
      </c>
      <c r="E30" s="428">
        <f t="shared" si="12"/>
        <v>0.12020817766121987</v>
      </c>
      <c r="F30" s="429">
        <f t="shared" si="13"/>
        <v>-9.6208177661219862E-2</v>
      </c>
      <c r="G30" s="430">
        <f>'Data for Settlement &amp; 1st TU'!H25</f>
        <v>4002000</v>
      </c>
      <c r="H30" s="159">
        <f t="shared" si="18"/>
        <v>96048</v>
      </c>
      <c r="I30" s="159">
        <f t="shared" si="19"/>
        <v>127458.92700020193</v>
      </c>
      <c r="J30" s="159">
        <f t="shared" si="20"/>
        <v>353614.2</v>
      </c>
      <c r="K30" s="159">
        <f t="shared" si="21"/>
        <v>-385025.12700020196</v>
      </c>
      <c r="M30" s="8"/>
      <c r="N30" s="8"/>
      <c r="O30" s="8"/>
      <c r="P30" s="34"/>
      <c r="Q30" s="34"/>
      <c r="R30" s="34"/>
      <c r="S30" s="5"/>
      <c r="T30" s="5"/>
      <c r="V30" s="8"/>
      <c r="W30" s="8"/>
      <c r="X30" s="8"/>
      <c r="Y30" s="34"/>
    </row>
    <row r="31" spans="1:32" ht="15.75" thickBot="1" x14ac:dyDescent="0.3">
      <c r="B31" s="456">
        <f>+H31/G31</f>
        <v>9.0217777777777772E-2</v>
      </c>
      <c r="G31" s="501">
        <f>SUM(G22:G30)</f>
        <v>225112500</v>
      </c>
      <c r="H31" s="436">
        <f>SUM(H22:H30)</f>
        <v>20309149.5</v>
      </c>
      <c r="I31" s="504">
        <f>SUM(I22:I30)</f>
        <v>7169564.6437613592</v>
      </c>
      <c r="J31" s="504">
        <f>SUM(J22:J30)</f>
        <v>19890798.75</v>
      </c>
      <c r="K31" s="436">
        <f>SUM(K22:K30)</f>
        <v>-6751213.8937613573</v>
      </c>
      <c r="M31" s="8"/>
      <c r="N31" s="8"/>
      <c r="O31" s="8"/>
      <c r="P31" s="28"/>
      <c r="Q31" s="28"/>
      <c r="R31" s="28"/>
      <c r="S31" s="28"/>
      <c r="T31" s="28"/>
      <c r="V31" s="8"/>
      <c r="W31" s="8"/>
      <c r="X31" s="8"/>
      <c r="Y31" s="28"/>
    </row>
    <row r="32" spans="1:32" x14ac:dyDescent="0.25">
      <c r="A32" s="8"/>
      <c r="B32" s="8"/>
      <c r="C32" s="8"/>
      <c r="D32" s="8"/>
      <c r="E32" s="8"/>
      <c r="J32" s="1"/>
      <c r="M32" s="8"/>
      <c r="N32" s="8"/>
      <c r="O32" s="8"/>
      <c r="P32" s="8"/>
      <c r="Q32" s="8"/>
      <c r="R32" s="8"/>
      <c r="V32" s="8"/>
      <c r="W32" s="8"/>
      <c r="X32" s="8"/>
      <c r="Y32" s="8"/>
    </row>
    <row r="33" spans="1:25" ht="18.75" x14ac:dyDescent="0.3">
      <c r="A33" s="25" t="s">
        <v>137</v>
      </c>
      <c r="M33" s="8"/>
      <c r="N33" s="8"/>
      <c r="O33" s="8"/>
      <c r="P33" s="8"/>
      <c r="Q33" s="8"/>
      <c r="R33" s="8"/>
      <c r="V33" s="8"/>
      <c r="W33" s="8"/>
      <c r="X33" s="8"/>
      <c r="Y33" s="8"/>
    </row>
    <row r="34" spans="1:25" ht="18.75" x14ac:dyDescent="0.3">
      <c r="A34" s="25"/>
      <c r="M34" s="8"/>
      <c r="N34" s="8"/>
      <c r="O34" s="8"/>
      <c r="P34" s="8"/>
      <c r="Q34" s="8"/>
      <c r="R34" s="8"/>
      <c r="V34" s="8"/>
      <c r="W34" s="8"/>
      <c r="X34" s="8"/>
      <c r="Y34" s="8"/>
    </row>
    <row r="35" spans="1:25" x14ac:dyDescent="0.25">
      <c r="A35" s="11" t="s">
        <v>124</v>
      </c>
      <c r="M35" s="8"/>
      <c r="N35" s="8"/>
      <c r="O35" s="8"/>
      <c r="P35" s="8"/>
      <c r="Q35" s="8"/>
      <c r="R35" s="8"/>
      <c r="V35" s="8"/>
      <c r="W35" s="8"/>
      <c r="X35" s="8"/>
      <c r="Y35" s="8"/>
    </row>
    <row r="36" spans="1:25" ht="45" x14ac:dyDescent="0.25">
      <c r="A36" s="69" t="s">
        <v>56</v>
      </c>
      <c r="B36" s="45" t="s">
        <v>16</v>
      </c>
      <c r="C36" s="46" t="s">
        <v>73</v>
      </c>
      <c r="D36" s="46" t="s">
        <v>54</v>
      </c>
      <c r="E36" s="46" t="s">
        <v>27</v>
      </c>
      <c r="F36" s="45" t="s">
        <v>7</v>
      </c>
      <c r="G36" s="45" t="s">
        <v>14</v>
      </c>
      <c r="H36" s="46" t="s">
        <v>79</v>
      </c>
      <c r="I36" s="46" t="s">
        <v>80</v>
      </c>
      <c r="J36" s="46" t="s">
        <v>81</v>
      </c>
      <c r="K36" s="46" t="s">
        <v>173</v>
      </c>
    </row>
    <row r="37" spans="1:25" x14ac:dyDescent="0.25">
      <c r="A37" s="47" t="s">
        <v>2</v>
      </c>
      <c r="B37" s="48">
        <f t="shared" ref="B37:G45" si="22">+B7-B22</f>
        <v>0</v>
      </c>
      <c r="C37" s="49">
        <f t="shared" si="22"/>
        <v>-3.4880734637729449E-4</v>
      </c>
      <c r="D37" s="49">
        <f t="shared" si="22"/>
        <v>-9.6593703148425691E-3</v>
      </c>
      <c r="E37" s="49">
        <f t="shared" si="22"/>
        <v>-1.0008177661219864E-2</v>
      </c>
      <c r="F37" s="50">
        <f t="shared" si="22"/>
        <v>1.0008177661219864E-2</v>
      </c>
      <c r="G37" s="20">
        <f t="shared" si="22"/>
        <v>-2500</v>
      </c>
      <c r="H37" s="4">
        <f t="shared" ref="H37:J45" si="23">+H22-H7</f>
        <v>192.5</v>
      </c>
      <c r="I37" s="4">
        <f t="shared" si="23"/>
        <v>1823.6587502524198</v>
      </c>
      <c r="J37" s="4">
        <f t="shared" si="23"/>
        <v>48517.749999999942</v>
      </c>
      <c r="K37" s="4">
        <f>+H37-I37-J37</f>
        <v>-50148.908750252362</v>
      </c>
      <c r="M37" s="5"/>
      <c r="N37" s="39"/>
    </row>
    <row r="38" spans="1:25" x14ac:dyDescent="0.25">
      <c r="A38" s="51" t="s">
        <v>3</v>
      </c>
      <c r="B38" s="37">
        <f t="shared" si="22"/>
        <v>0</v>
      </c>
      <c r="C38" s="42">
        <f t="shared" si="22"/>
        <v>-3.4880734637729449E-4</v>
      </c>
      <c r="D38" s="42">
        <f t="shared" si="22"/>
        <v>-9.6593703148425691E-3</v>
      </c>
      <c r="E38" s="42">
        <f t="shared" si="22"/>
        <v>-1.0008177661219864E-2</v>
      </c>
      <c r="F38" s="43">
        <f t="shared" si="22"/>
        <v>1.0008177661219864E-2</v>
      </c>
      <c r="G38" s="20">
        <f t="shared" si="22"/>
        <v>-3500</v>
      </c>
      <c r="H38" s="4">
        <f t="shared" si="23"/>
        <v>311.5</v>
      </c>
      <c r="I38" s="4">
        <f t="shared" si="23"/>
        <v>2553.1222503533936</v>
      </c>
      <c r="J38" s="4">
        <f t="shared" si="23"/>
        <v>67924.849999999977</v>
      </c>
      <c r="K38" s="4">
        <f t="shared" ref="K38:K41" si="24">+H38-I38-J38</f>
        <v>-70166.47225035337</v>
      </c>
      <c r="M38" s="5"/>
      <c r="N38" s="39"/>
    </row>
    <row r="39" spans="1:25" x14ac:dyDescent="0.25">
      <c r="A39" s="443" t="s">
        <v>299</v>
      </c>
      <c r="B39" s="37">
        <f t="shared" si="22"/>
        <v>0</v>
      </c>
      <c r="C39" s="42">
        <f t="shared" si="22"/>
        <v>-3.4880734637729449E-4</v>
      </c>
      <c r="D39" s="42">
        <f t="shared" si="22"/>
        <v>-9.6593703148425691E-3</v>
      </c>
      <c r="E39" s="42">
        <f t="shared" si="22"/>
        <v>-1.0008177661219864E-2</v>
      </c>
      <c r="F39" s="43">
        <f t="shared" si="22"/>
        <v>1.0008177661219864E-2</v>
      </c>
      <c r="G39" s="430">
        <f t="shared" si="22"/>
        <v>-47500</v>
      </c>
      <c r="H39" s="159">
        <f t="shared" si="23"/>
        <v>3087.5</v>
      </c>
      <c r="I39" s="159">
        <f t="shared" si="23"/>
        <v>34649.516254795715</v>
      </c>
      <c r="J39" s="159">
        <f t="shared" si="23"/>
        <v>921837.24999999907</v>
      </c>
      <c r="K39" s="159">
        <f t="shared" si="24"/>
        <v>-953399.26625479478</v>
      </c>
      <c r="M39" s="5"/>
      <c r="N39" s="39"/>
    </row>
    <row r="40" spans="1:25" x14ac:dyDescent="0.25">
      <c r="A40" s="443" t="s">
        <v>300</v>
      </c>
      <c r="B40" s="37">
        <f t="shared" si="22"/>
        <v>0</v>
      </c>
      <c r="C40" s="42">
        <f t="shared" si="22"/>
        <v>-3.4880734637729449E-4</v>
      </c>
      <c r="D40" s="42">
        <f t="shared" si="22"/>
        <v>-9.6593703148425691E-3</v>
      </c>
      <c r="E40" s="42">
        <f t="shared" si="22"/>
        <v>-1.0008177661219864E-2</v>
      </c>
      <c r="F40" s="43">
        <f t="shared" si="22"/>
        <v>1.0008177661219864E-2</v>
      </c>
      <c r="G40" s="430">
        <f t="shared" si="22"/>
        <v>-23500</v>
      </c>
      <c r="H40" s="159">
        <f t="shared" si="23"/>
        <v>2209</v>
      </c>
      <c r="I40" s="159">
        <f t="shared" si="23"/>
        <v>17142.392252372811</v>
      </c>
      <c r="J40" s="159">
        <f t="shared" si="23"/>
        <v>456066.84999999916</v>
      </c>
      <c r="K40" s="159">
        <f t="shared" si="24"/>
        <v>-471000.24225237197</v>
      </c>
      <c r="M40" s="5"/>
      <c r="N40" s="39"/>
    </row>
    <row r="41" spans="1:25" x14ac:dyDescent="0.25">
      <c r="A41" s="443" t="s">
        <v>301</v>
      </c>
      <c r="B41" s="37">
        <f t="shared" si="22"/>
        <v>0</v>
      </c>
      <c r="C41" s="42">
        <f t="shared" si="22"/>
        <v>-3.4880734637729449E-4</v>
      </c>
      <c r="D41" s="42">
        <f t="shared" si="22"/>
        <v>-9.6593703148425691E-3</v>
      </c>
      <c r="E41" s="42">
        <f t="shared" si="22"/>
        <v>-1.0008177661219864E-2</v>
      </c>
      <c r="F41" s="43">
        <f t="shared" si="22"/>
        <v>1.0008177661219864E-2</v>
      </c>
      <c r="G41" s="434">
        <f t="shared" si="22"/>
        <v>-29500</v>
      </c>
      <c r="H41" s="159">
        <f t="shared" si="23"/>
        <v>3894</v>
      </c>
      <c r="I41" s="159">
        <f t="shared" si="23"/>
        <v>21519.173252978595</v>
      </c>
      <c r="J41" s="159">
        <f t="shared" si="23"/>
        <v>572509.44999999925</v>
      </c>
      <c r="K41" s="159">
        <f t="shared" si="24"/>
        <v>-590134.62325297785</v>
      </c>
      <c r="M41" s="5"/>
      <c r="N41" s="39"/>
    </row>
    <row r="42" spans="1:25" x14ac:dyDescent="0.25">
      <c r="A42" s="444" t="s">
        <v>302</v>
      </c>
      <c r="B42" s="433">
        <f t="shared" si="22"/>
        <v>0</v>
      </c>
      <c r="C42" s="428">
        <f t="shared" si="22"/>
        <v>-3.4880734637729449E-4</v>
      </c>
      <c r="D42" s="428">
        <f t="shared" si="22"/>
        <v>-9.6593703148425691E-3</v>
      </c>
      <c r="E42" s="428">
        <f t="shared" si="22"/>
        <v>-1.0008177661219864E-2</v>
      </c>
      <c r="F42" s="429">
        <f t="shared" si="22"/>
        <v>1.0008177661219864E-2</v>
      </c>
      <c r="G42" s="434">
        <f t="shared" si="22"/>
        <v>-2500</v>
      </c>
      <c r="H42" s="159">
        <f t="shared" si="23"/>
        <v>185</v>
      </c>
      <c r="I42" s="159">
        <f t="shared" si="23"/>
        <v>1823.6587502524198</v>
      </c>
      <c r="J42" s="159">
        <f t="shared" si="23"/>
        <v>48517.749999999942</v>
      </c>
      <c r="K42" s="159">
        <f>+H42-I42-J42</f>
        <v>-50156.408750252362</v>
      </c>
      <c r="M42" s="5"/>
      <c r="N42" s="39"/>
    </row>
    <row r="43" spans="1:25" x14ac:dyDescent="0.25">
      <c r="A43" s="444" t="s">
        <v>303</v>
      </c>
      <c r="B43" s="433">
        <f t="shared" si="22"/>
        <v>0</v>
      </c>
      <c r="C43" s="428">
        <f t="shared" si="22"/>
        <v>-3.4880734637729449E-4</v>
      </c>
      <c r="D43" s="428">
        <f t="shared" si="22"/>
        <v>-9.6593703148425691E-3</v>
      </c>
      <c r="E43" s="428">
        <f t="shared" si="22"/>
        <v>-1.0008177661219864E-2</v>
      </c>
      <c r="F43" s="429">
        <f t="shared" si="22"/>
        <v>1.0008177661219864E-2</v>
      </c>
      <c r="G43" s="434">
        <f t="shared" si="22"/>
        <v>-1000</v>
      </c>
      <c r="H43" s="159">
        <f t="shared" si="23"/>
        <v>102</v>
      </c>
      <c r="I43" s="159">
        <f t="shared" si="23"/>
        <v>729.46350010096648</v>
      </c>
      <c r="J43" s="159">
        <f t="shared" si="23"/>
        <v>19407.100000000006</v>
      </c>
      <c r="K43" s="159">
        <f t="shared" ref="K43:K45" si="25">+H43-I43-J43</f>
        <v>-20034.563500100972</v>
      </c>
      <c r="M43" s="5"/>
      <c r="N43" s="39"/>
    </row>
    <row r="44" spans="1:25" x14ac:dyDescent="0.25">
      <c r="A44" s="444" t="s">
        <v>304</v>
      </c>
      <c r="B44" s="433">
        <f t="shared" si="22"/>
        <v>0</v>
      </c>
      <c r="C44" s="428">
        <f t="shared" si="22"/>
        <v>-3.4880734637729449E-4</v>
      </c>
      <c r="D44" s="428">
        <f t="shared" si="22"/>
        <v>-9.6593703148425691E-3</v>
      </c>
      <c r="E44" s="428">
        <f t="shared" si="22"/>
        <v>-1.0008177661219864E-2</v>
      </c>
      <c r="F44" s="429">
        <f t="shared" si="22"/>
        <v>1.000817766121985E-2</v>
      </c>
      <c r="G44" s="434">
        <f t="shared" si="22"/>
        <v>-500</v>
      </c>
      <c r="H44" s="159">
        <f t="shared" si="23"/>
        <v>120</v>
      </c>
      <c r="I44" s="159">
        <f t="shared" si="23"/>
        <v>364.73175005048324</v>
      </c>
      <c r="J44" s="159">
        <f t="shared" si="23"/>
        <v>9703.5500000000029</v>
      </c>
      <c r="K44" s="159">
        <f>+H44-I44-J44</f>
        <v>-9948.2817500504862</v>
      </c>
      <c r="M44" s="5"/>
      <c r="N44" s="39"/>
    </row>
    <row r="45" spans="1:25" x14ac:dyDescent="0.25">
      <c r="A45" s="455" t="s">
        <v>305</v>
      </c>
      <c r="B45" s="435">
        <f t="shared" si="22"/>
        <v>0</v>
      </c>
      <c r="C45" s="431">
        <f t="shared" si="22"/>
        <v>-3.4880734637729449E-4</v>
      </c>
      <c r="D45" s="431">
        <f t="shared" si="22"/>
        <v>-9.6593703148425691E-3</v>
      </c>
      <c r="E45" s="431">
        <f t="shared" si="22"/>
        <v>-1.0008177661219864E-2</v>
      </c>
      <c r="F45" s="432">
        <f t="shared" si="22"/>
        <v>1.0008177661219864E-2</v>
      </c>
      <c r="G45" s="439">
        <f t="shared" si="22"/>
        <v>-2000</v>
      </c>
      <c r="H45" s="440">
        <f t="shared" si="23"/>
        <v>48</v>
      </c>
      <c r="I45" s="440">
        <f t="shared" si="23"/>
        <v>1458.927000201933</v>
      </c>
      <c r="J45" s="440">
        <f t="shared" si="23"/>
        <v>38814.200000000012</v>
      </c>
      <c r="K45" s="440">
        <f t="shared" si="25"/>
        <v>-40225.127000201945</v>
      </c>
      <c r="M45" s="5"/>
      <c r="N45" s="39"/>
    </row>
    <row r="46" spans="1:25" ht="15.75" thickBot="1" x14ac:dyDescent="0.3">
      <c r="B46" s="3"/>
      <c r="G46" s="502">
        <f>SUM(G37:G45)</f>
        <v>-112500</v>
      </c>
      <c r="H46" s="441">
        <f>SUM(H37:H45)</f>
        <v>10149.5</v>
      </c>
      <c r="I46" s="503">
        <f t="shared" ref="I46:K46" si="26">SUM(I37:I45)</f>
        <v>82064.643761358748</v>
      </c>
      <c r="J46" s="503">
        <f t="shared" si="26"/>
        <v>2183298.7499999972</v>
      </c>
      <c r="K46" s="441">
        <f t="shared" si="26"/>
        <v>-2255213.8937613554</v>
      </c>
    </row>
    <row r="47" spans="1:25" ht="15.75" thickTop="1" x14ac:dyDescent="0.25"/>
    <row r="48" spans="1:25" ht="17.25" x14ac:dyDescent="0.25">
      <c r="A48" t="s">
        <v>278</v>
      </c>
      <c r="K48" s="28"/>
    </row>
    <row r="49" spans="11:11" x14ac:dyDescent="0.25">
      <c r="K49" s="5"/>
    </row>
  </sheetData>
  <pageMargins left="0.7" right="0.7" top="0.75" bottom="0.75" header="0.3" footer="0.3"/>
  <pageSetup paperSize="5" scale="78"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116"/>
  <sheetViews>
    <sheetView showGridLines="0" zoomScale="90" zoomScaleNormal="90" workbookViewId="0">
      <selection activeCell="A26" sqref="A26"/>
    </sheetView>
  </sheetViews>
  <sheetFormatPr defaultRowHeight="15" x14ac:dyDescent="0.25"/>
  <cols>
    <col min="1" max="1" width="69.7109375" customWidth="1"/>
    <col min="2" max="2" width="13.28515625" bestFit="1" customWidth="1"/>
    <col min="3" max="3" width="15.7109375" customWidth="1"/>
    <col min="4" max="4" width="14.7109375" customWidth="1"/>
    <col min="5" max="5" width="6.28515625" customWidth="1"/>
    <col min="6" max="6" width="69.28515625" customWidth="1"/>
    <col min="7" max="7" width="12.28515625" customWidth="1"/>
    <col min="8" max="8" width="15" bestFit="1" customWidth="1"/>
    <col min="9" max="9" width="14.7109375" customWidth="1"/>
    <col min="10" max="10" width="6.28515625" customWidth="1"/>
    <col min="11" max="11" width="13.7109375" customWidth="1"/>
    <col min="12" max="12" width="13.7109375" bestFit="1" customWidth="1"/>
    <col min="13" max="13" width="14.7109375" customWidth="1"/>
    <col min="14" max="14" width="13.28515625" bestFit="1" customWidth="1"/>
    <col min="15" max="15" width="13.7109375" bestFit="1" customWidth="1"/>
    <col min="16" max="16" width="15" bestFit="1" customWidth="1"/>
    <col min="17" max="17" width="8.5703125" bestFit="1" customWidth="1"/>
    <col min="18" max="21" width="14.7109375" customWidth="1"/>
    <col min="22" max="22" width="13.28515625" customWidth="1"/>
    <col min="23" max="23" width="13.42578125" customWidth="1"/>
    <col min="24" max="24" width="12.42578125" customWidth="1"/>
    <col min="25" max="25" width="13.28515625" customWidth="1"/>
    <col min="26" max="26" width="12.7109375" customWidth="1"/>
    <col min="27" max="27" width="9.28515625" customWidth="1"/>
  </cols>
  <sheetData>
    <row r="1" spans="1:20" ht="18.75" x14ac:dyDescent="0.3">
      <c r="A1" s="510" t="s">
        <v>318</v>
      </c>
      <c r="B1" s="12"/>
      <c r="C1" s="12"/>
      <c r="D1" s="12"/>
      <c r="E1" s="12"/>
      <c r="F1" s="510" t="s">
        <v>316</v>
      </c>
      <c r="G1" s="12"/>
      <c r="H1" s="12"/>
      <c r="I1" s="12"/>
      <c r="K1" s="25" t="s">
        <v>238</v>
      </c>
    </row>
    <row r="3" spans="1:20" x14ac:dyDescent="0.25">
      <c r="A3" s="11" t="s">
        <v>229</v>
      </c>
      <c r="F3" s="11" t="s">
        <v>133</v>
      </c>
      <c r="K3" s="8"/>
      <c r="L3" s="8"/>
      <c r="M3" s="8"/>
      <c r="N3" s="8"/>
      <c r="O3" s="8"/>
      <c r="P3" s="8"/>
      <c r="Q3" s="8"/>
      <c r="R3" s="8"/>
      <c r="S3" s="8"/>
      <c r="T3" s="8"/>
    </row>
    <row r="4" spans="1:20" ht="30" x14ac:dyDescent="0.25">
      <c r="A4" s="11"/>
      <c r="B4" s="54" t="s">
        <v>104</v>
      </c>
      <c r="C4" s="108" t="s">
        <v>96</v>
      </c>
      <c r="D4" s="108" t="s">
        <v>97</v>
      </c>
      <c r="F4" s="11"/>
      <c r="G4" s="54" t="s">
        <v>104</v>
      </c>
      <c r="H4" s="108" t="s">
        <v>96</v>
      </c>
      <c r="I4" s="108" t="s">
        <v>97</v>
      </c>
      <c r="K4" s="8"/>
      <c r="L4" s="8"/>
      <c r="M4" s="8"/>
      <c r="N4" s="8"/>
      <c r="O4" s="8"/>
      <c r="P4" s="8"/>
      <c r="Q4" s="8"/>
      <c r="R4" s="8"/>
      <c r="S4" s="8"/>
      <c r="T4" s="8"/>
    </row>
    <row r="5" spans="1:20" ht="18.75" x14ac:dyDescent="0.3">
      <c r="A5" s="17" t="s">
        <v>214</v>
      </c>
      <c r="C5" s="9">
        <f>+'Data for Settlement &amp; 1st TU'!H6</f>
        <v>527250000</v>
      </c>
      <c r="D5" s="9">
        <f>+C5</f>
        <v>527250000</v>
      </c>
      <c r="F5" s="17" t="s">
        <v>214</v>
      </c>
      <c r="H5" s="1">
        <f>+C5</f>
        <v>527250000</v>
      </c>
      <c r="I5" s="6">
        <f>+H5</f>
        <v>527250000</v>
      </c>
      <c r="K5" s="40"/>
      <c r="L5" s="8"/>
      <c r="M5" s="8"/>
      <c r="N5" s="8"/>
      <c r="O5" s="34"/>
      <c r="P5" s="8"/>
      <c r="Q5" s="8"/>
      <c r="R5" s="8"/>
      <c r="S5" s="8"/>
      <c r="T5" s="8"/>
    </row>
    <row r="6" spans="1:20" x14ac:dyDescent="0.25">
      <c r="A6" s="17" t="s">
        <v>213</v>
      </c>
      <c r="C6" s="9">
        <f>+'Data for Settlement &amp; 1st TU'!H7</f>
        <v>8000000</v>
      </c>
      <c r="D6" s="9">
        <f>+C6</f>
        <v>8000000</v>
      </c>
      <c r="F6" s="17" t="s">
        <v>213</v>
      </c>
      <c r="H6" s="9">
        <f>+C6</f>
        <v>8000000</v>
      </c>
      <c r="I6" s="6">
        <f>+H6</f>
        <v>8000000</v>
      </c>
      <c r="K6" s="71"/>
      <c r="L6" s="8"/>
      <c r="M6" s="8"/>
      <c r="N6" s="8"/>
      <c r="O6" s="8"/>
      <c r="P6" s="8"/>
      <c r="Q6" s="8"/>
      <c r="R6" s="8"/>
      <c r="S6" s="8"/>
      <c r="T6" s="8"/>
    </row>
    <row r="7" spans="1:20" x14ac:dyDescent="0.25">
      <c r="A7" s="17" t="s">
        <v>99</v>
      </c>
      <c r="C7" s="9">
        <f>+'Data for Settlement &amp; 1st TU'!H8</f>
        <v>-35000000</v>
      </c>
      <c r="D7" s="9"/>
      <c r="F7" s="17" t="s">
        <v>99</v>
      </c>
      <c r="H7" s="9">
        <f>+C7</f>
        <v>-35000000</v>
      </c>
      <c r="K7" s="71"/>
      <c r="L7" s="8"/>
      <c r="M7" s="8"/>
      <c r="N7" s="8"/>
      <c r="O7" s="8"/>
      <c r="P7" s="8"/>
      <c r="Q7" s="8"/>
      <c r="R7" s="8"/>
      <c r="S7" s="8"/>
      <c r="T7" s="8"/>
    </row>
    <row r="8" spans="1:20" x14ac:dyDescent="0.25">
      <c r="A8" s="17"/>
      <c r="C8" s="74">
        <f>SUM(C5:C7)</f>
        <v>500250000</v>
      </c>
      <c r="D8" s="74">
        <f>SUM(D5:D7)</f>
        <v>535250000</v>
      </c>
      <c r="F8" s="17"/>
      <c r="H8" s="74">
        <f>SUM(H5:H7)</f>
        <v>500250000</v>
      </c>
      <c r="I8" s="74">
        <f>SUM(I5:I7)</f>
        <v>535250000</v>
      </c>
      <c r="K8" s="8"/>
      <c r="L8" s="8"/>
      <c r="M8" s="542"/>
      <c r="N8" s="542"/>
      <c r="O8" s="542"/>
      <c r="P8" s="542"/>
      <c r="Q8" s="543"/>
      <c r="R8" s="543"/>
      <c r="S8" s="8"/>
      <c r="T8" s="8"/>
    </row>
    <row r="9" spans="1:20" x14ac:dyDescent="0.25">
      <c r="A9" s="17"/>
      <c r="C9" s="9"/>
      <c r="F9" s="17"/>
      <c r="H9" s="1"/>
      <c r="K9" s="8"/>
      <c r="L9" s="35"/>
      <c r="M9" s="52"/>
      <c r="N9" s="35"/>
      <c r="O9" s="36"/>
      <c r="P9" s="52"/>
      <c r="Q9" s="35"/>
      <c r="R9" s="36"/>
      <c r="S9" s="36"/>
      <c r="T9" s="8"/>
    </row>
    <row r="10" spans="1:20" x14ac:dyDescent="0.25">
      <c r="A10" t="s">
        <v>32</v>
      </c>
      <c r="B10" s="2">
        <f>+B31</f>
        <v>0.45</v>
      </c>
      <c r="C10" s="1">
        <f>+C8*B10</f>
        <v>225112500</v>
      </c>
      <c r="D10" s="6">
        <f>C10</f>
        <v>225112500</v>
      </c>
      <c r="F10" t="s">
        <v>30</v>
      </c>
      <c r="G10" s="13">
        <f>+G31</f>
        <v>0.42713216957605987</v>
      </c>
      <c r="H10" s="1">
        <f>+H8*G10</f>
        <v>213672867.83042395</v>
      </c>
      <c r="I10" s="6">
        <f>+H10</f>
        <v>213672867.83042395</v>
      </c>
      <c r="K10" s="128"/>
      <c r="L10" s="32"/>
      <c r="M10" s="33"/>
      <c r="N10" s="28"/>
      <c r="O10" s="76"/>
      <c r="P10" s="33"/>
      <c r="Q10" s="76"/>
      <c r="R10" s="28"/>
      <c r="S10" s="28"/>
      <c r="T10" s="8"/>
    </row>
    <row r="11" spans="1:20" x14ac:dyDescent="0.25">
      <c r="A11" t="s">
        <v>33</v>
      </c>
      <c r="B11" s="2">
        <f>+B32</f>
        <v>0.55000000000000004</v>
      </c>
      <c r="C11" s="1">
        <f>+C8*B11</f>
        <v>275137500</v>
      </c>
      <c r="D11" s="6">
        <f>+C11-C7</f>
        <v>310137500</v>
      </c>
      <c r="F11" t="s">
        <v>34</v>
      </c>
      <c r="G11" s="13">
        <f>+G32</f>
        <v>0.57286783042394018</v>
      </c>
      <c r="H11" s="1">
        <f>+H8*G11</f>
        <v>286577132.16957605</v>
      </c>
      <c r="I11" s="6">
        <f>+H11-H7</f>
        <v>321577132.16957605</v>
      </c>
      <c r="J11" s="12"/>
      <c r="K11" s="128"/>
      <c r="L11" s="32"/>
      <c r="M11" s="33"/>
      <c r="N11" s="28"/>
      <c r="O11" s="76"/>
      <c r="P11" s="33"/>
      <c r="Q11" s="76"/>
      <c r="R11" s="28"/>
      <c r="S11" s="28"/>
      <c r="T11" s="8"/>
    </row>
    <row r="12" spans="1:20" ht="15.75" thickBot="1" x14ac:dyDescent="0.3">
      <c r="A12" t="s">
        <v>13</v>
      </c>
      <c r="B12" s="19">
        <f>+B10+B11</f>
        <v>1</v>
      </c>
      <c r="C12" s="18">
        <f>+C10+C11</f>
        <v>500250000</v>
      </c>
      <c r="D12" s="18">
        <f>+D10+D11</f>
        <v>535250000</v>
      </c>
      <c r="F12" t="s">
        <v>13</v>
      </c>
      <c r="G12" s="19">
        <f>+G10+G11</f>
        <v>1</v>
      </c>
      <c r="H12" s="18">
        <f>+H10+H11</f>
        <v>500250000</v>
      </c>
      <c r="I12" s="18">
        <f>+I10+I11</f>
        <v>535250000</v>
      </c>
      <c r="K12" s="8"/>
      <c r="L12" s="35"/>
      <c r="M12" s="33"/>
      <c r="N12" s="28"/>
      <c r="O12" s="76"/>
      <c r="P12" s="33"/>
      <c r="Q12" s="76"/>
      <c r="R12" s="28"/>
      <c r="S12" s="28"/>
      <c r="T12" s="8"/>
    </row>
    <row r="13" spans="1:20" ht="15.75" thickTop="1" x14ac:dyDescent="0.25">
      <c r="K13" s="8"/>
      <c r="L13" s="8"/>
      <c r="M13" s="8"/>
      <c r="N13" s="8"/>
      <c r="O13" s="8"/>
      <c r="P13" s="8"/>
      <c r="Q13" s="8"/>
      <c r="R13" s="8"/>
      <c r="S13" s="8"/>
      <c r="T13" s="8"/>
    </row>
    <row r="14" spans="1:20" x14ac:dyDescent="0.25">
      <c r="A14" s="26" t="s">
        <v>221</v>
      </c>
      <c r="F14" s="26" t="s">
        <v>222</v>
      </c>
      <c r="K14" s="8"/>
      <c r="L14" s="32"/>
      <c r="M14" s="33"/>
      <c r="N14" s="28"/>
      <c r="O14" s="76"/>
      <c r="P14" s="33"/>
      <c r="Q14" s="76"/>
      <c r="R14" s="28"/>
      <c r="S14" s="28"/>
      <c r="T14" s="8"/>
    </row>
    <row r="15" spans="1:20" x14ac:dyDescent="0.25">
      <c r="A15" s="26"/>
      <c r="B15" s="107" t="s">
        <v>8</v>
      </c>
      <c r="C15" s="107" t="s">
        <v>14</v>
      </c>
      <c r="D15" s="54"/>
      <c r="F15" s="26"/>
      <c r="G15" s="107" t="s">
        <v>9</v>
      </c>
      <c r="H15" s="107" t="s">
        <v>14</v>
      </c>
      <c r="I15" s="54"/>
      <c r="L15" s="10"/>
      <c r="M15" s="6"/>
      <c r="N15" s="4"/>
      <c r="O15" s="2"/>
      <c r="P15" s="6"/>
      <c r="Q15" s="2"/>
      <c r="R15" s="4"/>
      <c r="S15" s="4"/>
    </row>
    <row r="16" spans="1:20" x14ac:dyDescent="0.25">
      <c r="A16" t="s">
        <v>2</v>
      </c>
      <c r="B16" s="13">
        <f t="shared" ref="B16:B23" si="0">B37</f>
        <v>2.2222222222222223E-2</v>
      </c>
      <c r="C16" s="352">
        <f>+B16*$C$10</f>
        <v>5002500</v>
      </c>
      <c r="D16" s="64"/>
      <c r="F16" t="s">
        <v>2</v>
      </c>
      <c r="G16" s="417">
        <f t="shared" ref="G16:G23" si="1">G37</f>
        <v>1.9743469274421058E-2</v>
      </c>
      <c r="H16" s="418">
        <f>+G16*$H$10</f>
        <v>4218643.7007874073</v>
      </c>
      <c r="I16" s="22"/>
      <c r="L16" s="10"/>
      <c r="M16" s="6"/>
      <c r="N16" s="4"/>
      <c r="O16" s="2"/>
      <c r="P16" s="6"/>
      <c r="Q16" s="2"/>
      <c r="R16" s="4"/>
      <c r="S16" s="4"/>
    </row>
    <row r="17" spans="1:19" x14ac:dyDescent="0.25">
      <c r="A17" t="s">
        <v>3</v>
      </c>
      <c r="B17" s="13">
        <f t="shared" si="0"/>
        <v>3.111111111111111E-2</v>
      </c>
      <c r="C17" s="352">
        <f t="shared" ref="C17:C24" si="2">+B17*$C$10</f>
        <v>7003500</v>
      </c>
      <c r="D17" s="64"/>
      <c r="F17" t="s">
        <v>3</v>
      </c>
      <c r="G17" s="417">
        <f t="shared" si="1"/>
        <v>3.6415732217265441E-2</v>
      </c>
      <c r="H17" s="418">
        <f t="shared" ref="H17:H24" si="3">+G17*$H$10</f>
        <v>7781053.9370078696</v>
      </c>
      <c r="I17" s="22"/>
      <c r="L17" s="10"/>
      <c r="M17" s="6"/>
      <c r="N17" s="4"/>
      <c r="O17" s="2"/>
      <c r="P17" s="6"/>
      <c r="Q17" s="2"/>
      <c r="R17" s="4"/>
      <c r="S17" s="4"/>
    </row>
    <row r="18" spans="1:19" x14ac:dyDescent="0.25">
      <c r="A18" s="443" t="s">
        <v>299</v>
      </c>
      <c r="B18" s="417">
        <f t="shared" si="0"/>
        <v>0.42222222222222222</v>
      </c>
      <c r="C18" s="418">
        <f t="shared" si="2"/>
        <v>95047500</v>
      </c>
      <c r="D18" s="64"/>
      <c r="F18" s="443" t="s">
        <v>299</v>
      </c>
      <c r="G18" s="417">
        <f t="shared" si="1"/>
        <v>0.3904079850831349</v>
      </c>
      <c r="H18" s="418">
        <f t="shared" si="3"/>
        <v>83419593.796610802</v>
      </c>
      <c r="I18" s="22"/>
      <c r="L18" s="10"/>
      <c r="M18" s="6"/>
      <c r="N18" s="4"/>
      <c r="O18" s="2"/>
      <c r="P18" s="6"/>
      <c r="Q18" s="2"/>
      <c r="R18" s="4"/>
      <c r="S18" s="4"/>
    </row>
    <row r="19" spans="1:19" x14ac:dyDescent="0.25">
      <c r="A19" s="443" t="s">
        <v>300</v>
      </c>
      <c r="B19" s="417">
        <f t="shared" si="0"/>
        <v>0.2088888888888889</v>
      </c>
      <c r="C19" s="418">
        <f t="shared" si="2"/>
        <v>47023500</v>
      </c>
      <c r="D19" s="64"/>
      <c r="F19" s="443" t="s">
        <v>300</v>
      </c>
      <c r="G19" s="417">
        <f t="shared" si="1"/>
        <v>0.23692163129305271</v>
      </c>
      <c r="H19" s="418">
        <f t="shared" si="3"/>
        <v>50623724.409448884</v>
      </c>
      <c r="I19" s="22"/>
      <c r="L19" s="10"/>
      <c r="M19" s="6"/>
      <c r="N19" s="4"/>
      <c r="O19" s="2"/>
      <c r="P19" s="6"/>
      <c r="Q19" s="2"/>
      <c r="R19" s="4"/>
      <c r="S19" s="4"/>
    </row>
    <row r="20" spans="1:19" x14ac:dyDescent="0.25">
      <c r="A20" s="443" t="s">
        <v>301</v>
      </c>
      <c r="B20" s="417">
        <f t="shared" si="0"/>
        <v>0.26222222222222225</v>
      </c>
      <c r="C20" s="418">
        <f t="shared" si="2"/>
        <v>59029500.000000007</v>
      </c>
      <c r="D20" s="64"/>
      <c r="F20" s="443" t="s">
        <v>301</v>
      </c>
      <c r="G20" s="417">
        <f t="shared" si="1"/>
        <v>0.26851118213212644</v>
      </c>
      <c r="H20" s="418">
        <f t="shared" si="3"/>
        <v>57373554.330708742</v>
      </c>
      <c r="I20" s="22"/>
      <c r="L20" s="10"/>
      <c r="M20" s="6"/>
      <c r="N20" s="4"/>
      <c r="O20" s="2"/>
      <c r="P20" s="6"/>
      <c r="Q20" s="2"/>
      <c r="R20" s="4"/>
      <c r="S20" s="4"/>
    </row>
    <row r="21" spans="1:19" x14ac:dyDescent="0.25">
      <c r="A21" s="444" t="s">
        <v>302</v>
      </c>
      <c r="B21" s="417">
        <f t="shared" si="0"/>
        <v>2.2222222222222223E-2</v>
      </c>
      <c r="C21" s="418">
        <f>+B21*$C$10</f>
        <v>5002500</v>
      </c>
      <c r="D21" s="64"/>
      <c r="F21" s="444" t="s">
        <v>302</v>
      </c>
      <c r="G21" s="417">
        <f t="shared" si="1"/>
        <v>1.9200000000000002E-2</v>
      </c>
      <c r="H21" s="418">
        <f>+G21*$H$10</f>
        <v>4102519.0623441404</v>
      </c>
      <c r="I21" s="22"/>
      <c r="L21" s="10"/>
      <c r="M21" s="6"/>
      <c r="N21" s="4"/>
      <c r="O21" s="2"/>
      <c r="P21" s="6"/>
      <c r="Q21" s="2"/>
      <c r="R21" s="4"/>
      <c r="S21" s="4"/>
    </row>
    <row r="22" spans="1:19" x14ac:dyDescent="0.25">
      <c r="A22" s="444" t="s">
        <v>303</v>
      </c>
      <c r="B22" s="417">
        <f t="shared" si="0"/>
        <v>8.8888888888888889E-3</v>
      </c>
      <c r="C22" s="418">
        <f t="shared" si="2"/>
        <v>2001000</v>
      </c>
      <c r="D22" s="64"/>
      <c r="F22" s="444" t="s">
        <v>303</v>
      </c>
      <c r="G22" s="417">
        <f t="shared" si="1"/>
        <v>9.6000000000000009E-3</v>
      </c>
      <c r="H22" s="418">
        <f t="shared" si="3"/>
        <v>2051259.5311720702</v>
      </c>
      <c r="I22" s="22"/>
      <c r="L22" s="10"/>
      <c r="M22" s="6"/>
      <c r="N22" s="4"/>
      <c r="O22" s="2"/>
      <c r="P22" s="6"/>
      <c r="Q22" s="2"/>
      <c r="R22" s="4"/>
      <c r="S22" s="4"/>
    </row>
    <row r="23" spans="1:19" x14ac:dyDescent="0.25">
      <c r="A23" s="444" t="s">
        <v>304</v>
      </c>
      <c r="B23" s="417">
        <f t="shared" si="0"/>
        <v>4.4444444444444444E-3</v>
      </c>
      <c r="C23" s="418">
        <f>+B23*$C$10</f>
        <v>1000500</v>
      </c>
      <c r="D23" s="64"/>
      <c r="F23" s="444" t="s">
        <v>304</v>
      </c>
      <c r="G23" s="417">
        <f t="shared" si="1"/>
        <v>4.8000000000000004E-3</v>
      </c>
      <c r="H23" s="418">
        <f>+G23*$H$10</f>
        <v>1025629.7655860351</v>
      </c>
      <c r="I23" s="22"/>
      <c r="L23" s="10"/>
      <c r="M23" s="6"/>
      <c r="N23" s="4"/>
      <c r="O23" s="2"/>
      <c r="P23" s="6"/>
      <c r="Q23" s="2"/>
      <c r="R23" s="4"/>
      <c r="S23" s="4"/>
    </row>
    <row r="24" spans="1:19" x14ac:dyDescent="0.25">
      <c r="A24" s="444" t="s">
        <v>305</v>
      </c>
      <c r="B24" s="417">
        <f t="shared" ref="B24" si="4">B45</f>
        <v>1.7777777777777778E-2</v>
      </c>
      <c r="C24" s="418">
        <f t="shared" si="2"/>
        <v>4002000</v>
      </c>
      <c r="D24" s="64"/>
      <c r="F24" s="444" t="s">
        <v>305</v>
      </c>
      <c r="G24" s="417">
        <f t="shared" ref="G24" si="5">G45</f>
        <v>1.44E-2</v>
      </c>
      <c r="H24" s="418">
        <f t="shared" si="3"/>
        <v>3076889.2967581046</v>
      </c>
      <c r="I24" s="22"/>
      <c r="L24" s="10"/>
      <c r="M24" s="6"/>
      <c r="N24" s="4"/>
      <c r="O24" s="2"/>
      <c r="P24" s="6"/>
      <c r="Q24" s="2"/>
      <c r="R24" s="4"/>
      <c r="S24" s="4"/>
    </row>
    <row r="25" spans="1:19" ht="15.75" thickBot="1" x14ac:dyDescent="0.3">
      <c r="B25" s="19">
        <f>SUM(B16:B24)</f>
        <v>1</v>
      </c>
      <c r="C25" s="18">
        <f>SUM(C16:C24)</f>
        <v>225112500</v>
      </c>
      <c r="G25" s="19">
        <f>SUM(G16:G24)</f>
        <v>1.0000000000000007</v>
      </c>
      <c r="H25" s="18">
        <f>SUM(H16:H24)</f>
        <v>213672867.83042407</v>
      </c>
      <c r="L25" s="10"/>
      <c r="M25" s="6"/>
      <c r="N25" s="4"/>
      <c r="O25" s="2"/>
      <c r="P25" s="6"/>
      <c r="Q25" s="2"/>
      <c r="R25" s="4"/>
      <c r="S25" s="4"/>
    </row>
    <row r="26" spans="1:19" ht="15.75" thickTop="1" x14ac:dyDescent="0.25">
      <c r="L26" s="10"/>
      <c r="M26" s="6"/>
      <c r="N26" s="4"/>
      <c r="O26" s="2"/>
      <c r="P26" s="6"/>
      <c r="Q26" s="2"/>
      <c r="R26" s="4"/>
      <c r="S26" s="4"/>
    </row>
    <row r="27" spans="1:19" x14ac:dyDescent="0.25">
      <c r="A27" s="26" t="s">
        <v>113</v>
      </c>
      <c r="F27" s="26" t="s">
        <v>223</v>
      </c>
    </row>
    <row r="28" spans="1:19" ht="30.75" customHeight="1" x14ac:dyDescent="0.25">
      <c r="A28" s="26"/>
      <c r="B28" s="54" t="s">
        <v>104</v>
      </c>
      <c r="C28" s="108" t="s">
        <v>96</v>
      </c>
      <c r="D28" s="108" t="s">
        <v>97</v>
      </c>
      <c r="F28" s="26"/>
      <c r="G28" s="54" t="s">
        <v>104</v>
      </c>
      <c r="H28" s="108" t="s">
        <v>96</v>
      </c>
      <c r="I28" s="108" t="s">
        <v>97</v>
      </c>
    </row>
    <row r="29" spans="1:19" x14ac:dyDescent="0.25">
      <c r="A29" s="17" t="s">
        <v>105</v>
      </c>
      <c r="C29" s="1">
        <f>+'Data for Settlement &amp; 1st TU'!H30</f>
        <v>500000000</v>
      </c>
      <c r="D29" s="6">
        <f>+D33</f>
        <v>535000000</v>
      </c>
      <c r="F29" s="17" t="s">
        <v>31</v>
      </c>
      <c r="H29" s="63">
        <f>+H33</f>
        <v>501250000</v>
      </c>
      <c r="I29" s="6">
        <f>+I33</f>
        <v>536250000</v>
      </c>
    </row>
    <row r="30" spans="1:19" x14ac:dyDescent="0.25">
      <c r="A30" s="17"/>
      <c r="F30" s="17"/>
    </row>
    <row r="31" spans="1:19" x14ac:dyDescent="0.25">
      <c r="A31" t="s">
        <v>65</v>
      </c>
      <c r="B31" s="2">
        <f>+C31/C33</f>
        <v>0.45</v>
      </c>
      <c r="C31" s="9">
        <f>+'Data for Settlement &amp; 1st TU'!H32</f>
        <v>225000000</v>
      </c>
      <c r="D31" s="9">
        <f>+C31</f>
        <v>225000000</v>
      </c>
      <c r="F31" t="s">
        <v>24</v>
      </c>
      <c r="G31" s="13">
        <f>+H31/H33</f>
        <v>0.42713216957605987</v>
      </c>
      <c r="H31" s="57">
        <v>214100000</v>
      </c>
      <c r="I31" s="6">
        <f>+H31</f>
        <v>214100000</v>
      </c>
      <c r="K31" s="68"/>
    </row>
    <row r="32" spans="1:19" x14ac:dyDescent="0.25">
      <c r="A32" t="s">
        <v>66</v>
      </c>
      <c r="B32" s="2">
        <f>+C32/C33</f>
        <v>0.55000000000000004</v>
      </c>
      <c r="C32" s="9">
        <f>+'Data for Settlement &amp; 1st TU'!H33</f>
        <v>275000000</v>
      </c>
      <c r="D32" s="9">
        <f>+C32-C7</f>
        <v>310000000</v>
      </c>
      <c r="F32" t="s">
        <v>25</v>
      </c>
      <c r="G32" s="13">
        <f>+H32/H33</f>
        <v>0.57286783042394018</v>
      </c>
      <c r="H32" s="57">
        <v>287150000</v>
      </c>
      <c r="I32" s="6">
        <f>+H32-H7</f>
        <v>322150000</v>
      </c>
      <c r="J32" s="6"/>
      <c r="K32" s="6"/>
      <c r="L32" s="6"/>
      <c r="M32" s="6"/>
    </row>
    <row r="33" spans="1:13" ht="15.75" thickBot="1" x14ac:dyDescent="0.3">
      <c r="A33" t="s">
        <v>52</v>
      </c>
      <c r="B33" s="19">
        <f>+B31+B32</f>
        <v>1</v>
      </c>
      <c r="C33" s="18">
        <f>+C31+C32</f>
        <v>500000000</v>
      </c>
      <c r="D33" s="18">
        <f>+D31+D32</f>
        <v>535000000</v>
      </c>
      <c r="F33" t="s">
        <v>55</v>
      </c>
      <c r="G33" s="19">
        <f>+G31+G32</f>
        <v>1</v>
      </c>
      <c r="H33" s="18">
        <f>+H31+H32</f>
        <v>501250000</v>
      </c>
      <c r="I33" s="18">
        <f>+I31+I32</f>
        <v>536250000</v>
      </c>
      <c r="J33" s="1"/>
      <c r="K33" s="20"/>
    </row>
    <row r="34" spans="1:13" ht="15.75" thickTop="1" x14ac:dyDescent="0.25">
      <c r="K34" s="2"/>
    </row>
    <row r="35" spans="1:13" ht="15.75" x14ac:dyDescent="0.25">
      <c r="A35" s="26" t="s">
        <v>114</v>
      </c>
      <c r="F35" s="26" t="s">
        <v>279</v>
      </c>
    </row>
    <row r="36" spans="1:13" ht="31.15" customHeight="1" x14ac:dyDescent="0.25">
      <c r="A36" s="26"/>
      <c r="B36" s="23" t="s">
        <v>8</v>
      </c>
      <c r="C36" s="23" t="s">
        <v>14</v>
      </c>
      <c r="D36" s="54" t="s">
        <v>17</v>
      </c>
      <c r="F36" s="26"/>
      <c r="G36" s="23" t="s">
        <v>9</v>
      </c>
      <c r="H36" s="23" t="s">
        <v>14</v>
      </c>
      <c r="I36" s="54" t="s">
        <v>292</v>
      </c>
      <c r="J36" s="15"/>
      <c r="K36" s="15"/>
      <c r="L36" s="15"/>
      <c r="M36" s="15"/>
    </row>
    <row r="37" spans="1:13" x14ac:dyDescent="0.25">
      <c r="A37" t="s">
        <v>2</v>
      </c>
      <c r="B37" s="13">
        <f>+'Data for Settlement &amp; 1st TU'!G38</f>
        <v>2.2222222222222223E-2</v>
      </c>
      <c r="C37" s="352">
        <f>+B37*$C$31</f>
        <v>5000000</v>
      </c>
      <c r="D37" s="64">
        <f>+'Data for Settlement &amp; 1st TU'!I38</f>
        <v>7.6999999999999999E-2</v>
      </c>
      <c r="F37" t="s">
        <v>2</v>
      </c>
      <c r="G37" s="462">
        <f>2.07389383134675%*0.952</f>
        <v>1.9743469274421058E-2</v>
      </c>
      <c r="H37" s="418">
        <f>+G37*$H$31</f>
        <v>4227076.7716535488</v>
      </c>
      <c r="I37" s="423">
        <f>+D37</f>
        <v>7.6999999999999999E-2</v>
      </c>
      <c r="J37" s="22"/>
      <c r="K37" s="1"/>
      <c r="L37" s="22"/>
      <c r="M37" s="22"/>
    </row>
    <row r="38" spans="1:13" x14ac:dyDescent="0.25">
      <c r="A38" t="s">
        <v>3</v>
      </c>
      <c r="B38" s="13">
        <f>+'Data for Settlement &amp; 1st TU'!G39</f>
        <v>3.111111111111111E-2</v>
      </c>
      <c r="C38" s="352">
        <f t="shared" ref="C38:C45" si="6">+B38*$C$31</f>
        <v>7000000</v>
      </c>
      <c r="D38" s="64">
        <f>+'Data for Settlement &amp; 1st TU'!I39</f>
        <v>8.8999999999999996E-2</v>
      </c>
      <c r="F38" t="s">
        <v>3</v>
      </c>
      <c r="G38" s="462">
        <f>3.82518195559511%*0.952</f>
        <v>3.6415732217265441E-2</v>
      </c>
      <c r="H38" s="418">
        <f t="shared" ref="H38:H45" si="7">+G38*$H$31</f>
        <v>7796608.2677165307</v>
      </c>
      <c r="I38" s="423">
        <f t="shared" ref="I38:I45" si="8">+D38</f>
        <v>8.8999999999999996E-2</v>
      </c>
      <c r="J38" s="22"/>
      <c r="K38" s="1"/>
      <c r="L38" s="22"/>
      <c r="M38" s="22"/>
    </row>
    <row r="39" spans="1:13" x14ac:dyDescent="0.25">
      <c r="A39" s="443" t="s">
        <v>299</v>
      </c>
      <c r="B39" s="417">
        <f>+'Data for Settlement &amp; 1st TU'!G40</f>
        <v>0.42222222222222222</v>
      </c>
      <c r="C39" s="418">
        <f t="shared" si="6"/>
        <v>95000000</v>
      </c>
      <c r="D39" s="64">
        <f>+'Data for Settlement &amp; 1st TU'!I40</f>
        <v>6.5000000000000002E-2</v>
      </c>
      <c r="F39" s="443" t="s">
        <v>299</v>
      </c>
      <c r="G39" s="462">
        <f>41.0092421305814%*0.952</f>
        <v>0.3904079850831349</v>
      </c>
      <c r="H39" s="418">
        <f t="shared" si="7"/>
        <v>83586349.606299177</v>
      </c>
      <c r="I39" s="423">
        <f t="shared" si="8"/>
        <v>6.5000000000000002E-2</v>
      </c>
      <c r="J39" s="22"/>
      <c r="K39" s="1"/>
      <c r="L39" s="22"/>
      <c r="M39" s="22"/>
    </row>
    <row r="40" spans="1:13" x14ac:dyDescent="0.25">
      <c r="A40" s="443" t="s">
        <v>300</v>
      </c>
      <c r="B40" s="417">
        <f>+'Data for Settlement &amp; 1st TU'!G41</f>
        <v>0.2088888888888889</v>
      </c>
      <c r="C40" s="418">
        <f t="shared" si="6"/>
        <v>47000000</v>
      </c>
      <c r="D40" s="64">
        <f>+'Data for Settlement &amp; 1st TU'!I41</f>
        <v>9.4E-2</v>
      </c>
      <c r="F40" s="443" t="s">
        <v>300</v>
      </c>
      <c r="G40" s="462">
        <f>24.886725976161%*0.952</f>
        <v>0.23692163129305271</v>
      </c>
      <c r="H40" s="418">
        <f t="shared" si="7"/>
        <v>50724921.259842589</v>
      </c>
      <c r="I40" s="423">
        <f t="shared" si="8"/>
        <v>9.4E-2</v>
      </c>
      <c r="J40" s="22"/>
      <c r="K40" s="1"/>
      <c r="L40" s="22"/>
      <c r="M40" s="22"/>
    </row>
    <row r="41" spans="1:13" x14ac:dyDescent="0.25">
      <c r="A41" s="443" t="s">
        <v>301</v>
      </c>
      <c r="B41" s="417">
        <f>+'Data for Settlement &amp; 1st TU'!G42</f>
        <v>0.26222222222222225</v>
      </c>
      <c r="C41" s="418">
        <f t="shared" si="6"/>
        <v>59000000.000000007</v>
      </c>
      <c r="D41" s="64">
        <f>+'Data for Settlement &amp; 1st TU'!I42</f>
        <v>0.13200000000000001</v>
      </c>
      <c r="F41" s="443" t="s">
        <v>301</v>
      </c>
      <c r="G41" s="462">
        <f>28.2049561063158%*0.952</f>
        <v>0.26851118213212644</v>
      </c>
      <c r="H41" s="418">
        <f t="shared" si="7"/>
        <v>57488244.094488271</v>
      </c>
      <c r="I41" s="423">
        <f t="shared" si="8"/>
        <v>0.13200000000000001</v>
      </c>
      <c r="J41" s="22"/>
      <c r="K41" s="1"/>
      <c r="L41" s="22"/>
      <c r="M41" s="22"/>
    </row>
    <row r="42" spans="1:13" x14ac:dyDescent="0.25">
      <c r="A42" s="444" t="s">
        <v>302</v>
      </c>
      <c r="B42" s="417">
        <f>+'Data for Settlement &amp; 1st TU'!G43</f>
        <v>2.2222222222222223E-2</v>
      </c>
      <c r="C42" s="418">
        <f>+B42*$C$31</f>
        <v>5000000</v>
      </c>
      <c r="D42" s="459">
        <f>+'Data for Settlement &amp; 1st TU'!I43</f>
        <v>7.3999999999999996E-2</v>
      </c>
      <c r="F42" s="444" t="s">
        <v>302</v>
      </c>
      <c r="G42" s="462">
        <f>4.8%*0.4</f>
        <v>1.9200000000000002E-2</v>
      </c>
      <c r="H42" s="418">
        <f>+G42*$H$31</f>
        <v>4110720.0000000005</v>
      </c>
      <c r="I42" s="422">
        <f>+D42</f>
        <v>7.3999999999999996E-2</v>
      </c>
      <c r="J42" s="22"/>
      <c r="K42" s="1"/>
      <c r="L42" s="425"/>
      <c r="M42" s="22"/>
    </row>
    <row r="43" spans="1:13" x14ac:dyDescent="0.25">
      <c r="A43" s="444" t="s">
        <v>303</v>
      </c>
      <c r="B43" s="417">
        <f>+'Data for Settlement &amp; 1st TU'!G44</f>
        <v>8.8888888888888889E-3</v>
      </c>
      <c r="C43" s="418">
        <f t="shared" si="6"/>
        <v>2000000</v>
      </c>
      <c r="D43" s="459">
        <f>+'Data for Settlement &amp; 1st TU'!I44</f>
        <v>0.10199999999999999</v>
      </c>
      <c r="F43" s="444" t="s">
        <v>303</v>
      </c>
      <c r="G43" s="462">
        <f>4.8%*0.2</f>
        <v>9.6000000000000009E-3</v>
      </c>
      <c r="H43" s="418">
        <f t="shared" si="7"/>
        <v>2055360.0000000002</v>
      </c>
      <c r="I43" s="422">
        <f t="shared" si="8"/>
        <v>0.10199999999999999</v>
      </c>
      <c r="J43" s="22"/>
      <c r="K43" s="1"/>
      <c r="L43" s="425"/>
      <c r="M43" s="22"/>
    </row>
    <row r="44" spans="1:13" x14ac:dyDescent="0.25">
      <c r="A44" s="444" t="s">
        <v>304</v>
      </c>
      <c r="B44" s="417">
        <f>+'Data for Settlement &amp; 1st TU'!G45</f>
        <v>4.4444444444444444E-3</v>
      </c>
      <c r="C44" s="418">
        <f>+B44*$C$31</f>
        <v>1000000</v>
      </c>
      <c r="D44" s="459">
        <f>+'Data for Settlement &amp; 1st TU'!I45</f>
        <v>0.24</v>
      </c>
      <c r="F44" s="444" t="s">
        <v>304</v>
      </c>
      <c r="G44" s="462">
        <f>4.8%*0.1</f>
        <v>4.8000000000000004E-3</v>
      </c>
      <c r="H44" s="418">
        <f>+G44*$H$31</f>
        <v>1027680.0000000001</v>
      </c>
      <c r="I44" s="422">
        <f>+D44</f>
        <v>0.24</v>
      </c>
      <c r="J44" s="22"/>
      <c r="K44" s="1"/>
      <c r="L44" s="425"/>
      <c r="M44" s="22"/>
    </row>
    <row r="45" spans="1:13" x14ac:dyDescent="0.25">
      <c r="A45" s="444" t="s">
        <v>305</v>
      </c>
      <c r="B45" s="417">
        <f>+'Data for Settlement &amp; 1st TU'!G46</f>
        <v>1.7777777777777778E-2</v>
      </c>
      <c r="C45" s="418">
        <f t="shared" si="6"/>
        <v>4000000</v>
      </c>
      <c r="D45" s="459">
        <f>+'Data for Settlement &amp; 1st TU'!I46</f>
        <v>2.4E-2</v>
      </c>
      <c r="F45" s="444" t="s">
        <v>305</v>
      </c>
      <c r="G45" s="462">
        <f>4.8%*0.3</f>
        <v>1.44E-2</v>
      </c>
      <c r="H45" s="418">
        <f t="shared" si="7"/>
        <v>3083040</v>
      </c>
      <c r="I45" s="422">
        <f t="shared" si="8"/>
        <v>2.4E-2</v>
      </c>
      <c r="J45" s="22"/>
      <c r="K45" s="1"/>
      <c r="L45" s="425"/>
      <c r="M45" s="22"/>
    </row>
    <row r="46" spans="1:13" ht="15.75" thickBot="1" x14ac:dyDescent="0.3">
      <c r="B46" s="19">
        <f>SUM(B37:B45)</f>
        <v>1</v>
      </c>
      <c r="C46" s="18">
        <f>SUM(C37:C45)</f>
        <v>225000000</v>
      </c>
      <c r="G46" s="19">
        <f>SUM(G37:G45)</f>
        <v>1.0000000000000007</v>
      </c>
      <c r="H46" s="18">
        <f>SUM(H37:H45)</f>
        <v>214100000.00000012</v>
      </c>
      <c r="K46" s="6"/>
      <c r="L46" s="426"/>
    </row>
    <row r="47" spans="1:13" ht="15.75" thickTop="1" x14ac:dyDescent="0.25"/>
    <row r="48" spans="1:13" x14ac:dyDescent="0.25">
      <c r="A48" s="26" t="s">
        <v>230</v>
      </c>
      <c r="F48" s="26" t="s">
        <v>134</v>
      </c>
      <c r="K48" s="424"/>
    </row>
    <row r="49" spans="1:15" x14ac:dyDescent="0.25">
      <c r="A49" s="11"/>
      <c r="B49" s="73" t="s">
        <v>53</v>
      </c>
      <c r="F49" s="11"/>
      <c r="G49" s="73" t="s">
        <v>53</v>
      </c>
      <c r="K49" s="424"/>
    </row>
    <row r="50" spans="1:15" x14ac:dyDescent="0.25">
      <c r="A50" s="11" t="s">
        <v>15</v>
      </c>
      <c r="B50" s="73" t="s">
        <v>10</v>
      </c>
      <c r="F50" s="11" t="s">
        <v>15</v>
      </c>
      <c r="G50" s="73" t="s">
        <v>10</v>
      </c>
    </row>
    <row r="51" spans="1:15" x14ac:dyDescent="0.25">
      <c r="A51" t="s">
        <v>69</v>
      </c>
      <c r="B51" s="59">
        <f>+B96</f>
        <v>3.1848807346377295E-2</v>
      </c>
      <c r="C51" s="68"/>
      <c r="F51" t="s">
        <v>129</v>
      </c>
      <c r="G51" s="10">
        <f>+G96</f>
        <v>3.194947328395592E-2</v>
      </c>
      <c r="H51" s="68"/>
      <c r="K51" s="68"/>
      <c r="L51" s="78"/>
    </row>
    <row r="52" spans="1:15" x14ac:dyDescent="0.25">
      <c r="A52" t="s">
        <v>70</v>
      </c>
      <c r="B52" s="59">
        <f>+B97</f>
        <v>2.7681818181818182E-2</v>
      </c>
      <c r="C52" s="68"/>
      <c r="F52" t="s">
        <v>130</v>
      </c>
      <c r="G52" s="10">
        <f>+G97</f>
        <v>2.7763164898064498E-2</v>
      </c>
      <c r="H52" s="68"/>
      <c r="I52" s="68"/>
      <c r="K52" s="68"/>
      <c r="L52" s="78"/>
    </row>
    <row r="53" spans="1:15" x14ac:dyDescent="0.25">
      <c r="A53" t="s">
        <v>19</v>
      </c>
      <c r="B53" s="59">
        <f>+'Data for Settlement &amp; 1st TU'!G54</f>
        <v>0.10589999999999999</v>
      </c>
      <c r="F53" t="s">
        <v>19</v>
      </c>
      <c r="G53" s="3">
        <f>+B53</f>
        <v>0.10589999999999999</v>
      </c>
      <c r="I53" s="77"/>
    </row>
    <row r="54" spans="1:15" x14ac:dyDescent="0.25">
      <c r="A54" t="s">
        <v>20</v>
      </c>
      <c r="B54" s="59">
        <f>+'Data for Settlement &amp; 1st TU'!G55</f>
        <v>7.8700000000000006E-2</v>
      </c>
      <c r="F54" t="s">
        <v>20</v>
      </c>
      <c r="G54" s="3">
        <f>+B54</f>
        <v>7.8700000000000006E-2</v>
      </c>
      <c r="I54" s="68"/>
    </row>
    <row r="55" spans="1:15" x14ac:dyDescent="0.25">
      <c r="A55" t="s">
        <v>103</v>
      </c>
      <c r="B55" s="59">
        <f>+'Data for Settlement &amp; 1st TU'!G56</f>
        <v>8.7099999999999997E-2</v>
      </c>
      <c r="F55" t="s">
        <v>103</v>
      </c>
      <c r="G55" s="3">
        <f>+B55</f>
        <v>8.7099999999999997E-2</v>
      </c>
    </row>
    <row r="56" spans="1:15" x14ac:dyDescent="0.25">
      <c r="A56" t="s">
        <v>122</v>
      </c>
      <c r="B56" s="59">
        <f>+'Data for Settlement &amp; 1st TU'!G57</f>
        <v>8.8359370314842575E-2</v>
      </c>
      <c r="F56" t="s">
        <v>122</v>
      </c>
      <c r="G56" s="3">
        <f>+B56</f>
        <v>8.8359370314842575E-2</v>
      </c>
    </row>
    <row r="57" spans="1:15" x14ac:dyDescent="0.25">
      <c r="B57" s="10"/>
    </row>
    <row r="58" spans="1:15" ht="18.75" x14ac:dyDescent="0.3">
      <c r="A58" s="25" t="s">
        <v>23</v>
      </c>
      <c r="B58" s="10"/>
      <c r="F58" s="25" t="s">
        <v>23</v>
      </c>
      <c r="G58" s="10"/>
    </row>
    <row r="59" spans="1:15" x14ac:dyDescent="0.25">
      <c r="A59" s="1"/>
      <c r="B59" s="3"/>
      <c r="F59" s="1"/>
      <c r="G59" s="3"/>
      <c r="H59" s="66"/>
    </row>
    <row r="60" spans="1:15" x14ac:dyDescent="0.25">
      <c r="A60" s="26" t="s">
        <v>116</v>
      </c>
      <c r="F60" s="26" t="s">
        <v>126</v>
      </c>
    </row>
    <row r="61" spans="1:15" x14ac:dyDescent="0.25">
      <c r="A61" s="26"/>
      <c r="B61" s="23" t="s">
        <v>36</v>
      </c>
      <c r="C61" s="52" t="s">
        <v>14</v>
      </c>
      <c r="D61" s="53" t="s">
        <v>37</v>
      </c>
      <c r="F61" s="26"/>
      <c r="G61" s="23" t="s">
        <v>36</v>
      </c>
      <c r="H61" s="52" t="s">
        <v>14</v>
      </c>
      <c r="I61" s="53" t="s">
        <v>37</v>
      </c>
      <c r="J61" s="11"/>
    </row>
    <row r="62" spans="1:15" x14ac:dyDescent="0.25">
      <c r="A62" t="s">
        <v>204</v>
      </c>
      <c r="B62" s="3">
        <f>+'Data for Settlement &amp; 1st TU'!G63</f>
        <v>0.65</v>
      </c>
      <c r="C62" s="6">
        <f>+C6</f>
        <v>8000000</v>
      </c>
      <c r="D62" s="14">
        <f>+B62*C62</f>
        <v>5200000</v>
      </c>
      <c r="F62" t="s">
        <v>204</v>
      </c>
      <c r="G62" s="3">
        <f>+B62</f>
        <v>0.65</v>
      </c>
      <c r="H62" s="6">
        <f>+I6</f>
        <v>8000000</v>
      </c>
      <c r="I62" s="14">
        <f>+H62*G62</f>
        <v>5200000</v>
      </c>
      <c r="J62" s="11"/>
      <c r="K62" s="1"/>
    </row>
    <row r="63" spans="1:15" x14ac:dyDescent="0.25">
      <c r="A63" t="s">
        <v>68</v>
      </c>
      <c r="B63" s="3">
        <f>+'Data for Settlement &amp; 1st TU'!G64</f>
        <v>2.9436574235123938E-2</v>
      </c>
      <c r="C63" s="6">
        <f>+D5</f>
        <v>527250000</v>
      </c>
      <c r="D63" s="14">
        <f>+C63*B63</f>
        <v>15520433.765469097</v>
      </c>
      <c r="F63" t="s">
        <v>68</v>
      </c>
      <c r="G63" s="3">
        <f>+B63</f>
        <v>2.9436574235123938E-2</v>
      </c>
      <c r="H63" s="6">
        <f>+I5</f>
        <v>527250000</v>
      </c>
      <c r="I63" s="14">
        <f>+H63*G63</f>
        <v>15520433.765469097</v>
      </c>
      <c r="J63" s="4"/>
      <c r="K63" s="1"/>
      <c r="L63" s="4"/>
    </row>
    <row r="64" spans="1:15" x14ac:dyDescent="0.25">
      <c r="A64" t="s">
        <v>106</v>
      </c>
      <c r="B64" s="3"/>
      <c r="C64" s="6"/>
      <c r="D64" s="14">
        <f>+'Data for Settlement &amp; 1st TU'!I65</f>
        <v>1980000</v>
      </c>
      <c r="F64" t="s">
        <v>106</v>
      </c>
      <c r="G64" s="3"/>
      <c r="H64" s="6"/>
      <c r="I64" s="14">
        <f>+D64</f>
        <v>1980000</v>
      </c>
      <c r="J64" s="4"/>
      <c r="K64" s="1"/>
      <c r="L64" s="14"/>
      <c r="M64" s="12"/>
      <c r="N64" s="12"/>
      <c r="O64" s="12"/>
    </row>
    <row r="65" spans="1:27" ht="17.25" x14ac:dyDescent="0.25">
      <c r="A65" t="s">
        <v>39</v>
      </c>
      <c r="B65" s="10">
        <f>+B56</f>
        <v>8.8359370314842575E-2</v>
      </c>
      <c r="C65" s="6">
        <f>+C10</f>
        <v>225112500</v>
      </c>
      <c r="D65" s="14">
        <f>+C65*B65</f>
        <v>19890798.75</v>
      </c>
      <c r="F65" t="s">
        <v>280</v>
      </c>
      <c r="G65" s="59">
        <f>+G56</f>
        <v>8.8359370314842575E-2</v>
      </c>
      <c r="H65" s="6">
        <f>+H10</f>
        <v>213672867.83042395</v>
      </c>
      <c r="I65" s="14">
        <f>+H65*G65</f>
        <v>18880000.054862842</v>
      </c>
      <c r="J65" s="14"/>
      <c r="K65" s="356"/>
      <c r="L65" s="88"/>
      <c r="M65" s="12"/>
      <c r="N65" s="12"/>
      <c r="O65" s="12"/>
    </row>
    <row r="66" spans="1:27" ht="17.25" x14ac:dyDescent="0.25">
      <c r="A66" t="s">
        <v>38</v>
      </c>
      <c r="B66" s="10">
        <f>+B56</f>
        <v>8.8359370314842575E-2</v>
      </c>
      <c r="C66" s="6">
        <f>+C11</f>
        <v>275137500</v>
      </c>
      <c r="D66" s="14">
        <f>+C66*B66</f>
        <v>24310976.25</v>
      </c>
      <c r="F66" t="s">
        <v>281</v>
      </c>
      <c r="G66" s="59">
        <f>+G56</f>
        <v>8.8359370314842575E-2</v>
      </c>
      <c r="H66" s="6">
        <f>+H11</f>
        <v>286577132.16957605</v>
      </c>
      <c r="I66" s="14">
        <f>+H66*G66</f>
        <v>25321774.945137154</v>
      </c>
      <c r="J66" s="14"/>
      <c r="K66" s="1"/>
      <c r="L66" s="14"/>
      <c r="M66" s="12"/>
      <c r="N66" s="12"/>
      <c r="O66" s="12"/>
    </row>
    <row r="67" spans="1:27" ht="17.25" x14ac:dyDescent="0.25">
      <c r="A67" t="s">
        <v>290</v>
      </c>
      <c r="B67" s="10"/>
      <c r="C67" s="6"/>
      <c r="D67" s="427">
        <f>+'Data for Settlement &amp; 1st TU'!I68</f>
        <v>-4496000.0000000019</v>
      </c>
      <c r="F67" t="s">
        <v>282</v>
      </c>
      <c r="G67" s="10"/>
      <c r="H67" s="6"/>
      <c r="I67" s="427">
        <f>+D67</f>
        <v>-4496000.0000000019</v>
      </c>
      <c r="J67" s="14"/>
      <c r="K67" s="1"/>
      <c r="L67" s="88"/>
      <c r="M67" s="12"/>
      <c r="N67" s="12"/>
      <c r="O67" s="12"/>
    </row>
    <row r="68" spans="1:27" x14ac:dyDescent="0.25">
      <c r="A68" t="s">
        <v>203</v>
      </c>
      <c r="B68" s="10">
        <f>+'Data for Settlement &amp; 1st TU'!G69</f>
        <v>-0.62071240441801245</v>
      </c>
      <c r="C68" s="6">
        <f>+D6</f>
        <v>8000000</v>
      </c>
      <c r="D68" s="14">
        <f>+B68*C68</f>
        <v>-4965699.2353440998</v>
      </c>
      <c r="F68" t="s">
        <v>203</v>
      </c>
      <c r="G68" s="10">
        <f>+B68</f>
        <v>-0.62071240441801245</v>
      </c>
      <c r="H68" s="6">
        <f>+I6</f>
        <v>8000000</v>
      </c>
      <c r="I68" s="14">
        <f>+G68*H68</f>
        <v>-4965699.2353440998</v>
      </c>
      <c r="J68" s="14"/>
      <c r="K68" s="4"/>
      <c r="L68" s="357"/>
      <c r="M68" s="12"/>
      <c r="N68" s="12"/>
      <c r="O68" s="12"/>
    </row>
    <row r="69" spans="1:27" ht="15.75" thickBot="1" x14ac:dyDescent="0.3">
      <c r="A69" t="s">
        <v>205</v>
      </c>
      <c r="B69" s="10"/>
      <c r="C69" s="6"/>
      <c r="D69" s="436">
        <f>SUM(D62:D68)</f>
        <v>57440509.530125</v>
      </c>
      <c r="F69" t="s">
        <v>205</v>
      </c>
      <c r="G69" s="10"/>
      <c r="H69" s="6"/>
      <c r="I69" s="436">
        <f>SUM(I62:I68)</f>
        <v>57440509.530124992</v>
      </c>
      <c r="J69" s="21"/>
      <c r="K69" s="21"/>
      <c r="L69" s="144"/>
      <c r="M69" s="144"/>
      <c r="N69" s="12"/>
      <c r="O69" s="12"/>
    </row>
    <row r="70" spans="1:27" ht="15.75" thickTop="1" x14ac:dyDescent="0.25">
      <c r="L70" s="12"/>
      <c r="M70" s="12"/>
      <c r="N70" s="12"/>
      <c r="O70" s="12"/>
      <c r="V70" s="12"/>
      <c r="W70" s="12"/>
      <c r="X70" s="12"/>
      <c r="Y70" s="12"/>
      <c r="Z70" s="12"/>
      <c r="AA70" s="12"/>
    </row>
    <row r="71" spans="1:27" ht="18.75" x14ac:dyDescent="0.3">
      <c r="A71" s="25" t="s">
        <v>121</v>
      </c>
      <c r="F71" s="25" t="s">
        <v>123</v>
      </c>
      <c r="I71" s="5"/>
      <c r="L71" s="12"/>
      <c r="M71" s="12"/>
      <c r="N71" s="12"/>
      <c r="O71" s="12"/>
      <c r="U71" s="5"/>
      <c r="V71" s="12"/>
      <c r="W71" s="12"/>
      <c r="X71" s="112"/>
      <c r="Y71" s="112"/>
      <c r="Z71" s="112"/>
      <c r="AA71" s="12"/>
    </row>
    <row r="72" spans="1:27" ht="18.75" x14ac:dyDescent="0.3">
      <c r="A72" s="25"/>
      <c r="F72" s="25"/>
      <c r="L72" s="12"/>
      <c r="M72" s="12"/>
      <c r="N72" s="12"/>
      <c r="O72" s="12"/>
      <c r="V72" s="12"/>
      <c r="W72" s="12"/>
      <c r="X72" s="91"/>
      <c r="Y72" s="59"/>
      <c r="Z72" s="12"/>
      <c r="AA72" s="12"/>
    </row>
    <row r="73" spans="1:27" x14ac:dyDescent="0.25">
      <c r="A73" s="26" t="s">
        <v>117</v>
      </c>
      <c r="F73" s="26" t="s">
        <v>127</v>
      </c>
      <c r="L73" s="12"/>
      <c r="M73" s="12"/>
      <c r="N73" s="12"/>
      <c r="O73" s="12"/>
      <c r="V73" s="12"/>
      <c r="W73" s="12"/>
      <c r="X73" s="113"/>
      <c r="Y73" s="113"/>
      <c r="Z73" s="113"/>
      <c r="AA73" s="12"/>
    </row>
    <row r="74" spans="1:27" ht="30" x14ac:dyDescent="0.25">
      <c r="A74" s="26"/>
      <c r="B74" s="54" t="s">
        <v>17</v>
      </c>
      <c r="C74" s="23" t="s">
        <v>14</v>
      </c>
      <c r="D74" s="23" t="s">
        <v>37</v>
      </c>
      <c r="F74" s="26"/>
      <c r="G74" s="54" t="s">
        <v>292</v>
      </c>
      <c r="H74" s="23" t="s">
        <v>14</v>
      </c>
      <c r="I74" s="23" t="s">
        <v>37</v>
      </c>
      <c r="K74" s="517" t="s">
        <v>319</v>
      </c>
      <c r="L74" s="517" t="s">
        <v>320</v>
      </c>
      <c r="M74" s="12"/>
      <c r="N74" s="12"/>
      <c r="O74" s="12"/>
      <c r="U74" s="65"/>
      <c r="V74" s="114"/>
      <c r="W74" s="12"/>
      <c r="X74" s="113"/>
      <c r="Y74" s="12"/>
      <c r="Z74" s="12"/>
      <c r="AA74" s="12"/>
    </row>
    <row r="75" spans="1:27" x14ac:dyDescent="0.25">
      <c r="A75" t="s">
        <v>2</v>
      </c>
      <c r="B75" s="3">
        <f t="shared" ref="B75:B83" si="9">+D37</f>
        <v>7.6999999999999999E-2</v>
      </c>
      <c r="C75" s="1">
        <f t="shared" ref="C75:C83" si="10">+C37</f>
        <v>5000000</v>
      </c>
      <c r="D75" s="27">
        <f>+C75*B75</f>
        <v>385000</v>
      </c>
      <c r="F75" t="s">
        <v>2</v>
      </c>
      <c r="G75" s="3">
        <f t="shared" ref="G75:G83" si="11">+D37</f>
        <v>7.6999999999999999E-2</v>
      </c>
      <c r="H75" s="420">
        <f t="shared" ref="H75:H83" si="12">+H37</f>
        <v>4227076.7716535488</v>
      </c>
      <c r="I75" s="421">
        <f>+H75*G75</f>
        <v>325484.91141732328</v>
      </c>
      <c r="K75" s="461">
        <f>'Data for Settlement &amp; 1st TU'!O76</f>
        <v>192500</v>
      </c>
      <c r="L75" s="427">
        <f>I75-K75</f>
        <v>132984.91141732328</v>
      </c>
      <c r="M75" s="12"/>
      <c r="N75" s="12"/>
      <c r="O75" s="12"/>
      <c r="U75" s="27"/>
      <c r="V75" s="115"/>
      <c r="W75" s="115"/>
      <c r="X75" s="115"/>
      <c r="Y75" s="12"/>
      <c r="Z75" s="12"/>
      <c r="AA75" s="12"/>
    </row>
    <row r="76" spans="1:27" x14ac:dyDescent="0.25">
      <c r="A76" t="s">
        <v>3</v>
      </c>
      <c r="B76" s="3">
        <f t="shared" si="9"/>
        <v>8.8999999999999996E-2</v>
      </c>
      <c r="C76" s="1">
        <f t="shared" si="10"/>
        <v>7000000</v>
      </c>
      <c r="D76" s="27">
        <f t="shared" ref="D76:D83" si="13">+C76*B76</f>
        <v>623000</v>
      </c>
      <c r="F76" t="s">
        <v>3</v>
      </c>
      <c r="G76" s="3">
        <f t="shared" si="11"/>
        <v>8.8999999999999996E-2</v>
      </c>
      <c r="H76" s="420">
        <f t="shared" si="12"/>
        <v>7796608.2677165307</v>
      </c>
      <c r="I76" s="421">
        <f t="shared" ref="I76:I83" si="14">+H76*G76</f>
        <v>693898.13582677115</v>
      </c>
      <c r="K76" s="461">
        <f>'Data for Settlement &amp; 1st TU'!O77</f>
        <v>311500</v>
      </c>
      <c r="L76" s="427">
        <f t="shared" ref="L76:L84" si="15">I76-K76</f>
        <v>382398.13582677115</v>
      </c>
      <c r="M76" s="12"/>
      <c r="N76" s="12"/>
      <c r="O76" s="12"/>
      <c r="U76" s="27"/>
      <c r="V76" s="115"/>
      <c r="W76" s="115"/>
      <c r="X76" s="115"/>
      <c r="Y76" s="12"/>
      <c r="Z76" s="12"/>
      <c r="AA76" s="12"/>
    </row>
    <row r="77" spans="1:27" x14ac:dyDescent="0.25">
      <c r="A77" s="443" t="s">
        <v>299</v>
      </c>
      <c r="B77" s="3">
        <f t="shared" si="9"/>
        <v>6.5000000000000002E-2</v>
      </c>
      <c r="C77" s="420">
        <f t="shared" si="10"/>
        <v>95000000</v>
      </c>
      <c r="D77" s="421">
        <f t="shared" si="13"/>
        <v>6175000</v>
      </c>
      <c r="F77" s="443" t="s">
        <v>299</v>
      </c>
      <c r="G77" s="3">
        <f t="shared" si="11"/>
        <v>6.5000000000000002E-2</v>
      </c>
      <c r="H77" s="420">
        <f t="shared" si="12"/>
        <v>83586349.606299177</v>
      </c>
      <c r="I77" s="421">
        <f t="shared" si="14"/>
        <v>5433112.7244094471</v>
      </c>
      <c r="K77" s="461">
        <f>'Data for Settlement &amp; 1st TU'!O78</f>
        <v>3087500</v>
      </c>
      <c r="L77" s="427">
        <f t="shared" si="15"/>
        <v>2345612.7244094471</v>
      </c>
      <c r="M77" s="12"/>
      <c r="N77" s="12"/>
      <c r="O77" s="12"/>
      <c r="U77" s="27"/>
      <c r="V77" s="115"/>
      <c r="W77" s="115"/>
      <c r="X77" s="115"/>
      <c r="Y77" s="12"/>
      <c r="Z77" s="12"/>
      <c r="AA77" s="12"/>
    </row>
    <row r="78" spans="1:27" x14ac:dyDescent="0.25">
      <c r="A78" s="443" t="s">
        <v>300</v>
      </c>
      <c r="B78" s="3">
        <f t="shared" si="9"/>
        <v>9.4E-2</v>
      </c>
      <c r="C78" s="420">
        <f t="shared" si="10"/>
        <v>47000000</v>
      </c>
      <c r="D78" s="421">
        <f t="shared" si="13"/>
        <v>4418000</v>
      </c>
      <c r="F78" s="443" t="s">
        <v>300</v>
      </c>
      <c r="G78" s="3">
        <f t="shared" si="11"/>
        <v>9.4E-2</v>
      </c>
      <c r="H78" s="420">
        <f t="shared" si="12"/>
        <v>50724921.259842589</v>
      </c>
      <c r="I78" s="421">
        <f t="shared" si="14"/>
        <v>4768142.598425203</v>
      </c>
      <c r="K78" s="159">
        <f>'Data for Settlement &amp; 1st TU'!O79</f>
        <v>2209000</v>
      </c>
      <c r="L78" s="427">
        <f t="shared" si="15"/>
        <v>2559142.598425203</v>
      </c>
      <c r="M78" s="12"/>
      <c r="N78" s="12"/>
      <c r="O78" s="12"/>
      <c r="U78" s="27"/>
      <c r="V78" s="115"/>
      <c r="W78" s="115"/>
      <c r="X78" s="115"/>
      <c r="Y78" s="12"/>
      <c r="Z78" s="12"/>
      <c r="AA78" s="12"/>
    </row>
    <row r="79" spans="1:27" x14ac:dyDescent="0.25">
      <c r="A79" s="443" t="s">
        <v>301</v>
      </c>
      <c r="B79" s="3">
        <f t="shared" si="9"/>
        <v>0.13200000000000001</v>
      </c>
      <c r="C79" s="420">
        <f t="shared" si="10"/>
        <v>59000000.000000007</v>
      </c>
      <c r="D79" s="421">
        <f t="shared" si="13"/>
        <v>7788000.0000000009</v>
      </c>
      <c r="F79" s="443" t="s">
        <v>301</v>
      </c>
      <c r="G79" s="3">
        <f t="shared" si="11"/>
        <v>0.13200000000000001</v>
      </c>
      <c r="H79" s="420">
        <f t="shared" si="12"/>
        <v>57488244.094488271</v>
      </c>
      <c r="I79" s="421">
        <f t="shared" si="14"/>
        <v>7588448.2204724522</v>
      </c>
      <c r="K79" s="159">
        <f>'Data for Settlement &amp; 1st TU'!O80</f>
        <v>3894000.0000000005</v>
      </c>
      <c r="L79" s="427">
        <f t="shared" si="15"/>
        <v>3694448.2204724518</v>
      </c>
      <c r="M79" s="12"/>
      <c r="N79" s="12"/>
      <c r="O79" s="12"/>
      <c r="U79" s="27"/>
      <c r="V79" s="115"/>
      <c r="W79" s="115"/>
      <c r="X79" s="115"/>
      <c r="Y79" s="12"/>
      <c r="Z79" s="12"/>
      <c r="AA79" s="12"/>
    </row>
    <row r="80" spans="1:27" x14ac:dyDescent="0.25">
      <c r="A80" s="444" t="s">
        <v>302</v>
      </c>
      <c r="B80" s="419">
        <f t="shared" si="9"/>
        <v>7.3999999999999996E-2</v>
      </c>
      <c r="C80" s="420">
        <f t="shared" si="10"/>
        <v>5000000</v>
      </c>
      <c r="D80" s="421">
        <f>+C80*B80</f>
        <v>370000</v>
      </c>
      <c r="F80" s="444" t="s">
        <v>302</v>
      </c>
      <c r="G80" s="419">
        <f t="shared" si="11"/>
        <v>7.3999999999999996E-2</v>
      </c>
      <c r="H80" s="420">
        <f t="shared" si="12"/>
        <v>4110720.0000000005</v>
      </c>
      <c r="I80" s="421">
        <f>+H80*G80</f>
        <v>304193.28000000003</v>
      </c>
      <c r="K80" s="159">
        <f>'Data for Settlement &amp; 1st TU'!O81</f>
        <v>185000</v>
      </c>
      <c r="L80" s="427">
        <f>I80-K80</f>
        <v>119193.28000000003</v>
      </c>
      <c r="M80" s="12"/>
      <c r="N80" s="12"/>
      <c r="O80" s="12"/>
      <c r="U80" s="27"/>
      <c r="V80" s="115"/>
      <c r="W80" s="115"/>
      <c r="X80" s="115"/>
      <c r="Y80" s="12"/>
      <c r="Z80" s="12"/>
      <c r="AA80" s="12"/>
    </row>
    <row r="81" spans="1:27" x14ac:dyDescent="0.25">
      <c r="A81" s="444" t="s">
        <v>303</v>
      </c>
      <c r="B81" s="419">
        <f t="shared" si="9"/>
        <v>0.10199999999999999</v>
      </c>
      <c r="C81" s="420">
        <f t="shared" si="10"/>
        <v>2000000</v>
      </c>
      <c r="D81" s="421">
        <f t="shared" si="13"/>
        <v>204000</v>
      </c>
      <c r="F81" s="444" t="s">
        <v>303</v>
      </c>
      <c r="G81" s="419">
        <f t="shared" si="11"/>
        <v>0.10199999999999999</v>
      </c>
      <c r="H81" s="420">
        <f t="shared" si="12"/>
        <v>2055360.0000000002</v>
      </c>
      <c r="I81" s="421">
        <f t="shared" si="14"/>
        <v>209646.72</v>
      </c>
      <c r="K81" s="159">
        <f>'Data for Settlement &amp; 1st TU'!O82</f>
        <v>102000</v>
      </c>
      <c r="L81" s="427">
        <f t="shared" si="15"/>
        <v>107646.72</v>
      </c>
      <c r="M81" s="12"/>
      <c r="N81" s="12"/>
      <c r="O81" s="12"/>
      <c r="U81" s="27"/>
      <c r="V81" s="115"/>
      <c r="W81" s="115"/>
      <c r="X81" s="115"/>
      <c r="Y81" s="12"/>
      <c r="Z81" s="12"/>
      <c r="AA81" s="12"/>
    </row>
    <row r="82" spans="1:27" x14ac:dyDescent="0.25">
      <c r="A82" s="444" t="s">
        <v>304</v>
      </c>
      <c r="B82" s="419">
        <f t="shared" si="9"/>
        <v>0.24</v>
      </c>
      <c r="C82" s="420">
        <f t="shared" si="10"/>
        <v>1000000</v>
      </c>
      <c r="D82" s="421">
        <f>+C82*B82</f>
        <v>240000</v>
      </c>
      <c r="F82" s="444" t="s">
        <v>304</v>
      </c>
      <c r="G82" s="419">
        <f t="shared" si="11"/>
        <v>0.24</v>
      </c>
      <c r="H82" s="420">
        <f t="shared" si="12"/>
        <v>1027680.0000000001</v>
      </c>
      <c r="I82" s="421">
        <f>+H82*G82</f>
        <v>246643.20000000001</v>
      </c>
      <c r="K82" s="159">
        <f>'Data for Settlement &amp; 1st TU'!O83</f>
        <v>120000</v>
      </c>
      <c r="L82" s="427">
        <f>I82-K82</f>
        <v>126643.20000000001</v>
      </c>
      <c r="M82" s="12"/>
      <c r="N82" s="12"/>
      <c r="O82" s="12"/>
      <c r="U82" s="27"/>
      <c r="V82" s="115"/>
      <c r="W82" s="115"/>
      <c r="X82" s="115"/>
      <c r="Y82" s="12"/>
      <c r="Z82" s="12"/>
      <c r="AA82" s="12"/>
    </row>
    <row r="83" spans="1:27" x14ac:dyDescent="0.25">
      <c r="A83" s="444" t="s">
        <v>305</v>
      </c>
      <c r="B83" s="419">
        <f t="shared" si="9"/>
        <v>2.4E-2</v>
      </c>
      <c r="C83" s="420">
        <f t="shared" si="10"/>
        <v>4000000</v>
      </c>
      <c r="D83" s="421">
        <f t="shared" si="13"/>
        <v>96000</v>
      </c>
      <c r="F83" s="444" t="s">
        <v>305</v>
      </c>
      <c r="G83" s="419">
        <f t="shared" si="11"/>
        <v>2.4E-2</v>
      </c>
      <c r="H83" s="420">
        <f t="shared" si="12"/>
        <v>3083040</v>
      </c>
      <c r="I83" s="421">
        <f t="shared" si="14"/>
        <v>73992.960000000006</v>
      </c>
      <c r="K83" s="159">
        <f>'Data for Settlement &amp; 1st TU'!O84</f>
        <v>48000</v>
      </c>
      <c r="L83" s="427">
        <f t="shared" si="15"/>
        <v>25992.960000000006</v>
      </c>
      <c r="M83" s="12"/>
      <c r="N83" s="12"/>
      <c r="O83" s="12"/>
      <c r="U83" s="27"/>
      <c r="V83" s="115"/>
      <c r="W83" s="115"/>
      <c r="X83" s="115"/>
      <c r="Y83" s="12"/>
      <c r="Z83" s="12"/>
      <c r="AA83" s="12"/>
    </row>
    <row r="84" spans="1:27" ht="15.75" thickBot="1" x14ac:dyDescent="0.3">
      <c r="A84" t="s">
        <v>18</v>
      </c>
      <c r="C84" s="16">
        <f>SUM(C75:C83)</f>
        <v>225000000</v>
      </c>
      <c r="D84" s="436">
        <f>SUM(D75:D83)</f>
        <v>20299000</v>
      </c>
      <c r="F84" t="s">
        <v>26</v>
      </c>
      <c r="H84" s="16">
        <f>SUM(H75:H83)</f>
        <v>214100000.00000012</v>
      </c>
      <c r="I84" s="436">
        <f>SUM(I75:I83)</f>
        <v>19643562.750551198</v>
      </c>
      <c r="K84" s="460">
        <f>SUM(K75:K83)</f>
        <v>10149500</v>
      </c>
      <c r="L84" s="436">
        <f t="shared" si="15"/>
        <v>9494062.7505511977</v>
      </c>
      <c r="M84" s="12"/>
      <c r="N84" s="12"/>
      <c r="O84" s="12"/>
      <c r="U84" s="28"/>
      <c r="V84" s="60"/>
      <c r="W84" s="60"/>
      <c r="X84" s="60"/>
      <c r="Y84" s="12"/>
      <c r="Z84" s="12"/>
      <c r="AA84" s="12"/>
    </row>
    <row r="85" spans="1:27" ht="15.75" thickTop="1" x14ac:dyDescent="0.25">
      <c r="C85" s="7"/>
      <c r="D85" s="28"/>
      <c r="I85" s="12"/>
      <c r="K85" s="68"/>
      <c r="L85" s="12"/>
      <c r="M85" s="12"/>
      <c r="N85" s="12"/>
      <c r="O85" s="12"/>
      <c r="U85" s="5"/>
      <c r="V85" s="88"/>
      <c r="W85" s="88"/>
      <c r="X85" s="116"/>
      <c r="Y85" s="12"/>
      <c r="Z85" s="12"/>
      <c r="AA85" s="12"/>
    </row>
    <row r="86" spans="1:27" x14ac:dyDescent="0.25">
      <c r="A86" s="26" t="s">
        <v>231</v>
      </c>
      <c r="F86" s="26" t="s">
        <v>224</v>
      </c>
      <c r="I86" s="12"/>
      <c r="K86" s="77"/>
      <c r="L86" s="59"/>
      <c r="M86" s="12"/>
      <c r="N86" s="12"/>
      <c r="O86" s="12"/>
      <c r="U86" s="28"/>
      <c r="V86" s="60"/>
      <c r="W86" s="60"/>
      <c r="X86" s="60"/>
      <c r="Y86" s="12"/>
      <c r="Z86" s="12"/>
      <c r="AA86" s="12"/>
    </row>
    <row r="87" spans="1:27" ht="30" x14ac:dyDescent="0.25">
      <c r="A87" s="26"/>
      <c r="B87" s="23" t="s">
        <v>36</v>
      </c>
      <c r="C87" s="52" t="s">
        <v>14</v>
      </c>
      <c r="D87" s="53" t="s">
        <v>37</v>
      </c>
      <c r="F87" s="26"/>
      <c r="G87" s="23" t="s">
        <v>36</v>
      </c>
      <c r="H87" s="52" t="s">
        <v>14</v>
      </c>
      <c r="I87" s="61" t="s">
        <v>37</v>
      </c>
      <c r="K87" s="517" t="s">
        <v>319</v>
      </c>
      <c r="L87" s="517" t="s">
        <v>320</v>
      </c>
      <c r="M87" s="12"/>
      <c r="N87" s="12"/>
      <c r="O87" s="12"/>
      <c r="U87" s="28"/>
      <c r="V87" s="60"/>
      <c r="W87" s="60"/>
      <c r="X87" s="60"/>
      <c r="Y87" s="12"/>
      <c r="Z87" s="12"/>
      <c r="AA87" s="12"/>
    </row>
    <row r="88" spans="1:27" x14ac:dyDescent="0.25">
      <c r="A88" t="s">
        <v>128</v>
      </c>
      <c r="B88" s="10">
        <f>+B52</f>
        <v>2.7681818181818182E-2</v>
      </c>
      <c r="C88" s="7">
        <f>+D32</f>
        <v>310000000</v>
      </c>
      <c r="D88" s="60">
        <f>+B88*C88</f>
        <v>8581363.6363636367</v>
      </c>
      <c r="F88" t="s">
        <v>135</v>
      </c>
      <c r="G88" s="81">
        <f>+G52</f>
        <v>2.7763164898064498E-2</v>
      </c>
      <c r="H88" s="55">
        <f>+I32</f>
        <v>322150000</v>
      </c>
      <c r="I88" s="62">
        <f>+G88*H88</f>
        <v>8943903.5719114784</v>
      </c>
      <c r="K88" s="5">
        <f>'Data for Settlement &amp; 1st TU'!O89</f>
        <v>4290681.8181818184</v>
      </c>
      <c r="L88" s="88">
        <f>I88-K88</f>
        <v>4653221.7537296601</v>
      </c>
      <c r="M88" s="88"/>
      <c r="N88" s="12"/>
      <c r="O88" s="12"/>
      <c r="U88" s="28"/>
      <c r="V88" s="60"/>
      <c r="W88" s="60"/>
      <c r="X88" s="60"/>
      <c r="Y88" s="12"/>
      <c r="Z88" s="12"/>
      <c r="AA88" s="12"/>
    </row>
    <row r="89" spans="1:27" x14ac:dyDescent="0.25">
      <c r="A89" t="s">
        <v>119</v>
      </c>
      <c r="B89" s="10"/>
      <c r="C89" s="7"/>
      <c r="D89" s="60">
        <f>+D64</f>
        <v>1980000</v>
      </c>
      <c r="F89" t="s">
        <v>119</v>
      </c>
      <c r="G89" s="81"/>
      <c r="H89" s="55"/>
      <c r="I89" s="62">
        <f>+I64</f>
        <v>1980000</v>
      </c>
      <c r="K89" s="4">
        <f>'Data for Settlement &amp; 1st TU'!O90</f>
        <v>1980000</v>
      </c>
      <c r="L89" s="88">
        <f t="shared" ref="L89:L90" si="16">I89-K89</f>
        <v>0</v>
      </c>
      <c r="M89" s="88"/>
      <c r="N89" s="12"/>
      <c r="O89" s="114"/>
      <c r="U89" s="28"/>
      <c r="V89" s="60"/>
      <c r="W89" s="60"/>
      <c r="X89" s="60"/>
      <c r="Y89" s="12"/>
      <c r="Z89" s="12"/>
      <c r="AA89" s="12"/>
    </row>
    <row r="90" spans="1:27" x14ac:dyDescent="0.25">
      <c r="A90" t="s">
        <v>101</v>
      </c>
      <c r="B90" s="10">
        <f>+B53</f>
        <v>0.10589999999999999</v>
      </c>
      <c r="C90" s="7">
        <f>+C32</f>
        <v>275000000</v>
      </c>
      <c r="D90" s="60">
        <f>+B90*C90</f>
        <v>29122500</v>
      </c>
      <c r="F90" t="s">
        <v>101</v>
      </c>
      <c r="G90" s="10">
        <f>+G53</f>
        <v>0.10589999999999999</v>
      </c>
      <c r="H90" s="7">
        <f>+H32</f>
        <v>287150000</v>
      </c>
      <c r="I90" s="60">
        <f>+G90*H90</f>
        <v>30409185</v>
      </c>
      <c r="K90" s="5">
        <f>'Data for Settlement &amp; 1st TU'!O91</f>
        <v>14561250</v>
      </c>
      <c r="L90" s="88">
        <f t="shared" si="16"/>
        <v>15847935</v>
      </c>
      <c r="M90" s="88"/>
      <c r="N90" s="12"/>
      <c r="O90" s="113"/>
      <c r="U90" s="28"/>
      <c r="V90" s="60"/>
      <c r="W90" s="60"/>
      <c r="X90" s="60"/>
      <c r="Y90" s="12"/>
      <c r="Z90" s="12"/>
      <c r="AA90" s="12"/>
    </row>
    <row r="91" spans="1:27" ht="15.75" thickBot="1" x14ac:dyDescent="0.3">
      <c r="C91" s="7"/>
      <c r="D91" s="24">
        <f>SUM(D88:D90)</f>
        <v>39683863.63636364</v>
      </c>
      <c r="H91" s="7"/>
      <c r="I91" s="24">
        <f>SUM(I88:I90)</f>
        <v>41333088.571911477</v>
      </c>
      <c r="J91" s="28"/>
      <c r="K91" s="24">
        <f t="shared" ref="K91:L91" si="17">SUM(K88:K90)</f>
        <v>20831931.81818182</v>
      </c>
      <c r="L91" s="24">
        <f t="shared" si="17"/>
        <v>20501156.75372966</v>
      </c>
      <c r="M91" s="145"/>
      <c r="N91" s="12"/>
      <c r="O91" s="12"/>
      <c r="V91" s="12"/>
      <c r="W91" s="12"/>
      <c r="X91" s="12"/>
      <c r="Y91" s="12"/>
      <c r="Z91" s="12"/>
      <c r="AA91" s="12"/>
    </row>
    <row r="92" spans="1:27" ht="15.75" thickTop="1" x14ac:dyDescent="0.25">
      <c r="C92" s="7"/>
      <c r="D92" s="28"/>
      <c r="H92" s="7"/>
      <c r="I92" s="28"/>
      <c r="J92" s="28"/>
      <c r="K92" s="28"/>
      <c r="L92" s="60"/>
      <c r="M92" s="145"/>
      <c r="N92" s="12"/>
      <c r="O92" s="12"/>
      <c r="V92" s="12"/>
      <c r="W92" s="12"/>
      <c r="X92" s="12"/>
      <c r="Y92" s="12"/>
      <c r="Z92" s="12"/>
      <c r="AA92" s="12"/>
    </row>
    <row r="93" spans="1:27" x14ac:dyDescent="0.25">
      <c r="A93" s="26" t="s">
        <v>296</v>
      </c>
      <c r="D93" s="5"/>
      <c r="F93" s="26" t="s">
        <v>297</v>
      </c>
      <c r="I93" s="5"/>
      <c r="J93" s="28"/>
      <c r="K93" s="28"/>
      <c r="L93" s="60"/>
      <c r="M93" s="145"/>
      <c r="N93" s="12"/>
      <c r="O93" s="12"/>
    </row>
    <row r="94" spans="1:27" x14ac:dyDescent="0.25">
      <c r="D94" s="5"/>
      <c r="I94" s="5"/>
      <c r="J94" s="28"/>
      <c r="K94" s="28"/>
      <c r="L94" s="28"/>
      <c r="M94" s="7"/>
      <c r="N94" s="353"/>
    </row>
    <row r="95" spans="1:27" x14ac:dyDescent="0.25">
      <c r="A95" s="26"/>
      <c r="B95" s="108" t="s">
        <v>36</v>
      </c>
      <c r="C95" s="52" t="s">
        <v>14</v>
      </c>
      <c r="D95" s="53" t="s">
        <v>37</v>
      </c>
      <c r="F95" s="26"/>
      <c r="G95" s="108" t="s">
        <v>36</v>
      </c>
      <c r="H95" s="52" t="s">
        <v>14</v>
      </c>
      <c r="I95" s="53" t="s">
        <v>37</v>
      </c>
      <c r="J95" s="28"/>
      <c r="K95" s="361"/>
      <c r="L95" s="28"/>
      <c r="M95" s="76"/>
      <c r="P95" s="39"/>
    </row>
    <row r="96" spans="1:27" x14ac:dyDescent="0.25">
      <c r="A96" s="12" t="s">
        <v>241</v>
      </c>
      <c r="B96" s="10">
        <f>+D96/C96</f>
        <v>3.1848807346377295E-2</v>
      </c>
      <c r="C96" s="1">
        <f>+D31</f>
        <v>225000000</v>
      </c>
      <c r="D96" s="154">
        <f>+'Data for Settlement &amp; 1st TU'!I97</f>
        <v>7165981.6529348912</v>
      </c>
      <c r="F96" t="s">
        <v>243</v>
      </c>
      <c r="G96" s="10">
        <f>((+I62+I63+I68)-(I97/(I32/I11)))/I10</f>
        <v>3.194947328395592E-2</v>
      </c>
      <c r="H96" s="1">
        <f>+I31</f>
        <v>214100000</v>
      </c>
      <c r="I96" s="154">
        <f>+G96*H96</f>
        <v>6840382.2300949628</v>
      </c>
      <c r="J96" s="126"/>
      <c r="K96" s="33"/>
      <c r="L96" s="28"/>
      <c r="M96" s="359"/>
      <c r="N96" s="39"/>
      <c r="O96" s="39"/>
      <c r="P96" s="39"/>
    </row>
    <row r="97" spans="1:16" x14ac:dyDescent="0.25">
      <c r="A97" s="12" t="s">
        <v>242</v>
      </c>
      <c r="B97" s="10">
        <f>+D97/C97</f>
        <v>2.7681818181818182E-2</v>
      </c>
      <c r="C97" s="1">
        <f>+D32</f>
        <v>310000000</v>
      </c>
      <c r="D97" s="154">
        <f>+'Data for Settlement &amp; 1st TU'!I98</f>
        <v>8581363.6363636367</v>
      </c>
      <c r="F97" t="s">
        <v>244</v>
      </c>
      <c r="G97" s="10">
        <f>+I97/H97</f>
        <v>2.7763164898064498E-2</v>
      </c>
      <c r="H97" s="1">
        <f>+I32</f>
        <v>322150000</v>
      </c>
      <c r="I97" s="79">
        <v>8943903.5719114784</v>
      </c>
      <c r="J97" s="126"/>
      <c r="K97" s="367"/>
      <c r="L97" s="28"/>
      <c r="M97" s="359"/>
      <c r="N97" s="39"/>
      <c r="O97" s="29"/>
      <c r="P97" s="39"/>
    </row>
    <row r="98" spans="1:16" ht="15.75" thickBot="1" x14ac:dyDescent="0.3">
      <c r="B98" s="82">
        <f>+D98/C98</f>
        <v>2.9434290260371077E-2</v>
      </c>
      <c r="C98" s="83">
        <f>SUM(C96:C97)</f>
        <v>535000000</v>
      </c>
      <c r="D98" s="80">
        <f>+D96+D97</f>
        <v>15747345.289298527</v>
      </c>
      <c r="G98" s="82">
        <f>+I98/H98</f>
        <v>2.9434565598147212E-2</v>
      </c>
      <c r="H98" s="83">
        <f>SUM(H96:H97)</f>
        <v>536250000</v>
      </c>
      <c r="I98" s="80">
        <f>+I96+I97</f>
        <v>15784285.802006442</v>
      </c>
      <c r="J98" s="126"/>
      <c r="K98" s="7"/>
      <c r="L98" s="34"/>
      <c r="M98" s="360"/>
      <c r="N98" s="28"/>
      <c r="O98" s="5"/>
    </row>
    <row r="99" spans="1:16" ht="15.75" thickTop="1" x14ac:dyDescent="0.25">
      <c r="G99" s="77"/>
      <c r="H99" s="202"/>
      <c r="I99" s="7"/>
      <c r="J99" s="28"/>
      <c r="K99" s="28"/>
      <c r="L99" s="366"/>
      <c r="N99" s="7"/>
    </row>
    <row r="100" spans="1:16" ht="145.5" customHeight="1" x14ac:dyDescent="0.25">
      <c r="C100" s="7"/>
      <c r="D100" s="28"/>
      <c r="F100" s="544" t="s">
        <v>317</v>
      </c>
      <c r="G100" s="544"/>
      <c r="H100" s="544"/>
      <c r="I100" s="544"/>
      <c r="J100" s="28"/>
      <c r="K100" s="122"/>
      <c r="L100" s="361"/>
      <c r="M100" s="127"/>
    </row>
    <row r="101" spans="1:16" x14ac:dyDescent="0.25">
      <c r="F101" s="545"/>
      <c r="G101" s="545"/>
      <c r="H101" s="545"/>
      <c r="I101" s="545"/>
      <c r="L101" s="355"/>
    </row>
    <row r="102" spans="1:16" x14ac:dyDescent="0.25">
      <c r="F102" s="545"/>
      <c r="G102" s="545"/>
      <c r="H102" s="545"/>
      <c r="I102" s="545"/>
    </row>
    <row r="104" spans="1:16" x14ac:dyDescent="0.25">
      <c r="F104" s="96"/>
      <c r="G104" s="96"/>
      <c r="H104" s="96"/>
      <c r="I104" s="96"/>
    </row>
    <row r="105" spans="1:16" x14ac:dyDescent="0.25">
      <c r="F105" s="102"/>
      <c r="G105" s="103"/>
      <c r="H105" s="104"/>
      <c r="I105" s="61"/>
      <c r="K105" s="68"/>
    </row>
    <row r="106" spans="1:16" x14ac:dyDescent="0.25">
      <c r="F106" s="96"/>
      <c r="G106" s="72"/>
      <c r="H106" s="100"/>
      <c r="I106" s="60"/>
      <c r="K106" s="78"/>
    </row>
    <row r="107" spans="1:16" x14ac:dyDescent="0.25">
      <c r="F107" s="96"/>
      <c r="G107" s="72"/>
      <c r="H107" s="100"/>
      <c r="I107" s="60"/>
    </row>
    <row r="108" spans="1:16" x14ac:dyDescent="0.25">
      <c r="F108" s="96"/>
      <c r="G108" s="96"/>
      <c r="H108" s="96"/>
      <c r="I108" s="111"/>
    </row>
    <row r="111" spans="1:16" x14ac:dyDescent="0.25">
      <c r="I111" s="1"/>
    </row>
    <row r="112" spans="1:16" x14ac:dyDescent="0.25">
      <c r="I112" s="1"/>
    </row>
    <row r="113" spans="9:9" x14ac:dyDescent="0.25">
      <c r="I113" s="1"/>
    </row>
    <row r="114" spans="9:9" x14ac:dyDescent="0.25">
      <c r="I114" s="1"/>
    </row>
    <row r="115" spans="9:9" x14ac:dyDescent="0.25">
      <c r="I115" s="1"/>
    </row>
    <row r="116" spans="9:9" x14ac:dyDescent="0.25">
      <c r="I116" s="1"/>
    </row>
  </sheetData>
  <mergeCells count="5">
    <mergeCell ref="M8:O8"/>
    <mergeCell ref="P8:R8"/>
    <mergeCell ref="F100:I100"/>
    <mergeCell ref="F102:I102"/>
    <mergeCell ref="F101:I101"/>
  </mergeCells>
  <pageMargins left="0.7" right="0.7" top="0.75" bottom="0.75" header="0.3" footer="0.3"/>
  <pageSetup paperSize="17" scale="52"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50"/>
  <sheetViews>
    <sheetView showGridLines="0" zoomScale="72" zoomScaleNormal="72" workbookViewId="0">
      <selection activeCell="O27" sqref="O27"/>
    </sheetView>
  </sheetViews>
  <sheetFormatPr defaultRowHeight="15" x14ac:dyDescent="0.25"/>
  <cols>
    <col min="1" max="1" width="43.5703125" customWidth="1"/>
    <col min="2" max="2" width="11.28515625" customWidth="1"/>
    <col min="3" max="3" width="15.7109375" customWidth="1"/>
    <col min="4" max="4" width="14.7109375" customWidth="1"/>
    <col min="5" max="5" width="15" customWidth="1"/>
    <col min="6" max="6" width="12.7109375" customWidth="1"/>
    <col min="7" max="7" width="15.7109375" bestFit="1" customWidth="1"/>
    <col min="8" max="8" width="13.28515625" bestFit="1" customWidth="1"/>
    <col min="9" max="11" width="13.28515625" customWidth="1"/>
    <col min="12" max="12" width="6.28515625" customWidth="1"/>
    <col min="13" max="13" width="43.5703125" customWidth="1"/>
    <col min="14" max="14" width="11.28515625" customWidth="1"/>
    <col min="15" max="15" width="15.7109375" customWidth="1"/>
    <col min="16" max="20" width="14.7109375" customWidth="1"/>
    <col min="22" max="22" width="43.5703125" customWidth="1"/>
    <col min="23" max="23" width="11.28515625" customWidth="1"/>
    <col min="24" max="24" width="15.7109375" customWidth="1"/>
    <col min="25" max="29" width="14.7109375" customWidth="1"/>
    <col min="30" max="30" width="12.28515625" bestFit="1" customWidth="1"/>
  </cols>
  <sheetData>
    <row r="1" spans="1:32" ht="26.25" x14ac:dyDescent="0.4">
      <c r="A1" s="75" t="s">
        <v>57</v>
      </c>
    </row>
    <row r="3" spans="1:32" s="12" customFormat="1" ht="18.75" x14ac:dyDescent="0.3">
      <c r="A3" s="510" t="s">
        <v>321</v>
      </c>
      <c r="M3" s="99"/>
      <c r="N3" s="96"/>
      <c r="O3" s="96"/>
      <c r="P3" s="96"/>
      <c r="Q3" s="96"/>
      <c r="R3" s="96"/>
      <c r="S3" s="96"/>
      <c r="T3" s="96"/>
      <c r="U3" s="96"/>
      <c r="V3" s="99"/>
      <c r="W3" s="96"/>
      <c r="X3" s="96"/>
      <c r="Y3" s="96"/>
      <c r="Z3" s="96"/>
      <c r="AA3" s="96"/>
      <c r="AB3" s="96"/>
      <c r="AC3" s="96"/>
      <c r="AD3" s="96"/>
      <c r="AE3" s="96"/>
      <c r="AF3" s="96"/>
    </row>
    <row r="4" spans="1:32" x14ac:dyDescent="0.25">
      <c r="A4" s="11"/>
      <c r="M4" s="30"/>
      <c r="N4" s="8"/>
      <c r="O4" s="8"/>
      <c r="P4" s="8"/>
      <c r="Q4" s="8"/>
      <c r="R4" s="8"/>
      <c r="S4" s="8"/>
      <c r="T4" s="8"/>
      <c r="U4" s="8"/>
      <c r="V4" s="30"/>
      <c r="W4" s="8"/>
      <c r="X4" s="8"/>
      <c r="Y4" s="8"/>
      <c r="Z4" s="8"/>
      <c r="AA4" s="8"/>
      <c r="AB4" s="8"/>
      <c r="AC4" s="8"/>
      <c r="AD4" s="8"/>
      <c r="AE4" s="8"/>
      <c r="AF4" s="8"/>
    </row>
    <row r="5" spans="1:32" x14ac:dyDescent="0.25">
      <c r="A5" s="11" t="s">
        <v>225</v>
      </c>
      <c r="M5" s="30"/>
      <c r="N5" s="8"/>
      <c r="O5" s="8"/>
      <c r="P5" s="8"/>
      <c r="Q5" s="8"/>
      <c r="R5" s="8"/>
      <c r="S5" s="8"/>
      <c r="T5" s="8"/>
      <c r="U5" s="8"/>
      <c r="V5" s="30"/>
      <c r="W5" s="8"/>
      <c r="X5" s="8"/>
      <c r="Y5" s="8"/>
      <c r="Z5" s="8"/>
      <c r="AA5" s="8"/>
      <c r="AB5" s="8"/>
      <c r="AC5" s="8"/>
      <c r="AD5" s="8"/>
      <c r="AE5" s="8"/>
      <c r="AF5" s="8"/>
    </row>
    <row r="6" spans="1:32" ht="45" x14ac:dyDescent="0.25">
      <c r="A6" s="44" t="s">
        <v>35</v>
      </c>
      <c r="B6" s="45" t="s">
        <v>294</v>
      </c>
      <c r="C6" s="46" t="s">
        <v>67</v>
      </c>
      <c r="D6" s="45" t="s">
        <v>29</v>
      </c>
      <c r="E6" s="46" t="s">
        <v>27</v>
      </c>
      <c r="F6" s="45" t="s">
        <v>7</v>
      </c>
      <c r="G6" s="45" t="s">
        <v>14</v>
      </c>
      <c r="H6" s="46" t="s">
        <v>78</v>
      </c>
      <c r="I6" s="46" t="s">
        <v>74</v>
      </c>
      <c r="J6" s="46" t="s">
        <v>76</v>
      </c>
      <c r="K6" s="46" t="s">
        <v>172</v>
      </c>
      <c r="M6" s="30"/>
      <c r="N6" s="35"/>
      <c r="O6" s="35"/>
      <c r="P6" s="35"/>
      <c r="Q6" s="41"/>
      <c r="R6" s="30"/>
      <c r="S6" s="35"/>
      <c r="T6" s="36"/>
      <c r="U6" s="8"/>
      <c r="V6" s="30"/>
      <c r="W6" s="35"/>
      <c r="X6" s="35"/>
      <c r="Y6" s="35"/>
      <c r="Z6" s="41"/>
      <c r="AA6" s="30"/>
      <c r="AB6" s="35"/>
      <c r="AC6" s="36"/>
      <c r="AD6" s="8"/>
      <c r="AE6" s="8"/>
      <c r="AF6" s="8"/>
    </row>
    <row r="7" spans="1:32" x14ac:dyDescent="0.25">
      <c r="A7" s="47" t="s">
        <v>2</v>
      </c>
      <c r="B7" s="49">
        <f>+'Data for 2nd TU'!D37</f>
        <v>7.6999999999999999E-2</v>
      </c>
      <c r="C7" s="49">
        <f>+'Data for 2nd TU'!$B$51</f>
        <v>3.1848807346377295E-2</v>
      </c>
      <c r="D7" s="49">
        <f>+'Data for 2nd TU'!$B$56</f>
        <v>8.8359370314842575E-2</v>
      </c>
      <c r="E7" s="49">
        <f>+C7+D7</f>
        <v>0.12020817766121987</v>
      </c>
      <c r="F7" s="50">
        <f>+B7-E7</f>
        <v>-4.3208177661219871E-2</v>
      </c>
      <c r="G7" s="20">
        <f>'Data for 2nd TU'!C16</f>
        <v>5002500</v>
      </c>
      <c r="H7" s="4">
        <f>+G7*B7</f>
        <v>385192.5</v>
      </c>
      <c r="I7" s="4">
        <f>+G7*C7</f>
        <v>159323.65875025242</v>
      </c>
      <c r="J7" s="4">
        <f>+G7*D7</f>
        <v>442017.75</v>
      </c>
      <c r="K7" s="4">
        <f>+H7-I7-J7</f>
        <v>-216148.90875025242</v>
      </c>
      <c r="M7" s="8"/>
      <c r="N7" s="37"/>
      <c r="O7" s="42"/>
      <c r="P7" s="42"/>
      <c r="Q7" s="42"/>
      <c r="R7" s="43"/>
      <c r="S7" s="38"/>
      <c r="T7" s="28"/>
      <c r="U7" s="8"/>
      <c r="V7" s="8"/>
      <c r="W7" s="42"/>
      <c r="X7" s="42"/>
      <c r="Y7" s="42"/>
      <c r="Z7" s="42"/>
      <c r="AA7" s="43"/>
      <c r="AB7" s="38"/>
      <c r="AC7" s="28"/>
      <c r="AD7" s="34"/>
      <c r="AE7" s="8"/>
      <c r="AF7" s="8"/>
    </row>
    <row r="8" spans="1:32" x14ac:dyDescent="0.25">
      <c r="A8" s="51" t="s">
        <v>3</v>
      </c>
      <c r="B8" s="42">
        <f>+'Data for 2nd TU'!D38</f>
        <v>8.8999999999999996E-2</v>
      </c>
      <c r="C8" s="42">
        <f>+'Data for 2nd TU'!$B$51</f>
        <v>3.1848807346377295E-2</v>
      </c>
      <c r="D8" s="42">
        <f>+'Data for 2nd TU'!$B$56</f>
        <v>8.8359370314842575E-2</v>
      </c>
      <c r="E8" s="42">
        <f t="shared" ref="E8:E15" si="0">+C8+D8</f>
        <v>0.12020817766121987</v>
      </c>
      <c r="F8" s="43">
        <f t="shared" ref="F8:F11" si="1">+B8-E8</f>
        <v>-3.1208177661219874E-2</v>
      </c>
      <c r="G8" s="20">
        <f>'Data for 2nd TU'!C17</f>
        <v>7003500</v>
      </c>
      <c r="H8" s="4">
        <f t="shared" ref="H8:H11" si="2">+G8*B8</f>
        <v>623311.5</v>
      </c>
      <c r="I8" s="4">
        <f t="shared" ref="I8:I11" si="3">+G8*C8</f>
        <v>223053.12225035339</v>
      </c>
      <c r="J8" s="4">
        <f t="shared" ref="J8:J11" si="4">+G8*D8</f>
        <v>618824.85</v>
      </c>
      <c r="K8" s="4">
        <f t="shared" ref="K8:K11" si="5">+H8-I8-J8</f>
        <v>-218566.47225035337</v>
      </c>
      <c r="M8" s="8"/>
      <c r="N8" s="37"/>
      <c r="O8" s="42"/>
      <c r="P8" s="42"/>
      <c r="Q8" s="42"/>
      <c r="R8" s="43"/>
      <c r="S8" s="38"/>
      <c r="T8" s="28"/>
      <c r="U8" s="8"/>
      <c r="V8" s="8"/>
      <c r="W8" s="42"/>
      <c r="X8" s="42"/>
      <c r="Y8" s="42"/>
      <c r="Z8" s="42"/>
      <c r="AA8" s="43"/>
      <c r="AB8" s="38"/>
      <c r="AC8" s="28"/>
      <c r="AD8" s="34"/>
      <c r="AE8" s="8"/>
      <c r="AF8" s="8"/>
    </row>
    <row r="9" spans="1:32" x14ac:dyDescent="0.25">
      <c r="A9" s="443" t="s">
        <v>299</v>
      </c>
      <c r="B9" s="42">
        <f>+'Data for 2nd TU'!D39</f>
        <v>6.5000000000000002E-2</v>
      </c>
      <c r="C9" s="42">
        <f>+'Data for 2nd TU'!$B$51</f>
        <v>3.1848807346377295E-2</v>
      </c>
      <c r="D9" s="42">
        <f>+'Data for 2nd TU'!$B$56</f>
        <v>8.8359370314842575E-2</v>
      </c>
      <c r="E9" s="42">
        <f t="shared" si="0"/>
        <v>0.12020817766121987</v>
      </c>
      <c r="F9" s="43">
        <f t="shared" si="1"/>
        <v>-5.5208177661219868E-2</v>
      </c>
      <c r="G9" s="430">
        <f>'Data for 2nd TU'!C18</f>
        <v>95047500</v>
      </c>
      <c r="H9" s="159">
        <f t="shared" si="2"/>
        <v>6178087.5</v>
      </c>
      <c r="I9" s="159">
        <f t="shared" si="3"/>
        <v>3027149.5162547957</v>
      </c>
      <c r="J9" s="159">
        <f t="shared" si="4"/>
        <v>8398337.25</v>
      </c>
      <c r="K9" s="159">
        <f t="shared" si="5"/>
        <v>-5247399.2662547957</v>
      </c>
      <c r="M9" s="8"/>
      <c r="N9" s="37"/>
      <c r="O9" s="42"/>
      <c r="P9" s="42"/>
      <c r="Q9" s="42"/>
      <c r="R9" s="43"/>
      <c r="S9" s="38"/>
      <c r="T9" s="28"/>
      <c r="U9" s="8"/>
      <c r="V9" s="8"/>
      <c r="W9" s="42"/>
      <c r="X9" s="42"/>
      <c r="Y9" s="42"/>
      <c r="Z9" s="42"/>
      <c r="AA9" s="43"/>
      <c r="AB9" s="38"/>
      <c r="AC9" s="28"/>
      <c r="AD9" s="34"/>
      <c r="AE9" s="8"/>
      <c r="AF9" s="8"/>
    </row>
    <row r="10" spans="1:32" x14ac:dyDescent="0.25">
      <c r="A10" s="443" t="s">
        <v>300</v>
      </c>
      <c r="B10" s="42">
        <f>+'Data for 2nd TU'!D40</f>
        <v>9.4E-2</v>
      </c>
      <c r="C10" s="42">
        <f>+'Data for 2nd TU'!$B$51</f>
        <v>3.1848807346377295E-2</v>
      </c>
      <c r="D10" s="42">
        <f>+'Data for 2nd TU'!$B$56</f>
        <v>8.8359370314842575E-2</v>
      </c>
      <c r="E10" s="42">
        <f t="shared" si="0"/>
        <v>0.12020817766121987</v>
      </c>
      <c r="F10" s="43">
        <f t="shared" si="1"/>
        <v>-2.620817766121987E-2</v>
      </c>
      <c r="G10" s="430">
        <f>'Data for 2nd TU'!C19</f>
        <v>47023500</v>
      </c>
      <c r="H10" s="159">
        <f t="shared" si="2"/>
        <v>4420209</v>
      </c>
      <c r="I10" s="159">
        <f t="shared" si="3"/>
        <v>1497642.3922523728</v>
      </c>
      <c r="J10" s="159">
        <f t="shared" si="4"/>
        <v>4154966.8499999996</v>
      </c>
      <c r="K10" s="159">
        <f t="shared" si="5"/>
        <v>-1232400.2422523722</v>
      </c>
      <c r="M10" s="8"/>
      <c r="N10" s="37"/>
      <c r="O10" s="42"/>
      <c r="P10" s="42"/>
      <c r="Q10" s="42"/>
      <c r="R10" s="43"/>
      <c r="S10" s="38"/>
      <c r="T10" s="28"/>
      <c r="U10" s="8"/>
      <c r="V10" s="8"/>
      <c r="W10" s="42"/>
      <c r="X10" s="42"/>
      <c r="Y10" s="42"/>
      <c r="Z10" s="42"/>
      <c r="AA10" s="43"/>
      <c r="AB10" s="38"/>
      <c r="AC10" s="28"/>
      <c r="AD10" s="34"/>
      <c r="AE10" s="8"/>
      <c r="AF10" s="8"/>
    </row>
    <row r="11" spans="1:32" x14ac:dyDescent="0.25">
      <c r="A11" s="443" t="s">
        <v>301</v>
      </c>
      <c r="B11" s="42">
        <f>+'Data for 2nd TU'!D41</f>
        <v>0.13200000000000001</v>
      </c>
      <c r="C11" s="42">
        <f>+'Data for 2nd TU'!$B$51</f>
        <v>3.1848807346377295E-2</v>
      </c>
      <c r="D11" s="42">
        <f>+'Data for 2nd TU'!$B$56</f>
        <v>8.8359370314842575E-2</v>
      </c>
      <c r="E11" s="42">
        <f t="shared" si="0"/>
        <v>0.12020817766121987</v>
      </c>
      <c r="F11" s="43">
        <f t="shared" si="1"/>
        <v>1.1791822338780136E-2</v>
      </c>
      <c r="G11" s="430">
        <f>'Data for 2nd TU'!C20</f>
        <v>59029500.000000007</v>
      </c>
      <c r="H11" s="159">
        <f t="shared" si="2"/>
        <v>7791894.0000000009</v>
      </c>
      <c r="I11" s="159">
        <f t="shared" si="3"/>
        <v>1880019.1732529788</v>
      </c>
      <c r="J11" s="159">
        <f t="shared" si="4"/>
        <v>5215809.45</v>
      </c>
      <c r="K11" s="159">
        <f t="shared" si="5"/>
        <v>696065.37674702238</v>
      </c>
      <c r="M11" s="8"/>
      <c r="N11" s="37"/>
      <c r="O11" s="42"/>
      <c r="P11" s="42"/>
      <c r="Q11" s="42"/>
      <c r="R11" s="43"/>
      <c r="S11" s="38"/>
      <c r="T11" s="28"/>
      <c r="U11" s="8"/>
      <c r="V11" s="8"/>
      <c r="W11" s="42"/>
      <c r="X11" s="42"/>
      <c r="Y11" s="42"/>
      <c r="Z11" s="42"/>
      <c r="AA11" s="43"/>
      <c r="AB11" s="38"/>
      <c r="AC11" s="28"/>
      <c r="AD11" s="34"/>
      <c r="AE11" s="8"/>
      <c r="AF11" s="8"/>
    </row>
    <row r="12" spans="1:32" x14ac:dyDescent="0.25">
      <c r="A12" s="444" t="s">
        <v>302</v>
      </c>
      <c r="B12" s="428">
        <f>+'Data for 2nd TU'!D42</f>
        <v>7.3999999999999996E-2</v>
      </c>
      <c r="C12" s="428">
        <f>+'Data for 2nd TU'!$B$51</f>
        <v>3.1848807346377295E-2</v>
      </c>
      <c r="D12" s="428">
        <f>+'Data for 2nd TU'!$B$56</f>
        <v>8.8359370314842575E-2</v>
      </c>
      <c r="E12" s="428">
        <f>+C12+D12</f>
        <v>0.12020817766121987</v>
      </c>
      <c r="F12" s="429">
        <f>+B12-E12</f>
        <v>-4.6208177661219874E-2</v>
      </c>
      <c r="G12" s="430">
        <f>'Data for 2nd TU'!C21</f>
        <v>5002500</v>
      </c>
      <c r="H12" s="159">
        <f>+G12*B12</f>
        <v>370185</v>
      </c>
      <c r="I12" s="159">
        <f>+G12*C12</f>
        <v>159323.65875025242</v>
      </c>
      <c r="J12" s="159">
        <f>+G12*D12</f>
        <v>442017.75</v>
      </c>
      <c r="K12" s="159">
        <f>+H12-I12-J12</f>
        <v>-231156.40875025242</v>
      </c>
      <c r="M12" s="8"/>
      <c r="N12" s="37"/>
      <c r="O12" s="42"/>
      <c r="P12" s="42"/>
      <c r="Q12" s="42"/>
      <c r="R12" s="43"/>
      <c r="S12" s="38"/>
      <c r="T12" s="28"/>
      <c r="U12" s="8"/>
      <c r="V12" s="8"/>
      <c r="W12" s="42"/>
      <c r="X12" s="42"/>
      <c r="Y12" s="42"/>
      <c r="Z12" s="42"/>
      <c r="AA12" s="43"/>
      <c r="AB12" s="38"/>
      <c r="AC12" s="28"/>
      <c r="AD12" s="34"/>
      <c r="AE12" s="8"/>
      <c r="AF12" s="8"/>
    </row>
    <row r="13" spans="1:32" x14ac:dyDescent="0.25">
      <c r="A13" s="444" t="s">
        <v>303</v>
      </c>
      <c r="B13" s="428">
        <f>+'Data for 2nd TU'!D43</f>
        <v>0.10199999999999999</v>
      </c>
      <c r="C13" s="428">
        <f>+'Data for 2nd TU'!$B$51</f>
        <v>3.1848807346377295E-2</v>
      </c>
      <c r="D13" s="428">
        <f>+'Data for 2nd TU'!$B$56</f>
        <v>8.8359370314842575E-2</v>
      </c>
      <c r="E13" s="428">
        <f t="shared" si="0"/>
        <v>0.12020817766121987</v>
      </c>
      <c r="F13" s="429">
        <f t="shared" ref="F13:F15" si="6">+B13-E13</f>
        <v>-1.8208177661219876E-2</v>
      </c>
      <c r="G13" s="430">
        <f>'Data for 2nd TU'!C22</f>
        <v>2001000</v>
      </c>
      <c r="H13" s="159">
        <f t="shared" ref="H13:H15" si="7">+G13*B13</f>
        <v>204102</v>
      </c>
      <c r="I13" s="159">
        <f t="shared" ref="I13:I15" si="8">+G13*C13</f>
        <v>63729.463500100966</v>
      </c>
      <c r="J13" s="159">
        <f t="shared" ref="J13:J15" si="9">+G13*D13</f>
        <v>176807.1</v>
      </c>
      <c r="K13" s="159">
        <f t="shared" ref="K13:K15" si="10">+H13-I13-J13</f>
        <v>-36434.56350010098</v>
      </c>
      <c r="M13" s="8"/>
      <c r="N13" s="37"/>
      <c r="O13" s="42"/>
      <c r="P13" s="42"/>
      <c r="Q13" s="42"/>
      <c r="R13" s="43"/>
      <c r="S13" s="38"/>
      <c r="T13" s="28"/>
      <c r="U13" s="8"/>
      <c r="V13" s="8"/>
      <c r="W13" s="42"/>
      <c r="X13" s="42"/>
      <c r="Y13" s="42"/>
      <c r="Z13" s="42"/>
      <c r="AA13" s="43"/>
      <c r="AB13" s="38"/>
      <c r="AC13" s="28"/>
      <c r="AD13" s="34"/>
      <c r="AE13" s="8"/>
      <c r="AF13" s="8"/>
    </row>
    <row r="14" spans="1:32" x14ac:dyDescent="0.25">
      <c r="A14" s="444" t="s">
        <v>304</v>
      </c>
      <c r="B14" s="428">
        <f>+'Data for 2nd TU'!D44</f>
        <v>0.24</v>
      </c>
      <c r="C14" s="428">
        <f>+'Data for 2nd TU'!$B$51</f>
        <v>3.1848807346377295E-2</v>
      </c>
      <c r="D14" s="428">
        <f>+'Data for 2nd TU'!$B$56</f>
        <v>8.8359370314842575E-2</v>
      </c>
      <c r="E14" s="428">
        <f>+C14+D14</f>
        <v>0.12020817766121987</v>
      </c>
      <c r="F14" s="429">
        <f>+B14-E14</f>
        <v>0.11979182233878012</v>
      </c>
      <c r="G14" s="430">
        <f>'Data for 2nd TU'!C23</f>
        <v>1000500</v>
      </c>
      <c r="H14" s="159">
        <f>+G14*B14</f>
        <v>240120</v>
      </c>
      <c r="I14" s="159">
        <f>+G14*C14</f>
        <v>31864.731750050483</v>
      </c>
      <c r="J14" s="159">
        <f>+G14*D14</f>
        <v>88403.55</v>
      </c>
      <c r="K14" s="159">
        <f>+H14-I14-J14</f>
        <v>119851.71824994952</v>
      </c>
      <c r="M14" s="8"/>
      <c r="N14" s="37"/>
      <c r="O14" s="42"/>
      <c r="P14" s="42"/>
      <c r="Q14" s="42"/>
      <c r="R14" s="43"/>
      <c r="S14" s="38"/>
      <c r="T14" s="28"/>
      <c r="U14" s="8"/>
      <c r="V14" s="8"/>
      <c r="W14" s="42"/>
      <c r="X14" s="42"/>
      <c r="Y14" s="42"/>
      <c r="Z14" s="42"/>
      <c r="AA14" s="43"/>
      <c r="AB14" s="38"/>
      <c r="AC14" s="28"/>
      <c r="AD14" s="34"/>
      <c r="AE14" s="8"/>
      <c r="AF14" s="8"/>
    </row>
    <row r="15" spans="1:32" x14ac:dyDescent="0.25">
      <c r="A15" s="455" t="s">
        <v>305</v>
      </c>
      <c r="B15" s="431">
        <f>+'Data for 2nd TU'!D45</f>
        <v>2.4E-2</v>
      </c>
      <c r="C15" s="431">
        <f>+'Data for 2nd TU'!$B$51</f>
        <v>3.1848807346377295E-2</v>
      </c>
      <c r="D15" s="431">
        <f>+'Data for 2nd TU'!$B$56</f>
        <v>8.8359370314842575E-2</v>
      </c>
      <c r="E15" s="431">
        <f t="shared" si="0"/>
        <v>0.12020817766121987</v>
      </c>
      <c r="F15" s="432">
        <f t="shared" si="6"/>
        <v>-9.6208177661219862E-2</v>
      </c>
      <c r="G15" s="430">
        <f>'Data for 2nd TU'!C24</f>
        <v>4002000</v>
      </c>
      <c r="H15" s="159">
        <f t="shared" si="7"/>
        <v>96048</v>
      </c>
      <c r="I15" s="159">
        <f t="shared" si="8"/>
        <v>127458.92700020193</v>
      </c>
      <c r="J15" s="159">
        <f t="shared" si="9"/>
        <v>353614.2</v>
      </c>
      <c r="K15" s="159">
        <f t="shared" si="10"/>
        <v>-385025.12700020196</v>
      </c>
      <c r="M15" s="8"/>
      <c r="N15" s="37"/>
      <c r="O15" s="42"/>
      <c r="P15" s="42"/>
      <c r="Q15" s="42"/>
      <c r="R15" s="43"/>
      <c r="S15" s="38"/>
      <c r="T15" s="28"/>
      <c r="U15" s="8"/>
      <c r="V15" s="8"/>
      <c r="W15" s="42"/>
      <c r="X15" s="42"/>
      <c r="Y15" s="42"/>
      <c r="Z15" s="42"/>
      <c r="AA15" s="43"/>
      <c r="AB15" s="38"/>
      <c r="AC15" s="28"/>
      <c r="AD15" s="34"/>
      <c r="AE15" s="8"/>
      <c r="AF15" s="8"/>
    </row>
    <row r="16" spans="1:32" ht="15.75" thickBot="1" x14ac:dyDescent="0.3">
      <c r="B16" s="463">
        <f>+H16/G16</f>
        <v>9.0217777777777772E-2</v>
      </c>
      <c r="G16" s="501">
        <f>SUM(G7:G15)</f>
        <v>225112500</v>
      </c>
      <c r="H16" s="437">
        <f>SUM(H7:H15)</f>
        <v>20309149.5</v>
      </c>
      <c r="I16" s="505">
        <f>SUM(I7:I15)</f>
        <v>7169564.6437613592</v>
      </c>
      <c r="J16" s="505">
        <f>SUM(J7:J15)</f>
        <v>19890798.75</v>
      </c>
      <c r="K16" s="437">
        <f>SUM(K7:K15)</f>
        <v>-6751213.8937613573</v>
      </c>
      <c r="M16" s="8"/>
      <c r="N16" s="8"/>
      <c r="O16" s="8"/>
      <c r="P16" s="8"/>
      <c r="Q16" s="28"/>
      <c r="R16" s="28"/>
      <c r="S16" s="33"/>
      <c r="T16" s="28"/>
      <c r="U16" s="8"/>
      <c r="V16" s="8"/>
      <c r="W16" s="8"/>
      <c r="X16" s="8"/>
      <c r="Y16" s="8"/>
      <c r="Z16" s="28"/>
      <c r="AA16" s="28"/>
      <c r="AB16" s="33"/>
      <c r="AC16" s="28"/>
      <c r="AD16" s="34"/>
      <c r="AE16" s="8"/>
      <c r="AF16" s="8"/>
    </row>
    <row r="17" spans="1:32" x14ac:dyDescent="0.25">
      <c r="M17" s="8"/>
      <c r="N17" s="8"/>
      <c r="O17" s="8"/>
      <c r="P17" s="8"/>
      <c r="Q17" s="8"/>
      <c r="R17" s="8"/>
      <c r="S17" s="8"/>
      <c r="T17" s="8"/>
      <c r="U17" s="8"/>
      <c r="V17" s="8"/>
      <c r="W17" s="8"/>
      <c r="X17" s="8"/>
      <c r="Y17" s="8"/>
      <c r="Z17" s="8"/>
      <c r="AA17" s="8"/>
      <c r="AB17" s="8"/>
      <c r="AC17" s="8"/>
      <c r="AD17" s="8"/>
      <c r="AE17" s="8"/>
      <c r="AF17" s="8"/>
    </row>
    <row r="18" spans="1:32" s="12" customFormat="1" ht="18.75" x14ac:dyDescent="0.3">
      <c r="A18" s="510" t="s">
        <v>322</v>
      </c>
      <c r="M18" s="511"/>
      <c r="N18" s="96"/>
      <c r="O18" s="96"/>
      <c r="P18" s="96"/>
      <c r="Q18" s="96"/>
      <c r="R18" s="96"/>
      <c r="S18" s="96"/>
      <c r="T18" s="96"/>
      <c r="U18" s="96"/>
      <c r="V18" s="511"/>
      <c r="W18" s="96"/>
      <c r="X18" s="96"/>
      <c r="Y18" s="96"/>
      <c r="Z18" s="96"/>
      <c r="AA18" s="512"/>
      <c r="AB18" s="96"/>
      <c r="AC18" s="96"/>
      <c r="AD18" s="96"/>
      <c r="AE18" s="96"/>
      <c r="AF18" s="96"/>
    </row>
    <row r="19" spans="1:32" x14ac:dyDescent="0.25">
      <c r="A19" s="11"/>
      <c r="M19" s="30"/>
      <c r="N19" s="31"/>
      <c r="O19" s="31"/>
      <c r="P19" s="31"/>
      <c r="Q19" s="31"/>
      <c r="R19" s="31"/>
      <c r="S19" s="15"/>
      <c r="T19" s="15"/>
      <c r="V19" s="30"/>
      <c r="W19" s="31"/>
      <c r="X19" s="31"/>
      <c r="Y19" s="31"/>
      <c r="AA19" s="29"/>
    </row>
    <row r="20" spans="1:32" x14ac:dyDescent="0.25">
      <c r="A20" s="11" t="s">
        <v>226</v>
      </c>
      <c r="M20" s="8"/>
      <c r="N20" s="32"/>
      <c r="O20" s="33"/>
      <c r="P20" s="28"/>
      <c r="Q20" s="28"/>
      <c r="R20" s="28"/>
      <c r="S20" s="4"/>
      <c r="T20" s="4"/>
      <c r="V20" s="8"/>
      <c r="W20" s="32"/>
      <c r="X20" s="33"/>
      <c r="Y20" s="28"/>
      <c r="AA20" s="29"/>
    </row>
    <row r="21" spans="1:32" ht="30" x14ac:dyDescent="0.25">
      <c r="A21" s="44" t="s">
        <v>35</v>
      </c>
      <c r="B21" s="45" t="s">
        <v>294</v>
      </c>
      <c r="C21" s="46" t="s">
        <v>82</v>
      </c>
      <c r="D21" s="45" t="s">
        <v>29</v>
      </c>
      <c r="E21" s="46" t="s">
        <v>27</v>
      </c>
      <c r="F21" s="45" t="s">
        <v>7</v>
      </c>
      <c r="G21" s="45" t="s">
        <v>14</v>
      </c>
      <c r="H21" s="46" t="s">
        <v>174</v>
      </c>
      <c r="I21" s="46" t="s">
        <v>75</v>
      </c>
      <c r="J21" s="46" t="s">
        <v>76</v>
      </c>
      <c r="K21" s="46" t="s">
        <v>323</v>
      </c>
      <c r="M21" s="8"/>
      <c r="N21" s="32"/>
      <c r="O21" s="33"/>
      <c r="P21" s="28"/>
      <c r="Q21" s="28"/>
      <c r="R21" s="28"/>
      <c r="S21" s="4"/>
      <c r="T21" s="4"/>
      <c r="V21" s="8"/>
      <c r="W21" s="32"/>
      <c r="X21" s="33"/>
      <c r="Y21" s="28"/>
      <c r="AA21" s="29"/>
    </row>
    <row r="22" spans="1:32" x14ac:dyDescent="0.25">
      <c r="A22" s="47" t="s">
        <v>2</v>
      </c>
      <c r="B22" s="49">
        <f>+'Data for 2nd TU'!I37</f>
        <v>7.6999999999999999E-2</v>
      </c>
      <c r="C22" s="49">
        <f>+'Data for 2nd TU'!$G$51</f>
        <v>3.194947328395592E-2</v>
      </c>
      <c r="D22" s="49">
        <f>+'Data for 2nd TU'!$G$56</f>
        <v>8.8359370314842575E-2</v>
      </c>
      <c r="E22" s="49">
        <f>+C22+D22</f>
        <v>0.1203088435987985</v>
      </c>
      <c r="F22" s="50">
        <f>+B22-E22</f>
        <v>-4.3308843598798497E-2</v>
      </c>
      <c r="G22" s="430">
        <f>'Data for 2nd TU'!H16</f>
        <v>4218643.7007874073</v>
      </c>
      <c r="H22" s="159">
        <f>+G22*B22</f>
        <v>324835.56496063038</v>
      </c>
      <c r="I22" s="159">
        <f>+G22*C22</f>
        <v>134783.44421283621</v>
      </c>
      <c r="J22" s="159">
        <f>+G22*D22</f>
        <v>372756.70098425244</v>
      </c>
      <c r="K22" s="159">
        <f>+H22-I22-J22</f>
        <v>-182704.58023645828</v>
      </c>
      <c r="M22" s="8"/>
      <c r="N22" s="8"/>
      <c r="O22" s="8"/>
      <c r="P22" s="28"/>
      <c r="Q22" s="28"/>
      <c r="R22" s="28"/>
      <c r="S22" s="28"/>
      <c r="T22" s="28"/>
      <c r="V22" s="8"/>
      <c r="W22" s="8"/>
      <c r="X22" s="8"/>
      <c r="Y22" s="28"/>
      <c r="AA22" s="29"/>
    </row>
    <row r="23" spans="1:32" x14ac:dyDescent="0.25">
      <c r="A23" s="51" t="s">
        <v>3</v>
      </c>
      <c r="B23" s="42">
        <f>+'Data for 2nd TU'!I38</f>
        <v>8.8999999999999996E-2</v>
      </c>
      <c r="C23" s="42">
        <f>+'Data for 2nd TU'!$G$51</f>
        <v>3.194947328395592E-2</v>
      </c>
      <c r="D23" s="42">
        <f>+'Data for 2nd TU'!$G$56</f>
        <v>8.8359370314842575E-2</v>
      </c>
      <c r="E23" s="42">
        <f t="shared" ref="E23:E26" si="11">+C23+D23</f>
        <v>0.1203088435987985</v>
      </c>
      <c r="F23" s="43">
        <f t="shared" ref="F23:F26" si="12">+B23-E23</f>
        <v>-3.13088435987985E-2</v>
      </c>
      <c r="G23" s="430">
        <f>'Data for 2nd TU'!H17</f>
        <v>7781053.9370078696</v>
      </c>
      <c r="H23" s="159">
        <f t="shared" ref="H23:H26" si="13">+G23*B23</f>
        <v>692513.80039370037</v>
      </c>
      <c r="I23" s="159">
        <f t="shared" ref="I23:I26" si="14">+G23*C23</f>
        <v>248600.57488145295</v>
      </c>
      <c r="J23" s="159">
        <f t="shared" ref="J23:J26" si="15">+G23*D23</f>
        <v>687529.0262598421</v>
      </c>
      <c r="K23" s="159">
        <f t="shared" ref="K23:K26" si="16">+H23-I23-J23</f>
        <v>-243615.80074759468</v>
      </c>
      <c r="M23" s="8"/>
      <c r="N23" s="8"/>
      <c r="O23" s="8"/>
      <c r="P23" s="8"/>
      <c r="Q23" s="8"/>
      <c r="R23" s="8"/>
      <c r="V23" s="8"/>
      <c r="W23" s="8"/>
      <c r="X23" s="8"/>
      <c r="Y23" s="8"/>
      <c r="AA23" s="29"/>
    </row>
    <row r="24" spans="1:32" x14ac:dyDescent="0.25">
      <c r="A24" s="443" t="s">
        <v>299</v>
      </c>
      <c r="B24" s="42">
        <f>+'Data for 2nd TU'!I39</f>
        <v>6.5000000000000002E-2</v>
      </c>
      <c r="C24" s="42">
        <f>+'Data for 2nd TU'!$G$51</f>
        <v>3.194947328395592E-2</v>
      </c>
      <c r="D24" s="42">
        <f>+'Data for 2nd TU'!$G$56</f>
        <v>8.8359370314842575E-2</v>
      </c>
      <c r="E24" s="42">
        <f t="shared" si="11"/>
        <v>0.1203088435987985</v>
      </c>
      <c r="F24" s="43">
        <f t="shared" si="12"/>
        <v>-5.5308843598798493E-2</v>
      </c>
      <c r="G24" s="430">
        <f>'Data for 2nd TU'!H18</f>
        <v>83419593.796610802</v>
      </c>
      <c r="H24" s="159">
        <f t="shared" si="13"/>
        <v>5422273.5967797022</v>
      </c>
      <c r="I24" s="159">
        <f t="shared" si="14"/>
        <v>2665212.0833632718</v>
      </c>
      <c r="J24" s="159">
        <f t="shared" si="15"/>
        <v>7370902.7797884783</v>
      </c>
      <c r="K24" s="159">
        <f t="shared" si="16"/>
        <v>-4613841.2663720474</v>
      </c>
      <c r="M24" s="30"/>
      <c r="N24" s="8"/>
      <c r="O24" s="8"/>
      <c r="P24" s="8"/>
      <c r="Q24" s="8"/>
      <c r="R24" s="8"/>
      <c r="V24" s="30"/>
      <c r="W24" s="8"/>
      <c r="X24" s="8"/>
      <c r="Y24" s="8"/>
    </row>
    <row r="25" spans="1:32" x14ac:dyDescent="0.25">
      <c r="A25" s="443" t="s">
        <v>300</v>
      </c>
      <c r="B25" s="42">
        <f>+'Data for 2nd TU'!I40</f>
        <v>9.4E-2</v>
      </c>
      <c r="C25" s="42">
        <f>+'Data for 2nd TU'!$G$51</f>
        <v>3.194947328395592E-2</v>
      </c>
      <c r="D25" s="42">
        <f>+'Data for 2nd TU'!$G$56</f>
        <v>8.8359370314842575E-2</v>
      </c>
      <c r="E25" s="42">
        <f t="shared" si="11"/>
        <v>0.1203088435987985</v>
      </c>
      <c r="F25" s="43">
        <f t="shared" si="12"/>
        <v>-2.6308843598798495E-2</v>
      </c>
      <c r="G25" s="430">
        <f>'Data for 2nd TU'!H19</f>
        <v>50623724.409448884</v>
      </c>
      <c r="H25" s="159">
        <f t="shared" si="13"/>
        <v>4758630.0944881951</v>
      </c>
      <c r="I25" s="159">
        <f t="shared" si="14"/>
        <v>1617401.3305540343</v>
      </c>
      <c r="J25" s="159">
        <f t="shared" si="15"/>
        <v>4473080.4118110295</v>
      </c>
      <c r="K25" s="159">
        <f t="shared" si="16"/>
        <v>-1331851.647876869</v>
      </c>
      <c r="M25" s="8"/>
      <c r="N25" s="8"/>
      <c r="O25" s="8"/>
      <c r="P25" s="34"/>
      <c r="Q25" s="34"/>
      <c r="R25" s="34"/>
      <c r="S25" s="5"/>
      <c r="T25" s="5"/>
      <c r="V25" s="8"/>
      <c r="W25" s="8"/>
      <c r="X25" s="8"/>
      <c r="Y25" s="34"/>
    </row>
    <row r="26" spans="1:32" x14ac:dyDescent="0.25">
      <c r="A26" s="443" t="s">
        <v>301</v>
      </c>
      <c r="B26" s="42">
        <f>+'Data for 2nd TU'!I41</f>
        <v>0.13200000000000001</v>
      </c>
      <c r="C26" s="42">
        <f>+'Data for 2nd TU'!$G$51</f>
        <v>3.194947328395592E-2</v>
      </c>
      <c r="D26" s="42">
        <f>+'Data for 2nd TU'!$G$56</f>
        <v>8.8359370314842575E-2</v>
      </c>
      <c r="E26" s="42">
        <f t="shared" si="11"/>
        <v>0.1203088435987985</v>
      </c>
      <c r="F26" s="43">
        <f t="shared" si="12"/>
        <v>1.1691156401201511E-2</v>
      </c>
      <c r="G26" s="430">
        <f>'Data for 2nd TU'!H20</f>
        <v>57373554.330708742</v>
      </c>
      <c r="H26" s="159">
        <f t="shared" si="13"/>
        <v>7573309.1716535548</v>
      </c>
      <c r="I26" s="159">
        <f t="shared" si="14"/>
        <v>1833054.8412945725</v>
      </c>
      <c r="J26" s="159">
        <f t="shared" si="15"/>
        <v>5069491.1333858334</v>
      </c>
      <c r="K26" s="159">
        <f t="shared" si="16"/>
        <v>670763.19697314873</v>
      </c>
      <c r="M26" s="8"/>
      <c r="N26" s="8"/>
      <c r="O26" s="8"/>
      <c r="P26" s="34"/>
      <c r="Q26" s="34"/>
      <c r="R26" s="34"/>
      <c r="S26" s="5"/>
      <c r="T26" s="5"/>
      <c r="V26" s="8"/>
      <c r="W26" s="8"/>
      <c r="X26" s="8"/>
      <c r="Y26" s="34"/>
    </row>
    <row r="27" spans="1:32" x14ac:dyDescent="0.25">
      <c r="A27" s="444" t="s">
        <v>302</v>
      </c>
      <c r="B27" s="428">
        <f>+'Data for 2nd TU'!I42</f>
        <v>7.3999999999999996E-2</v>
      </c>
      <c r="C27" s="428">
        <f>+'Data for 2nd TU'!$G$51</f>
        <v>3.194947328395592E-2</v>
      </c>
      <c r="D27" s="428">
        <f>+'Data for 2nd TU'!$G$56</f>
        <v>8.8359370314842575E-2</v>
      </c>
      <c r="E27" s="428">
        <f>+C27+D27</f>
        <v>0.1203088435987985</v>
      </c>
      <c r="F27" s="429">
        <f>+B27-E27</f>
        <v>-4.6308843598798499E-2</v>
      </c>
      <c r="G27" s="430">
        <f>'Data for 2nd TU'!H21</f>
        <v>4102519.0623441404</v>
      </c>
      <c r="H27" s="159">
        <f>+G27*B27</f>
        <v>303586.41061346635</v>
      </c>
      <c r="I27" s="159">
        <f>+G27*C27</f>
        <v>131073.32317928399</v>
      </c>
      <c r="J27" s="159">
        <f>+G27*D27</f>
        <v>362496.00105336664</v>
      </c>
      <c r="K27" s="159">
        <f>+H27-I27-J27</f>
        <v>-189982.91361918428</v>
      </c>
      <c r="M27" s="8"/>
      <c r="N27" s="8"/>
      <c r="O27" s="8"/>
      <c r="P27" s="34"/>
      <c r="Q27" s="34"/>
      <c r="R27" s="34"/>
      <c r="S27" s="5"/>
      <c r="T27" s="5"/>
      <c r="V27" s="8"/>
      <c r="W27" s="8"/>
      <c r="X27" s="8"/>
      <c r="Y27" s="34"/>
    </row>
    <row r="28" spans="1:32" x14ac:dyDescent="0.25">
      <c r="A28" s="444" t="s">
        <v>303</v>
      </c>
      <c r="B28" s="428">
        <f>+'Data for 2nd TU'!I43</f>
        <v>0.10199999999999999</v>
      </c>
      <c r="C28" s="428">
        <f>+'Data for 2nd TU'!$G$51</f>
        <v>3.194947328395592E-2</v>
      </c>
      <c r="D28" s="428">
        <f>+'Data for 2nd TU'!$G$56</f>
        <v>8.8359370314842575E-2</v>
      </c>
      <c r="E28" s="428">
        <f t="shared" ref="E28:E30" si="17">+C28+D28</f>
        <v>0.1203088435987985</v>
      </c>
      <c r="F28" s="429">
        <f t="shared" ref="F28:F30" si="18">+B28-E28</f>
        <v>-1.8308843598798502E-2</v>
      </c>
      <c r="G28" s="430">
        <f>'Data for 2nd TU'!H22</f>
        <v>2051259.5311720702</v>
      </c>
      <c r="H28" s="159">
        <f t="shared" ref="H28:H30" si="19">+G28*B28</f>
        <v>209228.47217955114</v>
      </c>
      <c r="I28" s="159">
        <f t="shared" ref="I28:I30" si="20">+G28*C28</f>
        <v>65536.661589641997</v>
      </c>
      <c r="J28" s="159">
        <f t="shared" ref="J28:J30" si="21">+G28*D28</f>
        <v>181248.00052668332</v>
      </c>
      <c r="K28" s="159">
        <f t="shared" ref="K28:K30" si="22">+H28-I28-J28</f>
        <v>-37556.189936774172</v>
      </c>
      <c r="M28" s="8"/>
      <c r="N28" s="8"/>
      <c r="O28" s="8"/>
      <c r="P28" s="34"/>
      <c r="Q28" s="34"/>
      <c r="R28" s="34"/>
      <c r="S28" s="5"/>
      <c r="T28" s="5"/>
      <c r="V28" s="8"/>
      <c r="W28" s="8"/>
      <c r="X28" s="8"/>
      <c r="Y28" s="34"/>
    </row>
    <row r="29" spans="1:32" x14ac:dyDescent="0.25">
      <c r="A29" s="444" t="s">
        <v>304</v>
      </c>
      <c r="B29" s="428">
        <f>+'Data for 2nd TU'!I44</f>
        <v>0.24</v>
      </c>
      <c r="C29" s="428">
        <f>+'Data for 2nd TU'!$G$51</f>
        <v>3.194947328395592E-2</v>
      </c>
      <c r="D29" s="428">
        <f>+'Data for 2nd TU'!$G$56</f>
        <v>8.8359370314842575E-2</v>
      </c>
      <c r="E29" s="428">
        <f>+C29+D29</f>
        <v>0.1203088435987985</v>
      </c>
      <c r="F29" s="429">
        <f>+B29-E29</f>
        <v>0.1196911564012015</v>
      </c>
      <c r="G29" s="430">
        <f>'Data for 2nd TU'!H23</f>
        <v>1025629.7655860351</v>
      </c>
      <c r="H29" s="159">
        <f>+G29*B29</f>
        <v>246151.1437406484</v>
      </c>
      <c r="I29" s="159">
        <f>+G29*C29</f>
        <v>32768.330794820999</v>
      </c>
      <c r="J29" s="159">
        <f>+G29*D29</f>
        <v>90624.000263341659</v>
      </c>
      <c r="K29" s="159">
        <f>+H29-I29-J29</f>
        <v>122758.81268248575</v>
      </c>
      <c r="M29" s="8"/>
      <c r="N29" s="8"/>
      <c r="O29" s="8"/>
      <c r="P29" s="34"/>
      <c r="Q29" s="34"/>
      <c r="R29" s="34"/>
      <c r="S29" s="5"/>
      <c r="T29" s="5"/>
      <c r="V29" s="8"/>
      <c r="W29" s="8"/>
      <c r="X29" s="8"/>
      <c r="Y29" s="34"/>
    </row>
    <row r="30" spans="1:32" x14ac:dyDescent="0.25">
      <c r="A30" s="455" t="s">
        <v>305</v>
      </c>
      <c r="B30" s="431">
        <f>+'Data for 2nd TU'!I45</f>
        <v>2.4E-2</v>
      </c>
      <c r="C30" s="431">
        <f>+'Data for 2nd TU'!$G$51</f>
        <v>3.194947328395592E-2</v>
      </c>
      <c r="D30" s="431">
        <f>+'Data for 2nd TU'!$G$56</f>
        <v>8.8359370314842575E-2</v>
      </c>
      <c r="E30" s="431">
        <f t="shared" si="17"/>
        <v>0.1203088435987985</v>
      </c>
      <c r="F30" s="432">
        <f t="shared" si="18"/>
        <v>-9.6308843598798488E-2</v>
      </c>
      <c r="G30" s="430">
        <f>'Data for 2nd TU'!H24</f>
        <v>3076889.2967581046</v>
      </c>
      <c r="H30" s="159">
        <f t="shared" si="19"/>
        <v>73845.343122194507</v>
      </c>
      <c r="I30" s="159">
        <f t="shared" si="20"/>
        <v>98304.992384462981</v>
      </c>
      <c r="J30" s="159">
        <f t="shared" si="21"/>
        <v>271872.00079002493</v>
      </c>
      <c r="K30" s="159">
        <f t="shared" si="22"/>
        <v>-296331.65005229344</v>
      </c>
      <c r="M30" s="8"/>
      <c r="N30" s="8"/>
      <c r="O30" s="8"/>
      <c r="P30" s="34"/>
      <c r="Q30" s="34"/>
      <c r="R30" s="34"/>
      <c r="S30" s="5"/>
      <c r="T30" s="5"/>
      <c r="V30" s="8"/>
      <c r="W30" s="8"/>
      <c r="X30" s="8"/>
      <c r="Y30" s="34"/>
    </row>
    <row r="31" spans="1:32" ht="15.75" thickBot="1" x14ac:dyDescent="0.3">
      <c r="B31" s="463">
        <f>+H31/G31</f>
        <v>9.1749475714858406E-2</v>
      </c>
      <c r="G31" s="501">
        <f>SUM(G22:G30)</f>
        <v>213672867.83042407</v>
      </c>
      <c r="H31" s="436">
        <f>SUM(H22:H30)</f>
        <v>19604373.597931642</v>
      </c>
      <c r="I31" s="504">
        <f>SUM(I22:I30)</f>
        <v>6826735.5822543772</v>
      </c>
      <c r="J31" s="504">
        <f>SUM(J22:J30)</f>
        <v>18880000.054862849</v>
      </c>
      <c r="K31" s="436">
        <f>SUM(K22:K30)</f>
        <v>-6102362.0391855855</v>
      </c>
      <c r="M31" s="8"/>
      <c r="N31" s="8"/>
      <c r="O31" s="8"/>
      <c r="P31" s="28"/>
      <c r="Q31" s="28"/>
      <c r="R31" s="28"/>
      <c r="S31" s="28"/>
      <c r="T31" s="28"/>
      <c r="V31" s="8"/>
      <c r="W31" s="8"/>
      <c r="X31" s="8"/>
      <c r="Y31" s="28"/>
    </row>
    <row r="32" spans="1:32" x14ac:dyDescent="0.25">
      <c r="A32" s="8"/>
      <c r="B32" s="8"/>
      <c r="C32" s="8"/>
      <c r="D32" s="8"/>
      <c r="E32" s="8"/>
      <c r="M32" s="33"/>
      <c r="N32" s="8"/>
      <c r="O32" s="8"/>
      <c r="P32" s="8"/>
      <c r="Q32" s="8"/>
      <c r="R32" s="8"/>
      <c r="V32" s="8"/>
      <c r="W32" s="8"/>
      <c r="X32" s="8"/>
      <c r="Y32" s="8"/>
    </row>
    <row r="33" spans="1:25" ht="18.75" x14ac:dyDescent="0.3">
      <c r="A33" s="25" t="s">
        <v>136</v>
      </c>
      <c r="M33" s="67"/>
      <c r="N33" s="8"/>
      <c r="O33" s="8"/>
      <c r="P33" s="8"/>
      <c r="Q33" s="8"/>
      <c r="R33" s="8"/>
      <c r="V33" s="8"/>
      <c r="W33" s="8"/>
      <c r="X33" s="8"/>
      <c r="Y33" s="8"/>
    </row>
    <row r="34" spans="1:25" ht="18.75" x14ac:dyDescent="0.3">
      <c r="A34" s="25"/>
      <c r="M34" s="67"/>
      <c r="N34" s="8"/>
      <c r="O34" s="8"/>
      <c r="P34" s="8"/>
      <c r="Q34" s="8"/>
      <c r="R34" s="8"/>
      <c r="V34" s="8"/>
      <c r="W34" s="8"/>
      <c r="X34" s="8"/>
      <c r="Y34" s="8"/>
    </row>
    <row r="35" spans="1:25" x14ac:dyDescent="0.25">
      <c r="A35" s="11" t="s">
        <v>227</v>
      </c>
      <c r="M35" s="67"/>
      <c r="N35" s="8"/>
      <c r="O35" s="8"/>
      <c r="P35" s="8"/>
      <c r="Q35" s="8"/>
      <c r="R35" s="8"/>
      <c r="V35" s="8"/>
      <c r="W35" s="8"/>
      <c r="X35" s="8"/>
      <c r="Y35" s="8"/>
    </row>
    <row r="36" spans="1:25" ht="45" x14ac:dyDescent="0.25">
      <c r="A36" s="69" t="s">
        <v>56</v>
      </c>
      <c r="B36" s="45" t="s">
        <v>294</v>
      </c>
      <c r="C36" s="46" t="s">
        <v>73</v>
      </c>
      <c r="D36" s="46" t="s">
        <v>54</v>
      </c>
      <c r="E36" s="46" t="s">
        <v>27</v>
      </c>
      <c r="F36" s="45" t="s">
        <v>7</v>
      </c>
      <c r="G36" s="45" t="s">
        <v>14</v>
      </c>
      <c r="H36" s="46" t="s">
        <v>79</v>
      </c>
      <c r="I36" s="46" t="s">
        <v>80</v>
      </c>
      <c r="J36" s="46" t="s">
        <v>81</v>
      </c>
      <c r="K36" s="46" t="s">
        <v>173</v>
      </c>
      <c r="M36" s="65"/>
      <c r="N36" s="58"/>
    </row>
    <row r="37" spans="1:25" x14ac:dyDescent="0.25">
      <c r="A37" s="47" t="s">
        <v>2</v>
      </c>
      <c r="B37" s="48">
        <f t="shared" ref="B37:G45" si="23">+B7-B22</f>
        <v>0</v>
      </c>
      <c r="C37" s="49">
        <f t="shared" si="23"/>
        <v>-1.0066593757862563E-4</v>
      </c>
      <c r="D37" s="49">
        <f t="shared" si="23"/>
        <v>0</v>
      </c>
      <c r="E37" s="49">
        <f t="shared" si="23"/>
        <v>-1.0066593757862563E-4</v>
      </c>
      <c r="F37" s="50">
        <f t="shared" si="23"/>
        <v>1.0066593757862563E-4</v>
      </c>
      <c r="G37" s="430">
        <f t="shared" si="23"/>
        <v>783856.29921259265</v>
      </c>
      <c r="H37" s="159">
        <f t="shared" ref="H37:J45" si="24">+H22-H7</f>
        <v>-60356.935039369622</v>
      </c>
      <c r="I37" s="159">
        <f t="shared" si="24"/>
        <v>-24540.214537416206</v>
      </c>
      <c r="J37" s="159">
        <f t="shared" si="24"/>
        <v>-69261.049015747558</v>
      </c>
      <c r="K37" s="159">
        <f>+H37-I37-J37</f>
        <v>33444.328513794142</v>
      </c>
      <c r="M37" s="5"/>
      <c r="N37" s="39"/>
    </row>
    <row r="38" spans="1:25" x14ac:dyDescent="0.25">
      <c r="A38" s="51" t="s">
        <v>3</v>
      </c>
      <c r="B38" s="37">
        <f t="shared" si="23"/>
        <v>0</v>
      </c>
      <c r="C38" s="42">
        <f t="shared" si="23"/>
        <v>-1.0066593757862563E-4</v>
      </c>
      <c r="D38" s="42">
        <f t="shared" si="23"/>
        <v>0</v>
      </c>
      <c r="E38" s="42">
        <f t="shared" si="23"/>
        <v>-1.0066593757862563E-4</v>
      </c>
      <c r="F38" s="43">
        <f t="shared" si="23"/>
        <v>1.0066593757862563E-4</v>
      </c>
      <c r="G38" s="430">
        <f t="shared" si="23"/>
        <v>-777553.93700786959</v>
      </c>
      <c r="H38" s="159">
        <f t="shared" si="24"/>
        <v>69202.300393700367</v>
      </c>
      <c r="I38" s="159">
        <f t="shared" si="24"/>
        <v>25547.452631099557</v>
      </c>
      <c r="J38" s="159">
        <f t="shared" si="24"/>
        <v>68704.176259842119</v>
      </c>
      <c r="K38" s="159">
        <f t="shared" ref="K38:K41" si="25">+H38-I38-J38</f>
        <v>-25049.328497241309</v>
      </c>
      <c r="M38" s="5"/>
      <c r="N38" s="39"/>
    </row>
    <row r="39" spans="1:25" x14ac:dyDescent="0.25">
      <c r="A39" s="443" t="s">
        <v>299</v>
      </c>
      <c r="B39" s="37">
        <f t="shared" si="23"/>
        <v>0</v>
      </c>
      <c r="C39" s="42">
        <f t="shared" si="23"/>
        <v>-1.0066593757862563E-4</v>
      </c>
      <c r="D39" s="42">
        <f t="shared" si="23"/>
        <v>0</v>
      </c>
      <c r="E39" s="42">
        <f t="shared" si="23"/>
        <v>-1.0066593757862563E-4</v>
      </c>
      <c r="F39" s="43">
        <f t="shared" si="23"/>
        <v>1.0066593757862563E-4</v>
      </c>
      <c r="G39" s="430">
        <f t="shared" si="23"/>
        <v>11627906.203389198</v>
      </c>
      <c r="H39" s="159">
        <f t="shared" si="24"/>
        <v>-755813.90322029777</v>
      </c>
      <c r="I39" s="159">
        <f t="shared" si="24"/>
        <v>-361937.43289152393</v>
      </c>
      <c r="J39" s="159">
        <f t="shared" si="24"/>
        <v>-1027434.4702115217</v>
      </c>
      <c r="K39" s="159">
        <f t="shared" si="25"/>
        <v>633557.99988274788</v>
      </c>
      <c r="M39" s="5"/>
      <c r="N39" s="39"/>
    </row>
    <row r="40" spans="1:25" x14ac:dyDescent="0.25">
      <c r="A40" s="443" t="s">
        <v>300</v>
      </c>
      <c r="B40" s="37">
        <f t="shared" si="23"/>
        <v>0</v>
      </c>
      <c r="C40" s="42">
        <f t="shared" si="23"/>
        <v>-1.0066593757862563E-4</v>
      </c>
      <c r="D40" s="42">
        <f t="shared" si="23"/>
        <v>0</v>
      </c>
      <c r="E40" s="42">
        <f t="shared" si="23"/>
        <v>-1.0066593757862563E-4</v>
      </c>
      <c r="F40" s="43">
        <f t="shared" si="23"/>
        <v>1.0066593757862563E-4</v>
      </c>
      <c r="G40" s="430">
        <f>+G10-G25</f>
        <v>-3600224.4094488844</v>
      </c>
      <c r="H40" s="159">
        <f t="shared" si="24"/>
        <v>338421.09448819514</v>
      </c>
      <c r="I40" s="159">
        <f t="shared" si="24"/>
        <v>119758.93830166152</v>
      </c>
      <c r="J40" s="159">
        <f t="shared" si="24"/>
        <v>318113.56181102991</v>
      </c>
      <c r="K40" s="159">
        <f t="shared" si="25"/>
        <v>-99451.405624496285</v>
      </c>
      <c r="M40" s="5"/>
      <c r="N40" s="39"/>
    </row>
    <row r="41" spans="1:25" x14ac:dyDescent="0.25">
      <c r="A41" s="443" t="s">
        <v>301</v>
      </c>
      <c r="B41" s="37">
        <f t="shared" si="23"/>
        <v>0</v>
      </c>
      <c r="C41" s="42">
        <f t="shared" si="23"/>
        <v>-1.0066593757862563E-4</v>
      </c>
      <c r="D41" s="42">
        <f t="shared" si="23"/>
        <v>0</v>
      </c>
      <c r="E41" s="42">
        <f t="shared" si="23"/>
        <v>-1.0066593757862563E-4</v>
      </c>
      <c r="F41" s="43">
        <f t="shared" si="23"/>
        <v>1.0066593757862563E-4</v>
      </c>
      <c r="G41" s="434">
        <f t="shared" si="23"/>
        <v>1655945.6692912653</v>
      </c>
      <c r="H41" s="159">
        <f t="shared" si="24"/>
        <v>-218584.82834644616</v>
      </c>
      <c r="I41" s="159">
        <f t="shared" si="24"/>
        <v>-46964.331958406372</v>
      </c>
      <c r="J41" s="159">
        <f t="shared" si="24"/>
        <v>-146318.31661416683</v>
      </c>
      <c r="K41" s="159">
        <f t="shared" si="25"/>
        <v>-25302.179773872951</v>
      </c>
      <c r="M41" s="5"/>
      <c r="N41" s="39"/>
    </row>
    <row r="42" spans="1:25" x14ac:dyDescent="0.25">
      <c r="A42" s="444" t="s">
        <v>302</v>
      </c>
      <c r="B42" s="433">
        <f t="shared" si="23"/>
        <v>0</v>
      </c>
      <c r="C42" s="428">
        <f t="shared" si="23"/>
        <v>-1.0066593757862563E-4</v>
      </c>
      <c r="D42" s="428">
        <f t="shared" si="23"/>
        <v>0</v>
      </c>
      <c r="E42" s="428">
        <f t="shared" si="23"/>
        <v>-1.0066593757862563E-4</v>
      </c>
      <c r="F42" s="429">
        <f t="shared" si="23"/>
        <v>1.0066593757862563E-4</v>
      </c>
      <c r="G42" s="434">
        <f t="shared" si="23"/>
        <v>899980.93765585963</v>
      </c>
      <c r="H42" s="159">
        <f t="shared" si="24"/>
        <v>-66598.589386533655</v>
      </c>
      <c r="I42" s="159">
        <f t="shared" si="24"/>
        <v>-28250.335570968426</v>
      </c>
      <c r="J42" s="159">
        <f t="shared" si="24"/>
        <v>-79521.748946633365</v>
      </c>
      <c r="K42" s="159">
        <f>+H42-I42-J42</f>
        <v>41173.495131068135</v>
      </c>
      <c r="M42" s="5"/>
      <c r="N42" s="39"/>
    </row>
    <row r="43" spans="1:25" x14ac:dyDescent="0.25">
      <c r="A43" s="444" t="s">
        <v>303</v>
      </c>
      <c r="B43" s="433">
        <f t="shared" si="23"/>
        <v>0</v>
      </c>
      <c r="C43" s="428">
        <f t="shared" si="23"/>
        <v>-1.0066593757862563E-4</v>
      </c>
      <c r="D43" s="428">
        <f t="shared" si="23"/>
        <v>0</v>
      </c>
      <c r="E43" s="428">
        <f t="shared" si="23"/>
        <v>-1.0066593757862563E-4</v>
      </c>
      <c r="F43" s="429">
        <f t="shared" si="23"/>
        <v>1.0066593757862563E-4</v>
      </c>
      <c r="G43" s="434">
        <f t="shared" si="23"/>
        <v>-50259.531172070187</v>
      </c>
      <c r="H43" s="159">
        <f t="shared" si="24"/>
        <v>5126.4721795511432</v>
      </c>
      <c r="I43" s="159">
        <f t="shared" si="24"/>
        <v>1807.1980895410306</v>
      </c>
      <c r="J43" s="159">
        <f t="shared" si="24"/>
        <v>4440.9005266833119</v>
      </c>
      <c r="K43" s="159">
        <f t="shared" ref="K43:K45" si="26">+H43-I43-J43</f>
        <v>-1121.6264366731994</v>
      </c>
      <c r="M43" s="5"/>
      <c r="N43" s="39"/>
    </row>
    <row r="44" spans="1:25" x14ac:dyDescent="0.25">
      <c r="A44" s="444" t="s">
        <v>304</v>
      </c>
      <c r="B44" s="433">
        <f t="shared" si="23"/>
        <v>0</v>
      </c>
      <c r="C44" s="428">
        <f t="shared" si="23"/>
        <v>-1.0066593757862563E-4</v>
      </c>
      <c r="D44" s="428">
        <f t="shared" si="23"/>
        <v>0</v>
      </c>
      <c r="E44" s="428">
        <f t="shared" si="23"/>
        <v>-1.0066593757862563E-4</v>
      </c>
      <c r="F44" s="429">
        <f t="shared" si="23"/>
        <v>1.0066593757862563E-4</v>
      </c>
      <c r="G44" s="434">
        <f t="shared" si="23"/>
        <v>-25129.765586035093</v>
      </c>
      <c r="H44" s="159">
        <f t="shared" si="24"/>
        <v>6031.1437406484038</v>
      </c>
      <c r="I44" s="159">
        <f t="shared" si="24"/>
        <v>903.59904477051532</v>
      </c>
      <c r="J44" s="159">
        <f t="shared" si="24"/>
        <v>2220.450263341656</v>
      </c>
      <c r="K44" s="159">
        <f>+H44-I44-J44</f>
        <v>2907.0944325362325</v>
      </c>
      <c r="M44" s="5"/>
      <c r="N44" s="39"/>
    </row>
    <row r="45" spans="1:25" x14ac:dyDescent="0.25">
      <c r="A45" s="455" t="s">
        <v>305</v>
      </c>
      <c r="B45" s="435">
        <f t="shared" si="23"/>
        <v>0</v>
      </c>
      <c r="C45" s="431">
        <f t="shared" si="23"/>
        <v>-1.0066593757862563E-4</v>
      </c>
      <c r="D45" s="431">
        <f t="shared" si="23"/>
        <v>0</v>
      </c>
      <c r="E45" s="431">
        <f t="shared" si="23"/>
        <v>-1.0066593757862563E-4</v>
      </c>
      <c r="F45" s="432">
        <f t="shared" si="23"/>
        <v>1.0066593757862563E-4</v>
      </c>
      <c r="G45" s="434">
        <f t="shared" si="23"/>
        <v>925110.70324189542</v>
      </c>
      <c r="H45" s="159">
        <f t="shared" si="24"/>
        <v>-22202.656877805493</v>
      </c>
      <c r="I45" s="159">
        <f t="shared" si="24"/>
        <v>-29153.934615738952</v>
      </c>
      <c r="J45" s="159">
        <f t="shared" si="24"/>
        <v>-81742.199209975079</v>
      </c>
      <c r="K45" s="159">
        <f t="shared" si="26"/>
        <v>88693.476947908537</v>
      </c>
      <c r="M45" s="5"/>
      <c r="N45" s="39"/>
    </row>
    <row r="46" spans="1:25" ht="15.75" thickBot="1" x14ac:dyDescent="0.3">
      <c r="G46" s="501">
        <f>SUM(G37:G45)</f>
        <v>11439632.16957595</v>
      </c>
      <c r="H46" s="437">
        <f>SUM(H37:H45)</f>
        <v>-704775.90206835768</v>
      </c>
      <c r="I46" s="505">
        <f t="shared" ref="I46:K46" si="27">SUM(I37:I45)</f>
        <v>-342829.06150698126</v>
      </c>
      <c r="J46" s="505">
        <f t="shared" si="27"/>
        <v>-1010798.6951371476</v>
      </c>
      <c r="K46" s="437">
        <f t="shared" si="27"/>
        <v>648851.85457577126</v>
      </c>
    </row>
    <row r="47" spans="1:25" ht="15.75" thickTop="1" x14ac:dyDescent="0.25">
      <c r="K47" s="5"/>
    </row>
    <row r="48" spans="1:25" x14ac:dyDescent="0.25">
      <c r="J48" s="1"/>
      <c r="K48" s="5"/>
    </row>
    <row r="49" spans="10:11" x14ac:dyDescent="0.25">
      <c r="J49" s="77"/>
      <c r="K49" s="5"/>
    </row>
    <row r="50" spans="10:11" x14ac:dyDescent="0.25">
      <c r="J50" s="2"/>
    </row>
  </sheetData>
  <pageMargins left="0.7" right="0.7" top="0.75" bottom="0.75" header="0.3" footer="0.3"/>
  <pageSetup paperSize="5" scale="8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41"/>
  <sheetViews>
    <sheetView showGridLines="0" zoomScaleNormal="100" workbookViewId="0"/>
  </sheetViews>
  <sheetFormatPr defaultRowHeight="15" x14ac:dyDescent="0.25"/>
  <cols>
    <col min="1" max="1" width="23.28515625" customWidth="1"/>
    <col min="2" max="2" width="9.28515625" customWidth="1"/>
    <col min="3" max="4" width="14.7109375" customWidth="1"/>
    <col min="5" max="5" width="13.28515625" bestFit="1" customWidth="1"/>
    <col min="6" max="6" width="15" bestFit="1" customWidth="1"/>
    <col min="7" max="7" width="13" customWidth="1"/>
    <col min="8" max="11" width="14.7109375" customWidth="1"/>
    <col min="12" max="12" width="13.28515625" customWidth="1"/>
    <col min="13" max="13" width="13.42578125" customWidth="1"/>
    <col min="14" max="14" width="12.42578125" customWidth="1"/>
    <col min="15" max="15" width="13.28515625" customWidth="1"/>
    <col min="16" max="16" width="12.7109375" customWidth="1"/>
    <col min="17" max="17" width="9.28515625" customWidth="1"/>
  </cols>
  <sheetData>
    <row r="1" spans="1:9" ht="18.75" x14ac:dyDescent="0.3">
      <c r="A1" s="25" t="s">
        <v>125</v>
      </c>
    </row>
    <row r="2" spans="1:9" ht="18.75" x14ac:dyDescent="0.3">
      <c r="A2" s="25"/>
    </row>
    <row r="3" spans="1:9" x14ac:dyDescent="0.25">
      <c r="A3" s="26" t="s">
        <v>228</v>
      </c>
    </row>
    <row r="4" spans="1:9" ht="17.25" x14ac:dyDescent="0.25">
      <c r="C4" s="546" t="s">
        <v>171</v>
      </c>
      <c r="D4" s="546"/>
      <c r="E4" s="546"/>
      <c r="F4" s="546" t="s">
        <v>283</v>
      </c>
      <c r="G4" s="547"/>
      <c r="H4" s="547"/>
    </row>
    <row r="5" spans="1:9" ht="30" x14ac:dyDescent="0.25">
      <c r="B5" s="108" t="s">
        <v>36</v>
      </c>
      <c r="C5" s="52" t="s">
        <v>14</v>
      </c>
      <c r="D5" s="54" t="s">
        <v>48</v>
      </c>
      <c r="E5" s="108" t="s">
        <v>47</v>
      </c>
      <c r="F5" s="52" t="s">
        <v>14</v>
      </c>
      <c r="G5" s="54" t="s">
        <v>48</v>
      </c>
      <c r="H5" s="132" t="s">
        <v>47</v>
      </c>
      <c r="I5" s="54" t="s">
        <v>51</v>
      </c>
    </row>
    <row r="6" spans="1:9" x14ac:dyDescent="0.25">
      <c r="A6" t="s">
        <v>49</v>
      </c>
      <c r="B6" s="10">
        <f>+'Data for 2nd TU'!G56</f>
        <v>8.8359370314842575E-2</v>
      </c>
      <c r="C6" s="6">
        <f>+'Data for 2nd TU'!C10</f>
        <v>225112500</v>
      </c>
      <c r="D6" s="2">
        <f>E6/E8</f>
        <v>0.45</v>
      </c>
      <c r="E6" s="4">
        <f>B6*C6</f>
        <v>19890798.75</v>
      </c>
      <c r="F6" s="6">
        <f>+'Data for 2nd TU'!H10</f>
        <v>213672867.83042395</v>
      </c>
      <c r="G6" s="2">
        <f>F6/F8</f>
        <v>0.42713216957605987</v>
      </c>
      <c r="H6" s="4">
        <f>G6*H8</f>
        <v>18880000.054862846</v>
      </c>
      <c r="I6" s="4">
        <f>H6-E6</f>
        <v>-1010798.6951371543</v>
      </c>
    </row>
    <row r="7" spans="1:9" x14ac:dyDescent="0.25">
      <c r="A7" t="s">
        <v>50</v>
      </c>
      <c r="B7" s="10">
        <f>+'Data for 2nd TU'!G56</f>
        <v>8.8359370314842575E-2</v>
      </c>
      <c r="C7" s="6">
        <f>+'Data for 2nd TU'!C11</f>
        <v>275137500</v>
      </c>
      <c r="D7" s="2">
        <f>E7/E8</f>
        <v>0.55000000000000004</v>
      </c>
      <c r="E7" s="4">
        <f>C7*B7</f>
        <v>24310976.25</v>
      </c>
      <c r="F7" s="6">
        <f>+'Data for 2nd TU'!H11</f>
        <v>286577132.16957605</v>
      </c>
      <c r="G7" s="2">
        <f>F7/F8</f>
        <v>0.57286783042394018</v>
      </c>
      <c r="H7" s="4">
        <f>G7*H8</f>
        <v>25321774.945137158</v>
      </c>
      <c r="I7" s="4">
        <f>H7-E7</f>
        <v>1010798.695137158</v>
      </c>
    </row>
    <row r="8" spans="1:9" ht="15.75" thickBot="1" x14ac:dyDescent="0.3">
      <c r="B8" s="108"/>
      <c r="C8" s="18">
        <f t="shared" ref="C8:I8" si="0">SUM(C6:C7)</f>
        <v>500250000</v>
      </c>
      <c r="D8" s="70">
        <f>SUM(D6:D7)</f>
        <v>1</v>
      </c>
      <c r="E8" s="24">
        <f t="shared" si="0"/>
        <v>44201775</v>
      </c>
      <c r="F8" s="18">
        <f t="shared" si="0"/>
        <v>500250000</v>
      </c>
      <c r="G8" s="70">
        <f t="shared" si="0"/>
        <v>1</v>
      </c>
      <c r="H8" s="24">
        <f>+E8</f>
        <v>44201775</v>
      </c>
      <c r="I8" s="24">
        <f t="shared" si="0"/>
        <v>3.7252902984619141E-9</v>
      </c>
    </row>
    <row r="9" spans="1:9" ht="15.75" thickTop="1" x14ac:dyDescent="0.25"/>
    <row r="10" spans="1:9" ht="17.25" x14ac:dyDescent="0.25">
      <c r="A10" t="s">
        <v>368</v>
      </c>
      <c r="B10" s="10"/>
      <c r="C10" s="6"/>
      <c r="D10" s="6"/>
      <c r="E10" s="4"/>
      <c r="F10" s="6"/>
      <c r="G10" s="2"/>
      <c r="H10" s="4"/>
      <c r="I10" s="4"/>
    </row>
    <row r="11" spans="1:9" x14ac:dyDescent="0.25">
      <c r="B11" s="10"/>
      <c r="C11" s="6"/>
      <c r="D11" s="6"/>
      <c r="E11" s="4"/>
      <c r="F11" s="6"/>
      <c r="G11" s="2"/>
      <c r="H11" s="4"/>
      <c r="I11" s="4"/>
    </row>
    <row r="12" spans="1:9" x14ac:dyDescent="0.25">
      <c r="B12" s="10"/>
      <c r="C12" s="6"/>
      <c r="D12" s="6"/>
      <c r="E12" s="4"/>
      <c r="F12" s="6"/>
      <c r="G12" s="2"/>
      <c r="H12" s="4"/>
      <c r="I12" s="4"/>
    </row>
    <row r="13" spans="1:9" x14ac:dyDescent="0.25">
      <c r="B13" s="10"/>
      <c r="C13" s="6"/>
      <c r="D13" s="6"/>
      <c r="E13" s="4"/>
      <c r="F13" s="6"/>
      <c r="G13" s="2"/>
      <c r="H13" s="4"/>
      <c r="I13" s="4"/>
    </row>
    <row r="14" spans="1:9" x14ac:dyDescent="0.25">
      <c r="B14" s="10"/>
      <c r="C14" s="6"/>
      <c r="D14" s="6"/>
      <c r="E14" s="4"/>
      <c r="F14" s="6"/>
      <c r="G14" s="2"/>
      <c r="H14" s="4"/>
      <c r="I14" s="4"/>
    </row>
    <row r="15" spans="1:9" x14ac:dyDescent="0.25">
      <c r="B15" s="10"/>
      <c r="C15" s="6"/>
      <c r="D15" s="6"/>
      <c r="E15" s="4"/>
      <c r="F15" s="6"/>
      <c r="G15" s="2"/>
      <c r="H15" s="4"/>
      <c r="I15" s="4"/>
    </row>
    <row r="16" spans="1:9" x14ac:dyDescent="0.25">
      <c r="B16" s="10"/>
      <c r="C16" s="6"/>
      <c r="D16" s="6"/>
      <c r="E16" s="4"/>
      <c r="F16" s="6"/>
      <c r="G16" s="2"/>
      <c r="H16" s="4"/>
      <c r="I16" s="4"/>
    </row>
    <row r="17" spans="1:9" x14ac:dyDescent="0.25">
      <c r="B17" s="10"/>
      <c r="C17" s="6"/>
      <c r="D17" s="6"/>
      <c r="E17" s="4"/>
      <c r="F17" s="6"/>
      <c r="G17" s="2"/>
      <c r="H17" s="4"/>
      <c r="I17" s="4"/>
    </row>
    <row r="18" spans="1:9" x14ac:dyDescent="0.25">
      <c r="B18" s="10"/>
      <c r="C18" s="6"/>
      <c r="D18" s="6"/>
      <c r="E18" s="4"/>
      <c r="F18" s="6"/>
      <c r="G18" s="2"/>
      <c r="H18" s="4"/>
      <c r="I18" s="4"/>
    </row>
    <row r="23" spans="1:9" x14ac:dyDescent="0.25">
      <c r="A23" s="68"/>
    </row>
    <row r="24" spans="1:9" x14ac:dyDescent="0.25">
      <c r="A24" s="6"/>
      <c r="B24" s="6"/>
      <c r="C24" s="6"/>
      <c r="D24" s="6"/>
    </row>
    <row r="25" spans="1:9" x14ac:dyDescent="0.25">
      <c r="A25" s="20"/>
    </row>
    <row r="26" spans="1:9" x14ac:dyDescent="0.25">
      <c r="A26" s="2"/>
    </row>
    <row r="28" spans="1:9" ht="31.15" customHeight="1" x14ac:dyDescent="0.25">
      <c r="A28" s="109"/>
      <c r="B28" s="109"/>
      <c r="C28" s="109"/>
      <c r="D28" s="133"/>
    </row>
    <row r="29" spans="1:9" x14ac:dyDescent="0.25">
      <c r="A29" s="22"/>
      <c r="B29" s="22"/>
      <c r="C29" s="22"/>
      <c r="D29" s="22"/>
    </row>
    <row r="30" spans="1:9" x14ac:dyDescent="0.25">
      <c r="A30" s="22"/>
      <c r="B30" s="22"/>
      <c r="C30" s="22"/>
      <c r="D30" s="22"/>
    </row>
    <row r="31" spans="1:9" x14ac:dyDescent="0.25">
      <c r="A31" s="22"/>
      <c r="B31" s="22"/>
      <c r="C31" s="22"/>
      <c r="D31" s="22"/>
    </row>
    <row r="32" spans="1:9" x14ac:dyDescent="0.25">
      <c r="A32" s="22"/>
      <c r="B32" s="22"/>
      <c r="C32" s="22"/>
      <c r="D32" s="22"/>
    </row>
    <row r="33" spans="1:4" x14ac:dyDescent="0.25">
      <c r="A33" s="22"/>
      <c r="B33" s="22"/>
      <c r="C33" s="22"/>
      <c r="D33" s="22"/>
    </row>
    <row r="41" spans="1:4" ht="51.75" customHeight="1" x14ac:dyDescent="0.25"/>
  </sheetData>
  <mergeCells count="2">
    <mergeCell ref="C4:E4"/>
    <mergeCell ref="F4:H4"/>
  </mergeCells>
  <pageMargins left="0.7" right="0.7" top="0.75" bottom="0.75" header="0.3" footer="0.3"/>
  <pageSetup paperSize="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12"/>
  <sheetViews>
    <sheetView showGridLines="0" zoomScaleNormal="100" workbookViewId="0">
      <selection activeCell="F12" sqref="F12"/>
    </sheetView>
  </sheetViews>
  <sheetFormatPr defaultRowHeight="15" x14ac:dyDescent="0.25"/>
  <cols>
    <col min="2" max="2" width="14.7109375" customWidth="1"/>
    <col min="3" max="3" width="19.7109375" customWidth="1"/>
    <col min="4" max="7" width="18.42578125" customWidth="1"/>
    <col min="8" max="8" width="15.7109375" bestFit="1" customWidth="1"/>
    <col min="12" max="14" width="15.42578125" customWidth="1"/>
  </cols>
  <sheetData>
    <row r="1" spans="1:8" x14ac:dyDescent="0.25">
      <c r="A1" s="546" t="s">
        <v>324</v>
      </c>
      <c r="B1" s="546"/>
      <c r="C1" s="546"/>
      <c r="D1" s="546"/>
      <c r="E1" s="546"/>
      <c r="F1" s="546"/>
      <c r="G1" s="546"/>
      <c r="H1" s="546"/>
    </row>
    <row r="3" spans="1:8" ht="90" x14ac:dyDescent="0.25">
      <c r="B3" s="513" t="s">
        <v>329</v>
      </c>
      <c r="C3" s="120" t="s">
        <v>325</v>
      </c>
      <c r="D3" s="120" t="s">
        <v>326</v>
      </c>
      <c r="E3" s="120" t="s">
        <v>326</v>
      </c>
      <c r="F3" s="120" t="s">
        <v>326</v>
      </c>
      <c r="G3" s="120" t="s">
        <v>326</v>
      </c>
      <c r="H3" s="120" t="s">
        <v>87</v>
      </c>
    </row>
    <row r="4" spans="1:8" ht="45" x14ac:dyDescent="0.25">
      <c r="A4" s="117" t="s">
        <v>141</v>
      </c>
      <c r="B4" s="203" t="s">
        <v>247</v>
      </c>
      <c r="C4" s="203" t="s">
        <v>88</v>
      </c>
      <c r="D4" s="203" t="s">
        <v>138</v>
      </c>
      <c r="E4" s="203" t="s">
        <v>139</v>
      </c>
      <c r="F4" s="203" t="s">
        <v>89</v>
      </c>
      <c r="G4" s="203" t="s">
        <v>86</v>
      </c>
      <c r="H4" s="204" t="s">
        <v>140</v>
      </c>
    </row>
    <row r="5" spans="1:8" x14ac:dyDescent="0.25">
      <c r="A5" s="206">
        <v>1588</v>
      </c>
      <c r="B5" s="143">
        <f>(-'Data for Settlement &amp; 1st TU'!D85-'Data for Settlement &amp; 1st TU'!D89)+('Data for Settlement &amp; 1st TU'!D70-'Data for Settlement &amp; 1st TU'!D67-'Data for Settlement &amp; 1st TU'!D65)</f>
        <v>-3.3527612686157227E-8</v>
      </c>
      <c r="C5" s="143">
        <f>+'Data for Settlement &amp; 1st TU'!I64-'Data for Settlement &amp; 1st TU'!D64+'Data for Settlement &amp; 1st TU'!I66-'Data for Settlement &amp; 1st TU'!D66</f>
        <v>2269169.6437613964</v>
      </c>
      <c r="D5" s="464">
        <f>+'RPP Settlement &amp; 1st TU'!K46</f>
        <v>-2255213.8937613554</v>
      </c>
      <c r="E5" s="464">
        <f>+'RPP 2nd TU'!K46</f>
        <v>648851.85457577126</v>
      </c>
      <c r="F5" s="464">
        <f>+'Data for 2nd TU'!D84-'Data for 2nd TU'!I84+'Data for 2nd TU'!D88-'Data for 2nd TU'!I88</f>
        <v>292897.31390096061</v>
      </c>
      <c r="G5" s="143">
        <f>+'Data for 2nd TU'!I65-'Data for 2nd TU'!D65</f>
        <v>-1010798.695137158</v>
      </c>
      <c r="H5" s="465">
        <f>SUM(B5:G5)</f>
        <v>-55093.77666041872</v>
      </c>
    </row>
    <row r="6" spans="1:8" x14ac:dyDescent="0.25">
      <c r="A6" s="207">
        <v>1589</v>
      </c>
      <c r="B6" s="121">
        <f>+'Data for Settlement &amp; 1st TU'!D67-'Data for Settlement &amp; 1st TU'!D91</f>
        <v>-7480000</v>
      </c>
      <c r="C6" s="121">
        <f>(+'Data for Settlement &amp; 1st TU'!I65+'Data for Settlement &amp; 1st TU'!I67-'Data for Settlement &amp; 1st TU'!I90-'Data for Settlement &amp; 1st TU'!I91)-('Data for Settlement &amp; 1st TU'!D65+'Data for Settlement &amp; 1st TU'!D67-'Data for Settlement &amp; 1st TU'!D90-'Data for Settlement &amp; 1st TU'!D91)</f>
        <v>2668476.25</v>
      </c>
      <c r="D6" s="121">
        <v>0</v>
      </c>
      <c r="E6" s="121">
        <v>0</v>
      </c>
      <c r="F6" s="121">
        <f>+'Data for 2nd TU'!D90-'Data for 2nd TU'!I90</f>
        <v>-1286685</v>
      </c>
      <c r="G6" s="121">
        <f>+'Data for 2nd TU'!I66-'Data for 2nd TU'!D66</f>
        <v>1010798.6951371543</v>
      </c>
      <c r="H6" s="119">
        <f>SUM(B6:G6)</f>
        <v>-5087410.0548628457</v>
      </c>
    </row>
    <row r="8" spans="1:8" x14ac:dyDescent="0.25">
      <c r="A8" s="546" t="s">
        <v>327</v>
      </c>
      <c r="B8" s="546"/>
      <c r="C8" s="546"/>
      <c r="D8" s="546"/>
      <c r="E8" s="546"/>
      <c r="F8" s="546"/>
      <c r="G8" s="546"/>
      <c r="H8" s="546"/>
    </row>
    <row r="10" spans="1:8" ht="75" x14ac:dyDescent="0.25">
      <c r="B10" s="513" t="s">
        <v>329</v>
      </c>
      <c r="C10" s="120" t="s">
        <v>328</v>
      </c>
      <c r="D10" s="120" t="s">
        <v>159</v>
      </c>
      <c r="E10" s="120" t="s">
        <v>159</v>
      </c>
      <c r="F10" s="120" t="s">
        <v>158</v>
      </c>
      <c r="G10" s="120" t="s">
        <v>158</v>
      </c>
      <c r="H10" s="120" t="s">
        <v>87</v>
      </c>
    </row>
    <row r="11" spans="1:8" ht="45" x14ac:dyDescent="0.25">
      <c r="A11" s="117" t="s">
        <v>141</v>
      </c>
      <c r="B11" s="203" t="s">
        <v>247</v>
      </c>
      <c r="C11" s="203" t="s">
        <v>88</v>
      </c>
      <c r="D11" s="203" t="s">
        <v>138</v>
      </c>
      <c r="E11" s="203" t="s">
        <v>139</v>
      </c>
      <c r="F11" s="205" t="s">
        <v>89</v>
      </c>
      <c r="G11" s="205" t="s">
        <v>86</v>
      </c>
      <c r="H11" s="204" t="s">
        <v>140</v>
      </c>
    </row>
    <row r="12" spans="1:8" x14ac:dyDescent="0.25">
      <c r="A12" s="207">
        <v>1589</v>
      </c>
      <c r="B12" s="121">
        <f>+B6</f>
        <v>-7480000</v>
      </c>
      <c r="C12" s="121">
        <f>+C6</f>
        <v>2668476.25</v>
      </c>
      <c r="D12" s="121">
        <f t="shared" ref="D12:G12" si="0">+D6</f>
        <v>0</v>
      </c>
      <c r="E12" s="121">
        <f t="shared" si="0"/>
        <v>0</v>
      </c>
      <c r="F12" s="121">
        <f t="shared" si="0"/>
        <v>-1286685</v>
      </c>
      <c r="G12" s="121">
        <f t="shared" si="0"/>
        <v>1010798.6951371543</v>
      </c>
      <c r="H12" s="119">
        <f>SUM(B12:G12)</f>
        <v>-5087410.0548628457</v>
      </c>
    </row>
  </sheetData>
  <mergeCells count="2">
    <mergeCell ref="A1:H1"/>
    <mergeCell ref="A8:H8"/>
  </mergeCells>
  <pageMargins left="0.7" right="0.7" top="0.75" bottom="0.75" header="0.3" footer="0.3"/>
  <pageSetup paperSize="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60"/>
  <sheetViews>
    <sheetView showGridLines="0" topLeftCell="A22" zoomScaleNormal="100" workbookViewId="0">
      <selection activeCell="J30" sqref="J30"/>
    </sheetView>
  </sheetViews>
  <sheetFormatPr defaultRowHeight="15" x14ac:dyDescent="0.25"/>
  <cols>
    <col min="1" max="1" width="16.42578125" customWidth="1"/>
    <col min="2" max="2" width="15.7109375" customWidth="1"/>
    <col min="3" max="5" width="13.7109375" customWidth="1"/>
    <col min="6" max="9" width="13.28515625" customWidth="1"/>
    <col min="10" max="10" width="25.42578125" customWidth="1"/>
    <col min="11" max="11" width="37.28515625" style="86" customWidth="1"/>
    <col min="12" max="12" width="18" style="86" bestFit="1" customWidth="1"/>
    <col min="13" max="14" width="12.7109375" style="86" customWidth="1"/>
  </cols>
  <sheetData>
    <row r="1" spans="1:14" ht="28.5" x14ac:dyDescent="0.45">
      <c r="A1" s="578" t="s">
        <v>274</v>
      </c>
      <c r="B1" s="578"/>
      <c r="C1" s="578"/>
      <c r="D1" s="578"/>
      <c r="E1" s="578"/>
      <c r="F1" s="578"/>
      <c r="G1" s="578"/>
      <c r="H1" s="578"/>
      <c r="I1" s="578"/>
      <c r="J1" s="141"/>
    </row>
    <row r="2" spans="1:14" ht="26.25" x14ac:dyDescent="0.4">
      <c r="A2" s="197"/>
      <c r="B2" s="197"/>
      <c r="C2" s="197"/>
      <c r="D2" s="197"/>
      <c r="E2" s="197"/>
      <c r="F2" s="197"/>
      <c r="G2" s="197"/>
      <c r="H2" s="197"/>
      <c r="I2" s="197"/>
      <c r="J2" s="141"/>
    </row>
    <row r="3" spans="1:14" x14ac:dyDescent="0.25">
      <c r="A3" s="11" t="s">
        <v>269</v>
      </c>
      <c r="I3" s="8"/>
    </row>
    <row r="4" spans="1:14" ht="29.65" customHeight="1" thickBot="1" x14ac:dyDescent="0.3">
      <c r="A4" s="589" t="s">
        <v>275</v>
      </c>
      <c r="B4" s="590"/>
      <c r="C4" s="591"/>
      <c r="D4" s="587" t="s">
        <v>248</v>
      </c>
      <c r="E4" s="588"/>
      <c r="F4" s="585" t="s">
        <v>249</v>
      </c>
      <c r="G4" s="586"/>
      <c r="I4" s="36"/>
    </row>
    <row r="5" spans="1:14" ht="30.75" thickBot="1" x14ac:dyDescent="0.3">
      <c r="A5" s="210" t="s">
        <v>252</v>
      </c>
      <c r="B5" s="234" t="s">
        <v>268</v>
      </c>
      <c r="C5" s="234" t="s">
        <v>267</v>
      </c>
      <c r="D5" s="226" t="s">
        <v>91</v>
      </c>
      <c r="E5" s="228" t="s">
        <v>37</v>
      </c>
      <c r="F5" s="266" t="s">
        <v>165</v>
      </c>
      <c r="G5" s="228" t="s">
        <v>37</v>
      </c>
      <c r="I5" s="36"/>
      <c r="K5" s="92"/>
      <c r="L5" s="90"/>
      <c r="M5" s="131"/>
    </row>
    <row r="6" spans="1:14" x14ac:dyDescent="0.25">
      <c r="A6" s="224" t="s">
        <v>255</v>
      </c>
      <c r="B6" s="235">
        <f>+'Data for 2nd TU'!H31</f>
        <v>214100000</v>
      </c>
      <c r="C6" s="235">
        <f>+'Data for 2nd TU'!I31</f>
        <v>214100000</v>
      </c>
      <c r="D6" s="466">
        <f>+'RPP 2nd TU'!B31</f>
        <v>9.1749475714858406E-2</v>
      </c>
      <c r="E6" s="467">
        <f>C6*D6</f>
        <v>19643562.750551183</v>
      </c>
      <c r="F6" s="236"/>
      <c r="G6" s="236"/>
      <c r="I6" s="8"/>
      <c r="K6" s="92"/>
      <c r="L6" s="90"/>
      <c r="M6" s="131"/>
    </row>
    <row r="7" spans="1:14" s="86" customFormat="1" x14ac:dyDescent="0.25">
      <c r="A7" s="224" t="s">
        <v>160</v>
      </c>
      <c r="B7" s="208">
        <v>0</v>
      </c>
      <c r="C7" s="208">
        <f>-'Data for 2nd TU'!H7</f>
        <v>35000000</v>
      </c>
      <c r="D7" s="237">
        <f>+'Data for 2nd TU'!G97</f>
        <v>2.7763164898064498E-2</v>
      </c>
      <c r="E7" s="208">
        <f>+C7*D7</f>
        <v>971710.77143225737</v>
      </c>
      <c r="F7" s="117"/>
      <c r="G7" s="208">
        <f>+'Data for 2nd TU'!I89</f>
        <v>1980000</v>
      </c>
      <c r="I7"/>
      <c r="J7"/>
      <c r="K7" s="92"/>
      <c r="L7" s="92"/>
      <c r="N7" s="92"/>
    </row>
    <row r="8" spans="1:14" s="86" customFormat="1" ht="15.75" thickBot="1" x14ac:dyDescent="0.3">
      <c r="A8" s="224" t="s">
        <v>161</v>
      </c>
      <c r="B8" s="209">
        <f>+'Data for 2nd TU'!H32</f>
        <v>287150000</v>
      </c>
      <c r="C8" s="209">
        <f>+'Data for 2nd TU'!H32</f>
        <v>287150000</v>
      </c>
      <c r="D8" s="247">
        <f>+'Data for 2nd TU'!G97</f>
        <v>2.7763164898064498E-2</v>
      </c>
      <c r="E8" s="209">
        <f>+D8*C8</f>
        <v>7972192.8004792202</v>
      </c>
      <c r="F8" s="247">
        <f>+'Data for 2nd TU'!G53</f>
        <v>0.10589999999999999</v>
      </c>
      <c r="G8" s="209">
        <f>B8*F8</f>
        <v>30409185</v>
      </c>
      <c r="I8"/>
      <c r="J8"/>
      <c r="N8" s="87"/>
    </row>
    <row r="9" spans="1:14" s="86" customFormat="1" ht="15.75" thickBot="1" x14ac:dyDescent="0.3">
      <c r="A9" s="117"/>
      <c r="B9" s="248">
        <f>SUM(B6:B8)</f>
        <v>501250000</v>
      </c>
      <c r="C9" s="248">
        <f>SUM(C6:C8)</f>
        <v>536250000</v>
      </c>
      <c r="D9" s="137"/>
      <c r="E9" s="468">
        <f>SUM(E6:E8)</f>
        <v>28587466.322462663</v>
      </c>
      <c r="F9" s="137"/>
      <c r="G9" s="249">
        <f>SUM(G6:G8)</f>
        <v>32389185</v>
      </c>
      <c r="I9"/>
      <c r="J9"/>
      <c r="K9" s="92"/>
      <c r="L9" s="123"/>
      <c r="M9" s="130"/>
    </row>
    <row r="10" spans="1:14" s="86" customFormat="1" ht="15.75" thickTop="1" x14ac:dyDescent="0.25">
      <c r="A10" s="8"/>
      <c r="B10" s="33"/>
      <c r="C10" s="33"/>
      <c r="D10" s="8"/>
      <c r="E10" s="97"/>
      <c r="F10" s="96"/>
      <c r="G10" s="97"/>
      <c r="I10"/>
      <c r="J10"/>
      <c r="K10" s="92"/>
      <c r="L10" s="123"/>
      <c r="M10" s="130"/>
    </row>
    <row r="11" spans="1:14" ht="15.75" thickBot="1" x14ac:dyDescent="0.3">
      <c r="A11" s="11" t="s">
        <v>270</v>
      </c>
      <c r="K11" s="92"/>
      <c r="L11" s="90"/>
      <c r="M11" s="130"/>
    </row>
    <row r="12" spans="1:14" s="86" customFormat="1" ht="16.5" thickBot="1" x14ac:dyDescent="0.3">
      <c r="A12" s="268"/>
      <c r="B12" s="269"/>
      <c r="C12" s="271"/>
      <c r="D12" s="579" t="s">
        <v>250</v>
      </c>
      <c r="E12" s="549"/>
      <c r="F12" s="549"/>
      <c r="G12" s="549"/>
      <c r="H12" s="549"/>
      <c r="I12" s="550"/>
      <c r="N12" s="87"/>
    </row>
    <row r="13" spans="1:14" s="86" customFormat="1" ht="29.65" customHeight="1" thickBot="1" x14ac:dyDescent="0.3">
      <c r="A13" s="592" t="s">
        <v>275</v>
      </c>
      <c r="B13" s="593"/>
      <c r="C13" s="594"/>
      <c r="D13" s="582" t="s">
        <v>163</v>
      </c>
      <c r="E13" s="584"/>
      <c r="F13" s="582" t="s">
        <v>164</v>
      </c>
      <c r="G13" s="583"/>
      <c r="H13" s="229" t="s">
        <v>286</v>
      </c>
      <c r="I13" s="270" t="s">
        <v>168</v>
      </c>
    </row>
    <row r="14" spans="1:14" s="86" customFormat="1" ht="48" customHeight="1" thickBot="1" x14ac:dyDescent="0.3">
      <c r="A14" s="210" t="s">
        <v>252</v>
      </c>
      <c r="B14" s="234" t="s">
        <v>265</v>
      </c>
      <c r="C14" s="234" t="s">
        <v>266</v>
      </c>
      <c r="D14" s="266" t="s">
        <v>284</v>
      </c>
      <c r="E14" s="228" t="s">
        <v>37</v>
      </c>
      <c r="F14" s="266" t="s">
        <v>285</v>
      </c>
      <c r="G14" s="228" t="s">
        <v>37</v>
      </c>
      <c r="H14" s="229" t="s">
        <v>37</v>
      </c>
      <c r="I14" s="230" t="s">
        <v>37</v>
      </c>
    </row>
    <row r="15" spans="1:14" s="86" customFormat="1" x14ac:dyDescent="0.25">
      <c r="A15" s="225" t="s">
        <v>256</v>
      </c>
      <c r="B15" s="238">
        <f>+'Data for 2nd TU'!H10</f>
        <v>213672867.83042395</v>
      </c>
      <c r="C15" s="239">
        <f>+'Data for 2nd TU'!I10</f>
        <v>213672867.83042395</v>
      </c>
      <c r="D15" s="240">
        <f>+'Data for 2nd TU'!G51</f>
        <v>3.194947328395592E-2</v>
      </c>
      <c r="E15" s="239">
        <f>C15*D15</f>
        <v>6826735.5822543744</v>
      </c>
      <c r="F15" s="240">
        <f>+'Data for 2nd TU'!G56</f>
        <v>8.8359370314842575E-2</v>
      </c>
      <c r="G15" s="239">
        <f>B15*F15</f>
        <v>18880000.054862842</v>
      </c>
      <c r="H15" s="469">
        <f>+'RPP 2nd TU'!K31</f>
        <v>-6102362.0391855855</v>
      </c>
      <c r="I15" s="470">
        <f>+E15+G15+H15</f>
        <v>19604373.597931631</v>
      </c>
      <c r="J15" s="92"/>
      <c r="K15" s="92"/>
    </row>
    <row r="16" spans="1:14" s="86" customFormat="1" x14ac:dyDescent="0.25">
      <c r="A16" s="224" t="s">
        <v>160</v>
      </c>
      <c r="B16" s="241">
        <v>0</v>
      </c>
      <c r="C16" s="242">
        <f>-'Data for 2nd TU'!H7</f>
        <v>35000000</v>
      </c>
      <c r="D16" s="243">
        <f>+'Data for 2nd TU'!G52</f>
        <v>2.7763164898064498E-2</v>
      </c>
      <c r="E16" s="242">
        <f>C16*D16</f>
        <v>971710.77143225737</v>
      </c>
      <c r="F16" s="243"/>
      <c r="G16" s="242"/>
      <c r="H16" s="244"/>
      <c r="I16" s="245">
        <f>+E16+G16+H16</f>
        <v>971710.77143225737</v>
      </c>
      <c r="J16" s="92"/>
      <c r="K16" s="125"/>
    </row>
    <row r="17" spans="1:12" s="86" customFormat="1" ht="15.75" thickBot="1" x14ac:dyDescent="0.3">
      <c r="A17" s="224" t="s">
        <v>161</v>
      </c>
      <c r="B17" s="241">
        <f>+'Data for 2nd TU'!H11</f>
        <v>286577132.16957605</v>
      </c>
      <c r="C17" s="242">
        <f>+'Data for 2nd TU'!H11</f>
        <v>286577132.16957605</v>
      </c>
      <c r="D17" s="247">
        <f>+'Data for 2nd TU'!G52</f>
        <v>2.7763164898064498E-2</v>
      </c>
      <c r="E17" s="192">
        <f>C17*D17</f>
        <v>7956288.1764383642</v>
      </c>
      <c r="F17" s="247"/>
      <c r="G17" s="246"/>
      <c r="H17" s="244"/>
      <c r="I17" s="245">
        <f>+E17+G17+H17</f>
        <v>7956288.1764383642</v>
      </c>
      <c r="J17" s="92"/>
    </row>
    <row r="18" spans="1:12" s="86" customFormat="1" ht="15.75" thickBot="1" x14ac:dyDescent="0.3">
      <c r="A18" s="117"/>
      <c r="B18" s="248">
        <f>SUM(B15:B17)</f>
        <v>500250000</v>
      </c>
      <c r="C18" s="248">
        <f>SUM(C15:C17)</f>
        <v>535250000</v>
      </c>
      <c r="D18" s="137"/>
      <c r="E18" s="248">
        <f>SUM(E15:E17)</f>
        <v>15754734.530124996</v>
      </c>
      <c r="F18" s="137"/>
      <c r="G18" s="248">
        <f>SUM(G15:G17)</f>
        <v>18880000.054862842</v>
      </c>
      <c r="H18" s="471">
        <f>SUM(H15:H17)</f>
        <v>-6102362.0391855855</v>
      </c>
      <c r="I18" s="468">
        <f>SUM(I15:I17)</f>
        <v>28532372.545802254</v>
      </c>
      <c r="J18" s="92"/>
      <c r="K18" s="92"/>
      <c r="L18" s="92"/>
    </row>
    <row r="19" spans="1:12" s="86" customFormat="1" ht="15.75" thickTop="1" x14ac:dyDescent="0.25">
      <c r="A19"/>
      <c r="B19"/>
      <c r="C19"/>
      <c r="D19"/>
      <c r="E19" s="354"/>
      <c r="F19" s="189"/>
      <c r="G19" s="8"/>
      <c r="H19" s="8"/>
      <c r="I19" s="190"/>
      <c r="J19" s="6" t="s">
        <v>90</v>
      </c>
      <c r="K19" s="92"/>
    </row>
    <row r="20" spans="1:12" s="86" customFormat="1" x14ac:dyDescent="0.25">
      <c r="A20" s="11" t="s">
        <v>271</v>
      </c>
      <c r="B20"/>
      <c r="C20"/>
      <c r="D20"/>
      <c r="E20"/>
      <c r="F20"/>
      <c r="G20"/>
      <c r="H20"/>
      <c r="I20"/>
      <c r="J20"/>
      <c r="K20" s="90"/>
    </row>
    <row r="21" spans="1:12" s="86" customFormat="1" ht="16.149999999999999" customHeight="1" thickBot="1" x14ac:dyDescent="0.3">
      <c r="A21" s="589" t="s">
        <v>275</v>
      </c>
      <c r="B21" s="590"/>
      <c r="C21" s="591"/>
      <c r="D21" s="580" t="s">
        <v>251</v>
      </c>
      <c r="E21" s="581"/>
      <c r="F21" s="134"/>
      <c r="G21" s="135"/>
      <c r="H21" s="135"/>
      <c r="I21" s="135"/>
      <c r="J21" s="135"/>
      <c r="K21" s="87"/>
    </row>
    <row r="22" spans="1:12" s="86" customFormat="1" ht="45" customHeight="1" thickBot="1" x14ac:dyDescent="0.3">
      <c r="A22" s="210" t="s">
        <v>252</v>
      </c>
      <c r="B22" s="234" t="s">
        <v>265</v>
      </c>
      <c r="C22" s="234" t="s">
        <v>266</v>
      </c>
      <c r="D22" s="266" t="s">
        <v>285</v>
      </c>
      <c r="E22" s="227" t="s">
        <v>37</v>
      </c>
      <c r="F22" s="8"/>
      <c r="G22" s="94"/>
      <c r="H22" s="94"/>
      <c r="I22" s="8"/>
      <c r="J22" s="8"/>
    </row>
    <row r="23" spans="1:12" s="86" customFormat="1" x14ac:dyDescent="0.25">
      <c r="A23" s="224" t="s">
        <v>160</v>
      </c>
      <c r="B23" s="241"/>
      <c r="C23" s="242"/>
      <c r="D23" s="243"/>
      <c r="E23" s="242">
        <f>+'Data for 2nd TU'!I89</f>
        <v>1980000</v>
      </c>
      <c r="F23" s="51"/>
      <c r="G23" s="94"/>
      <c r="H23" s="94"/>
      <c r="I23" s="8"/>
      <c r="J23" s="8"/>
    </row>
    <row r="24" spans="1:12" s="86" customFormat="1" ht="15.75" thickBot="1" x14ac:dyDescent="0.3">
      <c r="A24" s="224" t="s">
        <v>161</v>
      </c>
      <c r="B24" s="241">
        <f>B17</f>
        <v>286577132.16957605</v>
      </c>
      <c r="C24" s="242"/>
      <c r="D24" s="247">
        <f>+'Data for 2nd TU'!G56</f>
        <v>8.8359370314842575E-2</v>
      </c>
      <c r="E24" s="192">
        <f>+D24*B24</f>
        <v>25321774.945137154</v>
      </c>
      <c r="F24" s="51"/>
      <c r="G24" s="94"/>
      <c r="H24" s="94"/>
      <c r="I24" s="8"/>
      <c r="J24" s="8"/>
    </row>
    <row r="25" spans="1:12" s="86" customFormat="1" ht="15.75" thickBot="1" x14ac:dyDescent="0.3">
      <c r="A25" s="117"/>
      <c r="B25" s="209">
        <f>+B23+B24</f>
        <v>286577132.16957605</v>
      </c>
      <c r="C25" s="209">
        <f>+C23+C24</f>
        <v>0</v>
      </c>
      <c r="D25" s="138"/>
      <c r="E25" s="191">
        <f>+E23+E24</f>
        <v>27301774.945137154</v>
      </c>
      <c r="F25" s="51"/>
      <c r="G25" s="94"/>
      <c r="H25" s="95"/>
      <c r="I25" s="8"/>
      <c r="J25" s="8"/>
      <c r="K25" s="87"/>
    </row>
    <row r="26" spans="1:12" s="86" customFormat="1" x14ac:dyDescent="0.25">
      <c r="A26" s="8"/>
      <c r="B26" s="33"/>
      <c r="C26" s="33"/>
      <c r="D26" s="32"/>
      <c r="E26" s="97"/>
      <c r="F26" s="8"/>
      <c r="G26" s="94"/>
      <c r="H26" s="95"/>
      <c r="I26" s="8"/>
      <c r="J26" s="8"/>
      <c r="K26" s="87"/>
    </row>
    <row r="27" spans="1:12" s="86" customFormat="1" ht="15.75" thickBot="1" x14ac:dyDescent="0.3">
      <c r="A27" s="11" t="s">
        <v>272</v>
      </c>
      <c r="B27" s="32"/>
      <c r="C27" s="33"/>
      <c r="D27" s="8"/>
      <c r="E27"/>
      <c r="F27"/>
      <c r="G27"/>
      <c r="H27" s="6" t="s">
        <v>90</v>
      </c>
      <c r="I27"/>
      <c r="J27"/>
    </row>
    <row r="28" spans="1:12" s="86" customFormat="1" ht="15" customHeight="1" thickBot="1" x14ac:dyDescent="0.3">
      <c r="A28" s="223"/>
      <c r="B28" s="267"/>
      <c r="C28" s="548" t="s">
        <v>261</v>
      </c>
      <c r="D28" s="549"/>
      <c r="E28" s="549"/>
      <c r="F28" s="549"/>
      <c r="G28" s="549"/>
      <c r="H28" s="549"/>
      <c r="I28" s="550"/>
    </row>
    <row r="29" spans="1:12" s="86" customFormat="1" ht="15.75" thickBot="1" x14ac:dyDescent="0.3">
      <c r="A29" s="551"/>
      <c r="B29" s="552"/>
      <c r="C29" s="140"/>
      <c r="D29" s="36"/>
      <c r="E29" s="94"/>
      <c r="F29" s="562"/>
      <c r="G29" s="563"/>
      <c r="H29" s="563"/>
      <c r="I29" s="564"/>
    </row>
    <row r="30" spans="1:12" s="86" customFormat="1" ht="15" customHeight="1" thickBot="1" x14ac:dyDescent="0.3">
      <c r="A30" s="553"/>
      <c r="B30" s="554"/>
      <c r="C30" s="568" t="s">
        <v>257</v>
      </c>
      <c r="D30" s="569"/>
      <c r="E30" s="472">
        <f>+I18-E9</f>
        <v>-55093.776660408825</v>
      </c>
      <c r="F30" s="559" t="s">
        <v>258</v>
      </c>
      <c r="G30" s="560"/>
      <c r="H30" s="560"/>
      <c r="I30" s="561"/>
      <c r="J30" s="92"/>
    </row>
    <row r="31" spans="1:12" s="86" customFormat="1" ht="16.5" thickTop="1" thickBot="1" x14ac:dyDescent="0.3">
      <c r="A31" s="555"/>
      <c r="B31" s="556"/>
      <c r="C31" s="139"/>
      <c r="E31" s="193"/>
      <c r="F31" s="570"/>
      <c r="G31" s="571"/>
      <c r="H31" s="571"/>
      <c r="I31" s="572"/>
    </row>
    <row r="32" spans="1:12" s="86" customFormat="1" ht="16.5" thickBot="1" x14ac:dyDescent="0.3">
      <c r="A32" s="210" t="s">
        <v>252</v>
      </c>
      <c r="B32" s="211" t="s">
        <v>264</v>
      </c>
      <c r="C32" s="212" t="s">
        <v>166</v>
      </c>
      <c r="D32" s="213" t="s">
        <v>167</v>
      </c>
      <c r="E32" s="214" t="s">
        <v>170</v>
      </c>
      <c r="F32" s="573" t="s">
        <v>169</v>
      </c>
      <c r="G32" s="574"/>
      <c r="H32" s="574"/>
      <c r="I32" s="575"/>
    </row>
    <row r="33" spans="1:10" s="86" customFormat="1" x14ac:dyDescent="0.25">
      <c r="A33" s="220" t="s">
        <v>255</v>
      </c>
      <c r="B33" s="221" t="s">
        <v>253</v>
      </c>
      <c r="C33" s="251">
        <f>+C15</f>
        <v>213672867.83042395</v>
      </c>
      <c r="D33" s="252">
        <f>((+I15)/C15)-D6</f>
        <v>0</v>
      </c>
      <c r="E33" s="253">
        <f>+C33*D33</f>
        <v>0</v>
      </c>
      <c r="F33" s="560" t="s">
        <v>259</v>
      </c>
      <c r="G33" s="560"/>
      <c r="H33" s="560"/>
      <c r="I33" s="561"/>
    </row>
    <row r="34" spans="1:10" s="86" customFormat="1" x14ac:dyDescent="0.25">
      <c r="A34" s="220" t="s">
        <v>255</v>
      </c>
      <c r="B34" s="221" t="s">
        <v>254</v>
      </c>
      <c r="C34" s="254">
        <f>+C15-C6</f>
        <v>-427132.16957604885</v>
      </c>
      <c r="D34" s="473">
        <f>D6</f>
        <v>9.1749475714858406E-2</v>
      </c>
      <c r="E34" s="474">
        <f>+C34*D34</f>
        <v>-39189.152619552478</v>
      </c>
      <c r="F34" s="560" t="s">
        <v>287</v>
      </c>
      <c r="G34" s="560"/>
      <c r="H34" s="560"/>
      <c r="I34" s="561"/>
    </row>
    <row r="35" spans="1:10" s="86" customFormat="1" x14ac:dyDescent="0.25">
      <c r="A35" s="222" t="s">
        <v>161</v>
      </c>
      <c r="B35" s="221" t="s">
        <v>162</v>
      </c>
      <c r="C35" s="254">
        <f>+C16+C17</f>
        <v>321577132.16957605</v>
      </c>
      <c r="D35" s="256">
        <f>+D16-D7</f>
        <v>0</v>
      </c>
      <c r="E35" s="255">
        <f>+C35*D35</f>
        <v>0</v>
      </c>
      <c r="F35" s="560" t="s">
        <v>259</v>
      </c>
      <c r="G35" s="560"/>
      <c r="H35" s="560"/>
      <c r="I35" s="561"/>
      <c r="J35" s="84"/>
    </row>
    <row r="36" spans="1:10" s="86" customFormat="1" ht="15.75" thickBot="1" x14ac:dyDescent="0.3">
      <c r="A36" s="220" t="s">
        <v>161</v>
      </c>
      <c r="B36" s="221" t="s">
        <v>254</v>
      </c>
      <c r="C36" s="257">
        <f>(+C17+C16)-(C8+C7)</f>
        <v>-572867.83042395115</v>
      </c>
      <c r="D36" s="258">
        <f>+D7</f>
        <v>2.7763164898064498E-2</v>
      </c>
      <c r="E36" s="259">
        <f>+C36*D36</f>
        <v>-15904.624040856606</v>
      </c>
      <c r="F36" s="560" t="s">
        <v>287</v>
      </c>
      <c r="G36" s="560"/>
      <c r="H36" s="560"/>
      <c r="I36" s="561"/>
      <c r="J36" s="84"/>
    </row>
    <row r="37" spans="1:10" s="86" customFormat="1" ht="15.75" thickBot="1" x14ac:dyDescent="0.3">
      <c r="A37" s="118"/>
      <c r="B37" s="117"/>
      <c r="C37" s="233" t="s">
        <v>263</v>
      </c>
      <c r="D37" s="216"/>
      <c r="E37" s="475">
        <f>SUM(E33:E36)</f>
        <v>-55093.776660409087</v>
      </c>
      <c r="F37" s="559"/>
      <c r="G37" s="560"/>
      <c r="H37" s="560"/>
      <c r="I37" s="561"/>
    </row>
    <row r="38" spans="1:10" s="86" customFormat="1" ht="15.75" thickTop="1" x14ac:dyDescent="0.25">
      <c r="A38" s="94"/>
      <c r="B38" s="8"/>
      <c r="C38" s="250"/>
      <c r="D38" s="8"/>
      <c r="E38" s="97"/>
      <c r="F38" s="250"/>
      <c r="G38" s="250"/>
      <c r="H38" s="250"/>
      <c r="I38" s="250"/>
    </row>
    <row r="39" spans="1:10" s="86" customFormat="1" ht="15.75" thickBot="1" x14ac:dyDescent="0.3">
      <c r="A39" s="11" t="s">
        <v>273</v>
      </c>
      <c r="B39" s="33"/>
      <c r="C39" s="33"/>
      <c r="D39"/>
      <c r="E39"/>
      <c r="F39"/>
      <c r="G39" s="84"/>
      <c r="H39" s="84"/>
      <c r="I39" s="94"/>
      <c r="J39"/>
    </row>
    <row r="40" spans="1:10" s="86" customFormat="1" ht="16.5" thickBot="1" x14ac:dyDescent="0.3">
      <c r="A40" s="223"/>
      <c r="B40" s="231"/>
      <c r="C40" s="548" t="s">
        <v>262</v>
      </c>
      <c r="D40" s="549"/>
      <c r="E40" s="549"/>
      <c r="F40" s="549" t="s">
        <v>169</v>
      </c>
      <c r="G40" s="549"/>
      <c r="H40" s="549"/>
      <c r="I40" s="550"/>
    </row>
    <row r="41" spans="1:10" s="86" customFormat="1" ht="15.75" thickBot="1" x14ac:dyDescent="0.3">
      <c r="A41" s="551"/>
      <c r="B41" s="552"/>
      <c r="C41" s="232"/>
      <c r="D41" s="36"/>
      <c r="E41" s="8"/>
      <c r="F41" s="570"/>
      <c r="G41" s="571"/>
      <c r="H41" s="571"/>
      <c r="I41" s="572"/>
    </row>
    <row r="42" spans="1:10" s="86" customFormat="1" ht="15" customHeight="1" thickBot="1" x14ac:dyDescent="0.3">
      <c r="A42" s="553"/>
      <c r="B42" s="554"/>
      <c r="C42" s="568" t="s">
        <v>257</v>
      </c>
      <c r="D42" s="569"/>
      <c r="E42" s="215">
        <f>+E25-G9</f>
        <v>-5087410.0548628457</v>
      </c>
      <c r="F42" s="559" t="s">
        <v>258</v>
      </c>
      <c r="G42" s="560"/>
      <c r="H42" s="560"/>
      <c r="I42" s="561"/>
    </row>
    <row r="43" spans="1:10" s="86" customFormat="1" ht="16.5" thickTop="1" thickBot="1" x14ac:dyDescent="0.3">
      <c r="A43" s="555"/>
      <c r="B43" s="556"/>
      <c r="C43" s="139"/>
      <c r="E43" s="193"/>
      <c r="F43" s="570"/>
      <c r="G43" s="571"/>
      <c r="H43" s="571"/>
      <c r="I43" s="572"/>
    </row>
    <row r="44" spans="1:10" s="86" customFormat="1" ht="16.5" thickBot="1" x14ac:dyDescent="0.3">
      <c r="A44" s="210" t="s">
        <v>252</v>
      </c>
      <c r="B44" s="211" t="s">
        <v>264</v>
      </c>
      <c r="C44" s="212" t="s">
        <v>166</v>
      </c>
      <c r="D44" s="213" t="s">
        <v>167</v>
      </c>
      <c r="E44" s="214" t="s">
        <v>170</v>
      </c>
      <c r="F44" s="573" t="s">
        <v>169</v>
      </c>
      <c r="G44" s="574"/>
      <c r="H44" s="574"/>
      <c r="I44" s="575"/>
    </row>
    <row r="45" spans="1:10" s="86" customFormat="1" x14ac:dyDescent="0.25">
      <c r="A45" s="218" t="s">
        <v>161</v>
      </c>
      <c r="B45" s="219" t="s">
        <v>253</v>
      </c>
      <c r="C45" s="260">
        <f>+B24</f>
        <v>286577132.16957605</v>
      </c>
      <c r="D45" s="261">
        <f>+D24-F8</f>
        <v>-1.7540629685157419E-2</v>
      </c>
      <c r="E45" s="262">
        <f>+D45*C45</f>
        <v>-5026743.351620947</v>
      </c>
      <c r="F45" s="576" t="s">
        <v>260</v>
      </c>
      <c r="G45" s="576"/>
      <c r="H45" s="576"/>
      <c r="I45" s="577"/>
      <c r="J45" s="124"/>
    </row>
    <row r="46" spans="1:10" s="86" customFormat="1" ht="15.75" thickBot="1" x14ac:dyDescent="0.3">
      <c r="A46" s="220" t="s">
        <v>161</v>
      </c>
      <c r="B46" s="221" t="s">
        <v>254</v>
      </c>
      <c r="C46" s="263">
        <f>+B8-B24</f>
        <v>572867.83042395115</v>
      </c>
      <c r="D46" s="264">
        <f>-F8</f>
        <v>-0.10589999999999999</v>
      </c>
      <c r="E46" s="265">
        <f>+C46*D46</f>
        <v>-60666.703241896423</v>
      </c>
      <c r="F46" s="557" t="s">
        <v>287</v>
      </c>
      <c r="G46" s="557"/>
      <c r="H46" s="557"/>
      <c r="I46" s="558"/>
      <c r="J46" s="136"/>
    </row>
    <row r="47" spans="1:10" s="86" customFormat="1" ht="15.75" thickBot="1" x14ac:dyDescent="0.3">
      <c r="A47" s="118"/>
      <c r="B47" s="117"/>
      <c r="C47" s="233" t="s">
        <v>263</v>
      </c>
      <c r="D47" s="233"/>
      <c r="E47" s="217">
        <f>SUM(E45:E46)</f>
        <v>-5087410.0548628438</v>
      </c>
      <c r="F47" s="565"/>
      <c r="G47" s="566"/>
      <c r="H47" s="566"/>
      <c r="I47" s="567"/>
    </row>
    <row r="48" spans="1:10" s="86" customFormat="1" ht="15.75" thickTop="1" x14ac:dyDescent="0.25">
      <c r="A48"/>
      <c r="B48" s="96"/>
      <c r="C48"/>
    </row>
    <row r="58" spans="9:11" x14ac:dyDescent="0.25">
      <c r="I58" s="129"/>
      <c r="J58" s="85"/>
      <c r="K58" s="87"/>
    </row>
    <row r="59" spans="9:11" x14ac:dyDescent="0.25">
      <c r="I59" s="129"/>
      <c r="J59" s="85"/>
      <c r="K59" s="87"/>
    </row>
    <row r="60" spans="9:11" x14ac:dyDescent="0.25">
      <c r="I60" s="78"/>
      <c r="J60" s="68"/>
      <c r="K60" s="87"/>
    </row>
  </sheetData>
  <mergeCells count="32">
    <mergeCell ref="A1:I1"/>
    <mergeCell ref="D12:I12"/>
    <mergeCell ref="D21:E21"/>
    <mergeCell ref="F13:G13"/>
    <mergeCell ref="D13:E13"/>
    <mergeCell ref="F4:G4"/>
    <mergeCell ref="D4:E4"/>
    <mergeCell ref="A4:C4"/>
    <mergeCell ref="A13:C13"/>
    <mergeCell ref="A21:C21"/>
    <mergeCell ref="F47:I47"/>
    <mergeCell ref="C30:D30"/>
    <mergeCell ref="C42:D42"/>
    <mergeCell ref="C40:I40"/>
    <mergeCell ref="F41:I41"/>
    <mergeCell ref="F42:I42"/>
    <mergeCell ref="F43:I43"/>
    <mergeCell ref="F44:I44"/>
    <mergeCell ref="F45:I45"/>
    <mergeCell ref="F30:I30"/>
    <mergeCell ref="F31:I31"/>
    <mergeCell ref="F32:I32"/>
    <mergeCell ref="F33:I33"/>
    <mergeCell ref="F34:I34"/>
    <mergeCell ref="F35:I35"/>
    <mergeCell ref="F36:I36"/>
    <mergeCell ref="C28:I28"/>
    <mergeCell ref="A29:B31"/>
    <mergeCell ref="A41:B43"/>
    <mergeCell ref="F46:I46"/>
    <mergeCell ref="F37:I37"/>
    <mergeCell ref="F29:I29"/>
  </mergeCells>
  <pageMargins left="0.7" right="0.7" top="0.75" bottom="0.75" header="0.3" footer="0.3"/>
  <pageSetup paperSize="17" scale="8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173"/>
  <sheetViews>
    <sheetView showGridLines="0" topLeftCell="A136" zoomScaleNormal="100" workbookViewId="0">
      <selection activeCell="G155" sqref="G155"/>
    </sheetView>
  </sheetViews>
  <sheetFormatPr defaultColWidth="9.28515625" defaultRowHeight="15" x14ac:dyDescent="0.25"/>
  <cols>
    <col min="1" max="1" width="4.5703125" style="12" customWidth="1"/>
    <col min="2" max="2" width="5" style="12" customWidth="1"/>
    <col min="3" max="3" width="65.28515625" style="12" customWidth="1"/>
    <col min="4" max="4" width="18.28515625" style="12" customWidth="1"/>
    <col min="5" max="5" width="14.7109375" style="12" bestFit="1" customWidth="1"/>
    <col min="6" max="6" width="9.28515625" style="12"/>
    <col min="7" max="7" width="14.7109375" style="12" bestFit="1" customWidth="1"/>
    <col min="8" max="14" width="9.28515625" style="12"/>
    <col min="15" max="15" width="15" style="12" bestFit="1" customWidth="1"/>
    <col min="16" max="16" width="13.28515625" style="12" bestFit="1" customWidth="1"/>
    <col min="17" max="16384" width="9.28515625" style="12"/>
  </cols>
  <sheetData>
    <row r="1" spans="1:5" ht="15" customHeight="1" thickBot="1" x14ac:dyDescent="0.3">
      <c r="B1" s="106"/>
    </row>
    <row r="2" spans="1:5" ht="15.75" thickTop="1" x14ac:dyDescent="0.25">
      <c r="B2" s="521" t="s">
        <v>330</v>
      </c>
      <c r="C2" s="514"/>
      <c r="D2" s="369"/>
      <c r="E2" s="378"/>
    </row>
    <row r="3" spans="1:5" x14ac:dyDescent="0.25">
      <c r="B3" s="372" t="s">
        <v>84</v>
      </c>
      <c r="C3" s="96"/>
      <c r="D3" s="368"/>
      <c r="E3" s="373"/>
    </row>
    <row r="4" spans="1:5" s="93" customFormat="1" x14ac:dyDescent="0.25">
      <c r="B4" s="374"/>
      <c r="C4" s="103" t="s">
        <v>92</v>
      </c>
      <c r="D4" s="103" t="s">
        <v>93</v>
      </c>
      <c r="E4" s="375" t="s">
        <v>94</v>
      </c>
    </row>
    <row r="5" spans="1:5" s="148" customFormat="1" ht="17.25" x14ac:dyDescent="0.25">
      <c r="B5" s="372" t="s">
        <v>236</v>
      </c>
      <c r="C5" s="103"/>
      <c r="D5" s="60">
        <f>+'Data for Settlement &amp; 1st TU'!D63</f>
        <v>5200000</v>
      </c>
      <c r="E5" s="375"/>
    </row>
    <row r="6" spans="1:5" x14ac:dyDescent="0.25">
      <c r="A6" s="13"/>
      <c r="B6" s="372" t="s">
        <v>142</v>
      </c>
      <c r="C6" s="96"/>
      <c r="D6" s="60">
        <f>+'Data for Settlement &amp; 1st TU'!D64</f>
        <v>15434562.8717077</v>
      </c>
      <c r="E6" s="376"/>
    </row>
    <row r="7" spans="1:5" x14ac:dyDescent="0.25">
      <c r="A7" s="13"/>
      <c r="B7" s="372" t="s">
        <v>143</v>
      </c>
      <c r="C7" s="96"/>
      <c r="D7" s="60">
        <f>+'Data for Settlement &amp; 1st TU'!D66</f>
        <v>17707500</v>
      </c>
      <c r="E7" s="376"/>
    </row>
    <row r="8" spans="1:5" x14ac:dyDescent="0.25">
      <c r="A8" s="13"/>
      <c r="B8" s="372" t="s">
        <v>144</v>
      </c>
      <c r="C8" s="96"/>
      <c r="D8" s="60">
        <f>+'Data for Settlement &amp; 1st TU'!D65</f>
        <v>1850000</v>
      </c>
      <c r="E8" s="376"/>
    </row>
    <row r="9" spans="1:5" x14ac:dyDescent="0.25">
      <c r="A9" s="13"/>
      <c r="B9" s="372" t="s">
        <v>145</v>
      </c>
      <c r="C9" s="96"/>
      <c r="D9" s="60">
        <f>+'Data for Settlement &amp; 1st TU'!D67</f>
        <v>21642500</v>
      </c>
      <c r="E9" s="376"/>
    </row>
    <row r="10" spans="1:5" x14ac:dyDescent="0.25">
      <c r="B10" s="372"/>
      <c r="C10" s="96" t="s">
        <v>146</v>
      </c>
      <c r="D10" s="96"/>
      <c r="E10" s="476">
        <f>-'RPP Settlement &amp; 1st TU'!K16</f>
        <v>4496000.0000000019</v>
      </c>
    </row>
    <row r="11" spans="1:5" x14ac:dyDescent="0.25">
      <c r="B11" s="372"/>
      <c r="C11" s="96" t="s">
        <v>216</v>
      </c>
      <c r="D11" s="96"/>
      <c r="E11" s="506">
        <f>-'Data for Settlement &amp; 1st TU'!D69</f>
        <v>4965699.2353440998</v>
      </c>
    </row>
    <row r="12" spans="1:5" x14ac:dyDescent="0.25">
      <c r="B12" s="372"/>
      <c r="C12" s="96" t="s">
        <v>1</v>
      </c>
      <c r="D12" s="60"/>
      <c r="E12" s="476">
        <f>+'Data for Settlement &amp; 1st TU'!D70</f>
        <v>52372863.636363603</v>
      </c>
    </row>
    <row r="13" spans="1:5" ht="15.75" thickBot="1" x14ac:dyDescent="0.3">
      <c r="B13" s="372"/>
      <c r="C13" s="96"/>
      <c r="D13" s="56">
        <f>SUM(D5:D12)</f>
        <v>61834562.8717077</v>
      </c>
      <c r="E13" s="377">
        <f>SUM(E5:E12)</f>
        <v>61834562.871707708</v>
      </c>
    </row>
    <row r="14" spans="1:5" ht="52.15" customHeight="1" thickTop="1" thickBot="1" x14ac:dyDescent="0.3">
      <c r="A14" s="13"/>
      <c r="B14" s="603" t="s">
        <v>331</v>
      </c>
      <c r="C14" s="604"/>
      <c r="D14" s="604"/>
      <c r="E14" s="605"/>
    </row>
    <row r="15" spans="1:5" ht="15.75" thickTop="1" x14ac:dyDescent="0.25">
      <c r="A15" s="13"/>
    </row>
    <row r="16" spans="1:5" x14ac:dyDescent="0.25">
      <c r="A16" s="13"/>
    </row>
    <row r="17" spans="1:6" x14ac:dyDescent="0.25">
      <c r="B17" s="522" t="s">
        <v>330</v>
      </c>
      <c r="C17" s="176"/>
      <c r="D17" s="176"/>
      <c r="E17" s="176"/>
    </row>
    <row r="18" spans="1:6" x14ac:dyDescent="0.25">
      <c r="A18" s="98"/>
      <c r="B18" s="176" t="s">
        <v>85</v>
      </c>
      <c r="C18" s="176"/>
      <c r="D18" s="177"/>
      <c r="E18" s="177"/>
    </row>
    <row r="19" spans="1:6" s="93" customFormat="1" x14ac:dyDescent="0.25">
      <c r="B19" s="178"/>
      <c r="C19" s="178" t="s">
        <v>92</v>
      </c>
      <c r="D19" s="178" t="s">
        <v>93</v>
      </c>
      <c r="E19" s="178" t="s">
        <v>94</v>
      </c>
    </row>
    <row r="20" spans="1:6" x14ac:dyDescent="0.25">
      <c r="A20" s="13"/>
      <c r="B20" s="176" t="s">
        <v>4</v>
      </c>
      <c r="C20" s="176"/>
      <c r="D20" s="477">
        <f>SUM(E21:E24)</f>
        <v>59852863.63636364</v>
      </c>
      <c r="E20" s="477"/>
      <c r="F20" s="9"/>
    </row>
    <row r="21" spans="1:6" x14ac:dyDescent="0.25">
      <c r="A21" s="13"/>
      <c r="B21" s="176"/>
      <c r="C21" s="176" t="s">
        <v>147</v>
      </c>
      <c r="D21" s="477"/>
      <c r="E21" s="477">
        <f>+'Data for Settlement &amp; 1st TU'!D85</f>
        <v>20299000</v>
      </c>
      <c r="F21" s="9"/>
    </row>
    <row r="22" spans="1:6" x14ac:dyDescent="0.25">
      <c r="B22" s="176"/>
      <c r="C22" s="176" t="s">
        <v>40</v>
      </c>
      <c r="D22" s="477"/>
      <c r="E22" s="507">
        <f>+'Data for Settlement &amp; 1st TU'!D89</f>
        <v>8581363.6363636367</v>
      </c>
      <c r="F22" s="9"/>
    </row>
    <row r="23" spans="1:6" x14ac:dyDescent="0.25">
      <c r="B23" s="176"/>
      <c r="C23" s="176" t="s">
        <v>148</v>
      </c>
      <c r="D23" s="477"/>
      <c r="E23" s="507">
        <f>+'Data for Settlement &amp; 1st TU'!D90</f>
        <v>1850000</v>
      </c>
      <c r="F23" s="9"/>
    </row>
    <row r="24" spans="1:6" x14ac:dyDescent="0.25">
      <c r="B24" s="176"/>
      <c r="C24" s="176" t="s">
        <v>149</v>
      </c>
      <c r="D24" s="477"/>
      <c r="E24" s="507">
        <f>+'Data for Settlement &amp; 1st TU'!D91</f>
        <v>29122500</v>
      </c>
      <c r="F24" s="9"/>
    </row>
    <row r="25" spans="1:6" ht="15.75" thickBot="1" x14ac:dyDescent="0.3">
      <c r="B25" s="176"/>
      <c r="C25" s="176"/>
      <c r="D25" s="478">
        <f>SUM(D20:D23)</f>
        <v>59852863.63636364</v>
      </c>
      <c r="E25" s="478">
        <f>SUM(E20:E24)</f>
        <v>59852863.63636364</v>
      </c>
    </row>
    <row r="26" spans="1:6" ht="79.900000000000006" customHeight="1" thickTop="1" x14ac:dyDescent="0.25">
      <c r="B26" s="601" t="s">
        <v>349</v>
      </c>
      <c r="C26" s="601"/>
      <c r="D26" s="601"/>
      <c r="E26" s="601"/>
    </row>
    <row r="27" spans="1:6" ht="15" customHeight="1" x14ac:dyDescent="0.25">
      <c r="B27" s="147"/>
      <c r="C27" s="147"/>
      <c r="D27" s="147"/>
      <c r="E27" s="147"/>
      <c r="F27" s="9"/>
    </row>
    <row r="28" spans="1:6" ht="15.75" thickBot="1" x14ac:dyDescent="0.3">
      <c r="D28" s="9"/>
      <c r="E28" s="14"/>
      <c r="F28" s="9"/>
    </row>
    <row r="29" spans="1:6" ht="15.75" thickTop="1" x14ac:dyDescent="0.25">
      <c r="B29" s="521" t="s">
        <v>330</v>
      </c>
      <c r="C29" s="369"/>
      <c r="D29" s="369"/>
      <c r="E29" s="378"/>
    </row>
    <row r="30" spans="1:6" x14ac:dyDescent="0.25">
      <c r="A30" s="98"/>
      <c r="B30" s="372" t="s">
        <v>333</v>
      </c>
      <c r="C30" s="96"/>
      <c r="D30" s="368"/>
      <c r="E30" s="373"/>
    </row>
    <row r="31" spans="1:6" s="148" customFormat="1" x14ac:dyDescent="0.25">
      <c r="B31" s="374"/>
      <c r="C31" s="103" t="s">
        <v>92</v>
      </c>
      <c r="D31" s="103" t="s">
        <v>93</v>
      </c>
      <c r="E31" s="375" t="s">
        <v>94</v>
      </c>
    </row>
    <row r="32" spans="1:6" s="148" customFormat="1" x14ac:dyDescent="0.25">
      <c r="B32" s="372" t="s">
        <v>288</v>
      </c>
      <c r="C32" s="103"/>
      <c r="D32" s="403">
        <f>'T-Accounts'!M41</f>
        <v>7480000</v>
      </c>
      <c r="E32" s="375"/>
      <c r="F32" s="182"/>
    </row>
    <row r="33" spans="1:6" x14ac:dyDescent="0.25">
      <c r="A33" s="13"/>
      <c r="B33" s="372"/>
      <c r="C33" s="96" t="s">
        <v>183</v>
      </c>
      <c r="D33" s="60"/>
      <c r="E33" s="376">
        <f>D32</f>
        <v>7480000</v>
      </c>
      <c r="F33" s="9"/>
    </row>
    <row r="34" spans="1:6" ht="15.75" thickBot="1" x14ac:dyDescent="0.3">
      <c r="A34" s="13"/>
      <c r="B34" s="372"/>
      <c r="C34" s="96"/>
      <c r="D34" s="56">
        <f>SUM(D32:D33)</f>
        <v>7480000</v>
      </c>
      <c r="E34" s="479">
        <f>SUM(E32:E33)</f>
        <v>7480000</v>
      </c>
      <c r="F34" s="9"/>
    </row>
    <row r="35" spans="1:6" ht="15.75" thickTop="1" x14ac:dyDescent="0.25">
      <c r="A35" s="13"/>
      <c r="B35" s="599" t="s">
        <v>332</v>
      </c>
      <c r="C35" s="600"/>
      <c r="D35" s="600"/>
      <c r="E35" s="609"/>
      <c r="F35" s="9"/>
    </row>
    <row r="36" spans="1:6" ht="15.75" thickBot="1" x14ac:dyDescent="0.3">
      <c r="A36" s="13"/>
      <c r="B36" s="595"/>
      <c r="C36" s="596"/>
      <c r="D36" s="596"/>
      <c r="E36" s="597"/>
      <c r="F36" s="9"/>
    </row>
    <row r="37" spans="1:6" ht="16.5" thickTop="1" thickBot="1" x14ac:dyDescent="0.3">
      <c r="A37" s="13"/>
      <c r="D37" s="198"/>
    </row>
    <row r="38" spans="1:6" ht="15.75" thickTop="1" x14ac:dyDescent="0.25">
      <c r="A38" s="13"/>
      <c r="B38" s="521" t="s">
        <v>338</v>
      </c>
      <c r="C38" s="369"/>
      <c r="D38" s="404"/>
      <c r="E38" s="405"/>
      <c r="F38" s="9"/>
    </row>
    <row r="39" spans="1:6" x14ac:dyDescent="0.25">
      <c r="B39" s="372" t="s">
        <v>182</v>
      </c>
      <c r="C39" s="96"/>
      <c r="D39" s="368"/>
      <c r="E39" s="373"/>
    </row>
    <row r="40" spans="1:6" s="93" customFormat="1" x14ac:dyDescent="0.25">
      <c r="B40" s="374"/>
      <c r="C40" s="103" t="s">
        <v>92</v>
      </c>
      <c r="D40" s="103" t="s">
        <v>93</v>
      </c>
      <c r="E40" s="375" t="s">
        <v>94</v>
      </c>
    </row>
    <row r="41" spans="1:6" x14ac:dyDescent="0.25">
      <c r="B41" s="372" t="s">
        <v>153</v>
      </c>
      <c r="C41" s="96"/>
      <c r="D41" s="480">
        <f>E10</f>
        <v>4496000.0000000019</v>
      </c>
      <c r="E41" s="376"/>
    </row>
    <row r="42" spans="1:6" x14ac:dyDescent="0.25">
      <c r="B42" s="372" t="s">
        <v>232</v>
      </c>
      <c r="C42" s="96"/>
      <c r="D42" s="508">
        <f t="shared" ref="D42:D43" si="0">E11</f>
        <v>4965699.2353440998</v>
      </c>
      <c r="E42" s="376"/>
    </row>
    <row r="43" spans="1:6" x14ac:dyDescent="0.25">
      <c r="B43" s="372" t="s">
        <v>41</v>
      </c>
      <c r="C43" s="96"/>
      <c r="D43" s="480">
        <f t="shared" si="0"/>
        <v>52372863.636363603</v>
      </c>
      <c r="E43" s="376"/>
    </row>
    <row r="44" spans="1:6" x14ac:dyDescent="0.25">
      <c r="B44" s="372"/>
      <c r="C44" s="96" t="s">
        <v>233</v>
      </c>
      <c r="D44" s="60"/>
      <c r="E44" s="376">
        <f>D5</f>
        <v>5200000</v>
      </c>
    </row>
    <row r="45" spans="1:6" x14ac:dyDescent="0.25">
      <c r="B45" s="372"/>
      <c r="C45" s="96" t="s">
        <v>234</v>
      </c>
      <c r="D45" s="60"/>
      <c r="E45" s="376">
        <f t="shared" ref="E45:E48" si="1">D6</f>
        <v>15434562.8717077</v>
      </c>
    </row>
    <row r="46" spans="1:6" x14ac:dyDescent="0.25">
      <c r="B46" s="372"/>
      <c r="C46" s="96" t="s">
        <v>151</v>
      </c>
      <c r="D46" s="60"/>
      <c r="E46" s="376">
        <f t="shared" si="1"/>
        <v>17707500</v>
      </c>
    </row>
    <row r="47" spans="1:6" x14ac:dyDescent="0.25">
      <c r="B47" s="372"/>
      <c r="C47" s="96" t="s">
        <v>150</v>
      </c>
      <c r="D47" s="60"/>
      <c r="E47" s="376">
        <f t="shared" si="1"/>
        <v>1850000</v>
      </c>
    </row>
    <row r="48" spans="1:6" x14ac:dyDescent="0.25">
      <c r="B48" s="372"/>
      <c r="C48" s="96" t="s">
        <v>152</v>
      </c>
      <c r="D48" s="60"/>
      <c r="E48" s="376">
        <f t="shared" si="1"/>
        <v>21642500</v>
      </c>
    </row>
    <row r="49" spans="2:6" ht="15.75" thickBot="1" x14ac:dyDescent="0.3">
      <c r="B49" s="372"/>
      <c r="C49" s="96"/>
      <c r="D49" s="56">
        <f>SUM(D41:D48)</f>
        <v>61834562.871707708</v>
      </c>
      <c r="E49" s="479">
        <f>SUM(E41:E48)</f>
        <v>61834562.8717077</v>
      </c>
    </row>
    <row r="50" spans="2:6" ht="16.5" thickTop="1" thickBot="1" x14ac:dyDescent="0.3">
      <c r="B50" s="603" t="s">
        <v>154</v>
      </c>
      <c r="C50" s="604"/>
      <c r="D50" s="604"/>
      <c r="E50" s="605"/>
    </row>
    <row r="51" spans="2:6" ht="15.75" thickTop="1" x14ac:dyDescent="0.25"/>
    <row r="52" spans="2:6" x14ac:dyDescent="0.25">
      <c r="B52" s="110"/>
      <c r="C52" s="110"/>
      <c r="D52" s="110"/>
      <c r="E52" s="110"/>
    </row>
    <row r="53" spans="2:6" x14ac:dyDescent="0.25">
      <c r="B53" s="522" t="s">
        <v>338</v>
      </c>
      <c r="C53" s="515"/>
      <c r="D53" s="176"/>
      <c r="E53" s="176"/>
    </row>
    <row r="54" spans="2:6" x14ac:dyDescent="0.25">
      <c r="B54" s="176" t="s">
        <v>184</v>
      </c>
      <c r="C54" s="176"/>
      <c r="D54" s="177"/>
      <c r="E54" s="177"/>
    </row>
    <row r="55" spans="2:6" x14ac:dyDescent="0.25">
      <c r="B55" s="178"/>
      <c r="C55" s="178" t="s">
        <v>92</v>
      </c>
      <c r="D55" s="178" t="s">
        <v>93</v>
      </c>
      <c r="E55" s="178" t="s">
        <v>94</v>
      </c>
      <c r="F55" s="93"/>
    </row>
    <row r="56" spans="2:6" x14ac:dyDescent="0.25">
      <c r="B56" s="176"/>
      <c r="C56" s="176"/>
      <c r="D56" s="176"/>
      <c r="E56" s="176"/>
    </row>
    <row r="57" spans="2:6" x14ac:dyDescent="0.25">
      <c r="B57" s="176" t="s">
        <v>155</v>
      </c>
      <c r="C57" s="176"/>
      <c r="D57" s="477">
        <f>+E21</f>
        <v>20299000</v>
      </c>
      <c r="E57" s="181"/>
    </row>
    <row r="58" spans="2:6" x14ac:dyDescent="0.25">
      <c r="B58" s="176" t="s">
        <v>43</v>
      </c>
      <c r="C58" s="176"/>
      <c r="D58" s="181">
        <f>+E22</f>
        <v>8581363.6363636367</v>
      </c>
      <c r="E58" s="181"/>
    </row>
    <row r="59" spans="2:6" x14ac:dyDescent="0.25">
      <c r="B59" s="176" t="s">
        <v>156</v>
      </c>
      <c r="C59" s="176"/>
      <c r="D59" s="181">
        <f>+E23</f>
        <v>1850000</v>
      </c>
      <c r="E59" s="181"/>
    </row>
    <row r="60" spans="2:6" x14ac:dyDescent="0.25">
      <c r="B60" s="176" t="s">
        <v>157</v>
      </c>
      <c r="C60" s="176"/>
      <c r="D60" s="181">
        <f>+E24</f>
        <v>29122500</v>
      </c>
      <c r="E60" s="181"/>
    </row>
    <row r="61" spans="2:6" x14ac:dyDescent="0.25">
      <c r="B61" s="176"/>
      <c r="C61" s="176" t="s">
        <v>42</v>
      </c>
      <c r="D61" s="181"/>
      <c r="E61" s="477">
        <f>+D20</f>
        <v>59852863.63636364</v>
      </c>
    </row>
    <row r="62" spans="2:6" ht="15.75" thickBot="1" x14ac:dyDescent="0.3">
      <c r="B62" s="176"/>
      <c r="C62" s="176"/>
      <c r="D62" s="481">
        <f>SUM(D57:D61)</f>
        <v>59852863.63636364</v>
      </c>
      <c r="E62" s="481">
        <f>SUM(E57:E61)</f>
        <v>59852863.63636364</v>
      </c>
    </row>
    <row r="63" spans="2:6" ht="32.65" customHeight="1" thickTop="1" x14ac:dyDescent="0.25">
      <c r="B63" s="601" t="s">
        <v>334</v>
      </c>
      <c r="C63" s="601"/>
      <c r="D63" s="601"/>
      <c r="E63" s="601"/>
    </row>
    <row r="64" spans="2:6" x14ac:dyDescent="0.25">
      <c r="D64" s="9"/>
      <c r="E64" s="9"/>
    </row>
    <row r="65" spans="1:19" ht="15.75" thickBot="1" x14ac:dyDescent="0.3">
      <c r="D65" s="198"/>
    </row>
    <row r="66" spans="1:19" ht="15.75" thickTop="1" x14ac:dyDescent="0.25">
      <c r="B66" s="521" t="s">
        <v>339</v>
      </c>
      <c r="C66" s="369"/>
      <c r="D66" s="370"/>
      <c r="E66" s="371"/>
      <c r="F66" s="9"/>
    </row>
    <row r="67" spans="1:19" x14ac:dyDescent="0.25">
      <c r="B67" s="372" t="s">
        <v>185</v>
      </c>
      <c r="C67" s="96"/>
      <c r="D67" s="368"/>
      <c r="E67" s="373"/>
      <c r="F67" s="9"/>
    </row>
    <row r="68" spans="1:19" ht="18.75" x14ac:dyDescent="0.3">
      <c r="A68" s="93"/>
      <c r="B68" s="374"/>
      <c r="C68" s="103" t="s">
        <v>92</v>
      </c>
      <c r="D68" s="103" t="s">
        <v>93</v>
      </c>
      <c r="E68" s="375" t="s">
        <v>94</v>
      </c>
      <c r="F68" s="9"/>
      <c r="J68" s="96"/>
      <c r="K68" s="96"/>
      <c r="L68" s="96"/>
      <c r="M68" s="99"/>
      <c r="N68" s="72"/>
      <c r="O68" s="96"/>
      <c r="P68" s="96"/>
      <c r="Q68" s="96"/>
      <c r="R68" s="96"/>
      <c r="S68" s="96"/>
    </row>
    <row r="69" spans="1:19" ht="18.75" x14ac:dyDescent="0.3">
      <c r="A69" s="148"/>
      <c r="B69" s="372" t="s">
        <v>237</v>
      </c>
      <c r="C69" s="103"/>
      <c r="D69" s="60">
        <f>+'Data for Settlement &amp; 1st TU'!I63</f>
        <v>5200000</v>
      </c>
      <c r="E69" s="375"/>
      <c r="F69" s="9"/>
      <c r="L69" s="96"/>
      <c r="M69" s="99"/>
      <c r="N69" s="72"/>
      <c r="O69" s="96"/>
      <c r="P69" s="96"/>
      <c r="Q69" s="96"/>
      <c r="R69" s="96"/>
      <c r="S69" s="96"/>
    </row>
    <row r="70" spans="1:19" ht="15" customHeight="1" x14ac:dyDescent="0.3">
      <c r="B70" s="372" t="s">
        <v>142</v>
      </c>
      <c r="C70" s="96"/>
      <c r="D70" s="60">
        <f>+'Data for Settlement &amp; 1st TU'!I64</f>
        <v>15520433.765469097</v>
      </c>
      <c r="E70" s="376"/>
      <c r="F70" s="9"/>
      <c r="J70" s="96"/>
      <c r="K70" s="96"/>
      <c r="L70" s="96"/>
      <c r="M70" s="99"/>
      <c r="N70" s="72"/>
      <c r="O70" s="96"/>
      <c r="P70" s="96"/>
      <c r="Q70" s="96"/>
      <c r="R70" s="96"/>
      <c r="S70" s="96"/>
    </row>
    <row r="71" spans="1:19" ht="15.75" customHeight="1" x14ac:dyDescent="0.3">
      <c r="B71" s="372" t="s">
        <v>144</v>
      </c>
      <c r="C71" s="96"/>
      <c r="D71" s="60">
        <f>+'Data for Settlement &amp; 1st TU'!I65</f>
        <v>1980000</v>
      </c>
      <c r="E71" s="376"/>
      <c r="F71" s="9"/>
      <c r="J71" s="96"/>
      <c r="K71" s="96"/>
      <c r="L71" s="96"/>
      <c r="M71" s="99"/>
      <c r="N71" s="72"/>
      <c r="O71" s="96"/>
      <c r="P71" s="96"/>
      <c r="Q71" s="96"/>
      <c r="R71" s="96"/>
      <c r="S71" s="96"/>
    </row>
    <row r="72" spans="1:19" x14ac:dyDescent="0.25">
      <c r="B72" s="372" t="s">
        <v>143</v>
      </c>
      <c r="C72" s="96"/>
      <c r="D72" s="60">
        <f>+'Data for Settlement &amp; 1st TU'!I66</f>
        <v>19890798.75</v>
      </c>
      <c r="E72" s="376"/>
      <c r="F72" s="9"/>
      <c r="J72" s="96"/>
      <c r="K72" s="96"/>
      <c r="L72" s="96"/>
      <c r="M72" s="100"/>
      <c r="N72" s="101"/>
      <c r="O72" s="96"/>
      <c r="P72" s="96"/>
      <c r="Q72" s="96"/>
      <c r="R72" s="96"/>
      <c r="S72" s="96"/>
    </row>
    <row r="73" spans="1:19" x14ac:dyDescent="0.25">
      <c r="B73" s="372" t="s">
        <v>145</v>
      </c>
      <c r="C73" s="96"/>
      <c r="D73" s="60">
        <f>+'Data for Settlement &amp; 1st TU'!I67</f>
        <v>24310976.25</v>
      </c>
      <c r="E73" s="376"/>
      <c r="J73" s="96"/>
      <c r="K73" s="96"/>
      <c r="L73" s="96"/>
      <c r="M73" s="102"/>
      <c r="N73" s="103"/>
      <c r="O73" s="104"/>
      <c r="P73" s="61"/>
      <c r="Q73" s="96"/>
      <c r="R73" s="96"/>
      <c r="S73" s="96"/>
    </row>
    <row r="74" spans="1:19" x14ac:dyDescent="0.25">
      <c r="B74" s="372"/>
      <c r="C74" s="96" t="s">
        <v>146</v>
      </c>
      <c r="D74" s="60"/>
      <c r="E74" s="476">
        <f>-'Data for Settlement &amp; 1st TU'!D68</f>
        <v>4496000.0000000019</v>
      </c>
      <c r="J74" s="96"/>
      <c r="K74" s="96"/>
      <c r="L74" s="96"/>
      <c r="M74" s="102"/>
      <c r="N74" s="103"/>
      <c r="O74" s="104"/>
      <c r="P74" s="61"/>
      <c r="Q74" s="96"/>
      <c r="R74" s="96"/>
      <c r="S74" s="96"/>
    </row>
    <row r="75" spans="1:19" s="93" customFormat="1" x14ac:dyDescent="0.25">
      <c r="A75" s="12"/>
      <c r="B75" s="372"/>
      <c r="C75" s="96" t="s">
        <v>350</v>
      </c>
      <c r="D75" s="103"/>
      <c r="E75" s="376">
        <f>-'Data for Settlement &amp; 1st TU'!I69</f>
        <v>4965699.2353440998</v>
      </c>
    </row>
    <row r="76" spans="1:19" x14ac:dyDescent="0.25">
      <c r="B76" s="372"/>
      <c r="C76" s="96" t="s">
        <v>1</v>
      </c>
      <c r="D76" s="60"/>
      <c r="E76" s="476">
        <f>SUM(D69:D73)-E74-E75</f>
        <v>57440509.530125</v>
      </c>
      <c r="J76" s="96"/>
      <c r="K76" s="96"/>
      <c r="L76" s="96"/>
      <c r="M76" s="96"/>
      <c r="N76" s="101"/>
      <c r="O76" s="97"/>
      <c r="P76" s="60"/>
      <c r="Q76" s="96"/>
      <c r="R76" s="96"/>
      <c r="S76" s="96"/>
    </row>
    <row r="77" spans="1:19" ht="15.75" thickBot="1" x14ac:dyDescent="0.3">
      <c r="B77" s="372"/>
      <c r="C77" s="96"/>
      <c r="D77" s="56">
        <f>SUM(D69:D76)</f>
        <v>66902208.765469097</v>
      </c>
      <c r="E77" s="377">
        <f>SUM(E69:E76)</f>
        <v>66902208.765469104</v>
      </c>
      <c r="J77" s="96"/>
      <c r="K77" s="96"/>
      <c r="L77" s="96"/>
      <c r="M77" s="96"/>
      <c r="N77" s="101"/>
      <c r="O77" s="97"/>
      <c r="P77" s="60"/>
      <c r="Q77" s="96"/>
      <c r="R77" s="96"/>
      <c r="S77" s="96"/>
    </row>
    <row r="78" spans="1:19" ht="78.599999999999994" customHeight="1" thickTop="1" thickBot="1" x14ac:dyDescent="0.3">
      <c r="B78" s="595" t="s">
        <v>335</v>
      </c>
      <c r="C78" s="596"/>
      <c r="D78" s="596"/>
      <c r="E78" s="597"/>
      <c r="J78" s="96"/>
      <c r="K78" s="96"/>
      <c r="L78" s="96"/>
      <c r="M78" s="96"/>
      <c r="N78" s="101"/>
      <c r="O78" s="97"/>
      <c r="P78" s="60"/>
      <c r="Q78" s="96"/>
      <c r="R78" s="96"/>
      <c r="S78" s="96"/>
    </row>
    <row r="79" spans="1:19" ht="15.75" thickTop="1" x14ac:dyDescent="0.25">
      <c r="B79" s="184"/>
      <c r="C79" s="184"/>
      <c r="D79" s="184"/>
      <c r="E79" s="184"/>
      <c r="J79" s="96"/>
      <c r="K79" s="96"/>
      <c r="L79" s="96"/>
      <c r="M79" s="96"/>
      <c r="N79" s="101"/>
      <c r="O79" s="97"/>
      <c r="P79" s="60"/>
      <c r="Q79" s="96"/>
      <c r="R79" s="96"/>
      <c r="S79" s="96"/>
    </row>
    <row r="80" spans="1:19" ht="15.75" thickBot="1" x14ac:dyDescent="0.3">
      <c r="J80" s="96"/>
      <c r="K80" s="96"/>
      <c r="L80" s="96"/>
      <c r="M80" s="96"/>
      <c r="N80" s="72"/>
      <c r="O80" s="97"/>
      <c r="P80" s="60"/>
      <c r="Q80" s="96"/>
      <c r="R80" s="96"/>
      <c r="S80" s="96"/>
    </row>
    <row r="81" spans="1:19" ht="20.25" customHeight="1" thickTop="1" x14ac:dyDescent="0.25">
      <c r="A81" s="9"/>
      <c r="B81" s="521" t="s">
        <v>336</v>
      </c>
      <c r="C81" s="369"/>
      <c r="D81" s="369"/>
      <c r="E81" s="378"/>
      <c r="J81" s="96"/>
      <c r="K81" s="96"/>
      <c r="L81" s="96"/>
      <c r="M81" s="96"/>
      <c r="N81" s="72"/>
      <c r="O81" s="97"/>
      <c r="P81" s="60"/>
      <c r="Q81" s="96"/>
      <c r="R81" s="96"/>
      <c r="S81" s="96"/>
    </row>
    <row r="82" spans="1:19" ht="19.5" customHeight="1" x14ac:dyDescent="0.25">
      <c r="A82" s="9"/>
      <c r="B82" s="372" t="s">
        <v>246</v>
      </c>
      <c r="C82" s="96"/>
      <c r="D82" s="368"/>
      <c r="E82" s="373"/>
      <c r="G82" s="142"/>
      <c r="J82" s="96"/>
      <c r="K82" s="96"/>
      <c r="L82" s="96"/>
      <c r="M82" s="96"/>
      <c r="N82" s="72"/>
      <c r="O82" s="97"/>
      <c r="P82" s="60"/>
      <c r="Q82" s="96"/>
      <c r="R82" s="96"/>
      <c r="S82" s="96"/>
    </row>
    <row r="83" spans="1:19" ht="15.75" customHeight="1" x14ac:dyDescent="0.25">
      <c r="A83" s="93"/>
      <c r="B83" s="374"/>
      <c r="C83" s="103" t="s">
        <v>92</v>
      </c>
      <c r="D83" s="103" t="s">
        <v>93</v>
      </c>
      <c r="E83" s="375" t="s">
        <v>94</v>
      </c>
      <c r="J83" s="96"/>
      <c r="K83" s="96"/>
      <c r="L83" s="96"/>
      <c r="M83" s="96"/>
      <c r="N83" s="72"/>
      <c r="O83" s="97"/>
      <c r="P83" s="60"/>
      <c r="Q83" s="96"/>
      <c r="R83" s="96"/>
      <c r="S83" s="96"/>
    </row>
    <row r="84" spans="1:19" s="148" customFormat="1" x14ac:dyDescent="0.25">
      <c r="A84" s="9"/>
      <c r="B84" s="599" t="s">
        <v>5</v>
      </c>
      <c r="C84" s="600"/>
      <c r="D84" s="482">
        <f>+E85</f>
        <v>2255213.8937613554</v>
      </c>
      <c r="E84" s="485"/>
    </row>
    <row r="85" spans="1:19" x14ac:dyDescent="0.25">
      <c r="A85" s="9"/>
      <c r="B85" s="372"/>
      <c r="C85" s="96" t="s">
        <v>6</v>
      </c>
      <c r="D85" s="486"/>
      <c r="E85" s="483">
        <f>-'RPP Settlement &amp; 1st TU'!K46</f>
        <v>2255213.8937613554</v>
      </c>
      <c r="F85" s="9"/>
    </row>
    <row r="86" spans="1:19" ht="15.75" thickBot="1" x14ac:dyDescent="0.3">
      <c r="A86" s="9"/>
      <c r="B86" s="372"/>
      <c r="C86" s="96"/>
      <c r="D86" s="436">
        <f>SUM(D84:D85)</f>
        <v>2255213.8937613554</v>
      </c>
      <c r="E86" s="484">
        <f>SUM(E84:E85)</f>
        <v>2255213.8937613554</v>
      </c>
      <c r="F86" s="9"/>
    </row>
    <row r="87" spans="1:19" ht="35.65" customHeight="1" thickTop="1" thickBot="1" x14ac:dyDescent="0.3">
      <c r="A87" s="9"/>
      <c r="B87" s="595" t="s">
        <v>371</v>
      </c>
      <c r="C87" s="596"/>
      <c r="D87" s="596"/>
      <c r="E87" s="597"/>
      <c r="F87" s="9"/>
    </row>
    <row r="88" spans="1:19" ht="15.75" thickTop="1" x14ac:dyDescent="0.25">
      <c r="A88" s="9"/>
      <c r="B88" s="184"/>
      <c r="C88" s="184"/>
      <c r="D88" s="184"/>
      <c r="E88" s="184"/>
      <c r="F88" s="9"/>
    </row>
    <row r="89" spans="1:19" x14ac:dyDescent="0.25">
      <c r="A89" s="9"/>
      <c r="B89" s="147"/>
      <c r="C89" s="147"/>
      <c r="D89" s="147"/>
      <c r="E89" s="147"/>
    </row>
    <row r="90" spans="1:19" x14ac:dyDescent="0.25">
      <c r="B90" s="522" t="s">
        <v>336</v>
      </c>
      <c r="C90" s="176"/>
      <c r="D90" s="180"/>
      <c r="E90" s="180"/>
    </row>
    <row r="91" spans="1:19" x14ac:dyDescent="0.25">
      <c r="A91" s="98"/>
      <c r="B91" s="176" t="s">
        <v>337</v>
      </c>
      <c r="C91" s="176"/>
      <c r="D91" s="177"/>
      <c r="E91" s="177"/>
    </row>
    <row r="92" spans="1:19" x14ac:dyDescent="0.25">
      <c r="A92" s="148"/>
      <c r="B92" s="178"/>
      <c r="C92" s="178" t="s">
        <v>92</v>
      </c>
      <c r="D92" s="178" t="s">
        <v>93</v>
      </c>
      <c r="E92" s="178" t="s">
        <v>94</v>
      </c>
    </row>
    <row r="93" spans="1:19" x14ac:dyDescent="0.25">
      <c r="A93" s="13"/>
      <c r="B93" s="176" t="s">
        <v>4</v>
      </c>
      <c r="C93" s="176"/>
      <c r="D93" s="477">
        <f>SUM(E94:E97)</f>
        <v>30981431.81818182</v>
      </c>
      <c r="E93" s="477"/>
    </row>
    <row r="94" spans="1:19" x14ac:dyDescent="0.25">
      <c r="A94" s="13"/>
      <c r="B94" s="176"/>
      <c r="C94" s="176" t="s">
        <v>147</v>
      </c>
      <c r="D94" s="477"/>
      <c r="E94" s="477">
        <f>'Data for Settlement &amp; 1st TU'!O85</f>
        <v>10149500</v>
      </c>
    </row>
    <row r="95" spans="1:19" x14ac:dyDescent="0.25">
      <c r="A95" s="13"/>
      <c r="B95" s="176"/>
      <c r="C95" s="176" t="s">
        <v>40</v>
      </c>
      <c r="D95" s="477"/>
      <c r="E95" s="507">
        <f>'Data for Settlement &amp; 1st TU'!O89</f>
        <v>4290681.8181818184</v>
      </c>
    </row>
    <row r="96" spans="1:19" x14ac:dyDescent="0.25">
      <c r="A96" s="13"/>
      <c r="B96" s="176"/>
      <c r="C96" s="176" t="s">
        <v>148</v>
      </c>
      <c r="D96" s="477"/>
      <c r="E96" s="507">
        <f>'Data for Settlement &amp; 1st TU'!O90</f>
        <v>1980000</v>
      </c>
    </row>
    <row r="97" spans="1:19" x14ac:dyDescent="0.25">
      <c r="A97" s="13"/>
      <c r="B97" s="176"/>
      <c r="C97" s="176" t="s">
        <v>149</v>
      </c>
      <c r="D97" s="477"/>
      <c r="E97" s="507">
        <f>'Data for Settlement &amp; 1st TU'!O91</f>
        <v>14561250</v>
      </c>
    </row>
    <row r="98" spans="1:19" ht="15.75" thickBot="1" x14ac:dyDescent="0.3">
      <c r="B98" s="176"/>
      <c r="C98" s="176"/>
      <c r="D98" s="478">
        <f>SUM(D93:D97)</f>
        <v>30981431.81818182</v>
      </c>
      <c r="E98" s="478">
        <f>SUM(E93:E97)</f>
        <v>30981431.81818182</v>
      </c>
    </row>
    <row r="99" spans="1:19" ht="78" customHeight="1" thickTop="1" x14ac:dyDescent="0.25">
      <c r="B99" s="598" t="s">
        <v>364</v>
      </c>
      <c r="C99" s="598"/>
      <c r="D99" s="598"/>
      <c r="E99" s="598"/>
    </row>
    <row r="100" spans="1:19" s="186" customFormat="1" x14ac:dyDescent="0.25">
      <c r="B100" s="187"/>
      <c r="C100" s="187"/>
      <c r="D100" s="187"/>
      <c r="E100" s="187"/>
      <c r="F100" s="63"/>
    </row>
    <row r="101" spans="1:19" x14ac:dyDescent="0.25">
      <c r="C101" s="155"/>
      <c r="D101" s="155"/>
      <c r="E101" s="155"/>
      <c r="F101" s="9"/>
    </row>
    <row r="102" spans="1:19" x14ac:dyDescent="0.25">
      <c r="B102" s="522" t="s">
        <v>340</v>
      </c>
      <c r="C102" s="176"/>
      <c r="D102" s="180"/>
      <c r="E102" s="180"/>
      <c r="F102" s="9"/>
    </row>
    <row r="103" spans="1:19" x14ac:dyDescent="0.25">
      <c r="B103" s="176" t="s">
        <v>341</v>
      </c>
      <c r="C103" s="176"/>
      <c r="D103" s="177"/>
      <c r="E103" s="177"/>
      <c r="F103" s="9"/>
    </row>
    <row r="104" spans="1:19" x14ac:dyDescent="0.25">
      <c r="B104" s="178"/>
      <c r="C104" s="178" t="s">
        <v>92</v>
      </c>
      <c r="D104" s="178" t="s">
        <v>93</v>
      </c>
      <c r="E104" s="178" t="s">
        <v>94</v>
      </c>
      <c r="F104" s="9"/>
    </row>
    <row r="105" spans="1:19" x14ac:dyDescent="0.25">
      <c r="A105" s="13"/>
      <c r="B105" s="176" t="s">
        <v>4</v>
      </c>
      <c r="C105" s="176"/>
      <c r="D105" s="477">
        <f>SUM(E106:E108)</f>
        <v>29001431.81818182</v>
      </c>
      <c r="E105" s="477"/>
      <c r="F105" s="9"/>
    </row>
    <row r="106" spans="1:19" x14ac:dyDescent="0.25">
      <c r="B106" s="176"/>
      <c r="C106" s="176" t="s">
        <v>235</v>
      </c>
      <c r="D106" s="477"/>
      <c r="E106" s="477">
        <f>'Data for Settlement &amp; 1st TU'!P85</f>
        <v>10149500</v>
      </c>
      <c r="F106" s="9"/>
      <c r="I106" s="602"/>
      <c r="J106" s="602"/>
      <c r="K106" s="602"/>
      <c r="L106" s="602"/>
    </row>
    <row r="107" spans="1:19" x14ac:dyDescent="0.25">
      <c r="B107" s="176"/>
      <c r="C107" s="176" t="s">
        <v>191</v>
      </c>
      <c r="D107" s="477"/>
      <c r="E107" s="507">
        <f>'Data for Settlement &amp; 1st TU'!P89</f>
        <v>4290681.8181818184</v>
      </c>
      <c r="F107" s="9"/>
    </row>
    <row r="108" spans="1:19" x14ac:dyDescent="0.25">
      <c r="B108" s="176"/>
      <c r="C108" s="176" t="s">
        <v>192</v>
      </c>
      <c r="D108" s="477"/>
      <c r="E108" s="507">
        <f>'Data for Settlement &amp; 1st TU'!P91</f>
        <v>14561250</v>
      </c>
      <c r="F108" s="9"/>
    </row>
    <row r="109" spans="1:19" ht="15.75" thickBot="1" x14ac:dyDescent="0.3">
      <c r="B109" s="176"/>
      <c r="C109" s="176"/>
      <c r="D109" s="478">
        <f>SUM(D105:D108)</f>
        <v>29001431.81818182</v>
      </c>
      <c r="E109" s="478">
        <f>SUM(E105:E108)</f>
        <v>29001431.81818182</v>
      </c>
    </row>
    <row r="110" spans="1:19" ht="106.5" customHeight="1" thickTop="1" x14ac:dyDescent="0.25">
      <c r="B110" s="598" t="s">
        <v>365</v>
      </c>
      <c r="C110" s="598"/>
      <c r="D110" s="598"/>
      <c r="E110" s="598"/>
      <c r="F110" s="9"/>
    </row>
    <row r="111" spans="1:19" x14ac:dyDescent="0.25">
      <c r="B111" s="156"/>
      <c r="C111" s="156"/>
      <c r="D111" s="156"/>
      <c r="E111" s="156"/>
      <c r="F111" s="9"/>
      <c r="J111" s="96"/>
      <c r="K111" s="96"/>
      <c r="L111" s="96"/>
      <c r="M111" s="96"/>
      <c r="N111" s="72"/>
      <c r="O111" s="97"/>
      <c r="P111" s="60"/>
      <c r="Q111" s="96"/>
      <c r="R111" s="96"/>
      <c r="S111" s="96"/>
    </row>
    <row r="112" spans="1:19" ht="15.75" thickBot="1" x14ac:dyDescent="0.3">
      <c r="B112" s="156"/>
      <c r="C112" s="156"/>
      <c r="D112" s="156"/>
      <c r="E112" s="156"/>
      <c r="F112" s="9"/>
      <c r="J112" s="96"/>
      <c r="K112" s="96"/>
      <c r="L112" s="96"/>
      <c r="M112" s="96"/>
      <c r="N112" s="72"/>
      <c r="O112" s="97"/>
      <c r="P112" s="60"/>
      <c r="Q112" s="96"/>
      <c r="R112" s="96"/>
      <c r="S112" s="96"/>
    </row>
    <row r="113" spans="1:19" ht="15.75" thickTop="1" x14ac:dyDescent="0.25">
      <c r="A113" s="9"/>
      <c r="B113" s="521" t="s">
        <v>340</v>
      </c>
      <c r="C113" s="395"/>
      <c r="D113" s="395"/>
      <c r="E113" s="396"/>
      <c r="F113" s="9"/>
    </row>
    <row r="114" spans="1:19" ht="18" customHeight="1" x14ac:dyDescent="0.25">
      <c r="A114" s="9"/>
      <c r="B114" s="525" t="s">
        <v>342</v>
      </c>
      <c r="C114" s="392"/>
      <c r="D114" s="392"/>
      <c r="E114" s="397"/>
      <c r="J114" s="96"/>
      <c r="K114" s="96"/>
      <c r="L114" s="96"/>
      <c r="M114" s="96"/>
      <c r="N114" s="72"/>
      <c r="O114" s="97"/>
      <c r="P114" s="60"/>
      <c r="Q114" s="96"/>
      <c r="R114" s="96"/>
      <c r="S114" s="96"/>
    </row>
    <row r="115" spans="1:19" x14ac:dyDescent="0.25">
      <c r="A115" s="148"/>
      <c r="B115" s="374"/>
      <c r="C115" s="103" t="s">
        <v>92</v>
      </c>
      <c r="D115" s="103" t="s">
        <v>93</v>
      </c>
      <c r="E115" s="375" t="s">
        <v>94</v>
      </c>
      <c r="J115" s="96"/>
      <c r="K115" s="96"/>
      <c r="L115" s="96"/>
      <c r="M115" s="105"/>
      <c r="N115" s="72"/>
      <c r="O115" s="97"/>
      <c r="P115" s="60"/>
      <c r="Q115" s="96"/>
      <c r="R115" s="96"/>
      <c r="S115" s="96"/>
    </row>
    <row r="116" spans="1:19" x14ac:dyDescent="0.25">
      <c r="A116" s="13"/>
      <c r="B116" s="372" t="s">
        <v>187</v>
      </c>
      <c r="C116" s="96"/>
      <c r="D116" s="480">
        <f>'T-Accounts'!D64</f>
        <v>13955.750000044703</v>
      </c>
      <c r="E116" s="376"/>
      <c r="F116" s="183"/>
    </row>
    <row r="117" spans="1:19" x14ac:dyDescent="0.25">
      <c r="A117" s="13"/>
      <c r="B117" s="372" t="s">
        <v>186</v>
      </c>
      <c r="C117" s="96"/>
      <c r="D117" s="60">
        <f>'T-Accounts'!M64</f>
        <v>2668476.25</v>
      </c>
      <c r="E117" s="376"/>
      <c r="F117" s="183"/>
    </row>
    <row r="118" spans="1:19" s="93" customFormat="1" x14ac:dyDescent="0.25">
      <c r="A118" s="13"/>
      <c r="B118" s="372"/>
      <c r="C118" s="96" t="s">
        <v>6</v>
      </c>
      <c r="D118" s="60"/>
      <c r="E118" s="476">
        <f>D116</f>
        <v>13955.750000044703</v>
      </c>
      <c r="F118" s="12"/>
    </row>
    <row r="119" spans="1:19" x14ac:dyDescent="0.25">
      <c r="B119" s="372"/>
      <c r="C119" s="96" t="s">
        <v>198</v>
      </c>
      <c r="D119" s="96"/>
      <c r="E119" s="389">
        <f>+D117</f>
        <v>2668476.25</v>
      </c>
      <c r="F119" s="183"/>
    </row>
    <row r="120" spans="1:19" ht="15.75" thickBot="1" x14ac:dyDescent="0.3">
      <c r="A120" s="9"/>
      <c r="B120" s="372"/>
      <c r="C120" s="96"/>
      <c r="D120" s="436">
        <f>SUM(D116:D119)</f>
        <v>2682432.0000000447</v>
      </c>
      <c r="E120" s="479">
        <f>SUM(E116:E119)</f>
        <v>2682432.0000000447</v>
      </c>
    </row>
    <row r="121" spans="1:19" ht="16.5" thickTop="1" thickBot="1" x14ac:dyDescent="0.3">
      <c r="A121" s="9"/>
      <c r="B121" s="398" t="s">
        <v>343</v>
      </c>
      <c r="C121" s="399"/>
      <c r="D121" s="400"/>
      <c r="E121" s="401"/>
    </row>
    <row r="122" spans="1:19" ht="15.75" thickTop="1" x14ac:dyDescent="0.25">
      <c r="A122" s="9"/>
      <c r="B122" s="147"/>
      <c r="C122" s="147"/>
      <c r="D122" s="147"/>
      <c r="E122" s="147"/>
    </row>
    <row r="123" spans="1:19" x14ac:dyDescent="0.25">
      <c r="A123" s="9"/>
      <c r="B123" s="147"/>
      <c r="C123" s="147"/>
      <c r="D123" s="147"/>
      <c r="E123" s="147"/>
    </row>
    <row r="124" spans="1:19" x14ac:dyDescent="0.25">
      <c r="B124" s="522" t="s">
        <v>344</v>
      </c>
      <c r="C124" s="176"/>
      <c r="D124" s="180"/>
      <c r="E124" s="180"/>
    </row>
    <row r="125" spans="1:19" x14ac:dyDescent="0.25">
      <c r="A125" s="98"/>
      <c r="B125" s="176" t="s">
        <v>345</v>
      </c>
      <c r="C125" s="176"/>
      <c r="D125" s="177"/>
      <c r="E125" s="177"/>
    </row>
    <row r="126" spans="1:19" x14ac:dyDescent="0.25">
      <c r="A126" s="148"/>
      <c r="B126" s="178"/>
      <c r="C126" s="178" t="s">
        <v>92</v>
      </c>
      <c r="D126" s="178" t="s">
        <v>93</v>
      </c>
      <c r="E126" s="178" t="s">
        <v>94</v>
      </c>
    </row>
    <row r="127" spans="1:19" x14ac:dyDescent="0.25">
      <c r="A127" s="13"/>
      <c r="B127" s="176" t="s">
        <v>155</v>
      </c>
      <c r="C127" s="176"/>
      <c r="D127" s="477">
        <f>'Data for Settlement &amp; 1st TU'!P85</f>
        <v>10149500</v>
      </c>
      <c r="E127" s="181"/>
    </row>
    <row r="128" spans="1:19" x14ac:dyDescent="0.25">
      <c r="A128" s="13"/>
      <c r="B128" s="176" t="s">
        <v>43</v>
      </c>
      <c r="C128" s="176"/>
      <c r="D128" s="181">
        <f>'Data for Settlement &amp; 1st TU'!P89</f>
        <v>4290681.8181818184</v>
      </c>
      <c r="E128" s="181"/>
    </row>
    <row r="129" spans="1:7" x14ac:dyDescent="0.25">
      <c r="B129" s="176" t="s">
        <v>157</v>
      </c>
      <c r="C129" s="176"/>
      <c r="D129" s="181">
        <f>'Data for Settlement &amp; 1st TU'!P91</f>
        <v>14561250</v>
      </c>
      <c r="E129" s="181"/>
    </row>
    <row r="130" spans="1:7" x14ac:dyDescent="0.25">
      <c r="B130" s="176"/>
      <c r="C130" s="176" t="s">
        <v>42</v>
      </c>
      <c r="D130" s="181"/>
      <c r="E130" s="477">
        <f>'Data for Settlement &amp; 1st TU'!P94</f>
        <v>29001431.81818182</v>
      </c>
    </row>
    <row r="131" spans="1:7" ht="15.75" thickBot="1" x14ac:dyDescent="0.3">
      <c r="B131" s="176"/>
      <c r="C131" s="176"/>
      <c r="D131" s="481">
        <f>SUM(D127:D130)</f>
        <v>29001431.81818182</v>
      </c>
      <c r="E131" s="478">
        <f>SUM(E127:E130)</f>
        <v>29001431.81818182</v>
      </c>
    </row>
    <row r="132" spans="1:7" ht="16.899999999999999" customHeight="1" thickTop="1" x14ac:dyDescent="0.25">
      <c r="B132" s="601" t="s">
        <v>346</v>
      </c>
      <c r="C132" s="601"/>
      <c r="D132" s="601"/>
      <c r="E132" s="601"/>
    </row>
    <row r="133" spans="1:7" x14ac:dyDescent="0.25">
      <c r="C133" s="185"/>
      <c r="D133" s="185"/>
      <c r="E133" s="185"/>
      <c r="F133" s="9"/>
    </row>
    <row r="134" spans="1:7" x14ac:dyDescent="0.25">
      <c r="C134" s="146"/>
      <c r="D134" s="146"/>
      <c r="E134" s="146"/>
      <c r="F134" s="9"/>
    </row>
    <row r="135" spans="1:7" x14ac:dyDescent="0.25">
      <c r="A135" s="9"/>
      <c r="B135" s="522" t="s">
        <v>347</v>
      </c>
      <c r="C135" s="176"/>
      <c r="D135" s="176"/>
      <c r="E135" s="176"/>
    </row>
    <row r="136" spans="1:7" x14ac:dyDescent="0.25">
      <c r="A136" s="9"/>
      <c r="B136" s="176" t="s">
        <v>217</v>
      </c>
      <c r="C136" s="176"/>
      <c r="D136" s="176"/>
      <c r="E136" s="176"/>
    </row>
    <row r="137" spans="1:7" x14ac:dyDescent="0.25">
      <c r="A137" s="93"/>
      <c r="B137" s="178"/>
      <c r="C137" s="178" t="s">
        <v>92</v>
      </c>
      <c r="D137" s="178" t="s">
        <v>93</v>
      </c>
      <c r="E137" s="178" t="s">
        <v>94</v>
      </c>
    </row>
    <row r="138" spans="1:7" x14ac:dyDescent="0.25">
      <c r="A138" s="9"/>
      <c r="B138" s="176" t="s">
        <v>4</v>
      </c>
      <c r="C138" s="176"/>
      <c r="D138" s="487">
        <f>'Data for 2nd TU'!L84+'Data for 2nd TU'!L91</f>
        <v>29995219.504280858</v>
      </c>
      <c r="E138" s="176"/>
    </row>
    <row r="139" spans="1:7" x14ac:dyDescent="0.25">
      <c r="A139" s="9"/>
      <c r="B139" s="176"/>
      <c r="C139" s="176" t="s">
        <v>147</v>
      </c>
      <c r="D139" s="176"/>
      <c r="E139" s="487">
        <f>'Data for 2nd TU'!L84</f>
        <v>9494062.7505511977</v>
      </c>
      <c r="G139" s="116"/>
    </row>
    <row r="140" spans="1:7" x14ac:dyDescent="0.25">
      <c r="A140" s="9"/>
      <c r="B140" s="176"/>
      <c r="C140" s="176" t="s">
        <v>40</v>
      </c>
      <c r="D140" s="176"/>
      <c r="E140" s="179">
        <f>'Data for 2nd TU'!L88</f>
        <v>4653221.7537296601</v>
      </c>
      <c r="G140" s="116"/>
    </row>
    <row r="141" spans="1:7" ht="14.65" customHeight="1" x14ac:dyDescent="0.25">
      <c r="A141" s="9"/>
      <c r="B141" s="176"/>
      <c r="C141" s="176" t="s">
        <v>149</v>
      </c>
      <c r="D141" s="176"/>
      <c r="E141" s="179">
        <f>'Data for 2nd TU'!L90</f>
        <v>15847935</v>
      </c>
      <c r="G141" s="116"/>
    </row>
    <row r="142" spans="1:7" ht="15.75" thickBot="1" x14ac:dyDescent="0.3">
      <c r="A142" s="9"/>
      <c r="B142" s="176"/>
      <c r="C142" s="176"/>
      <c r="D142" s="478">
        <f>SUM(D138:D141)</f>
        <v>29995219.504280858</v>
      </c>
      <c r="E142" s="478">
        <f>SUM(E138:E141)</f>
        <v>29995219.504280858</v>
      </c>
    </row>
    <row r="143" spans="1:7" ht="80.650000000000006" customHeight="1" thickTop="1" x14ac:dyDescent="0.25">
      <c r="A143" s="9"/>
      <c r="B143" s="598" t="s">
        <v>366</v>
      </c>
      <c r="C143" s="598"/>
      <c r="D143" s="598"/>
      <c r="E143" s="598"/>
    </row>
    <row r="144" spans="1:7" x14ac:dyDescent="0.25">
      <c r="A144" s="9"/>
    </row>
    <row r="145" spans="1:5" ht="15.75" thickBot="1" x14ac:dyDescent="0.3">
      <c r="A145" s="9"/>
    </row>
    <row r="146" spans="1:5" ht="18" customHeight="1" thickTop="1" x14ac:dyDescent="0.25">
      <c r="A146" s="9"/>
      <c r="B146" s="523" t="s">
        <v>347</v>
      </c>
      <c r="C146" s="369"/>
      <c r="D146" s="369"/>
      <c r="E146" s="378"/>
    </row>
    <row r="147" spans="1:5" ht="15.75" customHeight="1" x14ac:dyDescent="0.25">
      <c r="A147" s="9"/>
      <c r="B147" s="380" t="s">
        <v>218</v>
      </c>
      <c r="C147" s="381"/>
      <c r="D147" s="382"/>
      <c r="E147" s="383"/>
    </row>
    <row r="148" spans="1:5" ht="18.75" customHeight="1" x14ac:dyDescent="0.25">
      <c r="A148" s="9"/>
      <c r="B148" s="384"/>
      <c r="C148" s="385" t="s">
        <v>92</v>
      </c>
      <c r="D148" s="385" t="s">
        <v>93</v>
      </c>
      <c r="E148" s="386" t="s">
        <v>94</v>
      </c>
    </row>
    <row r="149" spans="1:5" ht="16.5" customHeight="1" x14ac:dyDescent="0.25">
      <c r="A149" s="9"/>
      <c r="B149" s="380" t="s">
        <v>0</v>
      </c>
      <c r="C149" s="381"/>
      <c r="D149" s="488">
        <f>E150</f>
        <v>648851.85457577126</v>
      </c>
      <c r="E149" s="489"/>
    </row>
    <row r="150" spans="1:5" ht="18" customHeight="1" x14ac:dyDescent="0.25">
      <c r="A150" s="9"/>
      <c r="B150" s="387"/>
      <c r="C150" s="388" t="s">
        <v>1</v>
      </c>
      <c r="D150" s="488"/>
      <c r="E150" s="489">
        <f>+'RPP 2nd TU'!K46</f>
        <v>648851.85457577126</v>
      </c>
    </row>
    <row r="151" spans="1:5" ht="18.75" customHeight="1" thickBot="1" x14ac:dyDescent="0.3">
      <c r="A151" s="9"/>
      <c r="B151" s="380"/>
      <c r="C151" s="381"/>
      <c r="D151" s="490">
        <f>SUM(D149:D150)</f>
        <v>648851.85457577126</v>
      </c>
      <c r="E151" s="524">
        <f>SUM(E149:E150)</f>
        <v>648851.85457577126</v>
      </c>
    </row>
    <row r="152" spans="1:5" ht="81" customHeight="1" thickTop="1" thickBot="1" x14ac:dyDescent="0.3">
      <c r="A152" s="9"/>
      <c r="B152" s="606" t="s">
        <v>367</v>
      </c>
      <c r="C152" s="607"/>
      <c r="D152" s="607"/>
      <c r="E152" s="608"/>
    </row>
    <row r="153" spans="1:5" ht="15.75" thickTop="1" x14ac:dyDescent="0.25">
      <c r="A153" s="9"/>
      <c r="B153" s="188"/>
      <c r="C153" s="188"/>
      <c r="D153" s="188"/>
      <c r="E153" s="188"/>
    </row>
    <row r="154" spans="1:5" ht="15.75" thickBot="1" x14ac:dyDescent="0.3">
      <c r="A154" s="9"/>
    </row>
    <row r="155" spans="1:5" ht="15.75" thickTop="1" x14ac:dyDescent="0.25">
      <c r="B155" s="523" t="s">
        <v>347</v>
      </c>
      <c r="C155" s="369"/>
      <c r="D155" s="369"/>
      <c r="E155" s="378"/>
    </row>
    <row r="156" spans="1:5" x14ac:dyDescent="0.25">
      <c r="B156" s="372" t="s">
        <v>219</v>
      </c>
      <c r="C156" s="96"/>
      <c r="D156" s="96"/>
      <c r="E156" s="379"/>
    </row>
    <row r="157" spans="1:5" x14ac:dyDescent="0.25">
      <c r="A157" s="93"/>
      <c r="B157" s="374"/>
      <c r="C157" s="103" t="s">
        <v>92</v>
      </c>
      <c r="D157" s="103" t="s">
        <v>93</v>
      </c>
      <c r="E157" s="375" t="s">
        <v>94</v>
      </c>
    </row>
    <row r="158" spans="1:5" x14ac:dyDescent="0.25">
      <c r="B158" s="372" t="s">
        <v>44</v>
      </c>
      <c r="C158" s="111"/>
      <c r="D158" s="111">
        <f>+'RPP vs non-RPP TU JE'!I7</f>
        <v>1010798.695137158</v>
      </c>
      <c r="E158" s="389"/>
    </row>
    <row r="159" spans="1:5" x14ac:dyDescent="0.25">
      <c r="B159" s="372"/>
      <c r="C159" s="96" t="s">
        <v>45</v>
      </c>
      <c r="D159" s="96"/>
      <c r="E159" s="389">
        <f>+D158</f>
        <v>1010798.695137158</v>
      </c>
    </row>
    <row r="160" spans="1:5" ht="15.75" thickBot="1" x14ac:dyDescent="0.3">
      <c r="B160" s="372"/>
      <c r="C160" s="96"/>
      <c r="D160" s="56">
        <f>SUM(D158:D159)</f>
        <v>1010798.695137158</v>
      </c>
      <c r="E160" s="377">
        <f>SUM(E158:E159)</f>
        <v>1010798.695137158</v>
      </c>
    </row>
    <row r="161" spans="2:6" ht="32.25" customHeight="1" thickTop="1" thickBot="1" x14ac:dyDescent="0.3">
      <c r="B161" s="595" t="s">
        <v>372</v>
      </c>
      <c r="C161" s="596"/>
      <c r="D161" s="596"/>
      <c r="E161" s="597"/>
    </row>
    <row r="162" spans="2:6" ht="15.75" thickTop="1" x14ac:dyDescent="0.25">
      <c r="B162" s="184"/>
      <c r="C162" s="184"/>
      <c r="D162" s="184"/>
      <c r="E162" s="184"/>
    </row>
    <row r="163" spans="2:6" ht="15.75" thickBot="1" x14ac:dyDescent="0.3"/>
    <row r="164" spans="2:6" ht="15.75" thickTop="1" x14ac:dyDescent="0.25">
      <c r="B164" s="523" t="s">
        <v>347</v>
      </c>
      <c r="C164" s="395"/>
      <c r="D164" s="395"/>
      <c r="E164" s="396"/>
    </row>
    <row r="165" spans="2:6" x14ac:dyDescent="0.25">
      <c r="B165" s="525" t="s">
        <v>348</v>
      </c>
      <c r="C165" s="392"/>
      <c r="D165" s="392"/>
      <c r="E165" s="397"/>
    </row>
    <row r="166" spans="2:6" x14ac:dyDescent="0.25">
      <c r="B166" s="374"/>
      <c r="C166" s="103" t="s">
        <v>92</v>
      </c>
      <c r="D166" s="103" t="s">
        <v>93</v>
      </c>
      <c r="E166" s="375" t="s">
        <v>94</v>
      </c>
    </row>
    <row r="167" spans="2:6" x14ac:dyDescent="0.25">
      <c r="B167" s="372" t="s">
        <v>0</v>
      </c>
      <c r="C167" s="96"/>
      <c r="D167" s="480">
        <f>'T-Accounts'!D32</f>
        <v>69049.526660426171</v>
      </c>
      <c r="E167" s="376"/>
      <c r="F167" s="183"/>
    </row>
    <row r="168" spans="2:6" x14ac:dyDescent="0.25">
      <c r="B168" s="372" t="s">
        <v>245</v>
      </c>
      <c r="C168" s="96"/>
      <c r="D168" s="60">
        <f>'T-Accounts'!M54</f>
        <v>275886.30486284196</v>
      </c>
      <c r="E168" s="376"/>
      <c r="F168" s="183"/>
    </row>
    <row r="169" spans="2:6" x14ac:dyDescent="0.25">
      <c r="B169" s="372"/>
      <c r="C169" s="96" t="s">
        <v>195</v>
      </c>
      <c r="D169" s="60"/>
      <c r="E169" s="476">
        <f>D167</f>
        <v>69049.526660426171</v>
      </c>
    </row>
    <row r="170" spans="2:6" x14ac:dyDescent="0.25">
      <c r="B170" s="372"/>
      <c r="C170" s="96" t="s">
        <v>196</v>
      </c>
      <c r="D170" s="96"/>
      <c r="E170" s="389">
        <f>D168</f>
        <v>275886.30486284196</v>
      </c>
    </row>
    <row r="171" spans="2:6" ht="15.75" thickBot="1" x14ac:dyDescent="0.3">
      <c r="B171" s="372"/>
      <c r="C171" s="96"/>
      <c r="D171" s="436">
        <f>SUM(D167:D170)</f>
        <v>344935.83152326813</v>
      </c>
      <c r="E171" s="484">
        <f>SUM(E167:E170)</f>
        <v>344935.83152326813</v>
      </c>
    </row>
    <row r="172" spans="2:6" ht="16.5" thickTop="1" thickBot="1" x14ac:dyDescent="0.3">
      <c r="B172" s="398" t="s">
        <v>363</v>
      </c>
      <c r="C172" s="399"/>
      <c r="D172" s="399"/>
      <c r="E172" s="402"/>
    </row>
    <row r="173" spans="2:6" ht="15.75" thickTop="1" x14ac:dyDescent="0.25"/>
  </sheetData>
  <mergeCells count="15">
    <mergeCell ref="I106:L106"/>
    <mergeCell ref="B14:E14"/>
    <mergeCell ref="B78:E78"/>
    <mergeCell ref="B50:E50"/>
    <mergeCell ref="B152:E152"/>
    <mergeCell ref="B132:E132"/>
    <mergeCell ref="B35:E36"/>
    <mergeCell ref="B161:E161"/>
    <mergeCell ref="B143:E143"/>
    <mergeCell ref="B84:C84"/>
    <mergeCell ref="B26:E26"/>
    <mergeCell ref="B87:E87"/>
    <mergeCell ref="B63:E63"/>
    <mergeCell ref="B110:E110"/>
    <mergeCell ref="B99:E99"/>
  </mergeCells>
  <pageMargins left="0.70866141732283472" right="0.70866141732283472" top="0.74803149606299213" bottom="0.74803149606299213" header="0.31496062992125984" footer="0.31496062992125984"/>
  <pageSetup scale="75" fitToHeight="4" orientation="portrait" horizontalDpi="4294967293" r:id="rId1"/>
  <rowBreaks count="3" manualBreakCount="3">
    <brk id="52" min="1" max="4" man="1"/>
    <brk id="87" min="1" max="4" man="1"/>
    <brk id="132" min="1"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Summary of Updates</vt:lpstr>
      <vt:lpstr>Data for Settlement &amp; 1st TU</vt:lpstr>
      <vt:lpstr>RPP Settlement &amp; 1st TU</vt:lpstr>
      <vt:lpstr>Data for 2nd TU</vt:lpstr>
      <vt:lpstr>RPP 2nd TU</vt:lpstr>
      <vt:lpstr>RPP vs non-RPP TU JE</vt:lpstr>
      <vt:lpstr>Rate Application Related</vt:lpstr>
      <vt:lpstr>Final RSVA Balances</vt:lpstr>
      <vt:lpstr>JEs</vt:lpstr>
      <vt:lpstr>T-Accounts</vt:lpstr>
      <vt:lpstr>'Data for 2nd TU'!Print_Area</vt:lpstr>
      <vt:lpstr>'Data for Settlement &amp; 1st TU'!Print_Area</vt:lpstr>
      <vt:lpstr>JEs!Print_Area</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Rajvinder Sabharwal</dc:creator>
  <cp:lastModifiedBy>Fiona O'Connell</cp:lastModifiedBy>
  <cp:lastPrinted>2019-02-21T20:35:44Z</cp:lastPrinted>
  <dcterms:created xsi:type="dcterms:W3CDTF">2018-09-11T21:06:14Z</dcterms:created>
  <dcterms:modified xsi:type="dcterms:W3CDTF">2023-05-22T17:59:02Z</dcterms:modified>
</cp:coreProperties>
</file>