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/>
  <mc:AlternateContent xmlns:mc="http://schemas.openxmlformats.org/markup-compatibility/2006">
    <mc:Choice Requires="x15">
      <x15ac:absPath xmlns:x15ac="http://schemas.microsoft.com/office/spreadsheetml/2010/11/ac" url="C:\Users\shead\Renfrew Hydro Dropbox\Models\Finals\"/>
    </mc:Choice>
  </mc:AlternateContent>
  <xr:revisionPtr revIDLastSave="0" documentId="13_ncr:1_{C3747010-C05E-4081-971C-CB06B0C7E06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2" i="4" l="1"/>
  <c r="M14" i="4" l="1"/>
  <c r="L14" i="4"/>
  <c r="L65" i="4" l="1"/>
  <c r="M65" i="4" s="1"/>
  <c r="L47" i="4"/>
  <c r="M47" i="4" s="1"/>
  <c r="M87" i="4"/>
  <c r="M85" i="4"/>
  <c r="M84" i="4"/>
  <c r="M83" i="4"/>
  <c r="M79" i="4"/>
  <c r="M77" i="4"/>
  <c r="M73" i="4"/>
  <c r="M67" i="4"/>
  <c r="M56" i="4"/>
  <c r="K22" i="4"/>
  <c r="L20" i="4"/>
  <c r="L102" i="4"/>
  <c r="M102" i="4" s="1"/>
  <c r="L101" i="4"/>
  <c r="M101" i="4" s="1"/>
  <c r="L87" i="4"/>
  <c r="L85" i="4"/>
  <c r="L84" i="4"/>
  <c r="L83" i="4"/>
  <c r="L79" i="4"/>
  <c r="L77" i="4"/>
  <c r="L73" i="4"/>
  <c r="L67" i="4"/>
  <c r="L48" i="4"/>
  <c r="M48" i="4" s="1"/>
  <c r="L56" i="4"/>
  <c r="L61" i="4"/>
  <c r="M61" i="4" s="1"/>
  <c r="L110" i="4"/>
  <c r="L111" i="4"/>
  <c r="L112" i="4"/>
  <c r="L113" i="4"/>
  <c r="L114" i="4" s="1"/>
  <c r="L45" i="4"/>
  <c r="M45" i="4" s="1"/>
  <c r="G5" i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L49" i="4" s="1"/>
  <c r="M49" i="4" s="1"/>
  <c r="G17" i="4" l="1"/>
  <c r="G256" i="1"/>
  <c r="H17" i="4" l="1"/>
  <c r="I17" i="4" s="1"/>
  <c r="J17" i="4" s="1"/>
  <c r="K17" i="4" s="1"/>
  <c r="L17" i="4" s="1"/>
  <c r="M17" i="4" s="1"/>
  <c r="M145" i="1" s="1"/>
  <c r="M157" i="1" s="1"/>
  <c r="G22" i="4"/>
  <c r="L22" i="4" s="1"/>
  <c r="M22" i="4" s="1"/>
  <c r="M110" i="1" s="1"/>
  <c r="L21" i="4"/>
  <c r="M21" i="4" s="1"/>
  <c r="M20" i="4"/>
  <c r="G121" i="4"/>
  <c r="G36" i="4" s="1"/>
  <c r="G122" i="4"/>
  <c r="I122" i="4" s="1"/>
  <c r="J122" i="4" s="1"/>
  <c r="K122" i="4" s="1"/>
  <c r="L122" i="4" s="1"/>
  <c r="M122" i="4" s="1"/>
  <c r="G45" i="4"/>
  <c r="H45" i="4" s="1"/>
  <c r="I45" i="4" s="1"/>
  <c r="G46" i="4"/>
  <c r="L46" i="4" s="1"/>
  <c r="M46" i="4" s="1"/>
  <c r="G47" i="4"/>
  <c r="G48" i="4"/>
  <c r="G50" i="4"/>
  <c r="L50" i="4" s="1"/>
  <c r="M50" i="4" s="1"/>
  <c r="G51" i="4"/>
  <c r="L51" i="4" s="1"/>
  <c r="M51" i="4" s="1"/>
  <c r="G52" i="4"/>
  <c r="L52" i="4" s="1"/>
  <c r="M52" i="4" s="1"/>
  <c r="G53" i="4"/>
  <c r="L53" i="4" s="1"/>
  <c r="M53" i="4" s="1"/>
  <c r="G54" i="4"/>
  <c r="J54" i="4" s="1"/>
  <c r="K54" i="4" s="1"/>
  <c r="L54" i="4" s="1"/>
  <c r="M54" i="4" s="1"/>
  <c r="G55" i="4"/>
  <c r="L55" i="4" s="1"/>
  <c r="M55" i="4" s="1"/>
  <c r="G56" i="4"/>
  <c r="H56" i="4" s="1"/>
  <c r="I56" i="4" s="1"/>
  <c r="J56" i="4" s="1"/>
  <c r="K56" i="4" s="1"/>
  <c r="G57" i="4"/>
  <c r="L57" i="4" s="1"/>
  <c r="M57" i="4" s="1"/>
  <c r="G58" i="4"/>
  <c r="L58" i="4" s="1"/>
  <c r="M58" i="4" s="1"/>
  <c r="G59" i="4"/>
  <c r="L59" i="4" s="1"/>
  <c r="M59" i="4" s="1"/>
  <c r="G60" i="4"/>
  <c r="L60" i="4" s="1"/>
  <c r="M60" i="4" s="1"/>
  <c r="G61" i="4"/>
  <c r="H61" i="4" s="1"/>
  <c r="I61" i="4" s="1"/>
  <c r="G62" i="4"/>
  <c r="L62" i="4" s="1"/>
  <c r="M62" i="4" s="1"/>
  <c r="G63" i="4"/>
  <c r="L63" i="4" s="1"/>
  <c r="M63" i="4" s="1"/>
  <c r="G64" i="4"/>
  <c r="G65" i="4"/>
  <c r="H65" i="4" s="1"/>
  <c r="G66" i="4"/>
  <c r="G67" i="4"/>
  <c r="G68" i="4"/>
  <c r="L68" i="4" s="1"/>
  <c r="M68" i="4" s="1"/>
  <c r="G69" i="4"/>
  <c r="L69" i="4" s="1"/>
  <c r="M69" i="4" s="1"/>
  <c r="G70" i="4"/>
  <c r="L70" i="4" s="1"/>
  <c r="M70" i="4" s="1"/>
  <c r="G71" i="4"/>
  <c r="L71" i="4" s="1"/>
  <c r="M71" i="4" s="1"/>
  <c r="G72" i="4"/>
  <c r="L72" i="4" s="1"/>
  <c r="M72" i="4" s="1"/>
  <c r="G73" i="4"/>
  <c r="H73" i="4" s="1"/>
  <c r="I73" i="4" s="1"/>
  <c r="J73" i="4" s="1"/>
  <c r="K73" i="4" s="1"/>
  <c r="G74" i="4"/>
  <c r="L74" i="4" s="1"/>
  <c r="M74" i="4" s="1"/>
  <c r="G75" i="4"/>
  <c r="L75" i="4" s="1"/>
  <c r="M75" i="4" s="1"/>
  <c r="G76" i="4"/>
  <c r="L76" i="4" s="1"/>
  <c r="M76" i="4" s="1"/>
  <c r="G77" i="4"/>
  <c r="H77" i="4" s="1"/>
  <c r="I77" i="4" s="1"/>
  <c r="J77" i="4" s="1"/>
  <c r="K77" i="4" s="1"/>
  <c r="G78" i="4"/>
  <c r="G79" i="4"/>
  <c r="H79" i="4" s="1"/>
  <c r="G80" i="4"/>
  <c r="L80" i="4" s="1"/>
  <c r="M80" i="4" s="1"/>
  <c r="G81" i="4"/>
  <c r="L81" i="4" s="1"/>
  <c r="G82" i="4"/>
  <c r="L82" i="4" s="1"/>
  <c r="M82" i="4" s="1"/>
  <c r="G83" i="4"/>
  <c r="H83" i="4" s="1"/>
  <c r="I83" i="4" s="1"/>
  <c r="J83" i="4" s="1"/>
  <c r="K83" i="4" s="1"/>
  <c r="G84" i="4"/>
  <c r="H84" i="4" s="1"/>
  <c r="I84" i="4" s="1"/>
  <c r="J84" i="4" s="1"/>
  <c r="K84" i="4" s="1"/>
  <c r="G85" i="4"/>
  <c r="H85" i="4" s="1"/>
  <c r="I85" i="4" s="1"/>
  <c r="J85" i="4" s="1"/>
  <c r="K85" i="4" s="1"/>
  <c r="G86" i="4"/>
  <c r="G87" i="4"/>
  <c r="H87" i="4" s="1"/>
  <c r="G88" i="4"/>
  <c r="K88" i="4" s="1"/>
  <c r="L88" i="4" s="1"/>
  <c r="G89" i="4"/>
  <c r="L89" i="4" s="1"/>
  <c r="M89" i="4" s="1"/>
  <c r="G90" i="4"/>
  <c r="L90" i="4" s="1"/>
  <c r="M90" i="4" s="1"/>
  <c r="G91" i="4"/>
  <c r="G92" i="4"/>
  <c r="G93" i="4"/>
  <c r="L93" i="4" s="1"/>
  <c r="M93" i="4" s="1"/>
  <c r="G94" i="4"/>
  <c r="L94" i="4" s="1"/>
  <c r="M94" i="4" s="1"/>
  <c r="G95" i="4"/>
  <c r="L95" i="4" s="1"/>
  <c r="M95" i="4" s="1"/>
  <c r="G96" i="4"/>
  <c r="L96" i="4" s="1"/>
  <c r="M96" i="4" s="1"/>
  <c r="G97" i="4"/>
  <c r="L97" i="4" s="1"/>
  <c r="M97" i="4" s="1"/>
  <c r="G98" i="4"/>
  <c r="L98" i="4" s="1"/>
  <c r="M98" i="4" s="1"/>
  <c r="G99" i="4"/>
  <c r="L99" i="4" s="1"/>
  <c r="M99" i="4" s="1"/>
  <c r="G100" i="4"/>
  <c r="L100" i="4" s="1"/>
  <c r="M100" i="4" s="1"/>
  <c r="G101" i="4"/>
  <c r="H101" i="4" s="1"/>
  <c r="I101" i="4" s="1"/>
  <c r="G102" i="4"/>
  <c r="H102" i="4" s="1"/>
  <c r="I102" i="4" s="1"/>
  <c r="G103" i="4"/>
  <c r="L103" i="4" s="1"/>
  <c r="M103" i="4" s="1"/>
  <c r="G104" i="4"/>
  <c r="L104" i="4" s="1"/>
  <c r="M104" i="4" s="1"/>
  <c r="G105" i="4"/>
  <c r="L105" i="4" s="1"/>
  <c r="M105" i="4" s="1"/>
  <c r="G106" i="4"/>
  <c r="L106" i="4" s="1"/>
  <c r="M106" i="4" s="1"/>
  <c r="G107" i="4"/>
  <c r="L107" i="4" s="1"/>
  <c r="M107" i="4" s="1"/>
  <c r="G108" i="4"/>
  <c r="L108" i="4" s="1"/>
  <c r="M108" i="4" s="1"/>
  <c r="G109" i="4"/>
  <c r="G110" i="4"/>
  <c r="H110" i="4" s="1"/>
  <c r="G111" i="4"/>
  <c r="H111" i="4" s="1"/>
  <c r="I111" i="4" s="1"/>
  <c r="J111" i="4" s="1"/>
  <c r="K111" i="4" s="1"/>
  <c r="M111" i="4" s="1"/>
  <c r="G112" i="4"/>
  <c r="G113" i="4"/>
  <c r="H113" i="4" s="1"/>
  <c r="G114" i="4"/>
  <c r="G115" i="4"/>
  <c r="G35" i="4" s="1"/>
  <c r="G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M88" i="4" l="1"/>
  <c r="L91" i="4"/>
  <c r="L86" i="4"/>
  <c r="M81" i="4"/>
  <c r="H145" i="1"/>
  <c r="H109" i="4"/>
  <c r="J15" i="4"/>
  <c r="K15" i="4" s="1"/>
  <c r="L15" i="4" s="1"/>
  <c r="M15" i="4" s="1"/>
  <c r="M98" i="1" s="1"/>
  <c r="M130" i="1" s="1"/>
  <c r="I110" i="4"/>
  <c r="H112" i="4"/>
  <c r="J66" i="4"/>
  <c r="K66" i="4" s="1"/>
  <c r="L66" i="4" s="1"/>
  <c r="G120" i="4"/>
  <c r="H67" i="4"/>
  <c r="I113" i="4"/>
  <c r="H114" i="4"/>
  <c r="I65" i="4"/>
  <c r="J65" i="4" s="1"/>
  <c r="G119" i="4"/>
  <c r="H48" i="4"/>
  <c r="M97" i="1"/>
  <c r="M96" i="1"/>
  <c r="G118" i="4"/>
  <c r="H47" i="4"/>
  <c r="M92" i="1"/>
  <c r="M114" i="1" s="1"/>
  <c r="I87" i="4"/>
  <c r="H91" i="4"/>
  <c r="I79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66" i="4" l="1"/>
  <c r="L78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K65" i="4"/>
  <c r="J79" i="4"/>
  <c r="I86" i="4"/>
  <c r="J113" i="4"/>
  <c r="I114" i="4"/>
  <c r="J110" i="4"/>
  <c r="I112" i="4"/>
  <c r="I67" i="4"/>
  <c r="I78" i="4" s="1"/>
  <c r="H120" i="4"/>
  <c r="H97" i="1"/>
  <c r="H155" i="1" s="1"/>
  <c r="H209" i="1" s="1"/>
  <c r="H213" i="1" s="1"/>
  <c r="J87" i="4"/>
  <c r="I91" i="4"/>
  <c r="I48" i="4"/>
  <c r="H119" i="4"/>
  <c r="H98" i="1"/>
  <c r="H130" i="1" s="1"/>
  <c r="I109" i="4"/>
  <c r="I47" i="4"/>
  <c r="H121" i="4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L92" i="4"/>
  <c r="J67" i="4"/>
  <c r="I120" i="4"/>
  <c r="K113" i="4"/>
  <c r="J114" i="4"/>
  <c r="L44" i="4"/>
  <c r="I121" i="4"/>
  <c r="I118" i="4"/>
  <c r="K87" i="4"/>
  <c r="J91" i="4"/>
  <c r="K110" i="4"/>
  <c r="J112" i="4"/>
  <c r="I119" i="4"/>
  <c r="J86" i="4"/>
  <c r="K79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M92" i="4" l="1"/>
  <c r="L109" i="4"/>
  <c r="M44" i="4"/>
  <c r="L64" i="4"/>
  <c r="H29" i="4"/>
  <c r="H31" i="4" s="1"/>
  <c r="I29" i="4"/>
  <c r="K91" i="4"/>
  <c r="J121" i="4"/>
  <c r="J118" i="4"/>
  <c r="K67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L115" i="4" l="1"/>
  <c r="K64" i="4"/>
  <c r="M113" i="4"/>
  <c r="M114" i="4" s="1"/>
  <c r="K120" i="4"/>
  <c r="K78" i="4"/>
  <c r="M109" i="4"/>
  <c r="M86" i="4"/>
  <c r="K121" i="4"/>
  <c r="K118" i="4"/>
  <c r="M110" i="4"/>
  <c r="M112" i="4" s="1"/>
  <c r="J115" i="4"/>
  <c r="J29" i="4" s="1"/>
  <c r="K119" i="4"/>
  <c r="M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L121" i="4"/>
  <c r="L118" i="4"/>
  <c r="L120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29" i="4" l="1"/>
  <c r="L31" i="4" s="1"/>
  <c r="L89" i="1" s="1"/>
  <c r="L107" i="1" s="1"/>
  <c r="M120" i="4"/>
  <c r="M78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J18" i="5" l="1"/>
  <c r="J24" i="5" s="1"/>
  <c r="J22" i="5"/>
  <c r="K10" i="5"/>
  <c r="K14" i="5" s="1"/>
  <c r="K16" i="5" s="1"/>
  <c r="K18" i="5" l="1"/>
  <c r="K24" i="5" s="1"/>
  <c r="K22" i="5"/>
  <c r="M64" i="4" l="1"/>
  <c r="M115" i="4" s="1"/>
  <c r="M29" i="4" s="1"/>
  <c r="M31" i="4" s="1"/>
  <c r="M89" i="1" s="1"/>
  <c r="M107" i="1" s="1"/>
  <c r="M121" i="1" s="1"/>
  <c r="M256" i="1" s="1"/>
  <c r="M258" i="1" l="1"/>
  <c r="M259" i="1" s="1"/>
  <c r="M261" i="1"/>
</calcChain>
</file>

<file path=xl/sharedStrings.xml><?xml version="1.0" encoding="utf-8"?>
<sst xmlns="http://schemas.openxmlformats.org/spreadsheetml/2006/main" count="511" uniqueCount="270">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</sst>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opLeftCell="A94" zoomScale="90" zoomScaleNormal="90" workbookViewId="0">
      <selection activeCell="H123" sqref="H12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29" t="s">
        <v>189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2:15" ht="19.5" customHeight="1" x14ac:dyDescent="0.25">
      <c r="C3" s="230" t="str">
        <f>IF(F5="Click to Choose an LDC","",F5)</f>
        <v>Renfrew Hydro Inc.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264</v>
      </c>
      <c r="E5" s="9"/>
      <c r="F5" s="89" t="s">
        <v>242</v>
      </c>
      <c r="G5" s="2" t="s">
        <v>175</v>
      </c>
      <c r="H5" s="2" t="s">
        <v>176</v>
      </c>
      <c r="I5" s="2" t="s">
        <v>174</v>
      </c>
      <c r="J5" s="231" t="s">
        <v>177</v>
      </c>
      <c r="K5" s="231"/>
      <c r="L5" s="231"/>
      <c r="M5" s="231"/>
      <c r="O5" s="4"/>
    </row>
    <row r="6" spans="2:15" ht="36" customHeight="1" x14ac:dyDescent="0.35">
      <c r="B6" s="4" t="s">
        <v>180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266</v>
      </c>
      <c r="O6" s="2"/>
    </row>
    <row r="8" spans="2:15" x14ac:dyDescent="0.2">
      <c r="C8" s="8" t="s">
        <v>85</v>
      </c>
      <c r="D8" s="8"/>
      <c r="E8" s="2"/>
      <c r="H8" s="231"/>
      <c r="I8" s="231"/>
      <c r="J8" s="231"/>
      <c r="K8" s="231"/>
      <c r="L8" s="231"/>
      <c r="M8" s="231"/>
    </row>
    <row r="9" spans="2:15" x14ac:dyDescent="0.2">
      <c r="B9" s="2">
        <v>1</v>
      </c>
      <c r="D9" s="9" t="s">
        <v>86</v>
      </c>
      <c r="G9" s="54">
        <f>'Benchmarking Calculations'!G92</f>
        <v>560128.38</v>
      </c>
      <c r="H9" s="81">
        <v>481562.3</v>
      </c>
      <c r="I9" s="81">
        <v>569835.9800000001</v>
      </c>
      <c r="J9" s="81">
        <v>1235000</v>
      </c>
      <c r="K9" s="81">
        <v>830000</v>
      </c>
      <c r="L9" s="81">
        <v>800000</v>
      </c>
      <c r="M9" s="81">
        <v>680000</v>
      </c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1">
        <f>G10</f>
        <v>0</v>
      </c>
      <c r="I10" s="81">
        <f t="shared" ref="I9:M10" si="1">H10</f>
        <v>0</v>
      </c>
      <c r="J10" s="81">
        <f t="shared" si="1"/>
        <v>0</v>
      </c>
      <c r="K10" s="81">
        <f t="shared" si="1"/>
        <v>0</v>
      </c>
      <c r="L10" s="81">
        <f t="shared" si="1"/>
        <v>0</v>
      </c>
      <c r="M10" s="81">
        <f t="shared" si="1"/>
        <v>0</v>
      </c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89</v>
      </c>
      <c r="G13" s="54">
        <f>'Benchmarking Calculations'!G96</f>
        <v>4345</v>
      </c>
      <c r="H13" s="81">
        <v>4364</v>
      </c>
      <c r="I13" s="81">
        <v>4384</v>
      </c>
      <c r="J13" s="81">
        <v>4403</v>
      </c>
      <c r="K13" s="81">
        <v>4422</v>
      </c>
      <c r="L13" s="81">
        <v>4441</v>
      </c>
      <c r="M13" s="81">
        <v>4460</v>
      </c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83315207.370000005</v>
      </c>
      <c r="H14" s="81">
        <v>83288769</v>
      </c>
      <c r="I14" s="81">
        <v>85463937</v>
      </c>
      <c r="J14" s="81">
        <v>86854833</v>
      </c>
      <c r="K14" s="81">
        <v>86888554</v>
      </c>
      <c r="L14" s="81">
        <f>K14*1.01</f>
        <v>87757439.540000007</v>
      </c>
      <c r="M14" s="81">
        <f>L14*1.01</f>
        <v>88635013.935400009</v>
      </c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15232</v>
      </c>
      <c r="H15" s="81">
        <v>15453</v>
      </c>
      <c r="I15" s="81">
        <v>14755</v>
      </c>
      <c r="J15" s="81">
        <f t="shared" ref="H13:M16" si="2">I15</f>
        <v>14755</v>
      </c>
      <c r="K15" s="81">
        <f t="shared" si="2"/>
        <v>14755</v>
      </c>
      <c r="L15" s="81">
        <f t="shared" si="2"/>
        <v>14755</v>
      </c>
      <c r="M15" s="81">
        <f t="shared" si="2"/>
        <v>14755</v>
      </c>
      <c r="N15" s="9" t="s">
        <v>172</v>
      </c>
      <c r="O15" s="56"/>
    </row>
    <row r="16" spans="2:15" x14ac:dyDescent="0.2">
      <c r="B16" s="2">
        <v>6</v>
      </c>
      <c r="D16" s="9" t="s">
        <v>190</v>
      </c>
      <c r="G16" s="54">
        <f>'Benchmarking Calculations'!G99</f>
        <v>81</v>
      </c>
      <c r="H16" s="81">
        <f t="shared" si="2"/>
        <v>81</v>
      </c>
      <c r="I16" s="81">
        <f t="shared" si="2"/>
        <v>81</v>
      </c>
      <c r="J16" s="81">
        <f t="shared" si="2"/>
        <v>81</v>
      </c>
      <c r="K16" s="81">
        <f t="shared" si="2"/>
        <v>81</v>
      </c>
      <c r="L16" s="81">
        <f t="shared" si="2"/>
        <v>81</v>
      </c>
      <c r="M16" s="81">
        <f t="shared" si="2"/>
        <v>81</v>
      </c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4.5728038507821901E-2</v>
      </c>
      <c r="H17" s="207">
        <f>G17</f>
        <v>4.5728038507821901E-2</v>
      </c>
      <c r="I17" s="207">
        <f t="shared" ref="I17:M17" si="3">H17</f>
        <v>4.5728038507821901E-2</v>
      </c>
      <c r="J17" s="207">
        <f t="shared" si="3"/>
        <v>4.5728038507821901E-2</v>
      </c>
      <c r="K17" s="207">
        <f t="shared" si="3"/>
        <v>4.5728038507821901E-2</v>
      </c>
      <c r="L17" s="207">
        <f t="shared" si="3"/>
        <v>4.5728038507821901E-2</v>
      </c>
      <c r="M17" s="207">
        <f t="shared" si="3"/>
        <v>4.5728038507821901E-2</v>
      </c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1"/>
      <c r="I19" s="231"/>
      <c r="J19" s="231"/>
      <c r="K19" s="231"/>
      <c r="L19" s="231"/>
      <c r="M19" s="231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2.1999999999999999E-2</v>
      </c>
      <c r="I20" s="80">
        <v>2.3E-2</v>
      </c>
      <c r="J20" s="80">
        <v>5.8000000000000003E-2</v>
      </c>
      <c r="K20" s="80">
        <v>2.4E-2</v>
      </c>
      <c r="L20" s="80">
        <f>K20</f>
        <v>2.4E-2</v>
      </c>
      <c r="M20" s="80">
        <f t="shared" ref="I20:M20" si="4">L20</f>
        <v>2.4E-2</v>
      </c>
      <c r="N20" s="9" t="s">
        <v>268</v>
      </c>
      <c r="O20" s="232" t="s">
        <v>267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2.1999999999999999E-2</v>
      </c>
      <c r="I21" s="80">
        <v>3.3000000000000002E-2</v>
      </c>
      <c r="J21" s="80">
        <v>3.6999999999999998E-2</v>
      </c>
      <c r="K21" s="80">
        <v>0.05</v>
      </c>
      <c r="L21" s="80">
        <f t="shared" ref="H21:M22" si="5">K21</f>
        <v>0.05</v>
      </c>
      <c r="M21" s="80">
        <f t="shared" si="5"/>
        <v>0.05</v>
      </c>
      <c r="N21" s="9" t="s">
        <v>268</v>
      </c>
      <c r="O21" s="232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0.05</v>
      </c>
      <c r="I22" s="80">
        <v>5.4699999999999999E-2</v>
      </c>
      <c r="J22" s="80">
        <v>6.6699999999999995E-2</v>
      </c>
      <c r="K22" s="80">
        <f>J22</f>
        <v>6.6699999999999995E-2</v>
      </c>
      <c r="L22" s="80">
        <f t="shared" si="5"/>
        <v>6.6699999999999995E-2</v>
      </c>
      <c r="M22" s="80">
        <f t="shared" si="5"/>
        <v>6.6699999999999995E-2</v>
      </c>
      <c r="N22" s="9" t="s">
        <v>269</v>
      </c>
      <c r="O22" s="232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191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196</v>
      </c>
      <c r="G27" s="34">
        <f>G35-G36+G37</f>
        <v>1411560.8300000003</v>
      </c>
      <c r="H27" s="34">
        <f t="shared" ref="H27:M27" si="6">H35-H36+H37</f>
        <v>0</v>
      </c>
      <c r="I27" s="34">
        <f t="shared" si="6"/>
        <v>0</v>
      </c>
      <c r="J27" s="34">
        <f>J35-J36+J37</f>
        <v>0</v>
      </c>
      <c r="K27" s="34">
        <f t="shared" si="6"/>
        <v>0</v>
      </c>
      <c r="L27" s="34">
        <f t="shared" si="6"/>
        <v>0</v>
      </c>
      <c r="M27" s="34">
        <f t="shared" si="6"/>
        <v>0</v>
      </c>
      <c r="N27" s="9" t="s">
        <v>29</v>
      </c>
    </row>
    <row r="28" spans="2:15" ht="13.5" thickBot="1" x14ac:dyDescent="0.25">
      <c r="B28" s="9" t="s">
        <v>188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200</v>
      </c>
      <c r="G29" s="34">
        <f>G115-G121+G122</f>
        <v>1411560.8300000003</v>
      </c>
      <c r="H29" s="34">
        <f>H115-H121+H122</f>
        <v>1495772.9000000001</v>
      </c>
      <c r="I29" s="34">
        <f t="shared" ref="I29:M29" si="7">I115-I121+I122</f>
        <v>1469613.8900000001</v>
      </c>
      <c r="J29" s="34">
        <f t="shared" si="7"/>
        <v>1596583.3863840001</v>
      </c>
      <c r="K29" s="34">
        <f t="shared" si="7"/>
        <v>1657055.3597500001</v>
      </c>
      <c r="L29" s="34">
        <f t="shared" si="7"/>
        <v>1727806.7663675002</v>
      </c>
      <c r="M29" s="34">
        <f t="shared" si="7"/>
        <v>1801830.6988509949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8">IF($E$27="Y",G27,IF($E$29="Y",G29,"Error: Please enter Y for one method"))</f>
        <v>1411560.8300000003</v>
      </c>
      <c r="H31" s="34">
        <f>IF($E$27="Y",H27,IF($E$29="Y",H29,"Error: Please enter Y for one method"))</f>
        <v>1495772.9000000001</v>
      </c>
      <c r="I31" s="34">
        <f t="shared" si="8"/>
        <v>1469613.8900000001</v>
      </c>
      <c r="J31" s="34">
        <f t="shared" si="8"/>
        <v>1596583.3863840001</v>
      </c>
      <c r="K31" s="34">
        <f t="shared" si="8"/>
        <v>1657055.3597500001</v>
      </c>
      <c r="L31" s="34">
        <f t="shared" si="8"/>
        <v>1727806.7663675002</v>
      </c>
      <c r="M31" s="34">
        <f t="shared" si="8"/>
        <v>1801830.6988509949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179</v>
      </c>
      <c r="G34" s="54"/>
      <c r="H34" s="228" t="s">
        <v>183</v>
      </c>
      <c r="I34" s="228"/>
      <c r="J34" s="228"/>
      <c r="K34" s="228"/>
      <c r="L34" s="228"/>
      <c r="M34" s="228"/>
      <c r="N34" s="98"/>
    </row>
    <row r="35" spans="3:27" x14ac:dyDescent="0.2">
      <c r="C35" s="97"/>
      <c r="D35" s="111" t="s">
        <v>193</v>
      </c>
      <c r="E35" t="s">
        <v>201</v>
      </c>
      <c r="G35" s="17">
        <f>G115</f>
        <v>1390403.9900000002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">
      <c r="C36" s="97"/>
      <c r="D36" s="111" t="s">
        <v>194</v>
      </c>
      <c r="E36" t="s">
        <v>192</v>
      </c>
      <c r="G36" s="34">
        <f>G121</f>
        <v>0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">
      <c r="C37" s="97"/>
      <c r="D37" s="111" t="s">
        <v>195</v>
      </c>
      <c r="E37" t="s">
        <v>83</v>
      </c>
      <c r="G37" s="34">
        <f>G122</f>
        <v>21156.84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27"/>
    </row>
    <row r="41" spans="3:27" x14ac:dyDescent="0.2">
      <c r="C41" s="97"/>
      <c r="D41" s="8" t="s">
        <v>178</v>
      </c>
      <c r="N41" s="98"/>
      <c r="O41" s="227"/>
    </row>
    <row r="42" spans="3:27" x14ac:dyDescent="0.2">
      <c r="C42" s="50"/>
      <c r="N42" s="98"/>
      <c r="O42" s="227"/>
    </row>
    <row r="43" spans="3:27" x14ac:dyDescent="0.2">
      <c r="C43" s="102"/>
      <c r="D43" s="8" t="s">
        <v>164</v>
      </c>
      <c r="E43" s="8"/>
      <c r="F43" s="2"/>
      <c r="N43" s="98"/>
      <c r="O43" s="227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0</v>
      </c>
      <c r="H44" s="86">
        <v>21067.599999999999</v>
      </c>
      <c r="I44" s="86">
        <v>43149.46</v>
      </c>
      <c r="J44" s="86">
        <v>94668.790000000008</v>
      </c>
      <c r="K44" s="86">
        <v>167089.79999999999</v>
      </c>
      <c r="L44" s="86">
        <f t="shared" ref="L44:L107" si="9">K44*(1+$L$21)</f>
        <v>175444.29</v>
      </c>
      <c r="M44" s="86">
        <f>L44*(1+$M$21)</f>
        <v>184216.50450000001</v>
      </c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0</v>
      </c>
      <c r="H45" s="86">
        <f t="shared" ref="H45:M110" si="10">G45</f>
        <v>0</v>
      </c>
      <c r="I45" s="86">
        <f t="shared" si="10"/>
        <v>0</v>
      </c>
      <c r="J45" s="86">
        <v>0</v>
      </c>
      <c r="K45" s="86">
        <v>0</v>
      </c>
      <c r="L45" s="86">
        <f t="shared" si="9"/>
        <v>0</v>
      </c>
      <c r="M45" s="86">
        <f t="shared" ref="M45:M108" si="11">L45*(1+$M$21)</f>
        <v>0</v>
      </c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382.25</v>
      </c>
      <c r="H46" s="86">
        <v>389.38</v>
      </c>
      <c r="I46" s="86">
        <v>430.23</v>
      </c>
      <c r="J46" s="86">
        <v>520.78</v>
      </c>
      <c r="K46" s="86">
        <v>427.37</v>
      </c>
      <c r="L46" s="86">
        <f>K46*(1+$L$21)</f>
        <v>448.73850000000004</v>
      </c>
      <c r="M46" s="86">
        <f t="shared" si="11"/>
        <v>471.17542500000008</v>
      </c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0</v>
      </c>
      <c r="H47" s="86">
        <f t="shared" si="10"/>
        <v>0</v>
      </c>
      <c r="I47" s="86">
        <f t="shared" si="10"/>
        <v>0</v>
      </c>
      <c r="J47" s="86">
        <v>0</v>
      </c>
      <c r="K47" s="86">
        <v>0</v>
      </c>
      <c r="L47" s="86">
        <f>K47*(1+$L$20)</f>
        <v>0</v>
      </c>
      <c r="M47" s="86">
        <f>L47*(1+$M$20)</f>
        <v>0</v>
      </c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>
        <f t="shared" si="10"/>
        <v>0</v>
      </c>
      <c r="I48" s="86">
        <f t="shared" si="10"/>
        <v>0</v>
      </c>
      <c r="J48" s="86">
        <v>0</v>
      </c>
      <c r="K48" s="86">
        <v>0</v>
      </c>
      <c r="L48" s="86">
        <f t="shared" ref="L47:L108" si="12">K48*(1+$L$21)</f>
        <v>0</v>
      </c>
      <c r="M48" s="86">
        <f t="shared" si="11"/>
        <v>0</v>
      </c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2372.38</v>
      </c>
      <c r="H49" s="86">
        <v>4591.6899999999996</v>
      </c>
      <c r="I49" s="86">
        <v>15623.2</v>
      </c>
      <c r="J49" s="86">
        <v>16723.48488</v>
      </c>
      <c r="K49" s="86">
        <v>17325.53</v>
      </c>
      <c r="L49" s="86">
        <f>K49*(1+$L$20)</f>
        <v>17741.342720000001</v>
      </c>
      <c r="M49" s="86">
        <f>L49*(1+$M$20)</f>
        <v>18167.134945280002</v>
      </c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35829.050000000003</v>
      </c>
      <c r="H50" s="86">
        <v>48491.16</v>
      </c>
      <c r="I50" s="86">
        <v>51830.3</v>
      </c>
      <c r="J50" s="86">
        <v>61965.119999999995</v>
      </c>
      <c r="K50" s="86">
        <v>63514.25</v>
      </c>
      <c r="L50" s="86">
        <f t="shared" si="12"/>
        <v>66689.962500000009</v>
      </c>
      <c r="M50" s="86">
        <f t="shared" si="11"/>
        <v>70024.460625000007</v>
      </c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23873.26</v>
      </c>
      <c r="H51" s="86">
        <v>20776.689999999999</v>
      </c>
      <c r="I51" s="86">
        <v>25339.91</v>
      </c>
      <c r="J51" s="86">
        <v>27124.510743999996</v>
      </c>
      <c r="K51" s="86">
        <v>28100.99</v>
      </c>
      <c r="L51" s="86">
        <f>K51*(1+$L$20)</f>
        <v>28775.413760000003</v>
      </c>
      <c r="M51" s="86">
        <f>L51*(1+$M$20)</f>
        <v>29466.023690240003</v>
      </c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25088.74</v>
      </c>
      <c r="H52" s="86">
        <v>17017.150000000001</v>
      </c>
      <c r="I52" s="86">
        <v>28593.77</v>
      </c>
      <c r="J52" s="86">
        <v>34599.370000000003</v>
      </c>
      <c r="K52" s="86">
        <v>35464.35</v>
      </c>
      <c r="L52" s="86">
        <f t="shared" si="12"/>
        <v>37237.567499999997</v>
      </c>
      <c r="M52" s="86">
        <f t="shared" si="11"/>
        <v>39099.445874999998</v>
      </c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1155.1600000000001</v>
      </c>
      <c r="H53" s="86">
        <v>4002.68</v>
      </c>
      <c r="I53" s="86">
        <v>2297.42</v>
      </c>
      <c r="J53" s="86">
        <v>3034.09</v>
      </c>
      <c r="K53" s="86">
        <v>3109.94</v>
      </c>
      <c r="L53" s="86">
        <f t="shared" si="12"/>
        <v>3265.4370000000004</v>
      </c>
      <c r="M53" s="86">
        <f t="shared" si="11"/>
        <v>3428.7088500000004</v>
      </c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625.79999999999995</v>
      </c>
      <c r="H54" s="86">
        <v>0</v>
      </c>
      <c r="I54" s="86">
        <v>0</v>
      </c>
      <c r="J54" s="86">
        <f t="shared" si="10"/>
        <v>0</v>
      </c>
      <c r="K54" s="86">
        <f t="shared" si="10"/>
        <v>0</v>
      </c>
      <c r="L54" s="86">
        <f>K54*(1+$L$20)</f>
        <v>0</v>
      </c>
      <c r="M54" s="86">
        <f>L54*(1+$M$20)</f>
        <v>0</v>
      </c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42.5</v>
      </c>
      <c r="H55" s="86">
        <v>0</v>
      </c>
      <c r="I55" s="86">
        <v>34</v>
      </c>
      <c r="J55" s="86">
        <v>0</v>
      </c>
      <c r="K55" s="86">
        <v>0</v>
      </c>
      <c r="L55" s="86">
        <f t="shared" si="12"/>
        <v>0</v>
      </c>
      <c r="M55" s="86">
        <f t="shared" si="11"/>
        <v>0</v>
      </c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0</v>
      </c>
      <c r="H56" s="86">
        <f t="shared" si="10"/>
        <v>0</v>
      </c>
      <c r="I56" s="86">
        <f t="shared" si="10"/>
        <v>0</v>
      </c>
      <c r="J56" s="86">
        <f t="shared" si="10"/>
        <v>0</v>
      </c>
      <c r="K56" s="86">
        <f t="shared" si="10"/>
        <v>0</v>
      </c>
      <c r="L56" s="86">
        <f t="shared" si="12"/>
        <v>0</v>
      </c>
      <c r="M56" s="86">
        <f t="shared" si="11"/>
        <v>0</v>
      </c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39087.589999999997</v>
      </c>
      <c r="H57" s="86">
        <v>50939.29</v>
      </c>
      <c r="I57" s="86">
        <v>13592.85</v>
      </c>
      <c r="J57" s="86">
        <v>17446.78</v>
      </c>
      <c r="K57" s="86">
        <v>17882.95</v>
      </c>
      <c r="L57" s="86">
        <f t="shared" si="12"/>
        <v>18777.0975</v>
      </c>
      <c r="M57" s="86">
        <f t="shared" si="11"/>
        <v>19715.952375000001</v>
      </c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28848.75</v>
      </c>
      <c r="H58" s="86">
        <v>37772.33</v>
      </c>
      <c r="I58" s="86">
        <v>35568.65</v>
      </c>
      <c r="J58" s="86">
        <v>38072.56076</v>
      </c>
      <c r="K58" s="86">
        <v>39443.17</v>
      </c>
      <c r="L58" s="86">
        <f>K58*(1+$L$20)</f>
        <v>40389.806080000002</v>
      </c>
      <c r="M58" s="86">
        <f>L58*(1+$M$20)</f>
        <v>41359.16142592</v>
      </c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5496.53</v>
      </c>
      <c r="H59" s="86">
        <v>11476.58</v>
      </c>
      <c r="I59" s="86">
        <v>9147.35</v>
      </c>
      <c r="J59" s="86">
        <v>12296.27</v>
      </c>
      <c r="K59" s="86">
        <v>12603.68</v>
      </c>
      <c r="L59" s="86">
        <f t="shared" si="12"/>
        <v>13233.864000000001</v>
      </c>
      <c r="M59" s="86">
        <f t="shared" si="11"/>
        <v>13895.557200000003</v>
      </c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146103.75</v>
      </c>
      <c r="H60" s="86">
        <v>68187.560000000012</v>
      </c>
      <c r="I60" s="86">
        <v>63912.9</v>
      </c>
      <c r="J60" s="86">
        <v>74043.62999999999</v>
      </c>
      <c r="K60" s="86">
        <v>75894.73</v>
      </c>
      <c r="L60" s="86">
        <f t="shared" si="12"/>
        <v>79689.466499999995</v>
      </c>
      <c r="M60" s="86">
        <f t="shared" si="11"/>
        <v>83673.939824999994</v>
      </c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f t="shared" si="10"/>
        <v>0</v>
      </c>
      <c r="I61" s="86">
        <f t="shared" si="10"/>
        <v>0</v>
      </c>
      <c r="J61" s="86">
        <v>0</v>
      </c>
      <c r="K61" s="86">
        <v>0</v>
      </c>
      <c r="L61" s="86">
        <f t="shared" si="12"/>
        <v>0</v>
      </c>
      <c r="M61" s="86">
        <f t="shared" si="11"/>
        <v>0</v>
      </c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19342.34</v>
      </c>
      <c r="H62" s="86">
        <v>19217.84</v>
      </c>
      <c r="I62" s="86">
        <v>15206</v>
      </c>
      <c r="J62" s="86">
        <v>17845.599999999999</v>
      </c>
      <c r="K62" s="86">
        <v>19895.419999999998</v>
      </c>
      <c r="L62" s="86">
        <f t="shared" si="12"/>
        <v>20890.190999999999</v>
      </c>
      <c r="M62" s="86">
        <f t="shared" si="11"/>
        <v>21934.700550000001</v>
      </c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1999.33</v>
      </c>
      <c r="H63" s="86">
        <v>2099.42</v>
      </c>
      <c r="I63" s="86">
        <v>2154.96</v>
      </c>
      <c r="J63" s="86">
        <v>2182.08</v>
      </c>
      <c r="K63" s="86">
        <v>2200.71</v>
      </c>
      <c r="L63" s="86">
        <f t="shared" si="12"/>
        <v>2310.7455</v>
      </c>
      <c r="M63" s="86">
        <f t="shared" si="11"/>
        <v>2426.2827750000001</v>
      </c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330247.43000000005</v>
      </c>
      <c r="H64" s="52">
        <f>SUM(H44:H63)</f>
        <v>306029.37000000005</v>
      </c>
      <c r="I64" s="52">
        <f t="shared" ref="I64:M64" si="13">SUM(I44:I63)</f>
        <v>306881.00000000006</v>
      </c>
      <c r="J64" s="52">
        <f t="shared" si="13"/>
        <v>400523.06638400001</v>
      </c>
      <c r="K64" s="52">
        <f t="shared" si="13"/>
        <v>482952.88999999996</v>
      </c>
      <c r="L64" s="52">
        <f t="shared" si="13"/>
        <v>504893.92256000004</v>
      </c>
      <c r="M64" s="52">
        <f t="shared" si="13"/>
        <v>527879.04806144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0</v>
      </c>
      <c r="H65" s="86">
        <f t="shared" si="10"/>
        <v>0</v>
      </c>
      <c r="I65" s="86">
        <f t="shared" si="10"/>
        <v>0</v>
      </c>
      <c r="J65" s="86">
        <f t="shared" si="10"/>
        <v>0</v>
      </c>
      <c r="K65" s="86">
        <f t="shared" si="10"/>
        <v>0</v>
      </c>
      <c r="L65" s="86">
        <f>K65*(1+$L$20)</f>
        <v>0</v>
      </c>
      <c r="M65" s="86">
        <f>L65*(1+$M$20)</f>
        <v>0</v>
      </c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0</v>
      </c>
      <c r="H66" s="86">
        <v>135</v>
      </c>
      <c r="I66" s="86">
        <v>0</v>
      </c>
      <c r="J66" s="86">
        <f t="shared" si="10"/>
        <v>0</v>
      </c>
      <c r="K66" s="86">
        <f t="shared" si="10"/>
        <v>0</v>
      </c>
      <c r="L66" s="86">
        <f t="shared" si="12"/>
        <v>0</v>
      </c>
      <c r="M66" s="86">
        <f t="shared" si="11"/>
        <v>0</v>
      </c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0</v>
      </c>
      <c r="H67" s="86">
        <f t="shared" si="10"/>
        <v>0</v>
      </c>
      <c r="I67" s="86">
        <f t="shared" si="10"/>
        <v>0</v>
      </c>
      <c r="J67" s="86">
        <f t="shared" si="10"/>
        <v>0</v>
      </c>
      <c r="K67" s="86">
        <f t="shared" si="10"/>
        <v>0</v>
      </c>
      <c r="L67" s="86">
        <f t="shared" si="12"/>
        <v>0</v>
      </c>
      <c r="M67" s="86">
        <f t="shared" si="11"/>
        <v>0</v>
      </c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708.05</v>
      </c>
      <c r="H68" s="86">
        <v>675.59999999999991</v>
      </c>
      <c r="I68" s="86">
        <v>353.65999999999997</v>
      </c>
      <c r="J68" s="86">
        <v>0</v>
      </c>
      <c r="K68" s="86">
        <v>0</v>
      </c>
      <c r="L68" s="86">
        <f t="shared" si="12"/>
        <v>0</v>
      </c>
      <c r="M68" s="86">
        <f t="shared" si="11"/>
        <v>0</v>
      </c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2768.52</v>
      </c>
      <c r="H69" s="86">
        <v>2904.8599999999997</v>
      </c>
      <c r="I69" s="86">
        <v>1530.2600000000002</v>
      </c>
      <c r="J69" s="86">
        <v>1856.72</v>
      </c>
      <c r="K69" s="86">
        <v>2267.85</v>
      </c>
      <c r="L69" s="86">
        <f t="shared" si="12"/>
        <v>2381.2424999999998</v>
      </c>
      <c r="M69" s="86">
        <f t="shared" si="11"/>
        <v>2500.3046249999998</v>
      </c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25775.82</v>
      </c>
      <c r="H70" s="86">
        <v>23856.85</v>
      </c>
      <c r="I70" s="86">
        <v>5391.99</v>
      </c>
      <c r="J70" s="86">
        <v>6728.25</v>
      </c>
      <c r="K70" s="86">
        <v>8694.6200000000008</v>
      </c>
      <c r="L70" s="86">
        <f t="shared" si="12"/>
        <v>9129.3510000000006</v>
      </c>
      <c r="M70" s="86">
        <f t="shared" si="11"/>
        <v>9585.8185500000018</v>
      </c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22733.06</v>
      </c>
      <c r="H71" s="86">
        <v>20970.469999999998</v>
      </c>
      <c r="I71" s="86">
        <v>14364.310000000001</v>
      </c>
      <c r="J71" s="86">
        <v>21564.23</v>
      </c>
      <c r="K71" s="86">
        <v>22901.31</v>
      </c>
      <c r="L71" s="86">
        <f t="shared" si="12"/>
        <v>24046.375500000002</v>
      </c>
      <c r="M71" s="86">
        <f t="shared" si="11"/>
        <v>25248.694275000002</v>
      </c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64730.76</v>
      </c>
      <c r="H72" s="86">
        <v>68269.790000000008</v>
      </c>
      <c r="I72" s="86">
        <v>91275.86</v>
      </c>
      <c r="J72" s="86">
        <v>95088.18</v>
      </c>
      <c r="K72" s="86">
        <v>99583.58</v>
      </c>
      <c r="L72" s="86">
        <f t="shared" si="12"/>
        <v>104562.75900000001</v>
      </c>
      <c r="M72" s="86">
        <f t="shared" si="11"/>
        <v>109790.89695000001</v>
      </c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0</v>
      </c>
      <c r="H73" s="86">
        <f t="shared" si="10"/>
        <v>0</v>
      </c>
      <c r="I73" s="86">
        <f t="shared" si="10"/>
        <v>0</v>
      </c>
      <c r="J73" s="86">
        <f t="shared" si="10"/>
        <v>0</v>
      </c>
      <c r="K73" s="86">
        <f t="shared" si="10"/>
        <v>0</v>
      </c>
      <c r="L73" s="86">
        <f t="shared" si="12"/>
        <v>0</v>
      </c>
      <c r="M73" s="86">
        <f t="shared" si="11"/>
        <v>0</v>
      </c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0</v>
      </c>
      <c r="H74" s="86">
        <v>2371.66</v>
      </c>
      <c r="I74" s="86">
        <v>0</v>
      </c>
      <c r="J74" s="86">
        <v>2500</v>
      </c>
      <c r="K74" s="86">
        <v>3000</v>
      </c>
      <c r="L74" s="86">
        <f t="shared" si="12"/>
        <v>3150</v>
      </c>
      <c r="M74" s="86">
        <f t="shared" si="11"/>
        <v>3307.5</v>
      </c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3338.89</v>
      </c>
      <c r="H75" s="86">
        <v>5621.68</v>
      </c>
      <c r="I75" s="86">
        <v>1098.45</v>
      </c>
      <c r="J75" s="86">
        <v>6500</v>
      </c>
      <c r="K75" s="86">
        <v>8000</v>
      </c>
      <c r="L75" s="86">
        <f t="shared" si="12"/>
        <v>8400</v>
      </c>
      <c r="M75" s="86">
        <f t="shared" si="11"/>
        <v>8820</v>
      </c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2746.61</v>
      </c>
      <c r="H76" s="86">
        <v>12645.12</v>
      </c>
      <c r="I76" s="86">
        <v>5846.68</v>
      </c>
      <c r="J76" s="86">
        <v>8500</v>
      </c>
      <c r="K76" s="86">
        <v>11500</v>
      </c>
      <c r="L76" s="86">
        <f t="shared" si="12"/>
        <v>12075</v>
      </c>
      <c r="M76" s="86">
        <f t="shared" si="11"/>
        <v>12678.75</v>
      </c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0</v>
      </c>
      <c r="H77" s="86">
        <f t="shared" si="10"/>
        <v>0</v>
      </c>
      <c r="I77" s="86">
        <f t="shared" si="10"/>
        <v>0</v>
      </c>
      <c r="J77" s="86">
        <f t="shared" si="10"/>
        <v>0</v>
      </c>
      <c r="K77" s="86">
        <f t="shared" si="10"/>
        <v>0</v>
      </c>
      <c r="L77" s="86">
        <f t="shared" si="12"/>
        <v>0</v>
      </c>
      <c r="M77" s="86">
        <f t="shared" si="11"/>
        <v>0</v>
      </c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122801.70999999999</v>
      </c>
      <c r="H78" s="52">
        <f>SUM(H65:H77)</f>
        <v>137451.03</v>
      </c>
      <c r="I78" s="52">
        <f t="shared" ref="I78:M78" si="14">SUM(I65:I77)</f>
        <v>119861.20999999999</v>
      </c>
      <c r="J78" s="52">
        <f t="shared" si="14"/>
        <v>142737.38</v>
      </c>
      <c r="K78" s="52">
        <f t="shared" si="14"/>
        <v>155947.35999999999</v>
      </c>
      <c r="L78" s="52">
        <f t="shared" si="14"/>
        <v>163744.728</v>
      </c>
      <c r="M78" s="52">
        <f t="shared" si="14"/>
        <v>171931.9644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0</v>
      </c>
      <c r="H79" s="86">
        <f t="shared" si="10"/>
        <v>0</v>
      </c>
      <c r="I79" s="86">
        <f t="shared" si="10"/>
        <v>0</v>
      </c>
      <c r="J79" s="86">
        <f t="shared" si="10"/>
        <v>0</v>
      </c>
      <c r="K79" s="86">
        <f t="shared" si="10"/>
        <v>0</v>
      </c>
      <c r="L79" s="86">
        <f t="shared" si="12"/>
        <v>0</v>
      </c>
      <c r="M79" s="86">
        <f t="shared" si="11"/>
        <v>0</v>
      </c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26932.68</v>
      </c>
      <c r="H80" s="86">
        <v>31617.810000000009</v>
      </c>
      <c r="I80" s="86">
        <v>29281.09</v>
      </c>
      <c r="J80" s="86">
        <v>33791.79</v>
      </c>
      <c r="K80" s="86">
        <v>34636.584749999995</v>
      </c>
      <c r="L80" s="86">
        <f t="shared" si="12"/>
        <v>36368.413987499996</v>
      </c>
      <c r="M80" s="86">
        <f t="shared" si="11"/>
        <v>38186.834686875001</v>
      </c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312036.53999999998</v>
      </c>
      <c r="H81" s="86">
        <v>346582.86</v>
      </c>
      <c r="I81" s="86">
        <v>353833.98</v>
      </c>
      <c r="J81" s="86">
        <v>377794.41</v>
      </c>
      <c r="K81" s="86">
        <v>390970.56</v>
      </c>
      <c r="L81" s="86">
        <f>K81*(1+$L$21)</f>
        <v>410519.08799999999</v>
      </c>
      <c r="M81" s="86">
        <f>L81*(1+$M$21)</f>
        <v>431045.04240000003</v>
      </c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40003.65</v>
      </c>
      <c r="H82" s="86">
        <v>41725.11</v>
      </c>
      <c r="I82" s="86">
        <v>37647.61</v>
      </c>
      <c r="J82" s="86">
        <v>40773.4</v>
      </c>
      <c r="K82" s="86">
        <v>41792.735000000001</v>
      </c>
      <c r="L82" s="86">
        <f>K82*(1+$L$20)</f>
        <v>42795.76064</v>
      </c>
      <c r="M82" s="86">
        <f>L82*(1+$M$20)</f>
        <v>43822.858895360005</v>
      </c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-0.1</v>
      </c>
      <c r="H83" s="86">
        <f t="shared" si="10"/>
        <v>-0.1</v>
      </c>
      <c r="I83" s="86">
        <f t="shared" si="10"/>
        <v>-0.1</v>
      </c>
      <c r="J83" s="86">
        <f t="shared" si="10"/>
        <v>-0.1</v>
      </c>
      <c r="K83" s="86">
        <f t="shared" si="10"/>
        <v>-0.1</v>
      </c>
      <c r="L83" s="86">
        <f t="shared" si="12"/>
        <v>-0.10500000000000001</v>
      </c>
      <c r="M83" s="86">
        <f t="shared" si="11"/>
        <v>-0.11025000000000001</v>
      </c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86">
        <f t="shared" si="10"/>
        <v>0</v>
      </c>
      <c r="I84" s="86">
        <f t="shared" si="10"/>
        <v>0</v>
      </c>
      <c r="J84" s="86">
        <f t="shared" si="10"/>
        <v>0</v>
      </c>
      <c r="K84" s="86">
        <f t="shared" si="10"/>
        <v>0</v>
      </c>
      <c r="L84" s="86">
        <f t="shared" si="12"/>
        <v>0</v>
      </c>
      <c r="M84" s="86">
        <f t="shared" si="11"/>
        <v>0</v>
      </c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0</v>
      </c>
      <c r="H85" s="86">
        <f t="shared" si="10"/>
        <v>0</v>
      </c>
      <c r="I85" s="86">
        <f t="shared" si="10"/>
        <v>0</v>
      </c>
      <c r="J85" s="86">
        <f t="shared" si="10"/>
        <v>0</v>
      </c>
      <c r="K85" s="86">
        <f t="shared" si="10"/>
        <v>0</v>
      </c>
      <c r="L85" s="86">
        <f t="shared" si="12"/>
        <v>0</v>
      </c>
      <c r="M85" s="86">
        <f t="shared" si="11"/>
        <v>0</v>
      </c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378972.77</v>
      </c>
      <c r="H86" s="52">
        <f>SUM(H79:H85)</f>
        <v>419925.68</v>
      </c>
      <c r="I86" s="52">
        <f t="shared" ref="I86:M86" si="15">SUM(I79:I85)</f>
        <v>420762.58</v>
      </c>
      <c r="J86" s="52">
        <f t="shared" si="15"/>
        <v>452359.5</v>
      </c>
      <c r="K86" s="52">
        <f t="shared" si="15"/>
        <v>467399.77974999999</v>
      </c>
      <c r="L86" s="52">
        <f t="shared" si="15"/>
        <v>489683.15762750001</v>
      </c>
      <c r="M86" s="52">
        <f t="shared" si="15"/>
        <v>513054.62573223503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0</v>
      </c>
      <c r="H87" s="86">
        <f t="shared" si="10"/>
        <v>0</v>
      </c>
      <c r="I87" s="86">
        <f t="shared" ref="I85:M100" si="16">H87</f>
        <v>0</v>
      </c>
      <c r="J87" s="86">
        <f t="shared" si="16"/>
        <v>0</v>
      </c>
      <c r="K87" s="86">
        <f t="shared" si="16"/>
        <v>0</v>
      </c>
      <c r="L87" s="86">
        <f t="shared" si="12"/>
        <v>0</v>
      </c>
      <c r="M87" s="86">
        <f t="shared" si="11"/>
        <v>0</v>
      </c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43</v>
      </c>
      <c r="H88" s="86">
        <v>0</v>
      </c>
      <c r="I88" s="86">
        <v>43</v>
      </c>
      <c r="J88" s="86">
        <v>0</v>
      </c>
      <c r="K88" s="86">
        <f t="shared" si="16"/>
        <v>0</v>
      </c>
      <c r="L88" s="86">
        <f t="shared" si="12"/>
        <v>0</v>
      </c>
      <c r="M88" s="86">
        <f t="shared" si="11"/>
        <v>0</v>
      </c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9299</v>
      </c>
      <c r="H89" s="86">
        <v>0</v>
      </c>
      <c r="I89" s="86">
        <v>10840.999999999998</v>
      </c>
      <c r="J89" s="86">
        <v>12305</v>
      </c>
      <c r="K89" s="86">
        <v>12305</v>
      </c>
      <c r="L89" s="86">
        <f t="shared" si="12"/>
        <v>12920.25</v>
      </c>
      <c r="M89" s="86">
        <f t="shared" si="11"/>
        <v>13566.262500000001</v>
      </c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2136.02</v>
      </c>
      <c r="H90" s="86">
        <v>9848.5600000000013</v>
      </c>
      <c r="I90" s="86">
        <v>1535.9800000000005</v>
      </c>
      <c r="J90" s="86">
        <v>1200</v>
      </c>
      <c r="K90" s="86">
        <v>1445</v>
      </c>
      <c r="L90" s="86">
        <f t="shared" si="12"/>
        <v>1517.25</v>
      </c>
      <c r="M90" s="86">
        <f t="shared" si="11"/>
        <v>1593.1125</v>
      </c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11478.02</v>
      </c>
      <c r="H91" s="52">
        <f>SUM(H87:H90)</f>
        <v>9848.5600000000013</v>
      </c>
      <c r="I91" s="52">
        <f t="shared" ref="I91:M91" si="17">SUM(I87:I90)</f>
        <v>12419.98</v>
      </c>
      <c r="J91" s="52">
        <f t="shared" si="17"/>
        <v>13505</v>
      </c>
      <c r="K91" s="52">
        <f t="shared" si="17"/>
        <v>13750</v>
      </c>
      <c r="L91" s="52">
        <f t="shared" si="17"/>
        <v>14437.5</v>
      </c>
      <c r="M91" s="52">
        <f t="shared" si="17"/>
        <v>15159.375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135989.71</v>
      </c>
      <c r="H92" s="86">
        <v>152870.36000000002</v>
      </c>
      <c r="I92" s="86">
        <v>163878.76</v>
      </c>
      <c r="J92" s="86">
        <v>131332.78999999998</v>
      </c>
      <c r="K92" s="86">
        <v>173408.22</v>
      </c>
      <c r="L92" s="86">
        <f>K92*(1+$L$20)</f>
        <v>177570.01728</v>
      </c>
      <c r="M92" s="86">
        <f>L92*(1+$M$20)</f>
        <v>181831.69769472</v>
      </c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126350.34</v>
      </c>
      <c r="H93" s="86">
        <v>144771.13</v>
      </c>
      <c r="I93" s="86">
        <v>148312.63</v>
      </c>
      <c r="J93" s="86">
        <v>153986.01999999999</v>
      </c>
      <c r="K93" s="86">
        <v>0</v>
      </c>
      <c r="L93" s="86">
        <f>K93*(1+$L$20)</f>
        <v>0</v>
      </c>
      <c r="M93" s="86">
        <f>L93*(1+$M$20)</f>
        <v>0</v>
      </c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60022.239999999998</v>
      </c>
      <c r="H94" s="86">
        <v>86912.209999999992</v>
      </c>
      <c r="I94" s="86">
        <v>95707.99000000002</v>
      </c>
      <c r="J94" s="86">
        <v>94489.02</v>
      </c>
      <c r="K94" s="86">
        <v>98084.7</v>
      </c>
      <c r="L94" s="86">
        <f>K94*(1+$L$20)</f>
        <v>100438.7328</v>
      </c>
      <c r="M94" s="86">
        <f>L94*(1+$M$20)</f>
        <v>102849.2623872</v>
      </c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36704.97</v>
      </c>
      <c r="H95" s="86">
        <v>35290.999999999993</v>
      </c>
      <c r="I95" s="86">
        <v>38992.910000000003</v>
      </c>
      <c r="J95" s="86">
        <v>40499.15</v>
      </c>
      <c r="K95" s="86">
        <v>40951.449999999997</v>
      </c>
      <c r="L95" s="86">
        <f t="shared" si="12"/>
        <v>42999.022499999999</v>
      </c>
      <c r="M95" s="86">
        <f t="shared" si="11"/>
        <v>45148.973624999999</v>
      </c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>
        <v>0</v>
      </c>
      <c r="K96" s="86">
        <v>0</v>
      </c>
      <c r="L96" s="86">
        <f t="shared" si="12"/>
        <v>0</v>
      </c>
      <c r="M96" s="86">
        <f t="shared" si="11"/>
        <v>0</v>
      </c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49070</v>
      </c>
      <c r="H97" s="86">
        <v>46715</v>
      </c>
      <c r="I97" s="86">
        <v>31369.1</v>
      </c>
      <c r="J97" s="86">
        <v>32716.414499999999</v>
      </c>
      <c r="K97" s="86">
        <v>34873.53</v>
      </c>
      <c r="L97" s="86">
        <f t="shared" si="12"/>
        <v>36617.2065</v>
      </c>
      <c r="M97" s="86">
        <f t="shared" si="11"/>
        <v>38448.066825000002</v>
      </c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8043.8</v>
      </c>
      <c r="H98" s="86">
        <v>7673.66</v>
      </c>
      <c r="I98" s="86">
        <v>7114.5</v>
      </c>
      <c r="J98" s="86">
        <v>7605.9</v>
      </c>
      <c r="K98" s="86">
        <v>9127.07</v>
      </c>
      <c r="L98" s="86">
        <f t="shared" si="12"/>
        <v>9583.4235000000008</v>
      </c>
      <c r="M98" s="86">
        <f t="shared" si="11"/>
        <v>10062.594675000002</v>
      </c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0</v>
      </c>
      <c r="H99" s="86">
        <v>0</v>
      </c>
      <c r="I99" s="86">
        <v>0</v>
      </c>
      <c r="J99" s="86">
        <v>0</v>
      </c>
      <c r="K99" s="86">
        <v>0</v>
      </c>
      <c r="L99" s="86">
        <f t="shared" si="12"/>
        <v>0</v>
      </c>
      <c r="M99" s="86">
        <f t="shared" si="11"/>
        <v>0</v>
      </c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16714.39</v>
      </c>
      <c r="H100" s="86">
        <v>17403.38</v>
      </c>
      <c r="I100" s="86">
        <v>24622.98</v>
      </c>
      <c r="J100" s="86">
        <v>25112.04</v>
      </c>
      <c r="K100" s="86">
        <v>26595.4</v>
      </c>
      <c r="L100" s="86">
        <f>K100*(1+$L$20)</f>
        <v>27233.689600000002</v>
      </c>
      <c r="M100" s="86">
        <f>L100*(1+$M$20)</f>
        <v>27887.298150400002</v>
      </c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f t="shared" si="10"/>
        <v>0</v>
      </c>
      <c r="I101" s="86">
        <f t="shared" ref="I101:M110" si="18">H101</f>
        <v>0</v>
      </c>
      <c r="J101" s="86">
        <v>0</v>
      </c>
      <c r="K101" s="86">
        <v>0</v>
      </c>
      <c r="L101" s="86">
        <f t="shared" si="12"/>
        <v>0</v>
      </c>
      <c r="M101" s="86">
        <f t="shared" si="11"/>
        <v>0</v>
      </c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f t="shared" si="10"/>
        <v>0</v>
      </c>
      <c r="I102" s="86">
        <f t="shared" si="18"/>
        <v>0</v>
      </c>
      <c r="J102" s="86">
        <v>0</v>
      </c>
      <c r="K102" s="86">
        <v>0</v>
      </c>
      <c r="L102" s="86">
        <f t="shared" si="12"/>
        <v>0</v>
      </c>
      <c r="M102" s="86">
        <f t="shared" si="11"/>
        <v>0</v>
      </c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55401.06</v>
      </c>
      <c r="H103" s="86">
        <v>54918.78</v>
      </c>
      <c r="I103" s="86">
        <v>21921.85</v>
      </c>
      <c r="J103" s="86">
        <v>22579.505499999999</v>
      </c>
      <c r="K103" s="86">
        <v>72471.28</v>
      </c>
      <c r="L103" s="86">
        <f t="shared" si="12"/>
        <v>76094.843999999997</v>
      </c>
      <c r="M103" s="86">
        <f t="shared" si="11"/>
        <v>79899.586200000005</v>
      </c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41607.43</v>
      </c>
      <c r="H104" s="86">
        <v>36922.550000000003</v>
      </c>
      <c r="I104" s="86">
        <v>38518</v>
      </c>
      <c r="J104" s="86">
        <v>39295.24</v>
      </c>
      <c r="K104" s="86">
        <v>41277.620000000003</v>
      </c>
      <c r="L104" s="86">
        <f t="shared" si="12"/>
        <v>43341.501000000004</v>
      </c>
      <c r="M104" s="86">
        <f t="shared" si="11"/>
        <v>45508.576050000003</v>
      </c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f t="shared" si="12"/>
        <v>0</v>
      </c>
      <c r="M105" s="86">
        <f t="shared" si="11"/>
        <v>0</v>
      </c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f t="shared" si="12"/>
        <v>0</v>
      </c>
      <c r="M106" s="86">
        <f t="shared" si="11"/>
        <v>0</v>
      </c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14089.12</v>
      </c>
      <c r="H107" s="86">
        <v>14966.35</v>
      </c>
      <c r="I107" s="86">
        <v>15185.559999999998</v>
      </c>
      <c r="J107" s="86">
        <v>15630.81</v>
      </c>
      <c r="K107" s="86">
        <v>15943.42</v>
      </c>
      <c r="L107" s="86">
        <f t="shared" si="12"/>
        <v>16740.591</v>
      </c>
      <c r="M107" s="86">
        <f t="shared" si="11"/>
        <v>17577.62055</v>
      </c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2911</v>
      </c>
      <c r="H108" s="86">
        <v>2917.0000000000005</v>
      </c>
      <c r="I108" s="86">
        <v>2908.0000000000005</v>
      </c>
      <c r="J108" s="86">
        <v>3054.71</v>
      </c>
      <c r="K108" s="86">
        <v>3115.8</v>
      </c>
      <c r="L108" s="86">
        <f t="shared" si="12"/>
        <v>3271.59</v>
      </c>
      <c r="M108" s="86">
        <f t="shared" si="11"/>
        <v>3435.1695000000004</v>
      </c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546904.06000000006</v>
      </c>
      <c r="H109" s="52">
        <f>SUM(H92:H108)</f>
        <v>601361.41999999993</v>
      </c>
      <c r="I109" s="52">
        <f t="shared" ref="I109:M109" si="19">SUM(I92:I108)</f>
        <v>588532.28</v>
      </c>
      <c r="J109" s="52">
        <f t="shared" si="19"/>
        <v>566301.6</v>
      </c>
      <c r="K109" s="52">
        <f t="shared" si="19"/>
        <v>515848.49</v>
      </c>
      <c r="L109" s="52">
        <f t="shared" si="19"/>
        <v>533890.61817999999</v>
      </c>
      <c r="M109" s="52">
        <f t="shared" si="19"/>
        <v>552648.84565731999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0</v>
      </c>
      <c r="H110" s="86">
        <f t="shared" si="10"/>
        <v>0</v>
      </c>
      <c r="I110" s="86">
        <f t="shared" si="18"/>
        <v>0</v>
      </c>
      <c r="J110" s="86">
        <f t="shared" si="18"/>
        <v>0</v>
      </c>
      <c r="K110" s="86">
        <f t="shared" si="18"/>
        <v>0</v>
      </c>
      <c r="L110" s="86">
        <f t="shared" si="18"/>
        <v>0</v>
      </c>
      <c r="M110" s="86">
        <f t="shared" si="18"/>
        <v>0</v>
      </c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f t="shared" ref="H111:M113" si="20">G111</f>
        <v>0</v>
      </c>
      <c r="I111" s="86">
        <f t="shared" si="20"/>
        <v>0</v>
      </c>
      <c r="J111" s="86">
        <f t="shared" si="20"/>
        <v>0</v>
      </c>
      <c r="K111" s="86">
        <f t="shared" si="20"/>
        <v>0</v>
      </c>
      <c r="L111" s="86">
        <f t="shared" si="20"/>
        <v>0</v>
      </c>
      <c r="M111" s="86">
        <f t="shared" si="20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0</v>
      </c>
      <c r="H112" s="52">
        <f>H110+H111</f>
        <v>0</v>
      </c>
      <c r="I112" s="52">
        <f t="shared" ref="I112:M112" si="21">I110+I111</f>
        <v>0</v>
      </c>
      <c r="J112" s="52">
        <f t="shared" si="21"/>
        <v>0</v>
      </c>
      <c r="K112" s="52">
        <f t="shared" si="21"/>
        <v>0</v>
      </c>
      <c r="L112" s="52">
        <f t="shared" si="21"/>
        <v>0</v>
      </c>
      <c r="M112" s="52">
        <f t="shared" si="21"/>
        <v>0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86">
        <f t="shared" si="20"/>
        <v>0</v>
      </c>
      <c r="I113" s="86">
        <f t="shared" si="20"/>
        <v>0</v>
      </c>
      <c r="J113" s="86">
        <f t="shared" si="20"/>
        <v>0</v>
      </c>
      <c r="K113" s="86">
        <f t="shared" si="20"/>
        <v>0</v>
      </c>
      <c r="L113" s="86">
        <f t="shared" si="20"/>
        <v>0</v>
      </c>
      <c r="M113" s="86">
        <f t="shared" si="20"/>
        <v>0</v>
      </c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22">I113</f>
        <v>0</v>
      </c>
      <c r="J114" s="52">
        <f t="shared" si="22"/>
        <v>0</v>
      </c>
      <c r="K114" s="52">
        <f t="shared" si="22"/>
        <v>0</v>
      </c>
      <c r="L114" s="52">
        <f t="shared" si="22"/>
        <v>0</v>
      </c>
      <c r="M114" s="52">
        <f t="shared" si="22"/>
        <v>0</v>
      </c>
      <c r="N114" s="98" t="s">
        <v>29</v>
      </c>
    </row>
    <row r="115" spans="3:14" x14ac:dyDescent="0.2">
      <c r="C115" s="102"/>
      <c r="E115" s="112" t="s">
        <v>197</v>
      </c>
      <c r="F115" s="13" t="s">
        <v>80</v>
      </c>
      <c r="G115" s="38">
        <f>'Benchmarking Calculations'!G81</f>
        <v>1390403.9900000002</v>
      </c>
      <c r="H115" s="52">
        <f>H64+H78+H86+H91+H109+H112</f>
        <v>1474616.06</v>
      </c>
      <c r="I115" s="52">
        <f t="shared" ref="I115:M115" si="23">I64+I78+I86+I91+I109+I112</f>
        <v>1448457.05</v>
      </c>
      <c r="J115" s="52">
        <f t="shared" si="23"/>
        <v>1575426.546384</v>
      </c>
      <c r="K115" s="52">
        <f t="shared" si="23"/>
        <v>1635898.51975</v>
      </c>
      <c r="L115" s="52">
        <f t="shared" si="23"/>
        <v>1706649.9263675001</v>
      </c>
      <c r="M115" s="52">
        <f t="shared" si="23"/>
        <v>1780673.8588509948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0</v>
      </c>
      <c r="H118" s="38">
        <f t="shared" ref="H118:L118" si="24">H47</f>
        <v>0</v>
      </c>
      <c r="I118" s="38">
        <f t="shared" si="24"/>
        <v>0</v>
      </c>
      <c r="J118" s="38">
        <f t="shared" si="24"/>
        <v>0</v>
      </c>
      <c r="K118" s="38">
        <f t="shared" si="24"/>
        <v>0</v>
      </c>
      <c r="L118" s="38">
        <f t="shared" si="24"/>
        <v>0</v>
      </c>
      <c r="M118" s="38">
        <f t="shared" ref="M118" si="25">M47</f>
        <v>0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 t="shared" ref="H119:L119" si="26">H48</f>
        <v>0</v>
      </c>
      <c r="I119" s="38">
        <f t="shared" si="26"/>
        <v>0</v>
      </c>
      <c r="J119" s="38">
        <f t="shared" si="26"/>
        <v>0</v>
      </c>
      <c r="K119" s="38">
        <f t="shared" si="26"/>
        <v>0</v>
      </c>
      <c r="L119" s="38">
        <f t="shared" si="26"/>
        <v>0</v>
      </c>
      <c r="M119" s="38">
        <f t="shared" ref="M119" si="27">M48</f>
        <v>0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0</v>
      </c>
      <c r="H120" s="38">
        <f t="shared" ref="H120:L120" si="28">H67</f>
        <v>0</v>
      </c>
      <c r="I120" s="38">
        <f t="shared" si="28"/>
        <v>0</v>
      </c>
      <c r="J120" s="38">
        <f t="shared" si="28"/>
        <v>0</v>
      </c>
      <c r="K120" s="38">
        <f t="shared" si="28"/>
        <v>0</v>
      </c>
      <c r="L120" s="38">
        <f t="shared" si="28"/>
        <v>0</v>
      </c>
      <c r="M120" s="38">
        <f t="shared" ref="M120" si="29">M67</f>
        <v>0</v>
      </c>
      <c r="N120" s="98" t="s">
        <v>29</v>
      </c>
    </row>
    <row r="121" spans="3:14" x14ac:dyDescent="0.2">
      <c r="C121" s="102"/>
      <c r="E121" s="112" t="s">
        <v>198</v>
      </c>
      <c r="F121" s="13" t="s">
        <v>82</v>
      </c>
      <c r="G121" s="69">
        <f>'Benchmarking Calculations'!G87</f>
        <v>0</v>
      </c>
      <c r="H121" s="69">
        <f>H47+H48+H67</f>
        <v>0</v>
      </c>
      <c r="I121" s="69">
        <f t="shared" ref="I121:L121" si="30">I47+I48+I67</f>
        <v>0</v>
      </c>
      <c r="J121" s="69">
        <f t="shared" si="30"/>
        <v>0</v>
      </c>
      <c r="K121" s="69">
        <f t="shared" si="30"/>
        <v>0</v>
      </c>
      <c r="L121" s="69">
        <f t="shared" si="30"/>
        <v>0</v>
      </c>
      <c r="M121" s="69">
        <f t="shared" ref="M121" si="31">M47+M48+M67</f>
        <v>0</v>
      </c>
      <c r="N121" s="113" t="s">
        <v>29</v>
      </c>
    </row>
    <row r="122" spans="3:14" x14ac:dyDescent="0.2">
      <c r="C122" s="102"/>
      <c r="E122" s="112" t="s">
        <v>199</v>
      </c>
      <c r="F122" s="13" t="s">
        <v>83</v>
      </c>
      <c r="G122" s="69">
        <f>'Benchmarking Calculations'!G88</f>
        <v>21156.84</v>
      </c>
      <c r="H122" s="114">
        <f>G122</f>
        <v>21156.84</v>
      </c>
      <c r="I122" s="114">
        <f t="shared" ref="I122:M122" si="32">H122</f>
        <v>21156.84</v>
      </c>
      <c r="J122" s="114">
        <f t="shared" si="32"/>
        <v>21156.84</v>
      </c>
      <c r="K122" s="114">
        <f t="shared" si="32"/>
        <v>21156.84</v>
      </c>
      <c r="L122" s="114">
        <f t="shared" si="32"/>
        <v>21156.84</v>
      </c>
      <c r="M122" s="114">
        <f t="shared" si="32"/>
        <v>21156.84</v>
      </c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65:K65 H86:M86 H79:K79 H91:M91 H87:K87 H109:M115 H101:I102 H67:K67 J66:K66 H73:K73 H77:K77 H83:K85 K8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82" activePane="bottomLeft" state="frozen"/>
      <selection activeCell="G33" sqref="G33"/>
      <selection pane="bottomLeft" activeCell="G88" sqref="G8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22.140625" style="181" hidden="1" customWidth="1"/>
    <col min="7" max="11" width="16" customWidth="1"/>
    <col min="12" max="12" width="16.28515625" customWidth="1"/>
    <col min="13" max="13" width="16.85546875" customWidth="1"/>
    <col min="14" max="14" width="11.140625" style="153" hidden="1" customWidth="1"/>
    <col min="15" max="16" width="11.140625" style="72" hidden="1" customWidth="1"/>
    <col min="17" max="17" width="11.140625" hidden="1" customWidth="1"/>
    <col min="18" max="83" width="11.140625" style="72" hidden="1" customWidth="1"/>
    <col min="84" max="85" width="11.140625" customWidth="1"/>
    <col min="86" max="149" width="9.140625" customWidth="1"/>
    <col min="150" max="150" width="9.140625" style="47" customWidth="1"/>
  </cols>
  <sheetData>
    <row r="1" spans="1:150" ht="24" thickBot="1" x14ac:dyDescent="0.4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O1" s="82"/>
      <c r="P1" s="209" t="s">
        <v>265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5" t="s">
        <v>1</v>
      </c>
      <c r="C3" s="235"/>
      <c r="D3" s="141"/>
      <c r="E3" s="65" t="str">
        <f>'Model Inputs'!F5</f>
        <v>Renfrew Hydro Inc.</v>
      </c>
      <c r="F3" s="182"/>
      <c r="G3" s="143"/>
      <c r="N3" s="154"/>
      <c r="O3" s="120">
        <v>1</v>
      </c>
      <c r="P3" s="120" t="s">
        <v>263</v>
      </c>
      <c r="Q3" t="s">
        <v>254</v>
      </c>
      <c r="R3" s="142" t="s">
        <v>202</v>
      </c>
      <c r="S3" s="142" t="s">
        <v>203</v>
      </c>
      <c r="T3" s="142" t="s">
        <v>204</v>
      </c>
      <c r="U3" s="142" t="s">
        <v>205</v>
      </c>
      <c r="V3" s="142" t="s">
        <v>206</v>
      </c>
      <c r="W3" s="142" t="s">
        <v>207</v>
      </c>
      <c r="X3" s="142" t="s">
        <v>208</v>
      </c>
      <c r="Y3" s="142" t="s">
        <v>209</v>
      </c>
      <c r="Z3" s="142" t="s">
        <v>210</v>
      </c>
      <c r="AA3" s="142" t="s">
        <v>211</v>
      </c>
      <c r="AB3" s="142" t="s">
        <v>258</v>
      </c>
      <c r="AC3" s="142" t="s">
        <v>259</v>
      </c>
      <c r="AD3" s="142" t="s">
        <v>212</v>
      </c>
      <c r="AE3" s="142" t="s">
        <v>260</v>
      </c>
      <c r="AF3" s="142" t="s">
        <v>256</v>
      </c>
      <c r="AG3" s="142" t="s">
        <v>257</v>
      </c>
      <c r="AH3" s="142" t="s">
        <v>213</v>
      </c>
      <c r="AI3" s="142" t="s">
        <v>214</v>
      </c>
      <c r="AJ3" s="142" t="s">
        <v>215</v>
      </c>
      <c r="AK3" s="142" t="s">
        <v>216</v>
      </c>
      <c r="AL3" s="142" t="s">
        <v>217</v>
      </c>
      <c r="AM3" s="142" t="s">
        <v>261</v>
      </c>
      <c r="AN3" s="142" t="s">
        <v>218</v>
      </c>
      <c r="AO3" s="142" t="s">
        <v>219</v>
      </c>
      <c r="AP3" s="142" t="s">
        <v>220</v>
      </c>
      <c r="AQ3" s="142" t="s">
        <v>221</v>
      </c>
      <c r="AR3" s="142" t="s">
        <v>222</v>
      </c>
      <c r="AS3" s="142" t="s">
        <v>223</v>
      </c>
      <c r="AT3" s="142" t="s">
        <v>255</v>
      </c>
      <c r="AU3" s="142" t="s">
        <v>224</v>
      </c>
      <c r="AV3" s="142" t="s">
        <v>225</v>
      </c>
      <c r="AW3" s="142" t="s">
        <v>226</v>
      </c>
      <c r="AX3" s="142" t="s">
        <v>227</v>
      </c>
      <c r="AY3" s="142" t="s">
        <v>228</v>
      </c>
      <c r="AZ3" s="142" t="s">
        <v>229</v>
      </c>
      <c r="BA3" s="142" t="s">
        <v>230</v>
      </c>
      <c r="BB3" s="142" t="s">
        <v>231</v>
      </c>
      <c r="BC3" s="142" t="s">
        <v>232</v>
      </c>
      <c r="BD3" s="142" t="s">
        <v>233</v>
      </c>
      <c r="BE3" s="142" t="s">
        <v>234</v>
      </c>
      <c r="BF3" s="142" t="s">
        <v>235</v>
      </c>
      <c r="BG3" s="142" t="s">
        <v>236</v>
      </c>
      <c r="BH3" s="142" t="s">
        <v>237</v>
      </c>
      <c r="BI3" s="142" t="s">
        <v>238</v>
      </c>
      <c r="BJ3" s="142" t="s">
        <v>239</v>
      </c>
      <c r="BK3" s="142" t="s">
        <v>240</v>
      </c>
      <c r="BL3" s="142" t="s">
        <v>241</v>
      </c>
      <c r="BM3" s="142" t="s">
        <v>242</v>
      </c>
      <c r="BN3" s="142" t="s">
        <v>243</v>
      </c>
      <c r="BO3" s="142" t="s">
        <v>244</v>
      </c>
      <c r="BP3" s="142" t="s">
        <v>262</v>
      </c>
      <c r="BQ3" s="142" t="s">
        <v>245</v>
      </c>
      <c r="BR3" s="142" t="s">
        <v>246</v>
      </c>
      <c r="BS3" s="142" t="s">
        <v>247</v>
      </c>
      <c r="BT3" s="142" t="s">
        <v>248</v>
      </c>
      <c r="BU3" s="142" t="s">
        <v>249</v>
      </c>
      <c r="BV3" s="142" t="s">
        <v>250</v>
      </c>
      <c r="BW3" s="142" t="s">
        <v>251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36"/>
      <c r="G4" s="237"/>
      <c r="H4" s="238" t="s">
        <v>2</v>
      </c>
      <c r="I4" s="236"/>
      <c r="J4" s="236"/>
      <c r="K4" s="236"/>
      <c r="L4" s="236"/>
      <c r="M4" s="236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252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0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382.25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2372.38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35829.050000000003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23873.26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25088.74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1155.1600000000001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625.79999999999995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42.5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39087.589999999997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28848.75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5496.53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146103.75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19342.34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1999.33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330247.43000000005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0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708.05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2768.52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25775.82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22733.06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64730.76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0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3338.89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2746.61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0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122801.70999999999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26932.68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312036.53999999998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40003.65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-0.1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378972.77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43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9299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2136.02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11478.02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135989.71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126350.34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60022.239999999998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36704.97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49070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8043.8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0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16714.39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55401.06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41607.43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14089.12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2911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546904.06000000006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0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0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1390403.9900000002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21156.84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1411560.8300000003</v>
      </c>
      <c r="H89" s="121">
        <f>'Model Inputs'!H31</f>
        <v>1495772.9000000001</v>
      </c>
      <c r="I89" s="122">
        <f>'Model Inputs'!I31</f>
        <v>1469613.8900000001</v>
      </c>
      <c r="J89" s="122">
        <f>'Model Inputs'!J31</f>
        <v>1596583.3863840001</v>
      </c>
      <c r="K89" s="122">
        <f>'Model Inputs'!K31</f>
        <v>1657055.3597500001</v>
      </c>
      <c r="L89" s="122">
        <f>'Model Inputs'!L31</f>
        <v>1727806.7663675002</v>
      </c>
      <c r="M89" s="123">
        <f>'Model Inputs'!M31</f>
        <v>1801830.6988509949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560128.38</v>
      </c>
      <c r="H92" s="121">
        <f>'Model Inputs'!H9</f>
        <v>481562.3</v>
      </c>
      <c r="I92" s="122">
        <f>'Model Inputs'!I9</f>
        <v>569835.9800000001</v>
      </c>
      <c r="J92" s="122">
        <f>'Model Inputs'!J9</f>
        <v>1235000</v>
      </c>
      <c r="K92" s="122">
        <f>'Model Inputs'!K9</f>
        <v>830000</v>
      </c>
      <c r="L92" s="122">
        <f>'Model Inputs'!L9</f>
        <v>800000</v>
      </c>
      <c r="M92" s="123">
        <f>'Model Inputs'!M9</f>
        <v>680000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4345</v>
      </c>
      <c r="H96" s="121">
        <f>'Model Inputs'!H13</f>
        <v>4364</v>
      </c>
      <c r="I96" s="122">
        <f>'Model Inputs'!I13</f>
        <v>4384</v>
      </c>
      <c r="J96" s="122">
        <f>'Model Inputs'!J13</f>
        <v>4403</v>
      </c>
      <c r="K96" s="122">
        <f>'Model Inputs'!K13</f>
        <v>4422</v>
      </c>
      <c r="L96" s="122">
        <f>'Model Inputs'!L13</f>
        <v>4441</v>
      </c>
      <c r="M96" s="123">
        <f>'Model Inputs'!M13</f>
        <v>4460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83315207.370000005</v>
      </c>
      <c r="H97" s="121">
        <f>'Model Inputs'!H14</f>
        <v>83288769</v>
      </c>
      <c r="I97" s="122">
        <f>'Model Inputs'!I14</f>
        <v>85463937</v>
      </c>
      <c r="J97" s="122">
        <f>'Model Inputs'!J14</f>
        <v>86854833</v>
      </c>
      <c r="K97" s="122">
        <f>'Model Inputs'!K14</f>
        <v>86888554</v>
      </c>
      <c r="L97" s="122">
        <f>'Model Inputs'!L14</f>
        <v>87757439.540000007</v>
      </c>
      <c r="M97" s="123">
        <f>'Model Inputs'!M14</f>
        <v>88635013.935400009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15232</v>
      </c>
      <c r="H98" s="121">
        <f>'Model Inputs'!H15</f>
        <v>15453</v>
      </c>
      <c r="I98" s="122">
        <f>'Model Inputs'!I15</f>
        <v>14755</v>
      </c>
      <c r="J98" s="122">
        <f>'Model Inputs'!J15</f>
        <v>14755</v>
      </c>
      <c r="K98" s="122">
        <f>'Model Inputs'!K15</f>
        <v>14755</v>
      </c>
      <c r="L98" s="122">
        <f>'Model Inputs'!L15</f>
        <v>14755</v>
      </c>
      <c r="M98" s="123">
        <f>'Model Inputs'!M15</f>
        <v>14755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81</v>
      </c>
      <c r="H99" s="121">
        <f>'Model Inputs'!H16</f>
        <v>81</v>
      </c>
      <c r="I99" s="122">
        <f>'Model Inputs'!I16</f>
        <v>81</v>
      </c>
      <c r="J99" s="122">
        <f>'Model Inputs'!J16</f>
        <v>81</v>
      </c>
      <c r="K99" s="122">
        <f>'Model Inputs'!K16</f>
        <v>81</v>
      </c>
      <c r="L99" s="122">
        <f>'Model Inputs'!L16</f>
        <v>81</v>
      </c>
      <c r="M99" s="123">
        <f>'Model Inputs'!M16</f>
        <v>81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3" t="s">
        <v>93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1411560.8300000003</v>
      </c>
      <c r="H107" s="15">
        <f t="shared" ref="H107:K107" si="5">H89</f>
        <v>1495772.9000000001</v>
      </c>
      <c r="I107" s="15">
        <f t="shared" si="5"/>
        <v>1469613.8900000001</v>
      </c>
      <c r="J107" s="15">
        <f t="shared" si="5"/>
        <v>1596583.3863840001</v>
      </c>
      <c r="K107" s="15">
        <f t="shared" si="5"/>
        <v>1657055.3597500001</v>
      </c>
      <c r="L107" s="15">
        <f t="shared" ref="L107:M107" si="6">L89</f>
        <v>1727806.7663675002</v>
      </c>
      <c r="M107" s="15">
        <f t="shared" si="6"/>
        <v>1801830.6988509949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0.05</v>
      </c>
      <c r="I110" s="125">
        <f>'Model Inputs'!I22</f>
        <v>5.4699999999999999E-2</v>
      </c>
      <c r="J110" s="125">
        <f>'Model Inputs'!J22</f>
        <v>6.6699999999999995E-2</v>
      </c>
      <c r="K110" s="125">
        <f>'Model Inputs'!K22</f>
        <v>6.6699999999999995E-2</v>
      </c>
      <c r="L110" s="125">
        <f>'Model Inputs'!L22</f>
        <v>6.6699999999999995E-2</v>
      </c>
      <c r="M110" s="126">
        <f>'Model Inputs'!M22</f>
        <v>6.6699999999999995E-2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180.32051792717647</v>
      </c>
      <c r="I112" s="128">
        <f>H112*EXP('Model Inputs'!I21)</f>
        <v>186.37036853990475</v>
      </c>
      <c r="J112" s="128">
        <f>I112*EXP('Model Inputs'!J21)</f>
        <v>193.39523072489442</v>
      </c>
      <c r="K112" s="128">
        <f>J112*EXP('Model Inputs'!K21)</f>
        <v>203.31081623805389</v>
      </c>
      <c r="L112" s="128">
        <f>K112*EXP('Model Inputs'!L21)</f>
        <v>213.73478469168327</v>
      </c>
      <c r="M112" s="129">
        <f>L112*EXP('Model Inputs'!M21)</f>
        <v>224.69320143651933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17.096551064939252</v>
      </c>
      <c r="I113" s="15">
        <f t="shared" si="8"/>
        <v>18.417932246598181</v>
      </c>
      <c r="J113" s="15">
        <f t="shared" si="8"/>
        <v>21.307744671884301</v>
      </c>
      <c r="K113" s="15">
        <f t="shared" si="8"/>
        <v>22.231428354677131</v>
      </c>
      <c r="L113" s="15">
        <f t="shared" si="8"/>
        <v>23.371258060426456</v>
      </c>
      <c r="M113" s="15">
        <f t="shared" si="8"/>
        <v>24.569528084871511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560128.38</v>
      </c>
      <c r="H114" s="130">
        <f>H92</f>
        <v>481562.3</v>
      </c>
      <c r="I114" s="131">
        <f t="shared" ref="I114:L114" si="9">I92</f>
        <v>569835.9800000001</v>
      </c>
      <c r="J114" s="131">
        <f t="shared" si="9"/>
        <v>1235000</v>
      </c>
      <c r="K114" s="131">
        <f t="shared" si="9"/>
        <v>830000</v>
      </c>
      <c r="L114" s="131">
        <f t="shared" si="9"/>
        <v>800000</v>
      </c>
      <c r="M114" s="132">
        <f t="shared" ref="M114" si="10">M92</f>
        <v>680000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3175.3888106717773</v>
      </c>
      <c r="H116" s="6">
        <f t="shared" ref="H116:K116" si="13">(H114-H115)/H112</f>
        <v>2670.5907100071763</v>
      </c>
      <c r="I116" s="6">
        <f t="shared" si="13"/>
        <v>3057.5460276454273</v>
      </c>
      <c r="J116" s="6">
        <f t="shared" si="13"/>
        <v>6385.8865359342444</v>
      </c>
      <c r="K116" s="6">
        <f t="shared" si="13"/>
        <v>4082.4192994639507</v>
      </c>
      <c r="L116" s="6">
        <f t="shared" ref="L116:M116" si="14">(L114-L115)/L112</f>
        <v>3742.9564923370622</v>
      </c>
      <c r="M116" s="6">
        <f t="shared" si="14"/>
        <v>3026.3487976164452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3202.9055719722614</v>
      </c>
      <c r="H117" s="17">
        <f t="shared" ref="H117:M117" si="15">H111*G118</f>
        <v>3201.6425526285689</v>
      </c>
      <c r="I117" s="17">
        <f t="shared" si="15"/>
        <v>3177.2672730522468</v>
      </c>
      <c r="J117" s="17">
        <f t="shared" si="15"/>
        <v>3171.7720678880737</v>
      </c>
      <c r="K117" s="17">
        <f t="shared" si="15"/>
        <v>3319.2999219713934</v>
      </c>
      <c r="L117" s="17">
        <f t="shared" si="15"/>
        <v>3354.3271013983012</v>
      </c>
      <c r="M117" s="17">
        <f t="shared" si="15"/>
        <v>3372.1651904423902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69752.561059445943</v>
      </c>
      <c r="H118" s="17">
        <f t="shared" ref="H118:M118" si="16">G118+H116-H117</f>
        <v>69221.509216824546</v>
      </c>
      <c r="I118" s="17">
        <f t="shared" si="16"/>
        <v>69101.787971417725</v>
      </c>
      <c r="J118" s="17">
        <f t="shared" si="16"/>
        <v>72315.902439463898</v>
      </c>
      <c r="K118" s="17">
        <f t="shared" si="16"/>
        <v>73079.021816956447</v>
      </c>
      <c r="L118" s="17">
        <f t="shared" si="16"/>
        <v>73467.651207895207</v>
      </c>
      <c r="M118" s="17">
        <f t="shared" si="16"/>
        <v>73121.834815069262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1207746.3242762792</v>
      </c>
      <c r="H119" s="17">
        <f t="shared" ref="H119:K119" si="17">H113*H118</f>
        <v>1183449.067117604</v>
      </c>
      <c r="I119" s="17">
        <f t="shared" si="17"/>
        <v>1272712.0489763648</v>
      </c>
      <c r="J119" s="17">
        <f t="shared" si="17"/>
        <v>1540888.7848969917</v>
      </c>
      <c r="K119" s="17">
        <f t="shared" si="17"/>
        <v>1624651.0377535543</v>
      </c>
      <c r="L119" s="17">
        <f t="shared" ref="L119:M119" si="18">L113*L118</f>
        <v>1717031.4354731203</v>
      </c>
      <c r="M119" s="17">
        <f t="shared" si="18"/>
        <v>1796568.9741061796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2619307.1542762797</v>
      </c>
      <c r="H121" s="17">
        <f t="shared" ref="H121:K121" si="19">H107+H119</f>
        <v>2679221.9671176039</v>
      </c>
      <c r="I121" s="17">
        <f t="shared" si="19"/>
        <v>2742325.9389763651</v>
      </c>
      <c r="J121" s="17">
        <f t="shared" si="19"/>
        <v>3137472.1712809918</v>
      </c>
      <c r="K121" s="17">
        <f t="shared" si="19"/>
        <v>3281706.3975035544</v>
      </c>
      <c r="L121" s="17">
        <f t="shared" ref="L121:M121" si="20">L107+L119</f>
        <v>3444838.2018406205</v>
      </c>
      <c r="M121" s="17">
        <f t="shared" si="20"/>
        <v>3598399.6729571745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3" t="s">
        <v>108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4345</v>
      </c>
      <c r="H128" s="6">
        <f t="shared" ref="H128:K130" si="21">H96</f>
        <v>4364</v>
      </c>
      <c r="I128" s="6">
        <f t="shared" si="21"/>
        <v>4384</v>
      </c>
      <c r="J128" s="6">
        <f t="shared" si="21"/>
        <v>4403</v>
      </c>
      <c r="K128" s="6">
        <f t="shared" si="21"/>
        <v>4422</v>
      </c>
      <c r="L128" s="6">
        <f t="shared" ref="L128:M128" si="22">L96</f>
        <v>4441</v>
      </c>
      <c r="M128" s="6">
        <f t="shared" si="22"/>
        <v>4460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83315207.370000005</v>
      </c>
      <c r="H129" s="24">
        <f t="shared" si="21"/>
        <v>83288769</v>
      </c>
      <c r="I129" s="24">
        <f t="shared" si="21"/>
        <v>85463937</v>
      </c>
      <c r="J129" s="24">
        <f t="shared" si="21"/>
        <v>86854833</v>
      </c>
      <c r="K129" s="24">
        <f t="shared" si="21"/>
        <v>86888554</v>
      </c>
      <c r="L129" s="24">
        <f t="shared" ref="L129:M129" si="23">L97</f>
        <v>87757439.540000007</v>
      </c>
      <c r="M129" s="24">
        <f t="shared" si="23"/>
        <v>88635013.935400009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15232</v>
      </c>
      <c r="H130" s="6">
        <f t="shared" si="21"/>
        <v>15453</v>
      </c>
      <c r="I130" s="6">
        <f t="shared" si="21"/>
        <v>14755</v>
      </c>
      <c r="J130" s="6">
        <f t="shared" si="21"/>
        <v>14755</v>
      </c>
      <c r="K130" s="6">
        <f t="shared" si="21"/>
        <v>14755</v>
      </c>
      <c r="L130" s="6">
        <f t="shared" ref="L130:M130" si="24">L98</f>
        <v>14755</v>
      </c>
      <c r="M130" s="6">
        <f t="shared" si="24"/>
        <v>14755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19991</v>
      </c>
      <c r="H131" s="6">
        <f t="shared" ref="H131:M131" si="25">MAX(G131,H130)</f>
        <v>19991</v>
      </c>
      <c r="I131" s="6">
        <f t="shared" si="25"/>
        <v>19991</v>
      </c>
      <c r="J131" s="6">
        <f t="shared" si="25"/>
        <v>19991</v>
      </c>
      <c r="K131" s="6">
        <f t="shared" si="25"/>
        <v>19991</v>
      </c>
      <c r="L131" s="6">
        <f t="shared" si="25"/>
        <v>19991</v>
      </c>
      <c r="M131" s="6">
        <f t="shared" si="25"/>
        <v>19991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116.45912314579466</v>
      </c>
      <c r="I134" s="137">
        <f>H134*EXP('Model Inputs'!I21)</f>
        <v>120.36638952690569</v>
      </c>
      <c r="J134" s="137">
        <f>I134*EXP('Model Inputs'!J21)</f>
        <v>124.90336235555709</v>
      </c>
      <c r="K134" s="137">
        <f>J134*EXP('Model Inputs'!K21)</f>
        <v>131.30729468457832</v>
      </c>
      <c r="L134" s="137">
        <f>K134*EXP('Model Inputs'!L21)</f>
        <v>138.03956364522634</v>
      </c>
      <c r="M134" s="138">
        <f>L134*EXP('Model Inputs'!M21)</f>
        <v>145.11700341658505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253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1151.3531744490544</v>
      </c>
      <c r="I135" s="128">
        <f>H135*EXP('Model Inputs'!I20)</f>
        <v>1178.141178615188</v>
      </c>
      <c r="J135" s="128">
        <f>I135*EXP('Model Inputs'!J20)</f>
        <v>1248.4938740423072</v>
      </c>
      <c r="K135" s="128">
        <f>J135*EXP('Model Inputs'!K20)</f>
        <v>1278.8201871272884</v>
      </c>
      <c r="L135" s="128">
        <f>K135*EXP('Model Inputs'!L20)</f>
        <v>1309.8831359975543</v>
      </c>
      <c r="M135" s="129">
        <f>L135*EXP('Model Inputs'!M20)</f>
        <v>1341.7006137704991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2.1999999999999943E-2</v>
      </c>
      <c r="I136" s="25">
        <f t="shared" ref="I136:M136" si="27">LN(I134/H134)*0.3+LN(I135/H135)*0.7</f>
        <v>2.6000000000000099E-2</v>
      </c>
      <c r="J136" s="25">
        <f t="shared" si="27"/>
        <v>5.1700000000000065E-2</v>
      </c>
      <c r="K136" s="25">
        <f t="shared" si="27"/>
        <v>3.1800000000000016E-2</v>
      </c>
      <c r="L136" s="25">
        <f t="shared" si="27"/>
        <v>3.1800000000000016E-2</v>
      </c>
      <c r="M136" s="25">
        <f t="shared" si="27"/>
        <v>3.1800000000000016E-2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117.72082915485139</v>
      </c>
      <c r="H137" s="15">
        <f t="shared" ref="H137:M137" si="28">G137*EXP(H136)</f>
        <v>120.33938590625317</v>
      </c>
      <c r="I137" s="15">
        <f t="shared" si="28"/>
        <v>123.50923946973546</v>
      </c>
      <c r="J137" s="15">
        <f t="shared" si="28"/>
        <v>130.06261219663173</v>
      </c>
      <c r="K137" s="15">
        <f t="shared" si="28"/>
        <v>134.26506817961695</v>
      </c>
      <c r="L137" s="15">
        <f t="shared" si="28"/>
        <v>138.60330981222629</v>
      </c>
      <c r="M137" s="15">
        <f t="shared" si="28"/>
        <v>143.08172446763353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17.096551064939252</v>
      </c>
      <c r="I139" s="15">
        <f t="shared" si="29"/>
        <v>18.417932246598181</v>
      </c>
      <c r="J139" s="15">
        <f t="shared" si="29"/>
        <v>21.307744671884301</v>
      </c>
      <c r="K139" s="15">
        <f t="shared" si="29"/>
        <v>22.231428354677131</v>
      </c>
      <c r="L139" s="15">
        <f t="shared" ref="L139:M139" si="30">L113</f>
        <v>23.371258060426456</v>
      </c>
      <c r="M139" s="15">
        <f t="shared" si="30"/>
        <v>24.569528084871511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81</v>
      </c>
      <c r="H142" s="26">
        <f>'Model Inputs'!H16</f>
        <v>81</v>
      </c>
      <c r="I142" s="26">
        <f>'Model Inputs'!I16</f>
        <v>81</v>
      </c>
      <c r="J142" s="26">
        <f>'Model Inputs'!J16</f>
        <v>81</v>
      </c>
      <c r="K142" s="26">
        <f>'Model Inputs'!K16</f>
        <v>81</v>
      </c>
      <c r="L142" s="26">
        <f>'Model Inputs'!L16</f>
        <v>81</v>
      </c>
      <c r="M142" s="26">
        <f>'Model Inputs'!M16</f>
        <v>81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67.684210526315795</v>
      </c>
      <c r="H143" s="22">
        <f>(G143*14+H142)/15</f>
        <v>68.571929824561423</v>
      </c>
      <c r="I143" s="22">
        <f>(H143*15+I142)/16</f>
        <v>69.348684210526329</v>
      </c>
      <c r="J143" s="22">
        <f>(I143*16+J142)/17</f>
        <v>70.03405572755419</v>
      </c>
      <c r="K143" s="22">
        <f>(J143*17+K142)/18</f>
        <v>70.643274853801188</v>
      </c>
      <c r="L143" s="22">
        <f>(K143*17+L142)/18</f>
        <v>71.218648473034449</v>
      </c>
      <c r="M143" s="22">
        <f>(L143*17+M142)/18</f>
        <v>71.762056891199194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4155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4.5728038507821901E-2</v>
      </c>
      <c r="H145" s="19">
        <f>'Model Inputs'!H17</f>
        <v>4.5728038507821901E-2</v>
      </c>
      <c r="I145" s="19">
        <f>'Model Inputs'!I17</f>
        <v>4.5728038507821901E-2</v>
      </c>
      <c r="J145" s="19">
        <f>'Model Inputs'!J17</f>
        <v>4.5728038507821901E-2</v>
      </c>
      <c r="K145" s="19">
        <f>'Model Inputs'!K17</f>
        <v>4.5728038507821901E-2</v>
      </c>
      <c r="L145" s="19">
        <f>'Model Inputs'!L17</f>
        <v>4.5728038507821901E-2</v>
      </c>
      <c r="M145" s="19">
        <f>'Model Inputs'!M17</f>
        <v>4.5728038507821901E-2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0.14708292368767181</v>
      </c>
      <c r="H152" s="27">
        <f t="shared" ref="H152:K152" si="33">H113/H137</f>
        <v>0.14206945578281258</v>
      </c>
      <c r="I152" s="27">
        <f t="shared" si="33"/>
        <v>0.14912189829418621</v>
      </c>
      <c r="J152" s="27">
        <f t="shared" si="33"/>
        <v>0.16382682395822365</v>
      </c>
      <c r="K152" s="27">
        <f t="shared" si="33"/>
        <v>0.16557864719464038</v>
      </c>
      <c r="L152" s="27">
        <f t="shared" ref="L152:M152" si="34">L113/L137</f>
        <v>0.16861976883588722</v>
      </c>
      <c r="M152" s="27">
        <f t="shared" si="34"/>
        <v>0.17171674563112618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4345</v>
      </c>
      <c r="H153" s="17">
        <f t="shared" ref="H153:K153" si="35">H96</f>
        <v>4364</v>
      </c>
      <c r="I153" s="17">
        <f t="shared" si="35"/>
        <v>4384</v>
      </c>
      <c r="J153" s="17">
        <f t="shared" si="35"/>
        <v>4403</v>
      </c>
      <c r="K153" s="17">
        <f t="shared" si="35"/>
        <v>4422</v>
      </c>
      <c r="L153" s="17">
        <f t="shared" ref="L153:M153" si="36">L96</f>
        <v>4441</v>
      </c>
      <c r="M153" s="17">
        <f t="shared" si="36"/>
        <v>4460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19991</v>
      </c>
      <c r="H154" s="17">
        <f t="shared" ref="H154:K154" si="37">H131</f>
        <v>19991</v>
      </c>
      <c r="I154" s="17">
        <f t="shared" si="37"/>
        <v>19991</v>
      </c>
      <c r="J154" s="17">
        <f t="shared" si="37"/>
        <v>19991</v>
      </c>
      <c r="K154" s="17">
        <f t="shared" si="37"/>
        <v>19991</v>
      </c>
      <c r="L154" s="17">
        <f t="shared" ref="L154:M154" si="38">L131</f>
        <v>19991</v>
      </c>
      <c r="M154" s="17">
        <f t="shared" si="38"/>
        <v>19991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83315207.370000005</v>
      </c>
      <c r="H155" s="24">
        <f t="shared" ref="H155:K155" si="39">H97</f>
        <v>83288769</v>
      </c>
      <c r="I155" s="24">
        <f t="shared" si="39"/>
        <v>85463937</v>
      </c>
      <c r="J155" s="24">
        <f t="shared" si="39"/>
        <v>86854833</v>
      </c>
      <c r="K155" s="24">
        <f t="shared" si="39"/>
        <v>86888554</v>
      </c>
      <c r="L155" s="24">
        <f t="shared" ref="L155:M155" si="40">L97</f>
        <v>87757439.540000007</v>
      </c>
      <c r="M155" s="24">
        <f t="shared" si="40"/>
        <v>88635013.935400009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67.684210526315795</v>
      </c>
      <c r="H156" s="28">
        <f t="shared" ref="H156:K156" si="41">H143</f>
        <v>68.571929824561423</v>
      </c>
      <c r="I156" s="28">
        <f t="shared" si="41"/>
        <v>69.348684210526329</v>
      </c>
      <c r="J156" s="28">
        <f t="shared" si="41"/>
        <v>70.03405572755419</v>
      </c>
      <c r="K156" s="28">
        <f t="shared" si="41"/>
        <v>70.643274853801188</v>
      </c>
      <c r="L156" s="28">
        <f t="shared" ref="L156:M156" si="42">L143</f>
        <v>71.218648473034449</v>
      </c>
      <c r="M156" s="28">
        <f t="shared" si="42"/>
        <v>71.762056891199194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4.5728038507821901E-2</v>
      </c>
      <c r="H157" s="20">
        <f t="shared" ref="H157:L157" si="43">H145</f>
        <v>4.5728038507821901E-2</v>
      </c>
      <c r="I157" s="20">
        <f t="shared" si="43"/>
        <v>4.5728038507821901E-2</v>
      </c>
      <c r="J157" s="20">
        <f t="shared" si="43"/>
        <v>4.5728038507821901E-2</v>
      </c>
      <c r="K157" s="20">
        <f t="shared" si="43"/>
        <v>4.5728038507821901E-2</v>
      </c>
      <c r="L157" s="20">
        <f t="shared" si="43"/>
        <v>4.5728038507821901E-2</v>
      </c>
      <c r="M157" s="20">
        <f t="shared" ref="M157" si="44">M145</f>
        <v>4.5728038507821901E-2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12.822060011014516</v>
      </c>
      <c r="H162" s="32">
        <f t="shared" ref="H162:M179" si="47">G162</f>
        <v>12.822060011014516</v>
      </c>
      <c r="I162" s="32">
        <f t="shared" si="47"/>
        <v>12.822060011014516</v>
      </c>
      <c r="J162" s="32">
        <f t="shared" si="47"/>
        <v>12.822060011014516</v>
      </c>
      <c r="K162" s="32">
        <f t="shared" si="47"/>
        <v>12.822060011014516</v>
      </c>
      <c r="L162" s="32">
        <f t="shared" si="47"/>
        <v>12.822060011014516</v>
      </c>
      <c r="M162" s="32">
        <f t="shared" si="47"/>
        <v>12.822060011014516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0.62426122025757624</v>
      </c>
      <c r="H163" s="32">
        <f t="shared" si="47"/>
        <v>0.62426122025757624</v>
      </c>
      <c r="I163" s="32">
        <f t="shared" si="47"/>
        <v>0.62426122025757624</v>
      </c>
      <c r="J163" s="32">
        <f t="shared" si="47"/>
        <v>0.62426122025757624</v>
      </c>
      <c r="K163" s="32">
        <f t="shared" si="47"/>
        <v>0.62426122025757624</v>
      </c>
      <c r="L163" s="32">
        <f t="shared" si="47"/>
        <v>0.62426122025757624</v>
      </c>
      <c r="M163" s="32">
        <f t="shared" si="47"/>
        <v>0.62426122025757624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0.43709079094380021</v>
      </c>
      <c r="H164" s="32">
        <f t="shared" si="47"/>
        <v>0.43709079094380021</v>
      </c>
      <c r="I164" s="32">
        <f t="shared" si="47"/>
        <v>0.43709079094380021</v>
      </c>
      <c r="J164" s="32">
        <f t="shared" si="47"/>
        <v>0.43709079094380021</v>
      </c>
      <c r="K164" s="32">
        <f t="shared" si="47"/>
        <v>0.43709079094380021</v>
      </c>
      <c r="L164" s="32">
        <f t="shared" si="47"/>
        <v>0.43709079094380021</v>
      </c>
      <c r="M164" s="32">
        <f t="shared" si="47"/>
        <v>0.43709079094380021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0.1556297157235631</v>
      </c>
      <c r="H165" s="32">
        <f t="shared" si="47"/>
        <v>0.1556297157235631</v>
      </c>
      <c r="I165" s="32">
        <f t="shared" si="47"/>
        <v>0.1556297157235631</v>
      </c>
      <c r="J165" s="32">
        <f t="shared" si="47"/>
        <v>0.1556297157235631</v>
      </c>
      <c r="K165" s="32">
        <f t="shared" si="47"/>
        <v>0.1556297157235631</v>
      </c>
      <c r="L165" s="32">
        <f t="shared" si="47"/>
        <v>0.1556297157235631</v>
      </c>
      <c r="M165" s="32">
        <f t="shared" si="47"/>
        <v>0.1556297157235631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0.10923611475842263</v>
      </c>
      <c r="H166" s="32">
        <f t="shared" si="47"/>
        <v>0.10923611475842263</v>
      </c>
      <c r="I166" s="32">
        <f t="shared" si="47"/>
        <v>0.10923611475842263</v>
      </c>
      <c r="J166" s="32">
        <f t="shared" si="47"/>
        <v>0.10923611475842263</v>
      </c>
      <c r="K166" s="32">
        <f t="shared" si="47"/>
        <v>0.10923611475842263</v>
      </c>
      <c r="L166" s="32">
        <f t="shared" si="47"/>
        <v>0.10923611475842263</v>
      </c>
      <c r="M166" s="32">
        <f t="shared" si="47"/>
        <v>0.10923611475842263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0.11139862192050343</v>
      </c>
      <c r="H167" s="32">
        <f t="shared" si="47"/>
        <v>0.11139862192050343</v>
      </c>
      <c r="I167" s="32">
        <f t="shared" si="47"/>
        <v>0.11139862192050343</v>
      </c>
      <c r="J167" s="32">
        <f t="shared" si="47"/>
        <v>0.11139862192050343</v>
      </c>
      <c r="K167" s="32">
        <f t="shared" si="47"/>
        <v>0.11139862192050343</v>
      </c>
      <c r="L167" s="32">
        <f t="shared" si="47"/>
        <v>0.11139862192050343</v>
      </c>
      <c r="M167" s="32">
        <f t="shared" si="47"/>
        <v>0.11139862192050343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-0.25488962993383857</v>
      </c>
      <c r="H168" s="32">
        <f t="shared" si="47"/>
        <v>-0.25488962993383857</v>
      </c>
      <c r="I168" s="32">
        <f t="shared" si="47"/>
        <v>-0.25488962993383857</v>
      </c>
      <c r="J168" s="32">
        <f t="shared" si="47"/>
        <v>-0.25488962993383857</v>
      </c>
      <c r="K168" s="32">
        <f t="shared" si="47"/>
        <v>-0.25488962993383857</v>
      </c>
      <c r="L168" s="32">
        <f t="shared" si="47"/>
        <v>-0.25488962993383857</v>
      </c>
      <c r="M168" s="32">
        <f t="shared" si="47"/>
        <v>-0.25488962993383857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0.23846949280649632</v>
      </c>
      <c r="H169" s="32">
        <f t="shared" si="47"/>
        <v>0.23846949280649632</v>
      </c>
      <c r="I169" s="32">
        <f t="shared" si="47"/>
        <v>0.23846949280649632</v>
      </c>
      <c r="J169" s="32">
        <f t="shared" si="47"/>
        <v>0.23846949280649632</v>
      </c>
      <c r="K169" s="32">
        <f t="shared" si="47"/>
        <v>0.23846949280649632</v>
      </c>
      <c r="L169" s="32">
        <f t="shared" si="47"/>
        <v>0.23846949280649632</v>
      </c>
      <c r="M169" s="32">
        <f t="shared" si="47"/>
        <v>0.23846949280649632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0.17968558232475068</v>
      </c>
      <c r="H170" s="32">
        <f t="shared" si="47"/>
        <v>0.17968558232475068</v>
      </c>
      <c r="I170" s="32">
        <f t="shared" si="47"/>
        <v>0.17968558232475068</v>
      </c>
      <c r="J170" s="32">
        <f t="shared" si="47"/>
        <v>0.17968558232475068</v>
      </c>
      <c r="K170" s="32">
        <f t="shared" si="47"/>
        <v>0.17968558232475068</v>
      </c>
      <c r="L170" s="32">
        <f t="shared" si="47"/>
        <v>0.17968558232475068</v>
      </c>
      <c r="M170" s="32">
        <f t="shared" si="47"/>
        <v>0.17968558232475068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5.5167258833257127E-2</v>
      </c>
      <c r="H171" s="32">
        <f t="shared" si="47"/>
        <v>5.5167258833257127E-2</v>
      </c>
      <c r="I171" s="32">
        <f t="shared" si="47"/>
        <v>5.5167258833257127E-2</v>
      </c>
      <c r="J171" s="32">
        <f t="shared" si="47"/>
        <v>5.5167258833257127E-2</v>
      </c>
      <c r="K171" s="32">
        <f t="shared" si="47"/>
        <v>5.5167258833257127E-2</v>
      </c>
      <c r="L171" s="32">
        <f t="shared" si="47"/>
        <v>5.5167258833257127E-2</v>
      </c>
      <c r="M171" s="32">
        <f t="shared" si="47"/>
        <v>5.5167258833257127E-2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8.9178394128427985E-3</v>
      </c>
      <c r="H172" s="32">
        <f t="shared" si="47"/>
        <v>8.9178394128427985E-3</v>
      </c>
      <c r="I172" s="32">
        <f t="shared" si="47"/>
        <v>8.9178394128427985E-3</v>
      </c>
      <c r="J172" s="32">
        <f t="shared" si="47"/>
        <v>8.9178394128427985E-3</v>
      </c>
      <c r="K172" s="32">
        <f t="shared" si="47"/>
        <v>8.9178394128427985E-3</v>
      </c>
      <c r="L172" s="32">
        <f t="shared" si="47"/>
        <v>8.9178394128427985E-3</v>
      </c>
      <c r="M172" s="32">
        <f t="shared" si="47"/>
        <v>8.9178394128427985E-3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-3.2773297847610294E-4</v>
      </c>
      <c r="H173" s="32">
        <f t="shared" si="47"/>
        <v>-3.2773297847610294E-4</v>
      </c>
      <c r="I173" s="32">
        <f t="shared" si="47"/>
        <v>-3.2773297847610294E-4</v>
      </c>
      <c r="J173" s="32">
        <f t="shared" si="47"/>
        <v>-3.2773297847610294E-4</v>
      </c>
      <c r="K173" s="32">
        <f t="shared" si="47"/>
        <v>-3.2773297847610294E-4</v>
      </c>
      <c r="L173" s="32">
        <f t="shared" si="47"/>
        <v>-3.2773297847610294E-4</v>
      </c>
      <c r="M173" s="32">
        <f t="shared" si="47"/>
        <v>-3.2773297847610294E-4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6.0242307161694902E-2</v>
      </c>
      <c r="H174" s="32">
        <f t="shared" si="47"/>
        <v>6.0242307161694902E-2</v>
      </c>
      <c r="I174" s="32">
        <f t="shared" si="47"/>
        <v>6.0242307161694902E-2</v>
      </c>
      <c r="J174" s="32">
        <f t="shared" si="47"/>
        <v>6.0242307161694902E-2</v>
      </c>
      <c r="K174" s="32">
        <f t="shared" si="47"/>
        <v>6.0242307161694902E-2</v>
      </c>
      <c r="L174" s="32">
        <f t="shared" si="47"/>
        <v>6.0242307161694902E-2</v>
      </c>
      <c r="M174" s="32">
        <f t="shared" si="47"/>
        <v>6.0242307161694902E-2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3.3864956833131898E-2</v>
      </c>
      <c r="H175" s="32">
        <f t="shared" si="47"/>
        <v>3.3864956833131898E-2</v>
      </c>
      <c r="I175" s="32">
        <f t="shared" si="47"/>
        <v>3.3864956833131898E-2</v>
      </c>
      <c r="J175" s="32">
        <f t="shared" si="47"/>
        <v>3.3864956833131898E-2</v>
      </c>
      <c r="K175" s="32">
        <f t="shared" si="47"/>
        <v>3.3864956833131898E-2</v>
      </c>
      <c r="L175" s="32">
        <f t="shared" si="47"/>
        <v>3.3864956833131898E-2</v>
      </c>
      <c r="M175" s="32">
        <f t="shared" si="47"/>
        <v>3.3864956833131898E-2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-0.18136915734086642</v>
      </c>
      <c r="H176" s="32">
        <f t="shared" si="47"/>
        <v>-0.18136915734086642</v>
      </c>
      <c r="I176" s="32">
        <f t="shared" si="47"/>
        <v>-0.18136915734086642</v>
      </c>
      <c r="J176" s="32">
        <f t="shared" si="47"/>
        <v>-0.18136915734086642</v>
      </c>
      <c r="K176" s="32">
        <f t="shared" si="47"/>
        <v>-0.18136915734086642</v>
      </c>
      <c r="L176" s="32">
        <f t="shared" si="47"/>
        <v>-0.18136915734086642</v>
      </c>
      <c r="M176" s="32">
        <f t="shared" si="47"/>
        <v>-0.18136915734086642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0.29288374730803418</v>
      </c>
      <c r="H177" s="32">
        <f t="shared" si="47"/>
        <v>0.29288374730803418</v>
      </c>
      <c r="I177" s="32">
        <f t="shared" si="47"/>
        <v>0.29288374730803418</v>
      </c>
      <c r="J177" s="32">
        <f t="shared" si="47"/>
        <v>0.29288374730803418</v>
      </c>
      <c r="K177" s="32">
        <f t="shared" si="47"/>
        <v>0.29288374730803418</v>
      </c>
      <c r="L177" s="32">
        <f t="shared" si="47"/>
        <v>0.29288374730803418</v>
      </c>
      <c r="M177" s="32">
        <f t="shared" si="47"/>
        <v>0.29288374730803418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1.6741877542982252E-2</v>
      </c>
      <c r="H178" s="32">
        <f t="shared" si="47"/>
        <v>1.6741877542982252E-2</v>
      </c>
      <c r="I178" s="32">
        <f t="shared" si="47"/>
        <v>1.6741877542982252E-2</v>
      </c>
      <c r="J178" s="32">
        <f t="shared" si="47"/>
        <v>1.6741877542982252E-2</v>
      </c>
      <c r="K178" s="32">
        <f t="shared" si="47"/>
        <v>1.6741877542982252E-2</v>
      </c>
      <c r="L178" s="32">
        <f t="shared" si="47"/>
        <v>1.6741877542982252E-2</v>
      </c>
      <c r="M178" s="32">
        <f t="shared" si="47"/>
        <v>1.6741877542982252E-2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1.7054156160156039E-2</v>
      </c>
      <c r="H179" s="32">
        <f t="shared" si="47"/>
        <v>1.7054156160156039E-2</v>
      </c>
      <c r="I179" s="32">
        <f t="shared" si="47"/>
        <v>1.7054156160156039E-2</v>
      </c>
      <c r="J179" s="32">
        <f t="shared" si="47"/>
        <v>1.7054156160156039E-2</v>
      </c>
      <c r="K179" s="32">
        <f t="shared" si="47"/>
        <v>1.7054156160156039E-2</v>
      </c>
      <c r="L179" s="32">
        <f t="shared" si="47"/>
        <v>1.7054156160156039E-2</v>
      </c>
      <c r="M179" s="32">
        <f t="shared" si="47"/>
        <v>1.7054156160156039E-2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-0.11130594817287177</v>
      </c>
      <c r="H206" s="31">
        <f t="shared" ref="H206:K209" si="51">LN(H152/H184)</f>
        <v>-0.14598641937249771</v>
      </c>
      <c r="I206" s="31">
        <f t="shared" si="51"/>
        <v>-9.7538401788716811E-2</v>
      </c>
      <c r="J206" s="31">
        <f t="shared" si="51"/>
        <v>-3.4925641816698923E-3</v>
      </c>
      <c r="K206" s="31">
        <f t="shared" si="51"/>
        <v>7.1438089539871989E-3</v>
      </c>
      <c r="L206" s="31">
        <f t="shared" ref="L206:M206" si="52">LN(L152/L184)</f>
        <v>2.5343808953987058E-2</v>
      </c>
      <c r="M206" s="31">
        <f t="shared" si="52"/>
        <v>4.3543808953987163E-2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-2.6807899619517532</v>
      </c>
      <c r="H207" s="31">
        <f t="shared" si="51"/>
        <v>-2.6764266526982841</v>
      </c>
      <c r="I207" s="31">
        <f t="shared" si="51"/>
        <v>-2.6718541710233943</v>
      </c>
      <c r="J207" s="31">
        <f t="shared" si="51"/>
        <v>-2.6675295938954919</v>
      </c>
      <c r="K207" s="31">
        <f t="shared" si="51"/>
        <v>-2.6632236382338541</v>
      </c>
      <c r="L207" s="31">
        <f t="shared" ref="L207:M207" si="53">LN(L153/L185)</f>
        <v>-2.6589361443591435</v>
      </c>
      <c r="M207" s="31">
        <f t="shared" si="53"/>
        <v>-2.6546669546371358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-2.8486361302161929</v>
      </c>
      <c r="H208" s="31">
        <f t="shared" si="51"/>
        <v>-2.8486361302161929</v>
      </c>
      <c r="I208" s="31">
        <f t="shared" si="51"/>
        <v>-2.8486361302161929</v>
      </c>
      <c r="J208" s="31">
        <f t="shared" si="51"/>
        <v>-2.8486361302161929</v>
      </c>
      <c r="K208" s="31">
        <f t="shared" si="51"/>
        <v>-2.8486361302161929</v>
      </c>
      <c r="L208" s="31">
        <f t="shared" ref="L208:M208" si="54">LN(L154/L186)</f>
        <v>-2.8486361302161929</v>
      </c>
      <c r="M208" s="31">
        <f t="shared" si="54"/>
        <v>-2.8486361302161929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-2.973905402934756</v>
      </c>
      <c r="H209" s="31">
        <f t="shared" si="51"/>
        <v>-2.9742227827572303</v>
      </c>
      <c r="I209" s="31">
        <f t="shared" si="51"/>
        <v>-2.9484419994189932</v>
      </c>
      <c r="J209" s="31">
        <f t="shared" si="51"/>
        <v>-2.9322983581025888</v>
      </c>
      <c r="K209" s="31">
        <f t="shared" si="51"/>
        <v>-2.9319101879281071</v>
      </c>
      <c r="L209" s="31">
        <f t="shared" ref="L209:M209" si="55">LN(L155/L187)</f>
        <v>-2.9219598570749392</v>
      </c>
      <c r="M209" s="31">
        <f t="shared" si="55"/>
        <v>-2.9120095262217709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6.194507049331009E-3</v>
      </c>
      <c r="H210" s="31">
        <f t="shared" ref="H210:K213" si="56">H206*H206/2</f>
        <v>1.0656017320601386E-2</v>
      </c>
      <c r="I210" s="31">
        <f t="shared" si="56"/>
        <v>4.7568699117485772E-3</v>
      </c>
      <c r="J210" s="31">
        <f t="shared" si="56"/>
        <v>6.0990022815417425E-6</v>
      </c>
      <c r="K210" s="31">
        <f t="shared" si="56"/>
        <v>2.5517003185533837E-5</v>
      </c>
      <c r="L210" s="31">
        <f t="shared" ref="L210:M210" si="57">L206*L206/2</f>
        <v>3.2115432614809728E-4</v>
      </c>
      <c r="M210" s="31">
        <f t="shared" si="57"/>
        <v>9.4803164911066637E-4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3.5933174100506413</v>
      </c>
      <c r="H211" s="31">
        <f t="shared" si="56"/>
        <v>3.5816298136368707</v>
      </c>
      <c r="I211" s="31">
        <f t="shared" si="56"/>
        <v>3.5694023556075547</v>
      </c>
      <c r="J211" s="31">
        <f t="shared" si="56"/>
        <v>3.5578570671541239</v>
      </c>
      <c r="K211" s="31">
        <f t="shared" si="56"/>
        <v>3.5463800736237832</v>
      </c>
      <c r="L211" s="31">
        <f t="shared" ref="L211:M211" si="58">L207*L207/2</f>
        <v>3.5349707098897341</v>
      </c>
      <c r="M211" s="31">
        <f t="shared" si="58"/>
        <v>3.5236283200212024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4.0573639011865437</v>
      </c>
      <c r="H212" s="31">
        <f t="shared" si="56"/>
        <v>4.0573639011865437</v>
      </c>
      <c r="I212" s="31">
        <f t="shared" si="56"/>
        <v>4.0573639011865437</v>
      </c>
      <c r="J212" s="31">
        <f t="shared" si="56"/>
        <v>4.0573639011865437</v>
      </c>
      <c r="K212" s="31">
        <f t="shared" si="56"/>
        <v>4.0573639011865437</v>
      </c>
      <c r="L212" s="31">
        <f t="shared" ref="L212:M212" si="59">L208*L208/2</f>
        <v>4.0573639011865437</v>
      </c>
      <c r="M212" s="31">
        <f t="shared" si="59"/>
        <v>4.0573639011865437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4.4220566728022668</v>
      </c>
      <c r="H213" s="31">
        <f t="shared" si="56"/>
        <v>4.4230005807360815</v>
      </c>
      <c r="I213" s="31">
        <f t="shared" si="56"/>
        <v>4.3466551119689356</v>
      </c>
      <c r="J213" s="31">
        <f t="shared" si="56"/>
        <v>4.2991868304655689</v>
      </c>
      <c r="K213" s="31">
        <f t="shared" si="56"/>
        <v>4.2980486750383138</v>
      </c>
      <c r="L213" s="31">
        <f t="shared" ref="L213:M213" si="60">L209*L209/2</f>
        <v>4.2689247031786994</v>
      </c>
      <c r="M213" s="31">
        <f t="shared" si="60"/>
        <v>4.2398997404031711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0.29838786856735672</v>
      </c>
      <c r="H214" s="31">
        <f t="shared" ref="H214:K214" si="61">H206*H207</f>
        <v>0.39072194374054198</v>
      </c>
      <c r="I214" s="31">
        <f t="shared" si="61"/>
        <v>0.26060838565413869</v>
      </c>
      <c r="J214" s="31">
        <f t="shared" si="61"/>
        <v>9.3165183131838289E-3</v>
      </c>
      <c r="K214" s="31">
        <f t="shared" si="61"/>
        <v>-1.9025560873285371E-2</v>
      </c>
      <c r="L214" s="31">
        <f t="shared" ref="L214:M214" si="62">L206*L207</f>
        <v>-6.7387569663489091E-2</v>
      </c>
      <c r="M214" s="31">
        <f t="shared" si="62"/>
        <v>-0.11559431070918234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0.31707014547321355</v>
      </c>
      <c r="H215" s="31">
        <f t="shared" ref="H215:K215" si="63">H206*H208</f>
        <v>0.4158621887453901</v>
      </c>
      <c r="I215" s="31">
        <f t="shared" si="63"/>
        <v>0.27785141541888242</v>
      </c>
      <c r="J215" s="31">
        <f t="shared" si="63"/>
        <v>9.9490445150038059E-3</v>
      </c>
      <c r="K215" s="31">
        <f t="shared" si="63"/>
        <v>-2.0350112293689882E-2</v>
      </c>
      <c r="L215" s="31">
        <f t="shared" ref="L215:M215" si="64">L206*L208</f>
        <v>-7.2195289863624196E-2</v>
      </c>
      <c r="M215" s="31">
        <f t="shared" si="64"/>
        <v>-0.1240404674335592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0.3310133606500793</v>
      </c>
      <c r="H216" s="31">
        <f t="shared" ref="H216:K216" si="65">H206*H209</f>
        <v>0.43419613447083416</v>
      </c>
      <c r="I216" s="31">
        <f t="shared" si="65"/>
        <v>0.28758632039005727</v>
      </c>
      <c r="J216" s="31">
        <f t="shared" si="65"/>
        <v>1.0241240215478536E-2</v>
      </c>
      <c r="K216" s="31">
        <f t="shared" si="65"/>
        <v>-2.0945006252807104E-2</v>
      </c>
      <c r="L216" s="31">
        <f t="shared" ref="L216:M216" si="66">L206*L209</f>
        <v>-7.4053592388926587E-2</v>
      </c>
      <c r="M216" s="31">
        <f t="shared" si="66"/>
        <v>-0.12679998648199148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7.636595143136657</v>
      </c>
      <c r="H217" s="31">
        <f t="shared" ref="H217:K217" si="67">H207*H208</f>
        <v>7.6241656627499186</v>
      </c>
      <c r="I217" s="31">
        <f t="shared" si="67"/>
        <v>7.6111403262460762</v>
      </c>
      <c r="J217" s="31">
        <f t="shared" si="67"/>
        <v>7.598821179591627</v>
      </c>
      <c r="K217" s="31">
        <f t="shared" si="67"/>
        <v>7.5865550787187761</v>
      </c>
      <c r="L217" s="31">
        <f t="shared" ref="L217:M217" si="68">L207*L208</f>
        <v>7.5743415687591948</v>
      </c>
      <c r="M217" s="31">
        <f t="shared" si="68"/>
        <v>7.562180200670336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7.9724157519815781</v>
      </c>
      <c r="H218" s="31">
        <f t="shared" ref="H218:K218" si="69">H207*H209</f>
        <v>7.9602891268339091</v>
      </c>
      <c r="I218" s="31">
        <f t="shared" si="69"/>
        <v>7.8778070541681933</v>
      </c>
      <c r="J218" s="31">
        <f t="shared" si="69"/>
        <v>7.8219926483698163</v>
      </c>
      <c r="K218" s="31">
        <f t="shared" si="69"/>
        <v>7.8083325176687959</v>
      </c>
      <c r="L218" s="31">
        <f t="shared" ref="L218:M218" si="70">L207*L209</f>
        <v>7.7693046763430331</v>
      </c>
      <c r="M218" s="31">
        <f t="shared" si="70"/>
        <v>7.7304154608494766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8.4715743786450908</v>
      </c>
      <c r="H219" s="31">
        <f t="shared" ref="H219:K219" si="71">H208*H209</f>
        <v>8.4724784782743932</v>
      </c>
      <c r="I219" s="31">
        <f t="shared" si="71"/>
        <v>8.3990384073918154</v>
      </c>
      <c r="J219" s="31">
        <f t="shared" si="71"/>
        <v>8.3530510474646551</v>
      </c>
      <c r="K219" s="31">
        <f t="shared" si="71"/>
        <v>8.3519452918809538</v>
      </c>
      <c r="L219" s="31">
        <f t="shared" ref="L219:M219" si="72">L208*L209</f>
        <v>8.3236004199050146</v>
      </c>
      <c r="M219" s="31">
        <f t="shared" si="72"/>
        <v>8.2952555479290755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-3.6945623814044266</v>
      </c>
      <c r="H220" s="31">
        <f t="shared" ref="H220:K220" si="73">LN(H156/H198)</f>
        <v>-3.6815320422741244</v>
      </c>
      <c r="I220" s="31">
        <f t="shared" si="73"/>
        <v>-3.6702681336266378</v>
      </c>
      <c r="J220" s="31">
        <f t="shared" si="73"/>
        <v>-3.6604336729003717</v>
      </c>
      <c r="K220" s="31">
        <f t="shared" si="73"/>
        <v>-3.6517723920494047</v>
      </c>
      <c r="L220" s="31">
        <f t="shared" ref="L220:M220" si="74">LN(L156/L198)</f>
        <v>-3.6436606061557244</v>
      </c>
      <c r="M220" s="31">
        <f t="shared" si="74"/>
        <v>-3.6360594262175501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0.35558350317124343</v>
      </c>
      <c r="H221" s="20">
        <f t="shared" ref="H221:K221" si="75">H157/H199</f>
        <v>0.35558350317124343</v>
      </c>
      <c r="I221" s="20">
        <f t="shared" si="75"/>
        <v>0.35558350317124343</v>
      </c>
      <c r="J221" s="20">
        <f t="shared" si="75"/>
        <v>0.35558350317124343</v>
      </c>
      <c r="K221" s="20">
        <f t="shared" si="75"/>
        <v>0.35558350317124343</v>
      </c>
      <c r="L221" s="20">
        <f t="shared" ref="L221:M221" si="76">L157/L199</f>
        <v>0.35558350317124343</v>
      </c>
      <c r="M221" s="20">
        <f t="shared" si="76"/>
        <v>0.35558350317124343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12.822060011014516</v>
      </c>
      <c r="H226" s="33">
        <f t="shared" ref="H226:K241" si="80">H162*H205</f>
        <v>12.822060011014516</v>
      </c>
      <c r="I226" s="33">
        <f t="shared" si="80"/>
        <v>12.822060011014516</v>
      </c>
      <c r="J226" s="33">
        <f t="shared" si="80"/>
        <v>12.822060011014516</v>
      </c>
      <c r="K226" s="33">
        <f t="shared" si="80"/>
        <v>12.822060011014516</v>
      </c>
      <c r="L226" s="33">
        <f t="shared" ref="L226:M226" si="81">L162*L205</f>
        <v>12.822060011014516</v>
      </c>
      <c r="M226" s="33">
        <f t="shared" si="81"/>
        <v>12.822060011014516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-6.948398702832348E-2</v>
      </c>
      <c r="H227" s="33">
        <f t="shared" si="80"/>
        <v>-9.1133660298509681E-2</v>
      </c>
      <c r="I227" s="33">
        <f t="shared" si="80"/>
        <v>-6.0889441722598116E-2</v>
      </c>
      <c r="J227" s="33">
        <f t="shared" si="80"/>
        <v>-2.1802723778771502E-3</v>
      </c>
      <c r="K227" s="33">
        <f t="shared" si="80"/>
        <v>4.4596028949030484E-3</v>
      </c>
      <c r="L227" s="33">
        <f t="shared" ref="L227:M227" si="82">L163*L206</f>
        <v>1.5821157103590847E-2</v>
      </c>
      <c r="M227" s="33">
        <f t="shared" si="82"/>
        <v>2.7182711312278802E-2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-1.1717486048236918</v>
      </c>
      <c r="H228" s="33">
        <f t="shared" si="80"/>
        <v>-1.1698414425309607</v>
      </c>
      <c r="I228" s="33">
        <f t="shared" si="80"/>
        <v>-1.1678428528991069</v>
      </c>
      <c r="J228" s="33">
        <f t="shared" si="80"/>
        <v>-1.1659526200617747</v>
      </c>
      <c r="K228" s="33">
        <f t="shared" si="80"/>
        <v>-1.1640705264958606</v>
      </c>
      <c r="L228" s="33">
        <f t="shared" ref="L228:M228" si="83">L164*L207</f>
        <v>-1.1621965024069967</v>
      </c>
      <c r="M228" s="33">
        <f t="shared" si="83"/>
        <v>-1.1603304788947151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-0.44333243114541698</v>
      </c>
      <c r="H229" s="33">
        <f t="shared" si="80"/>
        <v>-0.44333243114541698</v>
      </c>
      <c r="I229" s="33">
        <f t="shared" si="80"/>
        <v>-0.44333243114541698</v>
      </c>
      <c r="J229" s="33">
        <f t="shared" si="80"/>
        <v>-0.44333243114541698</v>
      </c>
      <c r="K229" s="33">
        <f t="shared" si="80"/>
        <v>-0.44333243114541698</v>
      </c>
      <c r="L229" s="33">
        <f t="shared" ref="L229:M229" si="84">L165*L208</f>
        <v>-0.44333243114541698</v>
      </c>
      <c r="M229" s="33">
        <f t="shared" si="84"/>
        <v>-0.44333243114541698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-0.32485787187567411</v>
      </c>
      <c r="H230" s="33">
        <f t="shared" si="80"/>
        <v>-0.32489254121438388</v>
      </c>
      <c r="I230" s="33">
        <f t="shared" si="80"/>
        <v>-0.32207634860708617</v>
      </c>
      <c r="J230" s="33">
        <f t="shared" si="80"/>
        <v>-0.3203128799516286</v>
      </c>
      <c r="K230" s="33">
        <f t="shared" si="80"/>
        <v>-0.32027047774990314</v>
      </c>
      <c r="L230" s="33">
        <f t="shared" ref="L230:M230" si="85">L166*L209</f>
        <v>-0.31918354226694223</v>
      </c>
      <c r="M230" s="33">
        <f t="shared" si="85"/>
        <v>-0.31809660678398127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6.9005954877231831E-4</v>
      </c>
      <c r="H231" s="33">
        <f t="shared" si="80"/>
        <v>1.1870656446760098E-3</v>
      </c>
      <c r="I231" s="33">
        <f t="shared" si="80"/>
        <v>5.2990875282389821E-4</v>
      </c>
      <c r="J231" s="33">
        <f t="shared" si="80"/>
        <v>6.7942044925375632E-7</v>
      </c>
      <c r="K231" s="33">
        <f t="shared" si="80"/>
        <v>2.8425589904095656E-6</v>
      </c>
      <c r="L231" s="33">
        <f t="shared" ref="L231:M231" si="86">L167*L210</f>
        <v>3.5776149356705935E-5</v>
      </c>
      <c r="M231" s="33">
        <f t="shared" si="86"/>
        <v>1.056094192479505E-4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-0.91589934488262725</v>
      </c>
      <c r="H232" s="33">
        <f t="shared" si="80"/>
        <v>-0.91292029775790517</v>
      </c>
      <c r="I232" s="33">
        <f t="shared" si="80"/>
        <v>-0.9098036455057813</v>
      </c>
      <c r="J232" s="33">
        <f t="shared" si="80"/>
        <v>-0.90686087120440684</v>
      </c>
      <c r="K232" s="33">
        <f t="shared" si="80"/>
        <v>-0.90393550457070526</v>
      </c>
      <c r="L232" s="33">
        <f t="shared" ref="L232:M232" si="87">L168*L211</f>
        <v>-0.90102737607075289</v>
      </c>
      <c r="M232" s="33">
        <f t="shared" si="87"/>
        <v>-0.89813631851459763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0.96755751164734227</v>
      </c>
      <c r="H233" s="33">
        <f t="shared" si="80"/>
        <v>0.96755751164734227</v>
      </c>
      <c r="I233" s="33">
        <f t="shared" si="80"/>
        <v>0.96755751164734227</v>
      </c>
      <c r="J233" s="33">
        <f t="shared" si="80"/>
        <v>0.96755751164734227</v>
      </c>
      <c r="K233" s="33">
        <f t="shared" si="80"/>
        <v>0.96755751164734227</v>
      </c>
      <c r="L233" s="33">
        <f t="shared" ref="L233:M233" si="88">L169*L212</f>
        <v>0.96755751164734227</v>
      </c>
      <c r="M233" s="33">
        <f t="shared" si="88"/>
        <v>0.96755751164734227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0.79457982832552476</v>
      </c>
      <c r="H234" s="33">
        <f t="shared" si="80"/>
        <v>0.79474943497227324</v>
      </c>
      <c r="I234" s="33">
        <f t="shared" si="80"/>
        <v>0.78103125495899262</v>
      </c>
      <c r="J234" s="33">
        <f t="shared" si="80"/>
        <v>0.77250188915510498</v>
      </c>
      <c r="K234" s="33">
        <f t="shared" si="80"/>
        <v>0.77229737903438256</v>
      </c>
      <c r="L234" s="33">
        <f t="shared" ref="L234:M234" si="89">L170*L213</f>
        <v>0.76706422119117801</v>
      </c>
      <c r="M234" s="33">
        <f t="shared" si="89"/>
        <v>0.76184885385290302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1.6461240777959275E-2</v>
      </c>
      <c r="H235" s="33">
        <f t="shared" si="80"/>
        <v>2.1555058602167807E-2</v>
      </c>
      <c r="I235" s="33">
        <f t="shared" si="80"/>
        <v>1.4377050265499161E-2</v>
      </c>
      <c r="J235" s="33">
        <f t="shared" si="80"/>
        <v>5.1396677720819237E-4</v>
      </c>
      <c r="K235" s="33">
        <f t="shared" si="80"/>
        <v>-1.0495880411444235E-3</v>
      </c>
      <c r="L235" s="33">
        <f t="shared" ref="L235:M235" si="90">L171*L214</f>
        <v>-3.7175874977698484E-3</v>
      </c>
      <c r="M235" s="33">
        <f t="shared" si="90"/>
        <v>-6.3770212585454083E-3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2.8275806399368233E-3</v>
      </c>
      <c r="H236" s="33">
        <f t="shared" si="80"/>
        <v>3.7085922171047106E-3</v>
      </c>
      <c r="I236" s="33">
        <f t="shared" si="80"/>
        <v>2.4778343033366669E-3</v>
      </c>
      <c r="J236" s="33">
        <f t="shared" si="80"/>
        <v>8.8723981296028401E-5</v>
      </c>
      <c r="K236" s="33">
        <f t="shared" si="80"/>
        <v>-1.8147903346844439E-4</v>
      </c>
      <c r="L236" s="33">
        <f t="shared" ref="L236:M236" si="91">L172*L215</f>
        <v>-6.4382600136743808E-4</v>
      </c>
      <c r="M236" s="33">
        <f t="shared" si="91"/>
        <v>-1.1061729692664378E-3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-1.0848399460123495E-4</v>
      </c>
      <c r="H237" s="33">
        <f t="shared" si="80"/>
        <v>-1.4230039239293698E-4</v>
      </c>
      <c r="I237" s="33">
        <f t="shared" si="80"/>
        <v>-9.4251521350416278E-5</v>
      </c>
      <c r="J237" s="33">
        <f t="shared" si="80"/>
        <v>-3.356392159108027E-6</v>
      </c>
      <c r="K237" s="33">
        <f t="shared" si="80"/>
        <v>6.8643692834330722E-6</v>
      </c>
      <c r="L237" s="33">
        <f t="shared" ref="L237:M237" si="92">L173*L216</f>
        <v>2.4269804400478177E-5</v>
      </c>
      <c r="M237" s="33">
        <f t="shared" si="92"/>
        <v>4.1556537240472656E-5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0.46004611028234593</v>
      </c>
      <c r="H238" s="33">
        <f t="shared" si="80"/>
        <v>0.4592973297070278</v>
      </c>
      <c r="I238" s="33">
        <f t="shared" si="80"/>
        <v>0.45851265338447889</v>
      </c>
      <c r="J238" s="33">
        <f t="shared" si="80"/>
        <v>0.45777051956775155</v>
      </c>
      <c r="K238" s="33">
        <f t="shared" si="80"/>
        <v>0.45703158135129296</v>
      </c>
      <c r="L238" s="33">
        <f t="shared" ref="L238:M238" si="93">L174*L217</f>
        <v>0.45629581133278546</v>
      </c>
      <c r="M238" s="33">
        <f t="shared" si="93"/>
        <v>0.45556318246086996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0.26998551529663695</v>
      </c>
      <c r="H239" s="33">
        <f t="shared" si="80"/>
        <v>0.26957484765947953</v>
      </c>
      <c r="I239" s="33">
        <f t="shared" si="80"/>
        <v>0.26678159582914784</v>
      </c>
      <c r="J239" s="33">
        <f t="shared" si="80"/>
        <v>0.26489144338611886</v>
      </c>
      <c r="K239" s="33">
        <f t="shared" si="80"/>
        <v>0.2644288436495939</v>
      </c>
      <c r="L239" s="33">
        <f t="shared" ref="L239:M239" si="94">L175*L218</f>
        <v>0.2631071674878066</v>
      </c>
      <c r="M239" s="33">
        <f t="shared" si="94"/>
        <v>0.26179018588384295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-1.5364823064053341</v>
      </c>
      <c r="H240" s="33">
        <f t="shared" si="80"/>
        <v>-1.5366462821932529</v>
      </c>
      <c r="I240" s="33">
        <f t="shared" si="80"/>
        <v>-1.5233265184222262</v>
      </c>
      <c r="J240" s="33">
        <f t="shared" si="80"/>
        <v>-1.5149858297039061</v>
      </c>
      <c r="K240" s="33">
        <f t="shared" si="80"/>
        <v>-1.5147852797454653</v>
      </c>
      <c r="L240" s="33">
        <f t="shared" ref="L240:M240" si="95">L176*L219</f>
        <v>-1.5096443942002544</v>
      </c>
      <c r="M240" s="33">
        <f t="shared" si="95"/>
        <v>-1.5045035086550436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-1.0820772749290231</v>
      </c>
      <c r="H241" s="33">
        <f t="shared" si="80"/>
        <v>-1.0782609003758457</v>
      </c>
      <c r="I241" s="33">
        <f t="shared" si="80"/>
        <v>-1.0749618846018345</v>
      </c>
      <c r="J241" s="33">
        <f t="shared" si="80"/>
        <v>-1.0720815308915719</v>
      </c>
      <c r="K241" s="33">
        <f t="shared" si="80"/>
        <v>-1.0695447824994533</v>
      </c>
      <c r="L241" s="33">
        <f t="shared" ref="L241:M241" si="96">L177*L220</f>
        <v>-1.0671689722495519</v>
      </c>
      <c r="M241" s="33">
        <f t="shared" si="96"/>
        <v>-1.0649427101852966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5.9531354663975985E-3</v>
      </c>
      <c r="H242" s="33">
        <f t="shared" ref="H242:K243" si="97">H178*H221</f>
        <v>5.9531354663975985E-3</v>
      </c>
      <c r="I242" s="33">
        <f t="shared" si="97"/>
        <v>5.9531354663975985E-3</v>
      </c>
      <c r="J242" s="33">
        <f t="shared" si="97"/>
        <v>5.9531354663975985E-3</v>
      </c>
      <c r="K242" s="33">
        <f t="shared" si="97"/>
        <v>5.9531354663975985E-3</v>
      </c>
      <c r="L242" s="33">
        <f t="shared" ref="L242:M242" si="98">L178*L221</f>
        <v>5.9531354663975985E-3</v>
      </c>
      <c r="M242" s="33">
        <f t="shared" si="98"/>
        <v>5.9531354663975985E-3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0.23875818624218453</v>
      </c>
      <c r="H243" s="33">
        <f t="shared" si="97"/>
        <v>0.25581234240234058</v>
      </c>
      <c r="I243" s="33">
        <f t="shared" si="97"/>
        <v>0.27286649856249662</v>
      </c>
      <c r="J243" s="33">
        <f t="shared" si="97"/>
        <v>0.28992065472265266</v>
      </c>
      <c r="K243" s="33">
        <f t="shared" si="97"/>
        <v>0.3069748108828087</v>
      </c>
      <c r="L243" s="33">
        <f t="shared" ref="L243:M243" si="99">L179*L222</f>
        <v>0.32402896704296474</v>
      </c>
      <c r="M243" s="33">
        <f t="shared" si="99"/>
        <v>0.34108312320312079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10.03492887415692</v>
      </c>
      <c r="H245" s="27">
        <f t="shared" ref="H245:K245" si="100">SUM(H226:H243)</f>
        <v>10.044285473424654</v>
      </c>
      <c r="I245" s="27">
        <f t="shared" si="100"/>
        <v>10.089820079759635</v>
      </c>
      <c r="J245" s="27">
        <f t="shared" si="100"/>
        <v>10.155548743410094</v>
      </c>
      <c r="K245" s="27">
        <f t="shared" si="100"/>
        <v>10.183602513588092</v>
      </c>
      <c r="L245" s="27">
        <f t="shared" ref="L245:M245" si="101">SUM(L226:L243)</f>
        <v>10.215033396401287</v>
      </c>
      <c r="M245" s="27">
        <f t="shared" si="101"/>
        <v>10.246360632390894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22809.419695400105</v>
      </c>
      <c r="H246" s="6">
        <f t="shared" ref="H246:K246" si="102">EXP(H245)</f>
        <v>23023.839852462734</v>
      </c>
      <c r="I246" s="6">
        <f t="shared" si="102"/>
        <v>24096.456603285827</v>
      </c>
      <c r="J246" s="6">
        <f t="shared" si="102"/>
        <v>25733.495352591359</v>
      </c>
      <c r="K246" s="6">
        <f t="shared" si="102"/>
        <v>26465.638589523067</v>
      </c>
      <c r="L246" s="6">
        <f t="shared" ref="L246:M246" si="103">EXP(L245)</f>
        <v>27310.68772726399</v>
      </c>
      <c r="M246" s="6">
        <f t="shared" si="103"/>
        <v>28179.798427440062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117.72082915485139</v>
      </c>
      <c r="H247" s="15">
        <f t="shared" ref="H247:K247" si="104">H137</f>
        <v>120.33938590625317</v>
      </c>
      <c r="I247" s="15">
        <f t="shared" si="104"/>
        <v>123.50923946973546</v>
      </c>
      <c r="J247" s="15">
        <f t="shared" si="104"/>
        <v>130.06261219663173</v>
      </c>
      <c r="K247" s="15">
        <f t="shared" si="104"/>
        <v>134.26506817961695</v>
      </c>
      <c r="L247" s="15">
        <f t="shared" ref="L247:M247" si="105">L137</f>
        <v>138.60330981222629</v>
      </c>
      <c r="M247" s="15">
        <f t="shared" si="105"/>
        <v>143.08172446763353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2685143.7990834983</v>
      </c>
      <c r="H248" s="6">
        <f t="shared" ref="H248:K248" si="106">H246*H247</f>
        <v>2770674.749049284</v>
      </c>
      <c r="I248" s="6">
        <f t="shared" si="106"/>
        <v>2976135.0289873178</v>
      </c>
      <c r="J248" s="6">
        <f t="shared" si="106"/>
        <v>3346965.6265079151</v>
      </c>
      <c r="K248" s="6">
        <f t="shared" si="106"/>
        <v>3553410.7696394157</v>
      </c>
      <c r="L248" s="6">
        <f t="shared" ref="L248:M248" si="107">L246*L247</f>
        <v>3785351.7122469372</v>
      </c>
      <c r="M248" s="6">
        <f t="shared" si="107"/>
        <v>4032014.154148432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3" t="s">
        <v>151</v>
      </c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2619307.1542762797</v>
      </c>
      <c r="H256" s="39">
        <f t="shared" ref="H256:K256" si="109">H121</f>
        <v>2679221.9671176039</v>
      </c>
      <c r="I256" s="39">
        <f t="shared" si="109"/>
        <v>2742325.9389763651</v>
      </c>
      <c r="J256" s="39">
        <f t="shared" si="109"/>
        <v>3137472.1712809918</v>
      </c>
      <c r="K256" s="39">
        <f t="shared" si="109"/>
        <v>3281706.3975035544</v>
      </c>
      <c r="L256" s="39">
        <f t="shared" ref="L256:M256" si="110">L121</f>
        <v>3444838.2018406205</v>
      </c>
      <c r="M256" s="39">
        <f t="shared" si="110"/>
        <v>3598399.6729571745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2685143.7990834983</v>
      </c>
      <c r="H257" s="39">
        <f t="shared" ref="H257:K257" si="112">H248</f>
        <v>2770674.749049284</v>
      </c>
      <c r="I257" s="39">
        <f t="shared" si="112"/>
        <v>2976135.0289873178</v>
      </c>
      <c r="J257" s="39">
        <f t="shared" si="112"/>
        <v>3346965.6265079151</v>
      </c>
      <c r="K257" s="39">
        <f t="shared" si="112"/>
        <v>3553410.7696394157</v>
      </c>
      <c r="L257" s="39">
        <f t="shared" ref="L257:M257" si="113">L248</f>
        <v>3785351.7122469372</v>
      </c>
      <c r="M257" s="39">
        <f t="shared" si="113"/>
        <v>4032014.154148432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-65836.644807218574</v>
      </c>
      <c r="H258" s="17">
        <f t="shared" ref="H258:K258" si="115">H256-H257</f>
        <v>-91452.781931680162</v>
      </c>
      <c r="I258" s="17">
        <f t="shared" si="115"/>
        <v>-233809.09001095267</v>
      </c>
      <c r="J258" s="17">
        <f t="shared" si="115"/>
        <v>-209493.45522692334</v>
      </c>
      <c r="K258" s="17">
        <f t="shared" si="115"/>
        <v>-271704.37213586131</v>
      </c>
      <c r="L258" s="17">
        <f t="shared" ref="L258:M258" si="116">L256-L257</f>
        <v>-340513.51040631672</v>
      </c>
      <c r="M258" s="17">
        <f t="shared" si="116"/>
        <v>-433614.48119125748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-2.4518852520930216E-2</v>
      </c>
      <c r="H259" s="40">
        <f t="shared" ref="H259:K259" si="117">H258/H257</f>
        <v>-3.3007404410445806E-2</v>
      </c>
      <c r="I259" s="40">
        <f t="shared" si="117"/>
        <v>-7.8561317861478325E-2</v>
      </c>
      <c r="J259" s="40">
        <f t="shared" si="117"/>
        <v>-6.2592054596479416E-2</v>
      </c>
      <c r="K259" s="40">
        <f t="shared" si="117"/>
        <v>-7.6462978740685431E-2</v>
      </c>
      <c r="L259" s="40">
        <f t="shared" ref="L259:M259" si="118">L258/L257</f>
        <v>-8.9955580429854479E-2</v>
      </c>
      <c r="M259" s="40">
        <f t="shared" si="118"/>
        <v>-0.10754289658063901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-2.4824445113850246E-2</v>
      </c>
      <c r="H261" s="41">
        <f t="shared" si="119"/>
        <v>-3.3564440652724924E-2</v>
      </c>
      <c r="I261" s="41">
        <f t="shared" si="119"/>
        <v>-8.1819045444321739E-2</v>
      </c>
      <c r="J261" s="41">
        <f t="shared" si="119"/>
        <v>-6.463671752825699E-2</v>
      </c>
      <c r="K261" s="41">
        <f t="shared" si="119"/>
        <v>-7.9544392155749308E-2</v>
      </c>
      <c r="L261" s="41">
        <f t="shared" ref="L261:M261" si="120">LN(L256/L257)</f>
        <v>-9.426186794809753E-2</v>
      </c>
      <c r="M261" s="41">
        <f t="shared" si="120"/>
        <v>-0.11377682987909885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-1.9277632962752301E-2</v>
      </c>
      <c r="R275" s="226">
        <f t="shared" ref="R275:BW275" si="121">R261-$G$261</f>
        <v>0.64399644253406185</v>
      </c>
      <c r="S275" s="226">
        <f t="shared" si="121"/>
        <v>5.2872130164058173E-2</v>
      </c>
      <c r="T275" s="226">
        <f t="shared" si="121"/>
        <v>-2.0617196740772389E-2</v>
      </c>
      <c r="U275" s="226">
        <f t="shared" si="121"/>
        <v>-2.3155459106374194E-2</v>
      </c>
      <c r="V275" s="226">
        <f t="shared" si="121"/>
        <v>-0.10529700570961838</v>
      </c>
      <c r="W275" s="226">
        <f t="shared" si="121"/>
        <v>0.13470639364111162</v>
      </c>
      <c r="X275" s="226">
        <f t="shared" si="121"/>
        <v>-8.7027153683953945E-2</v>
      </c>
      <c r="Y275" s="226">
        <f t="shared" si="121"/>
        <v>0.21335663772949001</v>
      </c>
      <c r="Z275" s="226">
        <f t="shared" si="121"/>
        <v>-0.52266285956771552</v>
      </c>
      <c r="AA275" s="226">
        <f t="shared" si="121"/>
        <v>-0.5652966431858556</v>
      </c>
      <c r="AB275" s="226">
        <f t="shared" si="121"/>
        <v>-1.7696691194551816E-2</v>
      </c>
      <c r="AC275" s="226">
        <f t="shared" si="121"/>
        <v>-0.11880571468911054</v>
      </c>
      <c r="AD275" s="226">
        <f t="shared" si="121"/>
        <v>-0.22915857495761816</v>
      </c>
      <c r="AE275" s="226">
        <f t="shared" si="121"/>
        <v>-0.12834377618366122</v>
      </c>
      <c r="AF275" s="226">
        <f t="shared" si="121"/>
        <v>-7.2983787011336274E-2</v>
      </c>
      <c r="AG275" s="226">
        <f t="shared" si="121"/>
        <v>9.636731036104098E-3</v>
      </c>
      <c r="AH275" s="226">
        <f t="shared" si="121"/>
        <v>-0.23067291973378617</v>
      </c>
      <c r="AI275" s="226">
        <f t="shared" si="121"/>
        <v>-0.21283603880068014</v>
      </c>
      <c r="AJ275" s="226">
        <f t="shared" si="121"/>
        <v>4.121466312555469E-2</v>
      </c>
      <c r="AK275" s="226">
        <f t="shared" si="121"/>
        <v>-8.8720686905839785E-2</v>
      </c>
      <c r="AL275" s="226">
        <f t="shared" si="121"/>
        <v>5.5066584887568867E-2</v>
      </c>
      <c r="AM275" s="226">
        <f t="shared" si="121"/>
        <v>-0.32056779517676148</v>
      </c>
      <c r="AN275" s="226">
        <f t="shared" si="121"/>
        <v>-0.31319282158520811</v>
      </c>
      <c r="AO275" s="226">
        <f t="shared" si="121"/>
        <v>-0.2915585980528122</v>
      </c>
      <c r="AP275" s="226">
        <f t="shared" si="121"/>
        <v>-0.15471414094897348</v>
      </c>
      <c r="AQ275" s="226">
        <f t="shared" si="121"/>
        <v>-0.63882190462818533</v>
      </c>
      <c r="AR275" s="226">
        <f t="shared" si="121"/>
        <v>0.18604077590663645</v>
      </c>
      <c r="AS275" s="226">
        <f t="shared" si="121"/>
        <v>0.22300506957257205</v>
      </c>
      <c r="AT275" s="226">
        <f t="shared" si="121"/>
        <v>-4.3377035832442831E-2</v>
      </c>
      <c r="AU275" s="226">
        <f t="shared" si="121"/>
        <v>-4.3279487037166289E-2</v>
      </c>
      <c r="AV275" s="226">
        <f t="shared" si="121"/>
        <v>-0.19586025667946907</v>
      </c>
      <c r="AW275" s="226">
        <f t="shared" si="121"/>
        <v>-0.2469737367244294</v>
      </c>
      <c r="AX275" s="226">
        <f t="shared" si="121"/>
        <v>-0.14375259729772261</v>
      </c>
      <c r="AY275" s="226">
        <f t="shared" si="121"/>
        <v>-3.8247868071415225E-2</v>
      </c>
      <c r="AZ275" s="226">
        <f t="shared" si="121"/>
        <v>-0.21202528784051627</v>
      </c>
      <c r="BA275" s="226">
        <f t="shared" si="121"/>
        <v>-0.1338818708009217</v>
      </c>
      <c r="BB275" s="226">
        <f t="shared" si="121"/>
        <v>-3.5873569704461122E-3</v>
      </c>
      <c r="BC275" s="226">
        <f t="shared" si="121"/>
        <v>-0.10203234929997605</v>
      </c>
      <c r="BD275" s="226">
        <f t="shared" si="121"/>
        <v>3.906658996743817E-2</v>
      </c>
      <c r="BE275" s="226">
        <f t="shared" si="121"/>
        <v>-0.39600977107811169</v>
      </c>
      <c r="BF275" s="226">
        <f t="shared" si="121"/>
        <v>-1.3431413644880336E-2</v>
      </c>
      <c r="BG275" s="226">
        <f t="shared" si="121"/>
        <v>-0.26279826963813818</v>
      </c>
      <c r="BH275" s="226">
        <f t="shared" si="121"/>
        <v>6.2724244655509437E-3</v>
      </c>
      <c r="BI275" s="226">
        <f t="shared" si="121"/>
        <v>-0.14134648729404917</v>
      </c>
      <c r="BJ275" s="226">
        <f t="shared" si="121"/>
        <v>-0.21797795071182385</v>
      </c>
      <c r="BK275" s="226">
        <f t="shared" si="121"/>
        <v>1.8840227270703828E-2</v>
      </c>
      <c r="BL275" s="226">
        <f t="shared" si="121"/>
        <v>3.5828544749483569E-2</v>
      </c>
      <c r="BM275" s="226">
        <f t="shared" si="121"/>
        <v>0</v>
      </c>
      <c r="BN275" s="226">
        <f t="shared" si="121"/>
        <v>-0.12908667849272476</v>
      </c>
      <c r="BO275" s="226">
        <f t="shared" si="121"/>
        <v>-0.2336744599213107</v>
      </c>
      <c r="BP275" s="226">
        <f t="shared" si="121"/>
        <v>2.9626255512909403E-2</v>
      </c>
      <c r="BQ275" s="226">
        <f t="shared" si="121"/>
        <v>-3.0343491168337292E-2</v>
      </c>
      <c r="BR275" s="226">
        <f t="shared" si="121"/>
        <v>0.55345712667018654</v>
      </c>
      <c r="BS275" s="226">
        <f t="shared" si="121"/>
        <v>-0.44152903159579887</v>
      </c>
      <c r="BT275" s="226">
        <f t="shared" si="121"/>
        <v>5.9515322262542303E-2</v>
      </c>
      <c r="BU275" s="226">
        <f t="shared" si="121"/>
        <v>-0.2784892466855986</v>
      </c>
      <c r="BV275" s="226">
        <f t="shared" si="121"/>
        <v>5.3690170922419699E-2</v>
      </c>
      <c r="BW275" s="226">
        <f t="shared" si="121"/>
        <v>-8.5778710589193341E-2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I12" sqref="I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4" t="s">
        <v>168</v>
      </c>
      <c r="D2" s="234"/>
      <c r="E2" s="234"/>
      <c r="F2" s="234"/>
      <c r="G2" s="234"/>
      <c r="H2" s="234"/>
      <c r="I2" s="234"/>
      <c r="J2" s="234"/>
      <c r="K2" s="234"/>
    </row>
    <row r="3" spans="3:17" ht="23.25" customHeight="1" x14ac:dyDescent="0.25">
      <c r="C3" s="230" t="str">
        <f>'Model Inputs'!F5</f>
        <v>Renfrew Hydro Inc.</v>
      </c>
      <c r="D3" s="230"/>
      <c r="E3" s="230"/>
      <c r="F3" s="230"/>
      <c r="G3" s="230"/>
      <c r="H3" s="230"/>
      <c r="I3" s="230"/>
      <c r="J3" s="230"/>
      <c r="K3" s="230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185</v>
      </c>
      <c r="G7" s="2" t="s">
        <v>186</v>
      </c>
      <c r="H7" s="2" t="s">
        <v>187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2619307.1542762797</v>
      </c>
      <c r="G10" s="54">
        <f>'Benchmarking Calculations'!H121</f>
        <v>2679221.9671176039</v>
      </c>
      <c r="H10" s="54">
        <f>'Benchmarking Calculations'!I121</f>
        <v>2742325.9389763651</v>
      </c>
      <c r="I10" s="53">
        <f>IF(ISNUMBER(I12),'Benchmarking Calculations'!J121,"na")</f>
        <v>3137472.1712809918</v>
      </c>
      <c r="J10" s="53">
        <f>IF(ISNUMBER(J12),'Benchmarking Calculations'!K121,"na")</f>
        <v>3281706.3975035544</v>
      </c>
      <c r="K10" s="53">
        <f>IF(ISNUMBER(K12),'Benchmarking Calculations'!L121,"na")</f>
        <v>3444838.2018406205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2685143.7990834983</v>
      </c>
      <c r="G12" s="54">
        <f>'Benchmarking Calculations'!H257</f>
        <v>2770674.749049284</v>
      </c>
      <c r="H12" s="54">
        <f>'Benchmarking Calculations'!I257</f>
        <v>2976135.0289873178</v>
      </c>
      <c r="I12" s="53">
        <f>IF(ISNUMBER('Benchmarking Calculations'!J257),'Benchmarking Calculations'!J257,"na")</f>
        <v>3346965.6265079151</v>
      </c>
      <c r="J12" s="53">
        <f>IF(ISNUMBER('Benchmarking Calculations'!K257),'Benchmarking Calculations'!K257,"na")</f>
        <v>3553410.7696394157</v>
      </c>
      <c r="K12" s="53">
        <f>IF(ISNUMBER('Benchmarking Calculations'!L257),'Benchmarking Calculations'!L257,"na")</f>
        <v>3785351.7122469372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-65836.644807218574</v>
      </c>
      <c r="G14" s="54">
        <f t="shared" si="1"/>
        <v>-91452.781931680162</v>
      </c>
      <c r="H14" s="54">
        <f t="shared" si="1"/>
        <v>-233809.09001095267</v>
      </c>
      <c r="I14" s="53">
        <f>IF(ISNUMBER(I12),I10-I12,"na")</f>
        <v>-209493.45522692334</v>
      </c>
      <c r="J14" s="53">
        <f t="shared" ref="J14:K14" si="2">IF(ISNUMBER(J12),J10-J12,"na")</f>
        <v>-271704.37213586131</v>
      </c>
      <c r="K14" s="53">
        <f t="shared" si="2"/>
        <v>-340513.51040631672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184</v>
      </c>
      <c r="E16" s="8"/>
      <c r="F16" s="139">
        <f>LN(F10/F12)</f>
        <v>-2.4824445113850246E-2</v>
      </c>
      <c r="G16" s="139">
        <f t="shared" ref="G16:H16" si="3">LN(G10/G12)</f>
        <v>-3.3564440652724924E-2</v>
      </c>
      <c r="H16" s="139">
        <f t="shared" si="3"/>
        <v>-8.1819045444321739E-2</v>
      </c>
      <c r="I16" s="91">
        <f>IF(ISNUMBER(I14),LN(I10/I12),"na")</f>
        <v>-6.463671752825699E-2</v>
      </c>
      <c r="J16" s="91">
        <f t="shared" ref="J16:K16" si="4">IF(ISNUMBER(J14),LN(J10/J12),"na")</f>
        <v>-7.9544392155749308E-2</v>
      </c>
      <c r="K16" s="91">
        <f t="shared" si="4"/>
        <v>-9.426186794809753E-2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181</v>
      </c>
      <c r="F18" s="109"/>
      <c r="G18" s="109"/>
      <c r="H18" s="109">
        <f>AVERAGE(F16:H16)</f>
        <v>-4.6735977070298973E-2</v>
      </c>
      <c r="I18" s="43">
        <f>IF(ISNUMBER(I16),AVERAGE(G16:I16),"na")</f>
        <v>-6.000673454176788E-2</v>
      </c>
      <c r="J18" s="43">
        <f t="shared" ref="J18:K18" si="5">IF(ISNUMBER(J16),AVERAGE(H16:J16),"na")</f>
        <v>-7.5333385042776022E-2</v>
      </c>
      <c r="K18" s="43">
        <f t="shared" si="5"/>
        <v>-7.9480992544034609E-2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182</v>
      </c>
      <c r="F22" s="92">
        <f>IF(F16&lt;-0.25,1,IF(F16&lt;-0.1,2,IF(F16&lt;0.1,3,IF(F16&lt;0.25,4,5))))</f>
        <v>3</v>
      </c>
      <c r="G22" s="92">
        <f t="shared" ref="G22" si="6">IF(G16&lt;-0.25,1,IF(G16&lt;-0.1,2,IF(G16&lt;0.1,3,IF(G16&lt;0.25,4,5))))</f>
        <v>3</v>
      </c>
      <c r="H22" s="92">
        <f>IF($H$16&lt;-0.25,1,IF($H$16&lt;-0.1,2,IF($H$16&lt;0.1,3,IF($H$16&lt;0.25,4,5))))</f>
        <v>3</v>
      </c>
      <c r="I22" s="92">
        <f>IF(ISNUMBER(I16),IF(I16&lt;-0.25,1,IF(I16&lt;-0.1,2,IF(I16&lt;0.1,3,IF(I16&lt;0.25,4,5)))),"na")</f>
        <v>3</v>
      </c>
      <c r="J22" s="92">
        <f t="shared" ref="J22:K22" si="7">IF(ISNUMBER(J16),IF(J16&lt;-0.25,1,IF(J16&lt;-0.1,2,IF(J16&lt;0.1,3,IF(J16&lt;0.25,4,5)))),"na")</f>
        <v>3</v>
      </c>
      <c r="K22" s="92">
        <f t="shared" si="7"/>
        <v>3</v>
      </c>
    </row>
    <row r="24" spans="4:11" ht="15" x14ac:dyDescent="0.25">
      <c r="E24" t="s">
        <v>155</v>
      </c>
      <c r="H24" s="92">
        <f>IF(H$18&lt;-0.25,1,IF(H$18&lt;-0.1,2,IF(H$18&lt;0.1,3,IF(H$18&lt;0.25,4,5))))</f>
        <v>3</v>
      </c>
      <c r="I24" s="92">
        <f t="shared" ref="I24:K24" si="8">IF(I$18&lt;-0.25,1,IF(I$18&lt;-0.1,2,IF(I$18&lt;0.1,3,IF(I$18&lt;0.25,4,5))))</f>
        <v>3</v>
      </c>
      <c r="J24" s="92">
        <f t="shared" si="8"/>
        <v>3</v>
      </c>
      <c r="K24" s="92">
        <f t="shared" si="8"/>
        <v>3</v>
      </c>
    </row>
    <row r="27" spans="4:11" x14ac:dyDescent="0.2">
      <c r="D27" s="8"/>
    </row>
    <row r="29" spans="4:11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Steven Head</cp:lastModifiedBy>
  <cp:lastPrinted>2018-07-25T01:09:59Z</cp:lastPrinted>
  <dcterms:created xsi:type="dcterms:W3CDTF">2016-07-20T15:58:10Z</dcterms:created>
  <dcterms:modified xsi:type="dcterms:W3CDTF">2023-05-20T14:35:58Z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