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ergyfuturesgroup.sharepoint.com/Shared Documents/Consulting/Canada/Ontario/Enbridge/egd 2023/Rebasing Application/GEC-ED Evidence/electrification economics/"/>
    </mc:Choice>
  </mc:AlternateContent>
  <xr:revisionPtr revIDLastSave="247" documentId="8_{F7260D49-A956-422A-8CAB-789766054D02}" xr6:coauthVersionLast="47" xr6:coauthVersionMax="47" xr10:uidLastSave="{CCE5536B-09E4-4599-BE90-2C18A3EE4E5B}"/>
  <bookViews>
    <workbookView xWindow="22015" yWindow="-104" windowWidth="19561" windowHeight="11705" xr2:uid="{6F4F03C9-DF56-4AC5-8D8C-B598E450B9E5}"/>
  </bookViews>
  <sheets>
    <sheet name="Summary" sheetId="6" r:id="rId1"/>
    <sheet name="Fuel Prices" sheetId="1" r:id="rId2"/>
    <sheet name="Equipment" sheetId="2" r:id="rId3"/>
    <sheet name="Customer Costs" sheetId="3" r:id="rId4"/>
    <sheet name="elec vs RNG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2" i="1" l="1"/>
  <c r="J73" i="1" s="1"/>
  <c r="F7" i="2" l="1"/>
  <c r="F8" i="2"/>
  <c r="K12" i="2"/>
  <c r="K11" i="2"/>
  <c r="K15" i="2"/>
  <c r="K14" i="2"/>
  <c r="F18" i="2"/>
  <c r="F17" i="2"/>
  <c r="E75" i="2"/>
  <c r="C17" i="2" s="1"/>
  <c r="E76" i="2"/>
  <c r="C18" i="2" s="1"/>
  <c r="F73" i="2"/>
  <c r="F74" i="2"/>
  <c r="D72" i="2"/>
  <c r="D71" i="2"/>
  <c r="H74" i="2" l="1"/>
  <c r="N6" i="2" l="1"/>
  <c r="C8" i="2"/>
  <c r="B14" i="7" l="1"/>
  <c r="B10" i="7"/>
  <c r="B11" i="7"/>
  <c r="B12" i="7"/>
  <c r="B13" i="7"/>
  <c r="B9" i="7"/>
  <c r="C16" i="7"/>
  <c r="E16" i="7" s="1"/>
  <c r="AS18" i="1"/>
  <c r="AS17" i="1"/>
  <c r="AS16" i="1"/>
  <c r="AS15" i="1"/>
  <c r="AT2" i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D39" i="1"/>
  <c r="E39" i="1" s="1"/>
  <c r="F39" i="1" s="1"/>
  <c r="G39" i="1" s="1"/>
  <c r="H39" i="1" s="1"/>
  <c r="I39" i="1" s="1"/>
  <c r="J39" i="1" s="1"/>
  <c r="K39" i="1" s="1"/>
  <c r="L39" i="1" s="1"/>
  <c r="M39" i="1" s="1"/>
  <c r="N39" i="1" s="1"/>
  <c r="O39" i="1" s="1"/>
  <c r="P39" i="1" s="1"/>
  <c r="Q39" i="1" s="1"/>
  <c r="R39" i="1" s="1"/>
  <c r="S39" i="1" s="1"/>
  <c r="T39" i="1" s="1"/>
  <c r="U39" i="1" s="1"/>
  <c r="V39" i="1" s="1"/>
  <c r="W39" i="1" s="1"/>
  <c r="X39" i="1" s="1"/>
  <c r="Y39" i="1" s="1"/>
  <c r="Z39" i="1" s="1"/>
  <c r="AA39" i="1" s="1"/>
  <c r="AS19" i="1" l="1"/>
  <c r="AS20" i="1" s="1"/>
  <c r="AT20" i="1" s="1"/>
  <c r="AU20" i="1" s="1"/>
  <c r="AV20" i="1" s="1"/>
  <c r="AW20" i="1" s="1"/>
  <c r="AX20" i="1" s="1"/>
  <c r="AY20" i="1" s="1"/>
  <c r="AZ20" i="1" s="1"/>
  <c r="BA20" i="1" s="1"/>
  <c r="BB20" i="1" s="1"/>
  <c r="BC20" i="1" s="1"/>
  <c r="BD20" i="1" s="1"/>
  <c r="BE20" i="1" s="1"/>
  <c r="BF20" i="1" s="1"/>
  <c r="BG20" i="1" s="1"/>
  <c r="BH20" i="1" s="1"/>
  <c r="BI20" i="1" s="1"/>
  <c r="BJ20" i="1" s="1"/>
  <c r="B52" i="3"/>
  <c r="B51" i="3"/>
  <c r="B50" i="3"/>
  <c r="B49" i="3"/>
  <c r="J52" i="3"/>
  <c r="I52" i="3"/>
  <c r="H52" i="3"/>
  <c r="G52" i="3"/>
  <c r="F52" i="3"/>
  <c r="E52" i="3"/>
  <c r="D52" i="3"/>
  <c r="B48" i="3"/>
  <c r="D45" i="3"/>
  <c r="F45" i="3"/>
  <c r="E39" i="3"/>
  <c r="F39" i="3" s="1"/>
  <c r="G39" i="3" s="1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D19" i="3"/>
  <c r="B33" i="3"/>
  <c r="B34" i="3"/>
  <c r="B35" i="3"/>
  <c r="B36" i="3"/>
  <c r="B32" i="3"/>
  <c r="A24" i="3"/>
  <c r="A40" i="3" s="1"/>
  <c r="A31" i="3"/>
  <c r="A47" i="3" s="1"/>
  <c r="C25" i="3"/>
  <c r="C32" i="3" s="1"/>
  <c r="E23" i="3"/>
  <c r="F23" i="3" s="1"/>
  <c r="G23" i="3" s="1"/>
  <c r="H23" i="3" s="1"/>
  <c r="I23" i="3" s="1"/>
  <c r="J23" i="3" s="1"/>
  <c r="K23" i="3" s="1"/>
  <c r="L23" i="3" s="1"/>
  <c r="M23" i="3" s="1"/>
  <c r="N23" i="3" s="1"/>
  <c r="O23" i="3" s="1"/>
  <c r="P23" i="3" s="1"/>
  <c r="Q23" i="3" s="1"/>
  <c r="R23" i="3" s="1"/>
  <c r="S23" i="3" s="1"/>
  <c r="T23" i="3" s="1"/>
  <c r="U23" i="3" s="1"/>
  <c r="V23" i="3" s="1"/>
  <c r="W23" i="3" s="1"/>
  <c r="X23" i="3" s="1"/>
  <c r="Y23" i="3" s="1"/>
  <c r="Z23" i="3" s="1"/>
  <c r="AA23" i="3" s="1"/>
  <c r="AB23" i="3" s="1"/>
  <c r="H8" i="2"/>
  <c r="I8" i="2" s="1"/>
  <c r="D16" i="7" s="1"/>
  <c r="F16" i="7" s="1"/>
  <c r="C41" i="3" l="1"/>
  <c r="C48" i="3"/>
  <c r="H39" i="3"/>
  <c r="G45" i="3"/>
  <c r="E45" i="3"/>
  <c r="L6" i="2"/>
  <c r="D36" i="2"/>
  <c r="D8" i="2"/>
  <c r="H45" i="3" l="1"/>
  <c r="I39" i="3"/>
  <c r="G8" i="2"/>
  <c r="X4" i="1"/>
  <c r="Y10" i="3" s="1"/>
  <c r="Y4" i="1"/>
  <c r="Z10" i="3" s="1"/>
  <c r="Z4" i="1"/>
  <c r="AA10" i="3" s="1"/>
  <c r="AA4" i="1"/>
  <c r="AB10" i="3" s="1"/>
  <c r="C9" i="3"/>
  <c r="C8" i="3"/>
  <c r="C7" i="3"/>
  <c r="C6" i="3"/>
  <c r="L66" i="1"/>
  <c r="K66" i="1"/>
  <c r="T48" i="3" l="1"/>
  <c r="K48" i="3"/>
  <c r="V48" i="3"/>
  <c r="L48" i="3"/>
  <c r="AB48" i="3"/>
  <c r="U48" i="3"/>
  <c r="M48" i="3"/>
  <c r="AA48" i="3"/>
  <c r="R48" i="3"/>
  <c r="Q48" i="3"/>
  <c r="W48" i="3"/>
  <c r="S48" i="3"/>
  <c r="X48" i="3"/>
  <c r="N48" i="3"/>
  <c r="Y48" i="3"/>
  <c r="P48" i="3"/>
  <c r="Z48" i="3"/>
  <c r="O48" i="3"/>
  <c r="I45" i="3"/>
  <c r="J39" i="3"/>
  <c r="D32" i="3"/>
  <c r="T32" i="3"/>
  <c r="V32" i="3"/>
  <c r="G32" i="3"/>
  <c r="H32" i="3"/>
  <c r="I32" i="3"/>
  <c r="Z32" i="3"/>
  <c r="K32" i="3"/>
  <c r="M32" i="3"/>
  <c r="E32" i="3"/>
  <c r="U32" i="3"/>
  <c r="F32" i="3"/>
  <c r="W32" i="3"/>
  <c r="X32" i="3"/>
  <c r="Y32" i="3"/>
  <c r="J32" i="3"/>
  <c r="AA32" i="3"/>
  <c r="L32" i="3"/>
  <c r="AB32" i="3"/>
  <c r="N32" i="3"/>
  <c r="O32" i="3"/>
  <c r="Q32" i="3"/>
  <c r="S32" i="3"/>
  <c r="P32" i="3"/>
  <c r="R32" i="3"/>
  <c r="E28" i="3"/>
  <c r="F28" i="3"/>
  <c r="G28" i="3"/>
  <c r="H28" i="3"/>
  <c r="I28" i="3"/>
  <c r="D28" i="3"/>
  <c r="C26" i="3"/>
  <c r="E17" i="2"/>
  <c r="C28" i="3"/>
  <c r="C27" i="3"/>
  <c r="AC48" i="3" l="1"/>
  <c r="C35" i="3"/>
  <c r="C44" i="3"/>
  <c r="C34" i="3"/>
  <c r="C43" i="3"/>
  <c r="C33" i="3"/>
  <c r="C42" i="3"/>
  <c r="K39" i="3"/>
  <c r="K44" i="3" s="1"/>
  <c r="C42" i="2"/>
  <c r="K10" i="2"/>
  <c r="O14" i="2"/>
  <c r="E73" i="2"/>
  <c r="C15" i="2" s="1"/>
  <c r="E74" i="2"/>
  <c r="C14" i="2" s="1"/>
  <c r="F14" i="2"/>
  <c r="F15" i="2"/>
  <c r="M7" i="2"/>
  <c r="M6" i="2" s="1"/>
  <c r="E72" i="2"/>
  <c r="C12" i="2" s="1"/>
  <c r="F12" i="2"/>
  <c r="F11" i="2"/>
  <c r="E71" i="2"/>
  <c r="C11" i="2" s="1"/>
  <c r="K42" i="3" l="1"/>
  <c r="P43" i="3"/>
  <c r="K43" i="3"/>
  <c r="N43" i="3"/>
  <c r="M43" i="3"/>
  <c r="O43" i="3"/>
  <c r="L43" i="3"/>
  <c r="C49" i="3"/>
  <c r="C50" i="3"/>
  <c r="C51" i="3"/>
  <c r="L39" i="3"/>
  <c r="L44" i="3" s="1"/>
  <c r="J45" i="3"/>
  <c r="G12" i="2"/>
  <c r="U49" i="3" s="1"/>
  <c r="D26" i="3"/>
  <c r="E26" i="3"/>
  <c r="F26" i="3"/>
  <c r="G26" i="3"/>
  <c r="H26" i="3"/>
  <c r="I26" i="3"/>
  <c r="E11" i="2"/>
  <c r="H27" i="3"/>
  <c r="I27" i="3"/>
  <c r="D27" i="3"/>
  <c r="G27" i="3"/>
  <c r="E27" i="3"/>
  <c r="F27" i="3"/>
  <c r="E14" i="2"/>
  <c r="C7" i="2"/>
  <c r="D7" i="2" s="1"/>
  <c r="C56" i="2"/>
  <c r="C57" i="2" s="1"/>
  <c r="L17" i="2" s="1"/>
  <c r="F125" i="1"/>
  <c r="F126" i="1" s="1"/>
  <c r="C36" i="1" s="1"/>
  <c r="D36" i="1" s="1"/>
  <c r="E36" i="1" s="1"/>
  <c r="F36" i="1" s="1"/>
  <c r="G36" i="1" s="1"/>
  <c r="H36" i="1" s="1"/>
  <c r="I36" i="1" s="1"/>
  <c r="J36" i="1" s="1"/>
  <c r="K36" i="1" s="1"/>
  <c r="L36" i="1" s="1"/>
  <c r="M36" i="1" s="1"/>
  <c r="N36" i="1" s="1"/>
  <c r="O36" i="1" s="1"/>
  <c r="P36" i="1" s="1"/>
  <c r="Q36" i="1" s="1"/>
  <c r="R36" i="1" s="1"/>
  <c r="S36" i="1" s="1"/>
  <c r="T36" i="1" s="1"/>
  <c r="U36" i="1" s="1"/>
  <c r="V36" i="1" s="1"/>
  <c r="W36" i="1" s="1"/>
  <c r="X36" i="1" s="1"/>
  <c r="Y36" i="1" s="1"/>
  <c r="Z36" i="1" s="1"/>
  <c r="AA36" i="1" s="1"/>
  <c r="L42" i="3" l="1"/>
  <c r="D14" i="7"/>
  <c r="V49" i="3"/>
  <c r="Z49" i="3"/>
  <c r="X49" i="3"/>
  <c r="W49" i="3"/>
  <c r="K49" i="3"/>
  <c r="L49" i="3"/>
  <c r="AB49" i="3"/>
  <c r="AA49" i="3"/>
  <c r="M49" i="3"/>
  <c r="N49" i="3"/>
  <c r="Q49" i="3"/>
  <c r="Y49" i="3"/>
  <c r="R49" i="3"/>
  <c r="T49" i="3"/>
  <c r="O49" i="3"/>
  <c r="P49" i="3"/>
  <c r="S49" i="3"/>
  <c r="M39" i="3"/>
  <c r="K33" i="3"/>
  <c r="AA33" i="3"/>
  <c r="M33" i="3"/>
  <c r="P33" i="3"/>
  <c r="R33" i="3"/>
  <c r="S33" i="3"/>
  <c r="E33" i="3"/>
  <c r="F33" i="3"/>
  <c r="G33" i="3"/>
  <c r="H33" i="3"/>
  <c r="Y33" i="3"/>
  <c r="Z33" i="3"/>
  <c r="L33" i="3"/>
  <c r="AB33" i="3"/>
  <c r="N33" i="3"/>
  <c r="O33" i="3"/>
  <c r="Q33" i="3"/>
  <c r="D33" i="3"/>
  <c r="U33" i="3"/>
  <c r="V33" i="3"/>
  <c r="W33" i="3"/>
  <c r="T33" i="3"/>
  <c r="X33" i="3"/>
  <c r="I33" i="3"/>
  <c r="J33" i="3"/>
  <c r="F115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10" i="3" s="1"/>
  <c r="V4" i="1"/>
  <c r="W10" i="3" s="1"/>
  <c r="W4" i="1"/>
  <c r="X10" i="3" s="1"/>
  <c r="C4" i="1"/>
  <c r="C15" i="3"/>
  <c r="C16" i="3"/>
  <c r="C17" i="3"/>
  <c r="C18" i="3"/>
  <c r="C14" i="3"/>
  <c r="E3" i="3"/>
  <c r="F3" i="3" s="1"/>
  <c r="G3" i="3" s="1"/>
  <c r="H3" i="3" s="1"/>
  <c r="I3" i="3" s="1"/>
  <c r="J3" i="3" s="1"/>
  <c r="K3" i="3" s="1"/>
  <c r="L3" i="3" s="1"/>
  <c r="M3" i="3" s="1"/>
  <c r="N3" i="3" s="1"/>
  <c r="O3" i="3" s="1"/>
  <c r="P3" i="3" s="1"/>
  <c r="Q3" i="3" s="1"/>
  <c r="R3" i="3" s="1"/>
  <c r="S3" i="3" s="1"/>
  <c r="T3" i="3" s="1"/>
  <c r="U3" i="3" s="1"/>
  <c r="V3" i="3" s="1"/>
  <c r="W3" i="3" s="1"/>
  <c r="X3" i="3" s="1"/>
  <c r="Y3" i="3" s="1"/>
  <c r="Z3" i="3" s="1"/>
  <c r="AA3" i="3" s="1"/>
  <c r="AB3" i="3" s="1"/>
  <c r="N7" i="2"/>
  <c r="N8" i="2" s="1"/>
  <c r="L7" i="2"/>
  <c r="P10" i="2"/>
  <c r="P11" i="2"/>
  <c r="P14" i="2"/>
  <c r="P15" i="2"/>
  <c r="P17" i="2"/>
  <c r="P6" i="2"/>
  <c r="C25" i="2"/>
  <c r="M8" i="2" s="1"/>
  <c r="G11" i="2"/>
  <c r="G14" i="2"/>
  <c r="G15" i="2"/>
  <c r="G17" i="2"/>
  <c r="G18" i="2"/>
  <c r="G7" i="2"/>
  <c r="L101" i="1"/>
  <c r="M101" i="1" s="1"/>
  <c r="N101" i="1" s="1"/>
  <c r="O101" i="1" s="1"/>
  <c r="P101" i="1" s="1"/>
  <c r="Q101" i="1" s="1"/>
  <c r="R101" i="1" s="1"/>
  <c r="S101" i="1" s="1"/>
  <c r="T101" i="1" s="1"/>
  <c r="U101" i="1" s="1"/>
  <c r="V101" i="1" s="1"/>
  <c r="W101" i="1" s="1"/>
  <c r="X101" i="1" s="1"/>
  <c r="Y101" i="1" s="1"/>
  <c r="Z101" i="1" s="1"/>
  <c r="AA101" i="1" s="1"/>
  <c r="AB101" i="1" s="1"/>
  <c r="AC101" i="1" s="1"/>
  <c r="AD101" i="1" s="1"/>
  <c r="AE101" i="1" s="1"/>
  <c r="AF101" i="1" s="1"/>
  <c r="AG101" i="1" s="1"/>
  <c r="D31" i="1"/>
  <c r="E31" i="1" s="1"/>
  <c r="F31" i="1" s="1"/>
  <c r="G31" i="1" s="1"/>
  <c r="H31" i="1" s="1"/>
  <c r="I31" i="1" s="1"/>
  <c r="J31" i="1" s="1"/>
  <c r="K31" i="1" s="1"/>
  <c r="L31" i="1" s="1"/>
  <c r="M31" i="1" s="1"/>
  <c r="N31" i="1" s="1"/>
  <c r="O31" i="1" s="1"/>
  <c r="P31" i="1" s="1"/>
  <c r="Q31" i="1" s="1"/>
  <c r="R31" i="1" s="1"/>
  <c r="S31" i="1" s="1"/>
  <c r="T31" i="1" s="1"/>
  <c r="U31" i="1" s="1"/>
  <c r="V31" i="1" s="1"/>
  <c r="W31" i="1" s="1"/>
  <c r="X31" i="1" s="1"/>
  <c r="Y31" i="1" s="1"/>
  <c r="Z31" i="1" s="1"/>
  <c r="AA31" i="1" s="1"/>
  <c r="D41" i="1"/>
  <c r="E40" i="1"/>
  <c r="F40" i="1" s="1"/>
  <c r="G40" i="1" s="1"/>
  <c r="H40" i="1" s="1"/>
  <c r="I40" i="1" s="1"/>
  <c r="J40" i="1" s="1"/>
  <c r="K40" i="1" s="1"/>
  <c r="L40" i="1" s="1"/>
  <c r="M40" i="1" s="1"/>
  <c r="N40" i="1" s="1"/>
  <c r="O40" i="1" s="1"/>
  <c r="P40" i="1" s="1"/>
  <c r="Q40" i="1" s="1"/>
  <c r="R40" i="1" s="1"/>
  <c r="S40" i="1" s="1"/>
  <c r="T40" i="1" s="1"/>
  <c r="U40" i="1" s="1"/>
  <c r="V40" i="1" s="1"/>
  <c r="W40" i="1" s="1"/>
  <c r="X40" i="1" s="1"/>
  <c r="I67" i="1"/>
  <c r="J67" i="1" s="1"/>
  <c r="I66" i="1"/>
  <c r="J66" i="1" s="1"/>
  <c r="I65" i="1"/>
  <c r="J65" i="1" s="1"/>
  <c r="I64" i="1"/>
  <c r="J64" i="1" s="1"/>
  <c r="I63" i="1"/>
  <c r="C19" i="1"/>
  <c r="C16" i="1" s="1"/>
  <c r="C10" i="1" s="1"/>
  <c r="AS9" i="1" s="1"/>
  <c r="D27" i="1"/>
  <c r="D24" i="1" s="1"/>
  <c r="E26" i="1"/>
  <c r="F26" i="1" s="1"/>
  <c r="G26" i="1" s="1"/>
  <c r="H26" i="1" s="1"/>
  <c r="I26" i="1" s="1"/>
  <c r="J26" i="1" s="1"/>
  <c r="K26" i="1" s="1"/>
  <c r="L26" i="1" s="1"/>
  <c r="M26" i="1" s="1"/>
  <c r="N26" i="1" s="1"/>
  <c r="O26" i="1" s="1"/>
  <c r="P26" i="1" s="1"/>
  <c r="Q26" i="1" s="1"/>
  <c r="R26" i="1" s="1"/>
  <c r="S26" i="1" s="1"/>
  <c r="T26" i="1" s="1"/>
  <c r="U26" i="1" s="1"/>
  <c r="V26" i="1" s="1"/>
  <c r="W26" i="1" s="1"/>
  <c r="X26" i="1" s="1"/>
  <c r="Y26" i="1" s="1"/>
  <c r="Z26" i="1" s="1"/>
  <c r="D18" i="1"/>
  <c r="E18" i="1" s="1"/>
  <c r="F18" i="1" s="1"/>
  <c r="G18" i="1" s="1"/>
  <c r="H18" i="1" s="1"/>
  <c r="I18" i="1" s="1"/>
  <c r="J18" i="1" s="1"/>
  <c r="M44" i="3" l="1"/>
  <c r="M42" i="3"/>
  <c r="C9" i="1"/>
  <c r="J63" i="1"/>
  <c r="T10" i="3"/>
  <c r="BI4" i="1"/>
  <c r="P10" i="3"/>
  <c r="BE4" i="1"/>
  <c r="R10" i="3"/>
  <c r="BG4" i="1"/>
  <c r="Q10" i="3"/>
  <c r="BF4" i="1"/>
  <c r="O10" i="3"/>
  <c r="BD4" i="1"/>
  <c r="J10" i="3"/>
  <c r="AY4" i="1"/>
  <c r="F10" i="3"/>
  <c r="AU4" i="1"/>
  <c r="U10" i="3"/>
  <c r="BJ4" i="1"/>
  <c r="S10" i="3"/>
  <c r="BH4" i="1"/>
  <c r="K10" i="3"/>
  <c r="AZ4" i="1"/>
  <c r="D10" i="3"/>
  <c r="AS4" i="1"/>
  <c r="I10" i="3"/>
  <c r="AX4" i="1"/>
  <c r="N10" i="3"/>
  <c r="BC4" i="1"/>
  <c r="M10" i="3"/>
  <c r="BB4" i="1"/>
  <c r="L10" i="3"/>
  <c r="BA4" i="1"/>
  <c r="D9" i="1"/>
  <c r="AS8" i="1"/>
  <c r="H10" i="3"/>
  <c r="AW4" i="1"/>
  <c r="F14" i="7"/>
  <c r="D15" i="7"/>
  <c r="D17" i="7" s="1"/>
  <c r="E10" i="3"/>
  <c r="AT4" i="1"/>
  <c r="G10" i="3"/>
  <c r="AV4" i="1"/>
  <c r="W51" i="3"/>
  <c r="K51" i="3"/>
  <c r="Q51" i="3"/>
  <c r="V51" i="3"/>
  <c r="Z51" i="3"/>
  <c r="Y51" i="3"/>
  <c r="U51" i="3"/>
  <c r="X51" i="3"/>
  <c r="T51" i="3"/>
  <c r="AA51" i="3"/>
  <c r="S51" i="3"/>
  <c r="AB51" i="3"/>
  <c r="P51" i="3"/>
  <c r="N51" i="3"/>
  <c r="M51" i="3"/>
  <c r="R51" i="3"/>
  <c r="L51" i="3"/>
  <c r="O51" i="3"/>
  <c r="N41" i="3"/>
  <c r="S41" i="3"/>
  <c r="Q41" i="3"/>
  <c r="X41" i="3"/>
  <c r="AB41" i="3"/>
  <c r="O41" i="3"/>
  <c r="P41" i="3"/>
  <c r="V41" i="3"/>
  <c r="AA41" i="3"/>
  <c r="W41" i="3"/>
  <c r="Y41" i="3"/>
  <c r="L41" i="3"/>
  <c r="L45" i="3" s="1"/>
  <c r="R41" i="3"/>
  <c r="Z41" i="3"/>
  <c r="T41" i="3"/>
  <c r="K41" i="3"/>
  <c r="U41" i="3"/>
  <c r="M41" i="3"/>
  <c r="W43" i="3"/>
  <c r="T43" i="3"/>
  <c r="S43" i="3"/>
  <c r="X43" i="3"/>
  <c r="Y43" i="3"/>
  <c r="AB43" i="3"/>
  <c r="Z43" i="3"/>
  <c r="Q43" i="3"/>
  <c r="AA43" i="3"/>
  <c r="R43" i="3"/>
  <c r="U43" i="3"/>
  <c r="V43" i="3"/>
  <c r="Q50" i="3"/>
  <c r="P50" i="3"/>
  <c r="P52" i="3" s="1"/>
  <c r="AA50" i="3"/>
  <c r="AA52" i="3" s="1"/>
  <c r="L50" i="3"/>
  <c r="L52" i="3" s="1"/>
  <c r="K50" i="3"/>
  <c r="O50" i="3"/>
  <c r="N50" i="3"/>
  <c r="Z50" i="3"/>
  <c r="Y50" i="3"/>
  <c r="X50" i="3"/>
  <c r="R50" i="3"/>
  <c r="W50" i="3"/>
  <c r="V50" i="3"/>
  <c r="U50" i="3"/>
  <c r="AB50" i="3"/>
  <c r="AB52" i="3" s="1"/>
  <c r="T50" i="3"/>
  <c r="T52" i="3" s="1"/>
  <c r="S50" i="3"/>
  <c r="S52" i="3" s="1"/>
  <c r="M50" i="3"/>
  <c r="M52" i="3" s="1"/>
  <c r="AC49" i="3"/>
  <c r="N39" i="3"/>
  <c r="Z28" i="3"/>
  <c r="W28" i="3"/>
  <c r="O28" i="3"/>
  <c r="Q28" i="3"/>
  <c r="AB28" i="3"/>
  <c r="M28" i="3"/>
  <c r="R28" i="3"/>
  <c r="Y28" i="3"/>
  <c r="T28" i="3"/>
  <c r="AA28" i="3"/>
  <c r="J28" i="3"/>
  <c r="U28" i="3"/>
  <c r="P28" i="3"/>
  <c r="S28" i="3"/>
  <c r="K28" i="3"/>
  <c r="V28" i="3"/>
  <c r="N28" i="3"/>
  <c r="L28" i="3"/>
  <c r="X28" i="3"/>
  <c r="M35" i="3"/>
  <c r="D35" i="3"/>
  <c r="P35" i="3"/>
  <c r="R35" i="3"/>
  <c r="N35" i="3"/>
  <c r="O35" i="3"/>
  <c r="Q35" i="3"/>
  <c r="S35" i="3"/>
  <c r="T35" i="3"/>
  <c r="E35" i="3"/>
  <c r="U35" i="3"/>
  <c r="L35" i="3"/>
  <c r="F35" i="3"/>
  <c r="V35" i="3"/>
  <c r="X35" i="3"/>
  <c r="G35" i="3"/>
  <c r="W35" i="3"/>
  <c r="H35" i="3"/>
  <c r="I35" i="3"/>
  <c r="Y35" i="3"/>
  <c r="J35" i="3"/>
  <c r="Z35" i="3"/>
  <c r="K35" i="3"/>
  <c r="AA35" i="3"/>
  <c r="AB35" i="3"/>
  <c r="K27" i="3"/>
  <c r="W27" i="3"/>
  <c r="J27" i="3"/>
  <c r="L27" i="3"/>
  <c r="Z27" i="3"/>
  <c r="P27" i="3"/>
  <c r="AA27" i="3"/>
  <c r="V27" i="3"/>
  <c r="N27" i="3"/>
  <c r="O27" i="3"/>
  <c r="M27" i="3"/>
  <c r="X27" i="3"/>
  <c r="AB27" i="3"/>
  <c r="Q27" i="3"/>
  <c r="T27" i="3"/>
  <c r="Y27" i="3"/>
  <c r="R27" i="3"/>
  <c r="U27" i="3"/>
  <c r="S27" i="3"/>
  <c r="N26" i="3"/>
  <c r="Y26" i="3"/>
  <c r="L26" i="3"/>
  <c r="Z26" i="3"/>
  <c r="W26" i="3"/>
  <c r="O26" i="3"/>
  <c r="K26" i="3"/>
  <c r="S26" i="3"/>
  <c r="X26" i="3"/>
  <c r="P26" i="3"/>
  <c r="AA26" i="3"/>
  <c r="Q26" i="3"/>
  <c r="V26" i="3"/>
  <c r="T26" i="3"/>
  <c r="AB26" i="3"/>
  <c r="J26" i="3"/>
  <c r="R26" i="3"/>
  <c r="M26" i="3"/>
  <c r="U26" i="3"/>
  <c r="F25" i="3"/>
  <c r="F29" i="3" s="1"/>
  <c r="V25" i="3"/>
  <c r="I25" i="3"/>
  <c r="I29" i="3" s="1"/>
  <c r="Y25" i="3"/>
  <c r="AA25" i="3"/>
  <c r="G25" i="3"/>
  <c r="G29" i="3" s="1"/>
  <c r="W25" i="3"/>
  <c r="J25" i="3"/>
  <c r="H25" i="3"/>
  <c r="H29" i="3" s="1"/>
  <c r="X25" i="3"/>
  <c r="Z25" i="3"/>
  <c r="K25" i="3"/>
  <c r="M25" i="3"/>
  <c r="D25" i="3"/>
  <c r="N25" i="3"/>
  <c r="AB25" i="3"/>
  <c r="O25" i="3"/>
  <c r="P25" i="3"/>
  <c r="Q25" i="3"/>
  <c r="R25" i="3"/>
  <c r="U25" i="3"/>
  <c r="S25" i="3"/>
  <c r="T25" i="3"/>
  <c r="E25" i="3"/>
  <c r="E29" i="3" s="1"/>
  <c r="L25" i="3"/>
  <c r="E34" i="3"/>
  <c r="U34" i="3"/>
  <c r="F34" i="3"/>
  <c r="V34" i="3"/>
  <c r="D34" i="3"/>
  <c r="G34" i="3"/>
  <c r="W34" i="3"/>
  <c r="X34" i="3"/>
  <c r="H34" i="3"/>
  <c r="I34" i="3"/>
  <c r="Y34" i="3"/>
  <c r="J34" i="3"/>
  <c r="Z34" i="3"/>
  <c r="K34" i="3"/>
  <c r="AA34" i="3"/>
  <c r="L34" i="3"/>
  <c r="AB34" i="3"/>
  <c r="M34" i="3"/>
  <c r="N34" i="3"/>
  <c r="P34" i="3"/>
  <c r="O34" i="3"/>
  <c r="Q34" i="3"/>
  <c r="R34" i="3"/>
  <c r="S34" i="3"/>
  <c r="T34" i="3"/>
  <c r="X14" i="3"/>
  <c r="L14" i="2"/>
  <c r="P7" i="2"/>
  <c r="X6" i="3"/>
  <c r="AB6" i="3"/>
  <c r="Z6" i="3"/>
  <c r="AA6" i="3"/>
  <c r="Y6" i="3"/>
  <c r="X17" i="3"/>
  <c r="Y17" i="3"/>
  <c r="Z17" i="3"/>
  <c r="AA17" i="3"/>
  <c r="AB17" i="3"/>
  <c r="M64" i="1"/>
  <c r="AA26" i="1"/>
  <c r="Z23" i="1"/>
  <c r="M65" i="1"/>
  <c r="M66" i="1" s="1"/>
  <c r="C7" i="1" s="1"/>
  <c r="Y40" i="1"/>
  <c r="Z40" i="1" s="1"/>
  <c r="AA40" i="1" s="1"/>
  <c r="C45" i="2"/>
  <c r="L10" i="2" s="1"/>
  <c r="L11" i="2" s="1"/>
  <c r="O18" i="2"/>
  <c r="P18" i="2" s="1"/>
  <c r="F116" i="1"/>
  <c r="C33" i="1"/>
  <c r="AS13" i="1" s="1"/>
  <c r="AT13" i="1" s="1"/>
  <c r="AU13" i="1" s="1"/>
  <c r="AV13" i="1" s="1"/>
  <c r="AW13" i="1" s="1"/>
  <c r="AX13" i="1" s="1"/>
  <c r="AY13" i="1" s="1"/>
  <c r="AZ13" i="1" s="1"/>
  <c r="BA13" i="1" s="1"/>
  <c r="BB13" i="1" s="1"/>
  <c r="BC13" i="1" s="1"/>
  <c r="BD13" i="1" s="1"/>
  <c r="BE13" i="1" s="1"/>
  <c r="BF13" i="1" s="1"/>
  <c r="BG13" i="1" s="1"/>
  <c r="BH13" i="1" s="1"/>
  <c r="BI13" i="1" s="1"/>
  <c r="BJ13" i="1" s="1"/>
  <c r="D17" i="3"/>
  <c r="D6" i="3"/>
  <c r="C8" i="1"/>
  <c r="I68" i="1"/>
  <c r="J68" i="1" s="1"/>
  <c r="J69" i="1" s="1"/>
  <c r="J70" i="1" s="1"/>
  <c r="J74" i="1" s="1"/>
  <c r="E41" i="1"/>
  <c r="F41" i="1" s="1"/>
  <c r="G41" i="1" s="1"/>
  <c r="H41" i="1" s="1"/>
  <c r="I41" i="1" s="1"/>
  <c r="J41" i="1" s="1"/>
  <c r="K41" i="1" s="1"/>
  <c r="L41" i="1" s="1"/>
  <c r="M41" i="1" s="1"/>
  <c r="N41" i="1" s="1"/>
  <c r="O41" i="1" s="1"/>
  <c r="P41" i="1" s="1"/>
  <c r="Q41" i="1" s="1"/>
  <c r="R41" i="1" s="1"/>
  <c r="S41" i="1" s="1"/>
  <c r="T41" i="1" s="1"/>
  <c r="U41" i="1" s="1"/>
  <c r="V41" i="1" s="1"/>
  <c r="W41" i="1" s="1"/>
  <c r="X41" i="1" s="1"/>
  <c r="E27" i="1"/>
  <c r="D19" i="1"/>
  <c r="D17" i="1" s="1"/>
  <c r="K18" i="1"/>
  <c r="D2" i="1"/>
  <c r="E2" i="1" s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N44" i="3" l="1"/>
  <c r="N42" i="3"/>
  <c r="U52" i="3"/>
  <c r="X52" i="3"/>
  <c r="D7" i="1"/>
  <c r="AT6" i="1" s="1"/>
  <c r="AS6" i="1"/>
  <c r="D8" i="1"/>
  <c r="AS7" i="1"/>
  <c r="F15" i="7"/>
  <c r="F17" i="7" s="1"/>
  <c r="E9" i="1"/>
  <c r="AT8" i="1"/>
  <c r="Y41" i="1"/>
  <c r="Z41" i="1" s="1"/>
  <c r="AA41" i="1" s="1"/>
  <c r="Y52" i="3"/>
  <c r="W52" i="3"/>
  <c r="V52" i="3"/>
  <c r="AC41" i="3"/>
  <c r="AD48" i="3" s="1"/>
  <c r="K45" i="3"/>
  <c r="R52" i="3"/>
  <c r="Z52" i="3"/>
  <c r="Q52" i="3"/>
  <c r="N52" i="3"/>
  <c r="AC51" i="3"/>
  <c r="O52" i="3"/>
  <c r="AC43" i="3"/>
  <c r="AC50" i="3"/>
  <c r="K52" i="3"/>
  <c r="AC26" i="3"/>
  <c r="X29" i="3"/>
  <c r="M45" i="3"/>
  <c r="O39" i="3"/>
  <c r="N45" i="3"/>
  <c r="AC27" i="3"/>
  <c r="Z29" i="3"/>
  <c r="M29" i="3"/>
  <c r="O29" i="3"/>
  <c r="AC25" i="3"/>
  <c r="D29" i="3"/>
  <c r="K29" i="3"/>
  <c r="L29" i="3"/>
  <c r="AC28" i="3"/>
  <c r="J29" i="3"/>
  <c r="T29" i="3"/>
  <c r="W29" i="3"/>
  <c r="S29" i="3"/>
  <c r="U29" i="3"/>
  <c r="AA29" i="3"/>
  <c r="R29" i="3"/>
  <c r="Y29" i="3"/>
  <c r="Q29" i="3"/>
  <c r="P29" i="3"/>
  <c r="V29" i="3"/>
  <c r="AB29" i="3"/>
  <c r="N29" i="3"/>
  <c r="H36" i="3"/>
  <c r="E36" i="3"/>
  <c r="Z36" i="3"/>
  <c r="T36" i="3"/>
  <c r="X36" i="3"/>
  <c r="R36" i="3"/>
  <c r="G36" i="3"/>
  <c r="V36" i="3"/>
  <c r="O36" i="3"/>
  <c r="P36" i="3"/>
  <c r="AC35" i="3"/>
  <c r="W36" i="3"/>
  <c r="Q36" i="3"/>
  <c r="AA36" i="3"/>
  <c r="AC32" i="3"/>
  <c r="D36" i="3"/>
  <c r="AC34" i="3"/>
  <c r="U36" i="3"/>
  <c r="I36" i="3"/>
  <c r="M36" i="3"/>
  <c r="AB36" i="3"/>
  <c r="Y36" i="3"/>
  <c r="AC33" i="3"/>
  <c r="K36" i="3"/>
  <c r="L36" i="3"/>
  <c r="S36" i="3"/>
  <c r="N36" i="3"/>
  <c r="F36" i="3"/>
  <c r="J36" i="3"/>
  <c r="M12" i="2"/>
  <c r="AB16" i="3" s="1"/>
  <c r="D14" i="3"/>
  <c r="AB14" i="3"/>
  <c r="Z14" i="3"/>
  <c r="Y14" i="3"/>
  <c r="AA14" i="3"/>
  <c r="Z18" i="3"/>
  <c r="Y18" i="3"/>
  <c r="AB18" i="3"/>
  <c r="X18" i="3"/>
  <c r="D18" i="3"/>
  <c r="AA18" i="3"/>
  <c r="AA23" i="1"/>
  <c r="D33" i="1"/>
  <c r="E33" i="1" s="1"/>
  <c r="F33" i="1" s="1"/>
  <c r="G33" i="1" s="1"/>
  <c r="H33" i="1" s="1"/>
  <c r="I33" i="1" s="1"/>
  <c r="J33" i="1" s="1"/>
  <c r="K33" i="1" s="1"/>
  <c r="L33" i="1" s="1"/>
  <c r="M33" i="1" s="1"/>
  <c r="N33" i="1" s="1"/>
  <c r="O33" i="1" s="1"/>
  <c r="P33" i="1" s="1"/>
  <c r="Q33" i="1" s="1"/>
  <c r="R33" i="1" s="1"/>
  <c r="S33" i="1" s="1"/>
  <c r="T33" i="1" s="1"/>
  <c r="U33" i="1" s="1"/>
  <c r="V33" i="1" s="1"/>
  <c r="W33" i="1" s="1"/>
  <c r="X33" i="1" s="1"/>
  <c r="Y33" i="1" s="1"/>
  <c r="Z33" i="1" s="1"/>
  <c r="AA33" i="1" s="1"/>
  <c r="F27" i="1"/>
  <c r="G27" i="1" s="1"/>
  <c r="G24" i="1" s="1"/>
  <c r="E24" i="1"/>
  <c r="E7" i="1" s="1"/>
  <c r="AU6" i="1" s="1"/>
  <c r="E19" i="1"/>
  <c r="E17" i="1" s="1"/>
  <c r="C11" i="1"/>
  <c r="D16" i="1"/>
  <c r="D10" i="1" s="1"/>
  <c r="AT9" i="1" s="1"/>
  <c r="L18" i="1"/>
  <c r="O44" i="3" l="1"/>
  <c r="O42" i="3"/>
  <c r="F9" i="1"/>
  <c r="AU8" i="1"/>
  <c r="E8" i="1"/>
  <c r="AT7" i="1"/>
  <c r="C12" i="1"/>
  <c r="D7" i="3" s="1"/>
  <c r="AS10" i="1"/>
  <c r="AS11" i="1"/>
  <c r="AD50" i="3"/>
  <c r="AC52" i="3"/>
  <c r="E31" i="6" s="1"/>
  <c r="AD32" i="3"/>
  <c r="AD33" i="3"/>
  <c r="AD34" i="3"/>
  <c r="O45" i="3"/>
  <c r="P39" i="3"/>
  <c r="P12" i="2"/>
  <c r="Y16" i="3"/>
  <c r="X16" i="3"/>
  <c r="Z16" i="3"/>
  <c r="D16" i="3"/>
  <c r="AA16" i="3"/>
  <c r="AC29" i="3"/>
  <c r="AD35" i="3"/>
  <c r="AC36" i="3"/>
  <c r="E26" i="6" s="1"/>
  <c r="AB15" i="3"/>
  <c r="AB20" i="3" s="1"/>
  <c r="Z15" i="3"/>
  <c r="X15" i="3"/>
  <c r="AA15" i="3"/>
  <c r="Y15" i="3"/>
  <c r="D15" i="3"/>
  <c r="P8" i="2"/>
  <c r="D11" i="1"/>
  <c r="F19" i="1"/>
  <c r="F17" i="1" s="1"/>
  <c r="F24" i="1"/>
  <c r="F7" i="1" s="1"/>
  <c r="E16" i="1"/>
  <c r="E10" i="1" s="1"/>
  <c r="H27" i="1"/>
  <c r="H24" i="1" s="1"/>
  <c r="G19" i="1"/>
  <c r="M18" i="1"/>
  <c r="P44" i="3" l="1"/>
  <c r="P42" i="3"/>
  <c r="E11" i="1"/>
  <c r="AU9" i="1"/>
  <c r="D5" i="3"/>
  <c r="F8" i="1"/>
  <c r="AU7" i="1"/>
  <c r="D8" i="3"/>
  <c r="D9" i="3"/>
  <c r="D11" i="3" s="1"/>
  <c r="G9" i="1"/>
  <c r="AV8" i="1"/>
  <c r="D12" i="1"/>
  <c r="E7" i="3" s="1"/>
  <c r="AT10" i="1"/>
  <c r="AT11" i="1" s="1"/>
  <c r="G7" i="1"/>
  <c r="AV6" i="1"/>
  <c r="E12" i="1"/>
  <c r="F7" i="3" s="1"/>
  <c r="AU10" i="1"/>
  <c r="AU11" i="1" s="1"/>
  <c r="Q39" i="3"/>
  <c r="Y20" i="3"/>
  <c r="D26" i="6"/>
  <c r="F26" i="6" s="1"/>
  <c r="G26" i="6" s="1"/>
  <c r="AA20" i="3"/>
  <c r="Z20" i="3"/>
  <c r="AD36" i="3"/>
  <c r="D20" i="3"/>
  <c r="AE10" i="3"/>
  <c r="AC10" i="3"/>
  <c r="E9" i="3"/>
  <c r="E17" i="3"/>
  <c r="E18" i="3"/>
  <c r="E14" i="3"/>
  <c r="E15" i="3"/>
  <c r="E16" i="3"/>
  <c r="E6" i="3"/>
  <c r="G17" i="1"/>
  <c r="I27" i="1"/>
  <c r="I24" i="1" s="1"/>
  <c r="H19" i="1"/>
  <c r="N18" i="1"/>
  <c r="F16" i="1"/>
  <c r="F10" i="1" s="1"/>
  <c r="G16" i="1"/>
  <c r="G10" i="1" s="1"/>
  <c r="AW9" i="1" s="1"/>
  <c r="Q42" i="3" l="1"/>
  <c r="Q44" i="3"/>
  <c r="F11" i="1"/>
  <c r="AV9" i="1"/>
  <c r="G8" i="1"/>
  <c r="G11" i="1" s="1"/>
  <c r="AV7" i="1"/>
  <c r="E5" i="3"/>
  <c r="F9" i="3"/>
  <c r="H9" i="1"/>
  <c r="AW8" i="1"/>
  <c r="E8" i="3"/>
  <c r="F12" i="1"/>
  <c r="G7" i="3" s="1"/>
  <c r="AV10" i="1"/>
  <c r="AV11" i="1" s="1"/>
  <c r="H7" i="1"/>
  <c r="AX6" i="1" s="1"/>
  <c r="AW6" i="1"/>
  <c r="P45" i="3"/>
  <c r="R39" i="3"/>
  <c r="Q45" i="3"/>
  <c r="E24" i="6"/>
  <c r="E15" i="6" s="1"/>
  <c r="D24" i="6"/>
  <c r="D15" i="6" s="1"/>
  <c r="E20" i="3"/>
  <c r="F17" i="3"/>
  <c r="F18" i="3"/>
  <c r="F16" i="3"/>
  <c r="F14" i="3"/>
  <c r="F15" i="3"/>
  <c r="F8" i="3"/>
  <c r="F5" i="3"/>
  <c r="F6" i="3"/>
  <c r="H17" i="1"/>
  <c r="J27" i="1"/>
  <c r="J24" i="1" s="1"/>
  <c r="I19" i="1"/>
  <c r="O18" i="1"/>
  <c r="H16" i="1"/>
  <c r="H10" i="1" s="1"/>
  <c r="AX9" i="1" s="1"/>
  <c r="R44" i="3" l="1"/>
  <c r="R42" i="3"/>
  <c r="R45" i="3" s="1"/>
  <c r="E11" i="3"/>
  <c r="I9" i="1"/>
  <c r="AX8" i="1"/>
  <c r="I7" i="1"/>
  <c r="AY6" i="1" s="1"/>
  <c r="AW7" i="1"/>
  <c r="H8" i="1"/>
  <c r="J7" i="1"/>
  <c r="G12" i="1"/>
  <c r="H7" i="3" s="1"/>
  <c r="AW10" i="1"/>
  <c r="AW11" i="1" s="1"/>
  <c r="C9" i="7"/>
  <c r="AZ6" i="1"/>
  <c r="G9" i="3"/>
  <c r="S39" i="3"/>
  <c r="F15" i="6"/>
  <c r="G15" i="6" s="1"/>
  <c r="F24" i="6"/>
  <c r="G24" i="6" s="1"/>
  <c r="F11" i="3"/>
  <c r="F20" i="3"/>
  <c r="I17" i="1"/>
  <c r="G17" i="3"/>
  <c r="G18" i="3"/>
  <c r="G14" i="3"/>
  <c r="G16" i="3"/>
  <c r="G15" i="3"/>
  <c r="H9" i="3"/>
  <c r="G8" i="3"/>
  <c r="G5" i="3"/>
  <c r="G6" i="3"/>
  <c r="K27" i="1"/>
  <c r="K24" i="1" s="1"/>
  <c r="J19" i="1"/>
  <c r="P18" i="1"/>
  <c r="I16" i="1"/>
  <c r="I10" i="1" s="1"/>
  <c r="AY9" i="1" s="1"/>
  <c r="S44" i="3" l="1"/>
  <c r="S42" i="3"/>
  <c r="AX7" i="1"/>
  <c r="I8" i="1"/>
  <c r="J9" i="1"/>
  <c r="AY8" i="1"/>
  <c r="K7" i="1"/>
  <c r="BA6" i="1" s="1"/>
  <c r="H11" i="1"/>
  <c r="H12" i="1" s="1"/>
  <c r="I7" i="3" s="1"/>
  <c r="AX10" i="1"/>
  <c r="AX11" i="1" s="1"/>
  <c r="S45" i="3"/>
  <c r="T39" i="3"/>
  <c r="G11" i="3"/>
  <c r="G20" i="3"/>
  <c r="J17" i="1"/>
  <c r="H16" i="3"/>
  <c r="H17" i="3"/>
  <c r="H18" i="3"/>
  <c r="H15" i="3"/>
  <c r="H14" i="3"/>
  <c r="H6" i="3"/>
  <c r="H8" i="3"/>
  <c r="H5" i="3"/>
  <c r="I11" i="1"/>
  <c r="L27" i="1"/>
  <c r="L24" i="1" s="1"/>
  <c r="L7" i="1" s="1"/>
  <c r="BB6" i="1" s="1"/>
  <c r="K19" i="1"/>
  <c r="Q18" i="1"/>
  <c r="J16" i="1"/>
  <c r="J10" i="1" s="1"/>
  <c r="T42" i="3" l="1"/>
  <c r="T44" i="3"/>
  <c r="AZ9" i="1"/>
  <c r="C12" i="7"/>
  <c r="K9" i="1"/>
  <c r="C11" i="7"/>
  <c r="E11" i="7" s="1"/>
  <c r="AZ8" i="1"/>
  <c r="I9" i="3"/>
  <c r="AY7" i="1"/>
  <c r="J8" i="1"/>
  <c r="I12" i="1"/>
  <c r="J7" i="3" s="1"/>
  <c r="AY10" i="1"/>
  <c r="AY11" i="1" s="1"/>
  <c r="T45" i="3"/>
  <c r="U39" i="3"/>
  <c r="H11" i="3"/>
  <c r="H20" i="3"/>
  <c r="K17" i="1"/>
  <c r="I16" i="3"/>
  <c r="I17" i="3"/>
  <c r="I18" i="3"/>
  <c r="I14" i="3"/>
  <c r="I15" i="3"/>
  <c r="I5" i="3"/>
  <c r="I6" i="3"/>
  <c r="I8" i="3"/>
  <c r="J11" i="1"/>
  <c r="M27" i="1"/>
  <c r="M24" i="1" s="1"/>
  <c r="M7" i="1" s="1"/>
  <c r="BC6" i="1" s="1"/>
  <c r="L19" i="1"/>
  <c r="R18" i="1"/>
  <c r="K16" i="1"/>
  <c r="K10" i="1" s="1"/>
  <c r="BA9" i="1" s="1"/>
  <c r="U42" i="3" l="1"/>
  <c r="U44" i="3"/>
  <c r="C10" i="7"/>
  <c r="E10" i="7" s="1"/>
  <c r="AZ7" i="1"/>
  <c r="K8" i="1"/>
  <c r="J9" i="3"/>
  <c r="L9" i="1"/>
  <c r="BA8" i="1"/>
  <c r="J12" i="1"/>
  <c r="K7" i="3" s="1"/>
  <c r="C13" i="7"/>
  <c r="C14" i="7" s="1"/>
  <c r="C15" i="7" s="1"/>
  <c r="C17" i="7" s="1"/>
  <c r="C18" i="7" s="1"/>
  <c r="AZ10" i="1"/>
  <c r="AZ11" i="1" s="1"/>
  <c r="L17" i="1"/>
  <c r="V39" i="3"/>
  <c r="I20" i="3"/>
  <c r="I11" i="3"/>
  <c r="J16" i="3"/>
  <c r="J17" i="3"/>
  <c r="J14" i="3"/>
  <c r="J18" i="3"/>
  <c r="J15" i="3"/>
  <c r="J5" i="3"/>
  <c r="J6" i="3"/>
  <c r="J8" i="3"/>
  <c r="K11" i="1"/>
  <c r="N27" i="1"/>
  <c r="N24" i="1" s="1"/>
  <c r="N7" i="1" s="1"/>
  <c r="BD6" i="1" s="1"/>
  <c r="M19" i="1"/>
  <c r="M17" i="1" s="1"/>
  <c r="S18" i="1"/>
  <c r="L16" i="1"/>
  <c r="L10" i="1" s="1"/>
  <c r="BB9" i="1" s="1"/>
  <c r="V42" i="3" l="1"/>
  <c r="V44" i="3"/>
  <c r="M9" i="1"/>
  <c r="BB8" i="1"/>
  <c r="BA7" i="1"/>
  <c r="L8" i="1"/>
  <c r="K9" i="3"/>
  <c r="E13" i="7" a="1"/>
  <c r="E13" i="7" s="1"/>
  <c r="E14" i="7" s="1"/>
  <c r="E15" i="7" s="1"/>
  <c r="E17" i="7" s="1"/>
  <c r="E18" i="7" s="1"/>
  <c r="K12" i="1"/>
  <c r="L7" i="3" s="1"/>
  <c r="BA10" i="1"/>
  <c r="BA11" i="1" s="1"/>
  <c r="W39" i="3"/>
  <c r="V45" i="3"/>
  <c r="U45" i="3"/>
  <c r="J20" i="3"/>
  <c r="J11" i="3"/>
  <c r="K15" i="3"/>
  <c r="K16" i="3"/>
  <c r="K17" i="3"/>
  <c r="K18" i="3"/>
  <c r="K14" i="3"/>
  <c r="K5" i="3"/>
  <c r="K6" i="3"/>
  <c r="K8" i="3"/>
  <c r="L11" i="1"/>
  <c r="O27" i="1"/>
  <c r="O24" i="1" s="1"/>
  <c r="O7" i="1" s="1"/>
  <c r="BE6" i="1" s="1"/>
  <c r="N19" i="1"/>
  <c r="N17" i="1" s="1"/>
  <c r="T18" i="1"/>
  <c r="M16" i="1"/>
  <c r="M10" i="1" s="1"/>
  <c r="BC9" i="1" s="1"/>
  <c r="W42" i="3" l="1"/>
  <c r="W44" i="3"/>
  <c r="BB7" i="1"/>
  <c r="M8" i="1"/>
  <c r="L9" i="3"/>
  <c r="N9" i="1"/>
  <c r="BC8" i="1"/>
  <c r="L12" i="1"/>
  <c r="M7" i="3" s="1"/>
  <c r="BB10" i="1"/>
  <c r="BB11" i="1" s="1"/>
  <c r="X39" i="3"/>
  <c r="W45" i="3"/>
  <c r="K11" i="3"/>
  <c r="K20" i="3"/>
  <c r="L15" i="3"/>
  <c r="L16" i="3"/>
  <c r="L17" i="3"/>
  <c r="L18" i="3"/>
  <c r="L14" i="3"/>
  <c r="L5" i="3"/>
  <c r="L6" i="3"/>
  <c r="L8" i="3"/>
  <c r="M11" i="1"/>
  <c r="P27" i="1"/>
  <c r="P24" i="1" s="1"/>
  <c r="P7" i="1" s="1"/>
  <c r="BF6" i="1" s="1"/>
  <c r="O19" i="1"/>
  <c r="O17" i="1" s="1"/>
  <c r="U18" i="1"/>
  <c r="N16" i="1"/>
  <c r="N10" i="1" s="1"/>
  <c r="X42" i="3" l="1"/>
  <c r="X44" i="3"/>
  <c r="BD9" i="1"/>
  <c r="O9" i="1"/>
  <c r="BD8" i="1"/>
  <c r="BC7" i="1"/>
  <c r="N8" i="1"/>
  <c r="M9" i="3"/>
  <c r="M12" i="1"/>
  <c r="N7" i="3" s="1"/>
  <c r="BC10" i="1"/>
  <c r="BC11" i="1" s="1"/>
  <c r="X45" i="3"/>
  <c r="Y39" i="3"/>
  <c r="E29" i="6"/>
  <c r="E18" i="6" s="1"/>
  <c r="D29" i="6"/>
  <c r="D18" i="6" s="1"/>
  <c r="L20" i="3"/>
  <c r="L11" i="3"/>
  <c r="M15" i="3"/>
  <c r="M16" i="3"/>
  <c r="M14" i="3"/>
  <c r="M17" i="3"/>
  <c r="M18" i="3"/>
  <c r="M6" i="3"/>
  <c r="M5" i="3"/>
  <c r="M8" i="3"/>
  <c r="Q27" i="1"/>
  <c r="Q24" i="1" s="1"/>
  <c r="Q7" i="1" s="1"/>
  <c r="BG6" i="1" s="1"/>
  <c r="P19" i="1"/>
  <c r="P17" i="1" s="1"/>
  <c r="V18" i="1"/>
  <c r="O16" i="1"/>
  <c r="O10" i="1" s="1"/>
  <c r="Y44" i="3" l="1"/>
  <c r="Y42" i="3"/>
  <c r="BE9" i="1"/>
  <c r="BD7" i="1"/>
  <c r="O8" i="1"/>
  <c r="P9" i="1"/>
  <c r="BE8" i="1"/>
  <c r="N11" i="1"/>
  <c r="N9" i="3"/>
  <c r="Y45" i="3"/>
  <c r="Z39" i="3"/>
  <c r="F18" i="6"/>
  <c r="G18" i="6" s="1"/>
  <c r="F29" i="6"/>
  <c r="G29" i="6" s="1"/>
  <c r="M11" i="3"/>
  <c r="M20" i="3"/>
  <c r="N14" i="3"/>
  <c r="N15" i="3"/>
  <c r="N16" i="3"/>
  <c r="N18" i="3"/>
  <c r="N17" i="3"/>
  <c r="N8" i="3"/>
  <c r="N5" i="3"/>
  <c r="N6" i="3"/>
  <c r="R27" i="1"/>
  <c r="R24" i="1" s="1"/>
  <c r="R7" i="1" s="1"/>
  <c r="BH6" i="1" s="1"/>
  <c r="Q19" i="1"/>
  <c r="Q17" i="1" s="1"/>
  <c r="W18" i="1"/>
  <c r="X18" i="1" s="1"/>
  <c r="P16" i="1"/>
  <c r="P10" i="1" s="1"/>
  <c r="Z42" i="3" l="1"/>
  <c r="Z44" i="3"/>
  <c r="BD10" i="1"/>
  <c r="BD11" i="1" s="1"/>
  <c r="N12" i="1"/>
  <c r="BF9" i="1"/>
  <c r="Q9" i="1"/>
  <c r="BF8" i="1"/>
  <c r="BE7" i="1"/>
  <c r="P8" i="1"/>
  <c r="O11" i="1"/>
  <c r="Z45" i="3"/>
  <c r="AA39" i="3"/>
  <c r="N20" i="3"/>
  <c r="N11" i="3"/>
  <c r="Y18" i="1"/>
  <c r="O14" i="3"/>
  <c r="O15" i="3"/>
  <c r="O18" i="3"/>
  <c r="O16" i="3"/>
  <c r="O17" i="3"/>
  <c r="O8" i="3"/>
  <c r="O5" i="3"/>
  <c r="O6" i="3"/>
  <c r="S27" i="1"/>
  <c r="S24" i="1" s="1"/>
  <c r="S7" i="1" s="1"/>
  <c r="BI6" i="1" s="1"/>
  <c r="R19" i="1"/>
  <c r="R17" i="1" s="1"/>
  <c r="Q16" i="1"/>
  <c r="Q10" i="1" s="1"/>
  <c r="AA42" i="3" l="1"/>
  <c r="AA44" i="3"/>
  <c r="BF7" i="1"/>
  <c r="Q8" i="1"/>
  <c r="BE10" i="1"/>
  <c r="BE11" i="1" s="1"/>
  <c r="O12" i="1"/>
  <c r="Q11" i="1"/>
  <c r="BG9" i="1"/>
  <c r="R9" i="1"/>
  <c r="BG8" i="1"/>
  <c r="P11" i="1"/>
  <c r="O7" i="3"/>
  <c r="O9" i="3"/>
  <c r="Q12" i="1"/>
  <c r="R7" i="3" s="1"/>
  <c r="BG10" i="1"/>
  <c r="AA45" i="3"/>
  <c r="AB39" i="3"/>
  <c r="O20" i="3"/>
  <c r="Z18" i="1"/>
  <c r="P14" i="3"/>
  <c r="P15" i="3"/>
  <c r="P18" i="3"/>
  <c r="P17" i="3"/>
  <c r="P16" i="3"/>
  <c r="P6" i="3"/>
  <c r="P8" i="3"/>
  <c r="P5" i="3"/>
  <c r="T27" i="1"/>
  <c r="T24" i="1" s="1"/>
  <c r="T7" i="1" s="1"/>
  <c r="BJ6" i="1" s="1"/>
  <c r="S19" i="1"/>
  <c r="S17" i="1" s="1"/>
  <c r="R16" i="1"/>
  <c r="R10" i="1" s="1"/>
  <c r="AB42" i="3" l="1"/>
  <c r="AB44" i="3"/>
  <c r="AC44" i="3" s="1"/>
  <c r="AD51" i="3" s="1"/>
  <c r="O11" i="3"/>
  <c r="P12" i="1"/>
  <c r="BF10" i="1"/>
  <c r="BF11" i="1" s="1"/>
  <c r="S9" i="1"/>
  <c r="BH8" i="1"/>
  <c r="R9" i="3"/>
  <c r="BH9" i="1"/>
  <c r="P7" i="3"/>
  <c r="P9" i="3"/>
  <c r="BG7" i="1"/>
  <c r="BG11" i="1" s="1"/>
  <c r="R8" i="1"/>
  <c r="AB45" i="3"/>
  <c r="AC45" i="3" s="1"/>
  <c r="AC42" i="3"/>
  <c r="AD49" i="3" s="1"/>
  <c r="P20" i="3"/>
  <c r="AA18" i="1"/>
  <c r="Q14" i="3"/>
  <c r="Q15" i="3"/>
  <c r="Q16" i="3"/>
  <c r="Q17" i="3"/>
  <c r="Q18" i="3"/>
  <c r="Q5" i="3"/>
  <c r="Q6" i="3"/>
  <c r="Q8" i="3"/>
  <c r="U27" i="1"/>
  <c r="U24" i="1" s="1"/>
  <c r="U7" i="1" s="1"/>
  <c r="T19" i="1"/>
  <c r="T17" i="1" s="1"/>
  <c r="S16" i="1"/>
  <c r="S10" i="1" s="1"/>
  <c r="P11" i="3" l="1"/>
  <c r="BH7" i="1"/>
  <c r="S8" i="1"/>
  <c r="R11" i="1"/>
  <c r="S11" i="1"/>
  <c r="BI9" i="1"/>
  <c r="T9" i="1"/>
  <c r="BI8" i="1"/>
  <c r="Q7" i="3"/>
  <c r="Q9" i="3"/>
  <c r="S12" i="1"/>
  <c r="T7" i="3" s="1"/>
  <c r="BI10" i="1"/>
  <c r="AD52" i="3"/>
  <c r="D31" i="6"/>
  <c r="Q20" i="3"/>
  <c r="R18" i="3"/>
  <c r="R14" i="3"/>
  <c r="R15" i="3"/>
  <c r="R17" i="3"/>
  <c r="R16" i="3"/>
  <c r="R5" i="3"/>
  <c r="R6" i="3"/>
  <c r="R8" i="3"/>
  <c r="V27" i="1"/>
  <c r="V24" i="1" s="1"/>
  <c r="V7" i="1" s="1"/>
  <c r="U19" i="1"/>
  <c r="U17" i="1" s="1"/>
  <c r="T16" i="1"/>
  <c r="T10" i="1" s="1"/>
  <c r="BJ9" i="1" s="1"/>
  <c r="Q11" i="3" l="1"/>
  <c r="U9" i="1"/>
  <c r="V9" i="1" s="1"/>
  <c r="W9" i="1" s="1"/>
  <c r="X9" i="1" s="1"/>
  <c r="Y9" i="1" s="1"/>
  <c r="Z9" i="1" s="1"/>
  <c r="AA9" i="1" s="1"/>
  <c r="BJ8" i="1"/>
  <c r="R12" i="1"/>
  <c r="S8" i="3" s="1"/>
  <c r="BH10" i="1"/>
  <c r="BH11" i="1" s="1"/>
  <c r="T9" i="3"/>
  <c r="BI7" i="1"/>
  <c r="BI11" i="1" s="1"/>
  <c r="T8" i="1"/>
  <c r="R11" i="3"/>
  <c r="R20" i="3"/>
  <c r="S18" i="3"/>
  <c r="S14" i="3"/>
  <c r="S15" i="3"/>
  <c r="S16" i="3"/>
  <c r="S17" i="3"/>
  <c r="S6" i="3"/>
  <c r="S5" i="3"/>
  <c r="W27" i="1"/>
  <c r="X27" i="1" s="1"/>
  <c r="V19" i="1"/>
  <c r="V17" i="1" s="1"/>
  <c r="U16" i="1"/>
  <c r="U10" i="1" s="1"/>
  <c r="BJ7" i="1" l="1"/>
  <c r="U8" i="1"/>
  <c r="V8" i="1" s="1"/>
  <c r="W8" i="1" s="1"/>
  <c r="X8" i="1" s="1"/>
  <c r="Y8" i="1" s="1"/>
  <c r="Z8" i="1" s="1"/>
  <c r="AA8" i="1" s="1"/>
  <c r="T11" i="1"/>
  <c r="S7" i="3"/>
  <c r="S9" i="3"/>
  <c r="T12" i="1"/>
  <c r="U7" i="3" s="1"/>
  <c r="BJ10" i="1"/>
  <c r="S11" i="3"/>
  <c r="S20" i="3"/>
  <c r="Y27" i="1"/>
  <c r="X24" i="1"/>
  <c r="X19" i="1"/>
  <c r="X16" i="1" s="1"/>
  <c r="X10" i="1" s="1"/>
  <c r="T18" i="3"/>
  <c r="T14" i="3"/>
  <c r="T17" i="3"/>
  <c r="T16" i="3"/>
  <c r="T15" i="3"/>
  <c r="T5" i="3"/>
  <c r="T6" i="3"/>
  <c r="AC19" i="3" s="1"/>
  <c r="AD19" i="3" s="1"/>
  <c r="T8" i="3"/>
  <c r="U11" i="1"/>
  <c r="U12" i="1" s="1"/>
  <c r="V7" i="3" s="1"/>
  <c r="W19" i="1"/>
  <c r="W17" i="1" s="1"/>
  <c r="W24" i="1"/>
  <c r="W7" i="1" s="1"/>
  <c r="V16" i="1"/>
  <c r="V10" i="1" s="1"/>
  <c r="X17" i="1" l="1"/>
  <c r="BJ11" i="1"/>
  <c r="AC7" i="3"/>
  <c r="U9" i="3"/>
  <c r="AC9" i="3" s="1"/>
  <c r="T20" i="3"/>
  <c r="T11" i="3"/>
  <c r="X7" i="1"/>
  <c r="X11" i="1" s="1"/>
  <c r="X12" i="1" s="1"/>
  <c r="Y7" i="3" s="1"/>
  <c r="Z27" i="1"/>
  <c r="Y24" i="1"/>
  <c r="Y19" i="1"/>
  <c r="Y16" i="1" s="1"/>
  <c r="Y10" i="1" s="1"/>
  <c r="V9" i="3"/>
  <c r="W16" i="1"/>
  <c r="W10" i="1" s="1"/>
  <c r="W11" i="1" s="1"/>
  <c r="W12" i="1" s="1"/>
  <c r="X7" i="3" s="1"/>
  <c r="U17" i="3"/>
  <c r="AC17" i="3" s="1"/>
  <c r="U18" i="3"/>
  <c r="AC18" i="3" s="1"/>
  <c r="U16" i="3"/>
  <c r="AC16" i="3" s="1"/>
  <c r="U14" i="3"/>
  <c r="U15" i="3"/>
  <c r="AC15" i="3" s="1"/>
  <c r="U6" i="3"/>
  <c r="U5" i="3"/>
  <c r="U8" i="3"/>
  <c r="AC8" i="3" s="1"/>
  <c r="V11" i="1"/>
  <c r="V12" i="1" s="1"/>
  <c r="W7" i="3" s="1"/>
  <c r="AC6" i="3" l="1"/>
  <c r="AC14" i="3"/>
  <c r="U20" i="3"/>
  <c r="AC5" i="3"/>
  <c r="U11" i="3"/>
  <c r="Y7" i="1"/>
  <c r="Y11" i="1" s="1"/>
  <c r="Y12" i="1" s="1"/>
  <c r="Z7" i="3" s="1"/>
  <c r="Y8" i="3"/>
  <c r="Y5" i="3"/>
  <c r="Y9" i="3"/>
  <c r="X5" i="3"/>
  <c r="X9" i="3"/>
  <c r="X8" i="3"/>
  <c r="AA27" i="1"/>
  <c r="Z24" i="1"/>
  <c r="Z19" i="1"/>
  <c r="Z16" i="1" s="1"/>
  <c r="Z10" i="1" s="1"/>
  <c r="Y17" i="1"/>
  <c r="W9" i="3"/>
  <c r="V17" i="3"/>
  <c r="V18" i="3"/>
  <c r="V15" i="3"/>
  <c r="V16" i="3"/>
  <c r="V14" i="3"/>
  <c r="V5" i="3"/>
  <c r="V6" i="3"/>
  <c r="V8" i="3"/>
  <c r="Z17" i="1" l="1"/>
  <c r="V20" i="3"/>
  <c r="AC20" i="3"/>
  <c r="E25" i="6" s="1"/>
  <c r="V11" i="3"/>
  <c r="X11" i="3"/>
  <c r="Y11" i="3"/>
  <c r="AC11" i="3"/>
  <c r="D25" i="6" s="1"/>
  <c r="Z7" i="1"/>
  <c r="Z11" i="1" s="1"/>
  <c r="Z12" i="1" s="1"/>
  <c r="AA7" i="3" s="1"/>
  <c r="Z8" i="3"/>
  <c r="Z5" i="3"/>
  <c r="Z9" i="3"/>
  <c r="AA24" i="1"/>
  <c r="AA19" i="1"/>
  <c r="AA16" i="1" s="1"/>
  <c r="AA10" i="1" s="1"/>
  <c r="W17" i="3"/>
  <c r="AE17" i="3" s="1"/>
  <c r="W18" i="3"/>
  <c r="W15" i="3"/>
  <c r="AE15" i="3" s="1"/>
  <c r="W16" i="3"/>
  <c r="W14" i="3"/>
  <c r="W5" i="3"/>
  <c r="W6" i="3"/>
  <c r="W8" i="3"/>
  <c r="D27" i="6" l="1"/>
  <c r="D16" i="6"/>
  <c r="E27" i="6"/>
  <c r="F27" i="6" s="1"/>
  <c r="G27" i="6" s="1"/>
  <c r="E16" i="6"/>
  <c r="F16" i="6" s="1"/>
  <c r="G16" i="6" s="1"/>
  <c r="F25" i="6"/>
  <c r="G25" i="6" s="1"/>
  <c r="AE6" i="3"/>
  <c r="AF15" i="3" s="1"/>
  <c r="AA7" i="1"/>
  <c r="AA11" i="1" s="1"/>
  <c r="AA12" i="1" s="1"/>
  <c r="AB7" i="3" s="1"/>
  <c r="AE14" i="3"/>
  <c r="W20" i="3"/>
  <c r="AD20" i="3"/>
  <c r="W11" i="3"/>
  <c r="Z11" i="3"/>
  <c r="AD16" i="3"/>
  <c r="AE16" i="3"/>
  <c r="AD18" i="3"/>
  <c r="AE18" i="3"/>
  <c r="AA8" i="3"/>
  <c r="AA5" i="3"/>
  <c r="AA9" i="3"/>
  <c r="AA17" i="1"/>
  <c r="AD17" i="3"/>
  <c r="AD15" i="3"/>
  <c r="F31" i="6" l="1"/>
  <c r="G31" i="6" s="1"/>
  <c r="X20" i="3"/>
  <c r="AE19" i="3"/>
  <c r="AF19" i="3" s="1"/>
  <c r="AA11" i="3"/>
  <c r="AE20" i="3"/>
  <c r="E30" i="6" s="1"/>
  <c r="AB8" i="3"/>
  <c r="AE8" i="3" s="1"/>
  <c r="AF17" i="3" s="1"/>
  <c r="AB5" i="3"/>
  <c r="AB9" i="3"/>
  <c r="AE9" i="3" s="1"/>
  <c r="AF18" i="3" s="1"/>
  <c r="AE7" i="3"/>
  <c r="AF16" i="3" s="1"/>
  <c r="AD14" i="3"/>
  <c r="E32" i="6" l="1"/>
  <c r="E19" i="6"/>
  <c r="AE5" i="3"/>
  <c r="AF14" i="3" s="1"/>
  <c r="AB11" i="3"/>
  <c r="AE11" i="3" l="1"/>
  <c r="D30" i="6" s="1"/>
  <c r="D19" i="6" s="1"/>
  <c r="F19" i="6" s="1"/>
  <c r="G19" i="6" s="1"/>
  <c r="F30" i="6" l="1"/>
  <c r="G30" i="6" s="1"/>
  <c r="D32" i="6"/>
  <c r="F32" i="6" s="1"/>
  <c r="G32" i="6" s="1"/>
  <c r="AF2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<sst xmlns="http://schemas.openxmlformats.org/spreadsheetml/2006/main" count="333" uniqueCount="241">
  <si>
    <t>Gas</t>
  </si>
  <si>
    <t>Electric</t>
  </si>
  <si>
    <t>$/kWh</t>
  </si>
  <si>
    <t>$/m3</t>
  </si>
  <si>
    <t>Real Escalation Rates for Commodity/Distribution Costs</t>
  </si>
  <si>
    <t>4.2 ED-132</t>
  </si>
  <si>
    <t>Inflation</t>
  </si>
  <si>
    <t>inflation multiplier to 2023</t>
  </si>
  <si>
    <t>excludes effects of RNG/H2</t>
  </si>
  <si>
    <t>Fuel Prices Attributable to Carbon Tax (2023 $)</t>
  </si>
  <si>
    <t>excludes potential for cleaning of grid</t>
  </si>
  <si>
    <t>https://www.oeb.ca/consumer-information-and-protection/bill-calculator</t>
  </si>
  <si>
    <t>delivery</t>
  </si>
  <si>
    <t>commodity</t>
  </si>
  <si>
    <t>cost adj</t>
  </si>
  <si>
    <t>transporation</t>
  </si>
  <si>
    <t>carbon tax</t>
  </si>
  <si>
    <t>HST</t>
  </si>
  <si>
    <t>Total Variable Price (2023 $)</t>
  </si>
  <si>
    <t>total</t>
  </si>
  <si>
    <t>total w/HST</t>
  </si>
  <si>
    <t>fixed monthly charge</t>
  </si>
  <si>
    <t>total fixed charge w/HST</t>
  </si>
  <si>
    <t>Total amount</t>
  </si>
  <si>
    <t>Gas Rates</t>
  </si>
  <si>
    <t>Fixed Charges (2023 $)</t>
  </si>
  <si>
    <t>Electric Rates</t>
  </si>
  <si>
    <t>Variable Price (2023 $/m3)</t>
  </si>
  <si>
    <t>Distribution</t>
  </si>
  <si>
    <t>Carbon Tax</t>
  </si>
  <si>
    <t>Total</t>
  </si>
  <si>
    <t>Escalation Rates</t>
  </si>
  <si>
    <t>CO2e $/ton nominal</t>
  </si>
  <si>
    <t>CO2e $/ton real</t>
  </si>
  <si>
    <t>Commodity  forecast nominal</t>
  </si>
  <si>
    <t>Commodity  forecast real</t>
  </si>
  <si>
    <t>Commodity</t>
  </si>
  <si>
    <t>Transportation</t>
  </si>
  <si>
    <t>Tons CO2e/m3</t>
  </si>
  <si>
    <t>Real Escalation rate for T&amp;D</t>
  </si>
  <si>
    <t>cold climate ASHP</t>
  </si>
  <si>
    <t>Life</t>
  </si>
  <si>
    <t>Heating/Cooling</t>
  </si>
  <si>
    <t>Water Heating</t>
  </si>
  <si>
    <t>Gas Water Heater</t>
  </si>
  <si>
    <t>Heat Pump Water Heater</t>
  </si>
  <si>
    <t>Gas Dryer</t>
  </si>
  <si>
    <t>Electric Dryer</t>
  </si>
  <si>
    <t>Annual Electric kWh</t>
  </si>
  <si>
    <t>Cooking</t>
  </si>
  <si>
    <t>Drying</t>
  </si>
  <si>
    <t>Real Discount Rate</t>
  </si>
  <si>
    <t>Other COPs</t>
  </si>
  <si>
    <t>MMBtu/m3</t>
  </si>
  <si>
    <t>GJ/m3</t>
  </si>
  <si>
    <t>btu/m3</t>
  </si>
  <si>
    <t>btu/kWh</t>
  </si>
  <si>
    <t>New Gas Furnace + Central A/C</t>
  </si>
  <si>
    <t>Current Stock Avg gas water heater</t>
  </si>
  <si>
    <t>Heating</t>
  </si>
  <si>
    <t>Cooling</t>
  </si>
  <si>
    <t>Other</t>
  </si>
  <si>
    <t>Avg Cooling SEER</t>
  </si>
  <si>
    <t>Saturation</t>
  </si>
  <si>
    <t>Total Cost</t>
  </si>
  <si>
    <t>ccASHP</t>
  </si>
  <si>
    <t>Fixed Charges</t>
  </si>
  <si>
    <t>Fixed Charge</t>
  </si>
  <si>
    <t>Toronto Hydro</t>
  </si>
  <si>
    <t>Customer charge</t>
  </si>
  <si>
    <t>rider for disposition of accounts receiveable</t>
  </si>
  <si>
    <t>rider for disposition of capital revenue req variance account</t>
  </si>
  <si>
    <t>rider for disposition of PILs and tax variance</t>
  </si>
  <si>
    <t>rider for smart metering entity</t>
  </si>
  <si>
    <t>rider for disposition of stranded meter assets</t>
  </si>
  <si>
    <t>rider for disposition of wireless pole attachment revenue</t>
  </si>
  <si>
    <t>Variable $/kWh</t>
  </si>
  <si>
    <t>rider for disposition of capacity based recovery acct</t>
  </si>
  <si>
    <t>rider for disposition of deferral/variance accounts</t>
  </si>
  <si>
    <t>rider for disposition of global adjustment account (only non RPP)</t>
  </si>
  <si>
    <t>Tranmission charge</t>
  </si>
  <si>
    <t>regulatory - standard supply service admin</t>
  </si>
  <si>
    <t>wholesale market service</t>
  </si>
  <si>
    <t>Fixed per 30 days</t>
  </si>
  <si>
    <t>Total w/HST</t>
  </si>
  <si>
    <t>https://www.torontohydro.com/for-home/rates</t>
  </si>
  <si>
    <t>Gas vs Electric Loads and Equipment Characteristics</t>
  </si>
  <si>
    <t>IESO forecast for Nov 2022 to Oct 2023 from October 21, 2022 RPP report</t>
  </si>
  <si>
    <t>ICF Forecast from 2.6 ED-89</t>
  </si>
  <si>
    <t>Difference</t>
  </si>
  <si>
    <t>heating</t>
  </si>
  <si>
    <t>wash/dry</t>
  </si>
  <si>
    <t>DHW</t>
  </si>
  <si>
    <t>% of consumption by end use</t>
  </si>
  <si>
    <t>m3 of consumption by end use</t>
  </si>
  <si>
    <t>m3 of consumption for those w/end use</t>
  </si>
  <si>
    <t>Equipment Costs</t>
  </si>
  <si>
    <t>gas heat pump w/AC</t>
  </si>
  <si>
    <t>ccASHP w/resistance back-up</t>
  </si>
  <si>
    <t>95% Furnace + SEER 13 Central A/C</t>
  </si>
  <si>
    <t>Original Source</t>
  </si>
  <si>
    <t>electric panel upgrade</t>
  </si>
  <si>
    <t>$900 to $2000</t>
  </si>
  <si>
    <t>Furnace fan</t>
  </si>
  <si>
    <t>gas dryer kWh</t>
  </si>
  <si>
    <t>central A/C</t>
  </si>
  <si>
    <t>from EB-2021-0002 Enbridge response to Staff.77, p. 11</t>
  </si>
  <si>
    <t>EUL</t>
  </si>
  <si>
    <t>https://www.bls.gov/data/inflation_calculator.htm</t>
  </si>
  <si>
    <t>USD to CDN</t>
  </si>
  <si>
    <t>3/29 1:50 pm at https://www.bloomberg.com/quote/USDCAD:CUR#xj4y7vzkg</t>
  </si>
  <si>
    <t>Cost (2023 CDN)</t>
  </si>
  <si>
    <t>Heat pump water heater</t>
  </si>
  <si>
    <t>EF</t>
  </si>
  <si>
    <t>High Effic Gas water heater</t>
  </si>
  <si>
    <t>Electric dryer</t>
  </si>
  <si>
    <t>Gas dryer</t>
  </si>
  <si>
    <t xml:space="preserve">Efficiency Vermont </t>
  </si>
  <si>
    <t>Gas water heater stock efficiency</t>
  </si>
  <si>
    <t>https://www.eia.gov/consumption/residential/data/2015/index.php?view=consumption#undefined</t>
  </si>
  <si>
    <t>cooking electric kWh</t>
  </si>
  <si>
    <t>cooking gas ccf</t>
  </si>
  <si>
    <t>ratio of gas Btu to electric Btu</t>
  </si>
  <si>
    <t>EIA RECS 2015, table 5.4, New England</t>
  </si>
  <si>
    <t>EIA RECS 2015, table 5.3b, New England</t>
  </si>
  <si>
    <t>electric dryer kWh at EF 4.5</t>
  </si>
  <si>
    <t>https://www.energystar.gov/productfinder/product/certified-clothes-dryers/results?formId=0364-474-4040-77-08496445&amp;scrollTo=599.8079833984375&amp;search_text=&amp;low_price=&amp;high_price=&amp;type_filter=Gas+Clothes+Dryer&amp;is_most_efficient_filter=0&amp;other_features_and_characteristics_isopen=0&amp;brand_name_isopen=0&amp;markets_filter=United+States&amp;zip_code_filter=&amp;product_types=Select+a+Product+Category&amp;sort_by=combined_energy_factor_cef&amp;sort_direction=desc&amp;currentZipCode=05482&amp;page_number=0&amp;lastpage=0</t>
  </si>
  <si>
    <t>from US EPA listed Estar products</t>
  </si>
  <si>
    <t xml:space="preserve">Induction efficiency gain vs. std electric </t>
  </si>
  <si>
    <t>https://www.energystar.gov/partner_resources/brand_owner_resources/spec_dev_effort/2021_residential_induction_cooking_tops#:~:text=The%20per%20unit%20efficiency%20of,times%20more%20efficient%20than%20gas.</t>
  </si>
  <si>
    <t>also says 3x gas efficiency</t>
  </si>
  <si>
    <t>https://www.energystar.gov/productfinder/product/certified-water-heaters/results?formId=493667-23-482-985-843119891&amp;scrollTo=499.9679870605469&amp;search_text=&amp;type_filter=Gas-fired+Storage+Residential-duty+Commercial&amp;fuel_filter=Natural+Gas&amp;brand_name_isopen=0&amp;input_rate_thousand_btu_per_hour_isopen=0&amp;markets_filter=United+States&amp;zip_code_filter=&amp;product_types=Select+a+Product+Category&amp;sort_by=uniform_energy_factor_uef&amp;sort_direction=desc&amp;page_number=0&amp;lastpage=0</t>
  </si>
  <si>
    <t>avg of 50 gallon Estar models (0.73 &amp; 0.89 EF)</t>
  </si>
  <si>
    <t>gas water heater therms</t>
  </si>
  <si>
    <t>Measure Lives</t>
  </si>
  <si>
    <t>Gas furnace</t>
  </si>
  <si>
    <t>Ontario Gas TRM v.7, p. 10</t>
  </si>
  <si>
    <t>same as Guidehouse for its analysis</t>
  </si>
  <si>
    <t>n</t>
  </si>
  <si>
    <t>y</t>
  </si>
  <si>
    <t>Average</t>
  </si>
  <si>
    <t>Heating/AC only</t>
  </si>
  <si>
    <t>Apply non-heat end use saturations (Y or N)?</t>
  </si>
  <si>
    <t>18-year NPV</t>
  </si>
  <si>
    <t>2023 Electrification</t>
  </si>
  <si>
    <t>2030 Electrification</t>
  </si>
  <si>
    <t>Total Energy Bill</t>
  </si>
  <si>
    <t>ccASHP COP/cost improvements included</t>
  </si>
  <si>
    <t>2023 Avg Heating COP</t>
  </si>
  <si>
    <t>2030 Avg Heating COP</t>
  </si>
  <si>
    <t>Assumptions for Consumption by End Use (Detached SF home) Reference Case in 2023</t>
  </si>
  <si>
    <t>Posterity response to JT2.1</t>
  </si>
  <si>
    <t>Key Changeable Assumptions</t>
  </si>
  <si>
    <t>Gas commodity cost fixed at current levels? (Y or N)?</t>
  </si>
  <si>
    <t>if No, then uses ICF 2022 Q4 forecast</t>
  </si>
  <si>
    <t>Posterity assumptions for DHW m3 usage (Y or N)</t>
  </si>
  <si>
    <t>if N, then assume four appliances changed (furnace, DHW, dryer, stove) and gas fixed monthly charge avoided; if Y, then gas fixed charge not avoided</t>
  </si>
  <si>
    <t>if N, then 100% saturation assumed for all four major gas appliances (furnace, DHW, dryer, stove); if Y, then weighted average of costs given different saturations of gas DHW, Dryer, stove</t>
  </si>
  <si>
    <t>if Y, then from JT2.1 reference case for SF-detached home in 2023; if N, then higher DHW values based on Energy Star ratings</t>
  </si>
  <si>
    <t>if Y, then include same efficiency improvements and cost reductions per year assumed by Guidehouse and applied to 2030; if N, then 2023 efficiency/cost assumed unchanged in 2030</t>
  </si>
  <si>
    <t>with Electrification</t>
  </si>
  <si>
    <t>without Electrification</t>
  </si>
  <si>
    <t xml:space="preserve">2023 Electrification </t>
  </si>
  <si>
    <t>18-Year NPV of Energy Bills</t>
  </si>
  <si>
    <t>18-Year NPV of Equipment Costs</t>
  </si>
  <si>
    <t>18-Year NPV of Total Costs</t>
  </si>
  <si>
    <t>1st Year (2023) Energy Bills</t>
  </si>
  <si>
    <t>1st Year (2030) Energy Bills</t>
  </si>
  <si>
    <t>Change in Customer Costs for Heating, Cooling, Water Heating, Drying and Cooking Based on 2023 Equipment Efficiency/Cost Assumptions</t>
  </si>
  <si>
    <t>2023 Initial Capital Cost</t>
  </si>
  <si>
    <t>2030 Initial Capital Cost</t>
  </si>
  <si>
    <t>% Change</t>
  </si>
  <si>
    <t>Federal Green Home rebates applied to capital cost</t>
  </si>
  <si>
    <t>https://natural-resources.canada.ca/energy-efficiency/homes/canada-greener-homes-grant/start-your-energy-efficient-retrofits/plan-document-and-complete-your-home-retrofits/eligible-grants-for-my-home-retrofit/23504#s5</t>
  </si>
  <si>
    <t>General Calculation Assumptions</t>
  </si>
  <si>
    <t>baseline m3 made a mathematical function of electric kWh; electric kWh from Energy Star listings</t>
  </si>
  <si>
    <t>$ Change</t>
  </si>
  <si>
    <t>Early Replacemt Capital Cost Adjustment</t>
  </si>
  <si>
    <t>ccASHP COP as % of Guidehouse est</t>
  </si>
  <si>
    <t>Energy Costs</t>
  </si>
  <si>
    <t>Electrification</t>
  </si>
  <si>
    <t>Staying Gas</t>
  </si>
  <si>
    <t>Results - Energy Bills</t>
  </si>
  <si>
    <t>Results - Total Costs</t>
  </si>
  <si>
    <t>Capital Costs - 2023 Installation</t>
  </si>
  <si>
    <t>Decarb increase to elec rates</t>
  </si>
  <si>
    <t>https://www.bankofcanada.ca/rates/exchange/daily-exchange-rates/</t>
  </si>
  <si>
    <t>Level-ized Annual Cost</t>
  </si>
  <si>
    <r>
      <t>Annual Gas m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</si>
  <si>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t>Current Avg Furnace + Central A/C</t>
  </si>
  <si>
    <t>Fixed Annual Charges</t>
  </si>
  <si>
    <t>Variable Charges</t>
  </si>
  <si>
    <t>Transmission</t>
  </si>
  <si>
    <t>Riders</t>
  </si>
  <si>
    <t>Wholesale Mkt Serv</t>
  </si>
  <si>
    <t>m3 per GJ</t>
  </si>
  <si>
    <t>kWh per GJ</t>
  </si>
  <si>
    <t>Fossil Gas vs. Electric Heat</t>
  </si>
  <si>
    <t>Heating Efficiency</t>
  </si>
  <si>
    <r>
      <t>$/m3 or $/kWh</t>
    </r>
    <r>
      <rPr>
        <i/>
        <sz val="10"/>
        <color theme="1"/>
        <rFont val="Calibri"/>
        <family val="2"/>
        <scheme val="minor"/>
      </rPr>
      <t xml:space="preserve"> input</t>
    </r>
  </si>
  <si>
    <r>
      <t xml:space="preserve">$/GJ of Energy </t>
    </r>
    <r>
      <rPr>
        <i/>
        <sz val="10"/>
        <color theme="1"/>
        <rFont val="Calibri"/>
        <family val="2"/>
        <scheme val="minor"/>
      </rPr>
      <t>Input</t>
    </r>
  </si>
  <si>
    <r>
      <t xml:space="preserve">$/GJ of Heat </t>
    </r>
    <r>
      <rPr>
        <i/>
        <sz val="10"/>
        <color theme="1"/>
        <rFont val="Calibri"/>
        <family val="2"/>
        <scheme val="minor"/>
      </rPr>
      <t>Output</t>
    </r>
  </si>
  <si>
    <t>Fossil Gas Furnace</t>
  </si>
  <si>
    <t>Electric Heat Pump</t>
  </si>
  <si>
    <t>RNG Furnace</t>
  </si>
  <si>
    <t>Gas Price as % of Electric</t>
  </si>
  <si>
    <t>With Full Decarbonization Policy</t>
  </si>
  <si>
    <t>Without New Decarbonization Policy</t>
  </si>
  <si>
    <t>Biogas vs. Electric Heat</t>
  </si>
  <si>
    <t xml:space="preserve"> No Further Decarb Policy</t>
  </si>
  <si>
    <t>$62/GJ RNG</t>
  </si>
  <si>
    <t>IESO 25% Rate Increase w/Hi Electrification</t>
  </si>
  <si>
    <t>$170/tonne Carbon Tax</t>
  </si>
  <si>
    <t>ccASHP federal Greener Home rebate + EGD</t>
  </si>
  <si>
    <t>HPWH federal Greener Home rebate + EGD</t>
  </si>
  <si>
    <t xml:space="preserve">Exh. I.1.10-ED-73 </t>
  </si>
  <si>
    <t>avg total m3 gas for SF detached</t>
  </si>
  <si>
    <t>Exh. I.1.10-GEC-61</t>
  </si>
  <si>
    <t>Exh. I.1.10-GEC-62</t>
  </si>
  <si>
    <t>Appliance Saturations</t>
  </si>
  <si>
    <t>Cooking m3/year</t>
  </si>
  <si>
    <t>Guide-house 2022 P2NZ</t>
  </si>
  <si>
    <t>Guidehouse 2022 P2NZ Study for Enbridge (Table A-20)</t>
  </si>
  <si>
    <t>Original reference:  EB-2021-0002 Enbridge response to Staff.77</t>
  </si>
  <si>
    <t>Inflation from 2022 to 2023</t>
  </si>
  <si>
    <t>Cost (2022 USD)</t>
  </si>
  <si>
    <t>2022 Energy Star</t>
  </si>
  <si>
    <t>2023 Energy Star</t>
  </si>
  <si>
    <t>Electric Range</t>
  </si>
  <si>
    <t>Gas range</t>
  </si>
  <si>
    <t>Electric range</t>
  </si>
  <si>
    <t>2022 High efficiency</t>
  </si>
  <si>
    <t>Guidehouse/Leidos 2023 Appliance Efficiency Forecast for U.S. EIA</t>
  </si>
  <si>
    <t>https://www.eia.gov/analysis/studies/buildings/equipcosts/pdf/appendix-a.pdf</t>
  </si>
  <si>
    <t>Gas Range</t>
  </si>
  <si>
    <t>Guidehouse JT1.28 Attachment 3, HP Turnover tab</t>
  </si>
  <si>
    <t>2020 installed base average</t>
  </si>
  <si>
    <t>2022 High Efficiency (more consistent w/models typically sold through Home Depot, Lowes)</t>
  </si>
  <si>
    <t>ICF Commodity Price Forecast</t>
  </si>
  <si>
    <t>2023 Gas Rate Assumptions</t>
  </si>
  <si>
    <t>Capital Costs - 2030 Installation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</si>
</sst>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&quot;$&quot;#,##0.000_);[Red]\(&quot;$&quot;#,##0.000\)"/>
    <numFmt numFmtId="165" formatCode="0.000"/>
    <numFmt numFmtId="166" formatCode="0.0000"/>
    <numFmt numFmtId="167" formatCode="&quot;$&quot;#,##0"/>
    <numFmt numFmtId="168" formatCode="_(* #,##0_);_(* \(#,##0\);_(* &quot;-&quot;??_);_(@_)"/>
    <numFmt numFmtId="169" formatCode="_(* #,##0.00000_);_(* \(#,##0.00000\);_(* &quot;-&quot;??_);_(@_)"/>
    <numFmt numFmtId="170" formatCode="&quot;$&quot;#,##0.00"/>
    <numFmt numFmtId="171" formatCode="&quot;$&quot;#,##0.0000"/>
    <numFmt numFmtId="172" formatCode="0.0%"/>
  </numFmts>
  <fonts count="2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9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9"/>
      <color rgb="FF0070C0"/>
      <name val="Calibri"/>
      <family val="2"/>
      <scheme val="minor"/>
    </font>
    <font>
      <u/>
      <sz val="9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horizontal="center"/>
    </xf>
    <xf numFmtId="8" fontId="0" fillId="0" borderId="0" xfId="0" applyNumberFormat="1"/>
    <xf numFmtId="0" fontId="2" fillId="0" borderId="0" xfId="0" applyFont="1"/>
    <xf numFmtId="9" fontId="0" fillId="0" borderId="0" xfId="0" applyNumberFormat="1"/>
    <xf numFmtId="6" fontId="0" fillId="0" borderId="0" xfId="0" applyNumberFormat="1"/>
    <xf numFmtId="164" fontId="0" fillId="0" borderId="0" xfId="0" applyNumberFormat="1"/>
    <xf numFmtId="0" fontId="1" fillId="0" borderId="0" xfId="0" applyFont="1"/>
    <xf numFmtId="10" fontId="0" fillId="0" borderId="0" xfId="0" applyNumberFormat="1"/>
    <xf numFmtId="2" fontId="0" fillId="0" borderId="0" xfId="0" applyNumberFormat="1"/>
    <xf numFmtId="165" fontId="0" fillId="0" borderId="0" xfId="0" applyNumberFormat="1"/>
    <xf numFmtId="0" fontId="4" fillId="0" borderId="0" xfId="0" applyFont="1"/>
    <xf numFmtId="0" fontId="0" fillId="0" borderId="0" xfId="0" applyAlignment="1">
      <alignment horizontal="right"/>
    </xf>
    <xf numFmtId="0" fontId="2" fillId="0" borderId="0" xfId="0" applyFont="1" applyAlignment="1">
      <alignment horizontal="center"/>
    </xf>
    <xf numFmtId="166" fontId="0" fillId="0" borderId="0" xfId="0" applyNumberFormat="1"/>
    <xf numFmtId="8" fontId="0" fillId="0" borderId="0" xfId="0" applyNumberFormat="1" applyAlignment="1">
      <alignment horizontal="right"/>
    </xf>
    <xf numFmtId="0" fontId="5" fillId="0" borderId="0" xfId="0" applyFont="1"/>
    <xf numFmtId="164" fontId="0" fillId="0" borderId="0" xfId="0" applyNumberFormat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 wrapText="1"/>
    </xf>
    <xf numFmtId="167" fontId="0" fillId="0" borderId="0" xfId="0" applyNumberFormat="1"/>
    <xf numFmtId="10" fontId="0" fillId="0" borderId="0" xfId="2" applyNumberFormat="1" applyFont="1"/>
    <xf numFmtId="168" fontId="0" fillId="0" borderId="0" xfId="1" applyNumberFormat="1" applyFont="1"/>
    <xf numFmtId="169" fontId="0" fillId="0" borderId="0" xfId="1" applyNumberFormat="1" applyFont="1"/>
    <xf numFmtId="9" fontId="0" fillId="3" borderId="0" xfId="0" applyNumberFormat="1" applyFill="1"/>
    <xf numFmtId="170" fontId="0" fillId="0" borderId="0" xfId="0" applyNumberFormat="1"/>
    <xf numFmtId="171" fontId="0" fillId="0" borderId="0" xfId="0" applyNumberFormat="1"/>
    <xf numFmtId="0" fontId="2" fillId="4" borderId="1" xfId="0" applyFont="1" applyFill="1" applyBorder="1" applyAlignment="1">
      <alignment horizontal="center" wrapText="1"/>
    </xf>
    <xf numFmtId="0" fontId="0" fillId="0" borderId="1" xfId="0" applyBorder="1"/>
    <xf numFmtId="0" fontId="0" fillId="2" borderId="1" xfId="0" applyFill="1" applyBorder="1"/>
    <xf numFmtId="168" fontId="0" fillId="0" borderId="1" xfId="1" applyNumberFormat="1" applyFont="1" applyBorder="1"/>
    <xf numFmtId="6" fontId="0" fillId="0" borderId="1" xfId="0" applyNumberFormat="1" applyBorder="1"/>
    <xf numFmtId="1" fontId="0" fillId="0" borderId="1" xfId="0" applyNumberFormat="1" applyBorder="1"/>
    <xf numFmtId="168" fontId="0" fillId="0" borderId="1" xfId="0" applyNumberFormat="1" applyBorder="1"/>
    <xf numFmtId="1" fontId="0" fillId="0" borderId="0" xfId="0" applyNumberFormat="1"/>
    <xf numFmtId="0" fontId="7" fillId="0" borderId="0" xfId="0" applyFont="1"/>
    <xf numFmtId="1" fontId="2" fillId="0" borderId="0" xfId="0" applyNumberFormat="1" applyFont="1"/>
    <xf numFmtId="168" fontId="0" fillId="0" borderId="0" xfId="0" applyNumberFormat="1"/>
    <xf numFmtId="43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2" fontId="0" fillId="0" borderId="0" xfId="0" applyNumberFormat="1" applyAlignment="1">
      <alignment horizontal="center"/>
    </xf>
    <xf numFmtId="172" fontId="0" fillId="0" borderId="0" xfId="2" applyNumberFormat="1" applyFont="1"/>
    <xf numFmtId="164" fontId="2" fillId="3" borderId="1" xfId="0" applyNumberFormat="1" applyFont="1" applyFill="1" applyBorder="1" applyAlignment="1">
      <alignment horizontal="center"/>
    </xf>
    <xf numFmtId="0" fontId="9" fillId="0" borderId="0" xfId="0" applyFont="1"/>
    <xf numFmtId="0" fontId="0" fillId="6" borderId="0" xfId="0" applyFill="1"/>
    <xf numFmtId="0" fontId="2" fillId="3" borderId="1" xfId="0" applyFont="1" applyFill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167" fontId="2" fillId="3" borderId="1" xfId="0" applyNumberFormat="1" applyFont="1" applyFill="1" applyBorder="1" applyAlignment="1">
      <alignment horizontal="center"/>
    </xf>
    <xf numFmtId="0" fontId="10" fillId="0" borderId="0" xfId="0" applyFont="1"/>
    <xf numFmtId="9" fontId="0" fillId="0" borderId="1" xfId="2" applyFont="1" applyBorder="1"/>
    <xf numFmtId="0" fontId="12" fillId="0" borderId="0" xfId="3"/>
    <xf numFmtId="9" fontId="2" fillId="3" borderId="1" xfId="0" applyNumberFormat="1" applyFont="1" applyFill="1" applyBorder="1" applyAlignment="1">
      <alignment horizontal="center"/>
    </xf>
    <xf numFmtId="9" fontId="0" fillId="7" borderId="0" xfId="0" applyNumberFormat="1" applyFill="1"/>
    <xf numFmtId="0" fontId="0" fillId="0" borderId="0" xfId="0" applyAlignment="1">
      <alignment horizontal="left"/>
    </xf>
    <xf numFmtId="9" fontId="0" fillId="0" borderId="0" xfId="2" applyFont="1" applyBorder="1"/>
    <xf numFmtId="9" fontId="2" fillId="3" borderId="1" xfId="2" applyFont="1" applyFill="1" applyBorder="1" applyAlignment="1">
      <alignment horizontal="center"/>
    </xf>
    <xf numFmtId="172" fontId="0" fillId="0" borderId="0" xfId="0" applyNumberFormat="1"/>
    <xf numFmtId="0" fontId="2" fillId="4" borderId="1" xfId="0" applyFont="1" applyFill="1" applyBorder="1" applyAlignment="1">
      <alignment horizontal="center"/>
    </xf>
    <xf numFmtId="16" fontId="0" fillId="0" borderId="0" xfId="0" applyNumberFormat="1"/>
    <xf numFmtId="167" fontId="0" fillId="0" borderId="1" xfId="0" applyNumberFormat="1" applyBorder="1" applyAlignment="1">
      <alignment horizontal="center"/>
    </xf>
    <xf numFmtId="167" fontId="0" fillId="0" borderId="1" xfId="0" applyNumberFormat="1" applyBorder="1"/>
    <xf numFmtId="0" fontId="0" fillId="0" borderId="1" xfId="0" applyBorder="1" applyAlignment="1">
      <alignment horizontal="center"/>
    </xf>
    <xf numFmtId="2" fontId="0" fillId="0" borderId="1" xfId="0" applyNumberFormat="1" applyBorder="1"/>
    <xf numFmtId="2" fontId="0" fillId="0" borderId="1" xfId="0" applyNumberFormat="1" applyBorder="1" applyAlignment="1">
      <alignment horizontal="center"/>
    </xf>
    <xf numFmtId="0" fontId="5" fillId="0" borderId="0" xfId="0" applyFont="1" applyAlignment="1">
      <alignment horizontal="center"/>
    </xf>
    <xf numFmtId="0" fontId="0" fillId="6" borderId="0" xfId="0" applyFill="1" applyAlignment="1">
      <alignment horizontal="center"/>
    </xf>
    <xf numFmtId="6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1" xfId="0" applyFont="1" applyBorder="1"/>
    <xf numFmtId="170" fontId="14" fillId="0" borderId="1" xfId="0" applyNumberFormat="1" applyFont="1" applyBorder="1" applyAlignment="1">
      <alignment horizontal="center"/>
    </xf>
    <xf numFmtId="9" fontId="14" fillId="0" borderId="1" xfId="2" applyFont="1" applyBorder="1" applyAlignment="1">
      <alignment horizontal="center"/>
    </xf>
    <xf numFmtId="9" fontId="14" fillId="0" borderId="1" xfId="0" applyNumberFormat="1" applyFont="1" applyBorder="1" applyAlignment="1">
      <alignment horizontal="center"/>
    </xf>
    <xf numFmtId="170" fontId="16" fillId="0" borderId="1" xfId="0" applyNumberFormat="1" applyFont="1" applyBorder="1" applyAlignment="1">
      <alignment horizontal="center"/>
    </xf>
    <xf numFmtId="170" fontId="17" fillId="0" borderId="1" xfId="0" applyNumberFormat="1" applyFont="1" applyBorder="1" applyAlignment="1">
      <alignment horizontal="center"/>
    </xf>
    <xf numFmtId="0" fontId="18" fillId="4" borderId="1" xfId="0" applyFont="1" applyFill="1" applyBorder="1" applyAlignment="1">
      <alignment horizontal="center" wrapText="1"/>
    </xf>
    <xf numFmtId="0" fontId="10" fillId="4" borderId="2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4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9" fontId="0" fillId="0" borderId="1" xfId="2" applyFont="1" applyBorder="1" applyAlignment="1">
      <alignment horizontal="center"/>
    </xf>
    <xf numFmtId="0" fontId="14" fillId="0" borderId="2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4" borderId="2" xfId="0" applyFont="1" applyFill="1" applyBorder="1" applyAlignment="1">
      <alignment horizontal="center" wrapText="1"/>
    </xf>
    <xf numFmtId="0" fontId="14" fillId="4" borderId="3" xfId="0" applyFont="1" applyFill="1" applyBorder="1" applyAlignment="1">
      <alignment horizontal="center" wrapText="1"/>
    </xf>
    <xf numFmtId="0" fontId="14" fillId="4" borderId="1" xfId="0" applyFont="1" applyFill="1" applyBorder="1" applyAlignment="1">
      <alignment horizontal="center" wrapText="1"/>
    </xf>
    <xf numFmtId="17" fontId="2" fillId="0" borderId="0" xfId="0" applyNumberFormat="1" applyFont="1" applyAlignment="1">
      <alignment horizontal="center"/>
    </xf>
    <xf numFmtId="0" fontId="19" fillId="0" borderId="0" xfId="0" applyFont="1"/>
    <xf numFmtId="0" fontId="0" fillId="0" borderId="0" xfId="0" applyFont="1"/>
    <xf numFmtId="0" fontId="20" fillId="0" borderId="0" xfId="3" applyFont="1"/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177655</xdr:colOff>
      <xdr:row>76</xdr:row>
      <xdr:rowOff>31351</xdr:rowOff>
    </xdr:from>
    <xdr:to>
      <xdr:col>24</xdr:col>
      <xdr:colOff>383631</xdr:colOff>
      <xdr:row>99</xdr:row>
      <xdr:rowOff>53682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E130081-858B-FEDD-E623-97E28AA22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655" y="16793610"/>
          <a:ext cx="16581573" cy="434874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1</xdr:col>
      <xdr:colOff>1527048</xdr:colOff>
      <xdr:row>49</xdr:row>
      <xdr:rowOff>164195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87FBCF24-964B-4DD6-924C-E80138551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9990473"/>
          <a:ext cx="1715154" cy="91661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1</xdr:col>
      <xdr:colOff>1517904</xdr:colOff>
      <xdr:row>66</xdr:row>
      <xdr:rowOff>58404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9CA86A55-6DDB-446F-A692-E0C1ED952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0930999"/>
          <a:ext cx="1706010" cy="306808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9</xdr:col>
      <xdr:colOff>595667</xdr:colOff>
      <xdr:row>59</xdr:row>
      <xdr:rowOff>154762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1E47DACB-DDAA-4A87-AF1E-591D5DF588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121409" y="9990473"/>
          <a:ext cx="5131089" cy="2788233"/>
        </a:xfrm>
        <a:prstGeom prst="rect">
          <a:avLst/>
        </a:prstGeom>
      </xdr:spPr>
    </xdr:pic>
    <xdr:clientData/>
  </xdr:twoCellAnchor>
  <xdr:twoCellAnchor editAs="oneCell">
    <xdr:from>
      <xdr:col>10</xdr:col>
      <xdr:colOff>188105</xdr:colOff>
      <xdr:row>44</xdr:row>
      <xdr:rowOff>52251</xdr:rowOff>
    </xdr:from>
    <xdr:to>
      <xdr:col>17</xdr:col>
      <xdr:colOff>581491</xdr:colOff>
      <xdr:row>58</xdr:row>
      <xdr:rowOff>169964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FC99DB35-B1F9-4A76-A8B1-453EAF33F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492855" y="9854620"/>
          <a:ext cx="4928810" cy="2751186"/>
        </a:xfrm>
        <a:prstGeom prst="rect">
          <a:avLst/>
        </a:prstGeom>
      </xdr:spPr>
    </xdr:pic>
    <xdr:clientData/>
  </xdr:twoCellAnchor>
  <xdr:twoCellAnchor editAs="oneCell">
    <xdr:from>
      <xdr:col>18</xdr:col>
      <xdr:colOff>303058</xdr:colOff>
      <xdr:row>44</xdr:row>
      <xdr:rowOff>20899</xdr:rowOff>
    </xdr:from>
    <xdr:to>
      <xdr:col>24</xdr:col>
      <xdr:colOff>309342</xdr:colOff>
      <xdr:row>60</xdr:row>
      <xdr:rowOff>67407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F5D7AF6-3D92-42A7-B130-E0E1847739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2791149" y="9823268"/>
          <a:ext cx="3893790" cy="3056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oeb.ca/consumer-information-and-protection/bill-calculator" TargetMode="External"/><Relationship Id="rId1" Type="http://schemas.openxmlformats.org/officeDocument/2006/relationships/hyperlink" Target="https://www.torontohydro.com/for-home/rates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bls.gov/data/inflation_calculator.htm" TargetMode="External"/><Relationship Id="rId1" Type="http://schemas.openxmlformats.org/officeDocument/2006/relationships/hyperlink" Target="https://natural-resources.canada.ca/energy-efficiency/homes/canada-greener-homes-grant/start-your-energy-efficient-retrofits/plan-document-and-complete-your-home-retrofits/eligible-grants-for-my-home-retrofit/23504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077E5-548E-419F-8009-D7B478A1386F}">
  <dimension ref="A1:G32"/>
  <sheetViews>
    <sheetView tabSelected="1" zoomScale="80" zoomScaleNormal="80" workbookViewId="0">
      <selection activeCell="A23" sqref="A23:XFD25"/>
    </sheetView>
  </sheetViews>
  <sheetFormatPr defaultRowHeight="14.4" x14ac:dyDescent="0.3"/>
  <cols>
    <col min="1" max="1" width="1.5" customWidth="1"/>
    <col min="2" max="2" width="14.3984375" customWidth="1"/>
    <col min="3" max="3" width="12" customWidth="1"/>
    <col min="4" max="5" width="12.296875" customWidth="1"/>
    <col min="6" max="6" width="11.69921875" customWidth="1"/>
  </cols>
  <sheetData>
    <row r="1" spans="1:7" ht="17.850000000000001" x14ac:dyDescent="0.35">
      <c r="A1" s="16" t="s">
        <v>152</v>
      </c>
      <c r="B1" s="49"/>
      <c r="C1" s="49"/>
    </row>
    <row r="3" spans="1:7" x14ac:dyDescent="0.3">
      <c r="A3" t="s">
        <v>153</v>
      </c>
      <c r="D3" s="43" t="s">
        <v>139</v>
      </c>
      <c r="E3" t="s">
        <v>154</v>
      </c>
    </row>
    <row r="4" spans="1:7" x14ac:dyDescent="0.3">
      <c r="A4" t="s">
        <v>155</v>
      </c>
      <c r="D4" s="48" t="s">
        <v>139</v>
      </c>
      <c r="E4" t="s">
        <v>158</v>
      </c>
    </row>
    <row r="5" spans="1:7" x14ac:dyDescent="0.3">
      <c r="A5" t="s">
        <v>141</v>
      </c>
      <c r="D5" s="46" t="s">
        <v>138</v>
      </c>
      <c r="E5" t="s">
        <v>156</v>
      </c>
    </row>
    <row r="6" spans="1:7" x14ac:dyDescent="0.3">
      <c r="A6" t="s">
        <v>142</v>
      </c>
      <c r="D6" s="46" t="s">
        <v>139</v>
      </c>
      <c r="E6" t="s">
        <v>157</v>
      </c>
    </row>
    <row r="7" spans="1:7" x14ac:dyDescent="0.3">
      <c r="A7" t="s">
        <v>147</v>
      </c>
      <c r="D7" s="46" t="s">
        <v>139</v>
      </c>
      <c r="E7" t="s">
        <v>159</v>
      </c>
    </row>
    <row r="8" spans="1:7" x14ac:dyDescent="0.3">
      <c r="A8" t="s">
        <v>178</v>
      </c>
      <c r="D8" s="52">
        <v>1</v>
      </c>
    </row>
    <row r="9" spans="1:7" x14ac:dyDescent="0.3">
      <c r="A9" t="s">
        <v>172</v>
      </c>
      <c r="D9" s="46" t="s">
        <v>139</v>
      </c>
    </row>
    <row r="10" spans="1:7" x14ac:dyDescent="0.3">
      <c r="A10" t="s">
        <v>185</v>
      </c>
      <c r="D10" s="56">
        <v>0</v>
      </c>
    </row>
    <row r="12" spans="1:7" ht="17.850000000000001" x14ac:dyDescent="0.35">
      <c r="A12" s="16" t="s">
        <v>182</v>
      </c>
      <c r="B12" s="49"/>
      <c r="C12" s="49"/>
    </row>
    <row r="13" spans="1:7" ht="29.4" x14ac:dyDescent="0.35">
      <c r="A13" s="78"/>
      <c r="B13" s="79"/>
      <c r="C13" s="80"/>
      <c r="D13" s="27" t="s">
        <v>161</v>
      </c>
      <c r="E13" s="27" t="s">
        <v>160</v>
      </c>
      <c r="F13" s="27" t="s">
        <v>176</v>
      </c>
      <c r="G13" s="27" t="s">
        <v>171</v>
      </c>
    </row>
    <row r="14" spans="1:7" x14ac:dyDescent="0.3">
      <c r="A14" s="81" t="s">
        <v>162</v>
      </c>
      <c r="B14" s="81"/>
      <c r="C14" s="81"/>
      <c r="D14" s="81"/>
      <c r="E14" s="81"/>
      <c r="F14" s="81"/>
      <c r="G14" s="81"/>
    </row>
    <row r="15" spans="1:7" ht="14.4" customHeight="1" x14ac:dyDescent="0.3">
      <c r="A15" s="84"/>
      <c r="B15" s="82" t="s">
        <v>166</v>
      </c>
      <c r="C15" s="83"/>
      <c r="D15" s="31">
        <f>D24</f>
        <v>1840.782431330374</v>
      </c>
      <c r="E15" s="31">
        <f>E24</f>
        <v>1158.2566434950925</v>
      </c>
      <c r="F15" s="31">
        <f>E15-D15</f>
        <v>-682.52578783528156</v>
      </c>
      <c r="G15" s="50">
        <f>F15/D15</f>
        <v>-0.37078025964318073</v>
      </c>
    </row>
    <row r="16" spans="1:7" ht="14.4" customHeight="1" x14ac:dyDescent="0.3">
      <c r="A16" s="85"/>
      <c r="B16" s="82" t="s">
        <v>163</v>
      </c>
      <c r="C16" s="83"/>
      <c r="D16" s="31">
        <f>D25</f>
        <v>28267.556448423195</v>
      </c>
      <c r="E16" s="31">
        <f>E25</f>
        <v>15249.223415861079</v>
      </c>
      <c r="F16" s="31">
        <f t="shared" ref="F16:F19" si="0">E16-D16</f>
        <v>-13018.333032562115</v>
      </c>
      <c r="G16" s="50">
        <f t="shared" ref="G16:G19" si="1">F16/D16</f>
        <v>-0.46053973771363238</v>
      </c>
    </row>
    <row r="17" spans="1:7" ht="14.4" customHeight="1" x14ac:dyDescent="0.3">
      <c r="A17" s="81" t="s">
        <v>145</v>
      </c>
      <c r="B17" s="81"/>
      <c r="C17" s="81"/>
      <c r="D17" s="81"/>
      <c r="E17" s="81"/>
      <c r="F17" s="81"/>
      <c r="G17" s="81"/>
    </row>
    <row r="18" spans="1:7" ht="14.4" customHeight="1" x14ac:dyDescent="0.3">
      <c r="A18" s="84"/>
      <c r="B18" s="82" t="s">
        <v>167</v>
      </c>
      <c r="C18" s="83"/>
      <c r="D18" s="31">
        <f>D29</f>
        <v>2260.3925216027069</v>
      </c>
      <c r="E18" s="31">
        <f>E29</f>
        <v>1126.1282889531856</v>
      </c>
      <c r="F18" s="31">
        <f t="shared" si="0"/>
        <v>-1134.2642326495213</v>
      </c>
      <c r="G18" s="50">
        <f t="shared" si="1"/>
        <v>-0.50179967497206346</v>
      </c>
    </row>
    <row r="19" spans="1:7" ht="14.4" customHeight="1" x14ac:dyDescent="0.3">
      <c r="A19" s="85"/>
      <c r="B19" s="82" t="s">
        <v>163</v>
      </c>
      <c r="C19" s="83"/>
      <c r="D19" s="31">
        <f>D30</f>
        <v>29759.579418814115</v>
      </c>
      <c r="E19" s="31">
        <f>E30</f>
        <v>14826.232139147884</v>
      </c>
      <c r="F19" s="31">
        <f t="shared" si="0"/>
        <v>-14933.347279666232</v>
      </c>
      <c r="G19" s="50">
        <f t="shared" si="1"/>
        <v>-0.50179967497206346</v>
      </c>
    </row>
    <row r="20" spans="1:7" ht="14.4" customHeight="1" x14ac:dyDescent="0.35">
      <c r="A20" s="49"/>
      <c r="B20" s="54"/>
      <c r="C20" s="54"/>
      <c r="D20" s="5"/>
      <c r="E20" s="5"/>
      <c r="F20" s="5"/>
      <c r="G20" s="55"/>
    </row>
    <row r="21" spans="1:7" ht="17.850000000000001" x14ac:dyDescent="0.35">
      <c r="A21" s="16" t="s">
        <v>183</v>
      </c>
      <c r="B21" s="49"/>
      <c r="C21" s="49"/>
    </row>
    <row r="22" spans="1:7" ht="30.55" customHeight="1" x14ac:dyDescent="0.35">
      <c r="A22" s="78"/>
      <c r="B22" s="79"/>
      <c r="C22" s="80"/>
      <c r="D22" s="27" t="s">
        <v>161</v>
      </c>
      <c r="E22" s="27" t="s">
        <v>160</v>
      </c>
      <c r="F22" s="27" t="s">
        <v>176</v>
      </c>
      <c r="G22" s="27" t="s">
        <v>171</v>
      </c>
    </row>
    <row r="23" spans="1:7" ht="17.3" customHeight="1" x14ac:dyDescent="0.3">
      <c r="A23" s="81" t="s">
        <v>162</v>
      </c>
      <c r="B23" s="81"/>
      <c r="C23" s="81"/>
      <c r="D23" s="81"/>
      <c r="E23" s="81"/>
      <c r="F23" s="81"/>
      <c r="G23" s="81"/>
    </row>
    <row r="24" spans="1:7" ht="17.3" hidden="1" customHeight="1" x14ac:dyDescent="0.3">
      <c r="A24" s="86"/>
      <c r="B24" s="82" t="s">
        <v>166</v>
      </c>
      <c r="C24" s="83"/>
      <c r="D24" s="31">
        <f>'Customer Costs'!D11</f>
        <v>1840.782431330374</v>
      </c>
      <c r="E24" s="31">
        <f>'Customer Costs'!D20</f>
        <v>1158.2566434950925</v>
      </c>
      <c r="F24" s="31">
        <f>E24-D24</f>
        <v>-682.52578783528156</v>
      </c>
      <c r="G24" s="50">
        <f>F24/D24</f>
        <v>-0.37078025964318073</v>
      </c>
    </row>
    <row r="25" spans="1:7" ht="17.3" customHeight="1" x14ac:dyDescent="0.3">
      <c r="A25" s="86"/>
      <c r="B25" s="82" t="s">
        <v>163</v>
      </c>
      <c r="C25" s="83"/>
      <c r="D25" s="31">
        <f>'Customer Costs'!AC11</f>
        <v>28267.556448423195</v>
      </c>
      <c r="E25" s="31">
        <f>'Customer Costs'!AC20</f>
        <v>15249.223415861079</v>
      </c>
      <c r="F25" s="31">
        <f t="shared" ref="F25:F32" si="2">E25-D25</f>
        <v>-13018.333032562115</v>
      </c>
      <c r="G25" s="50">
        <f t="shared" ref="G25:G27" si="3">F25/D25</f>
        <v>-0.46053973771363238</v>
      </c>
    </row>
    <row r="26" spans="1:7" ht="17.3" customHeight="1" x14ac:dyDescent="0.3">
      <c r="A26" s="86"/>
      <c r="B26" s="82" t="s">
        <v>164</v>
      </c>
      <c r="C26" s="83"/>
      <c r="D26" s="31">
        <f>'Customer Costs'!AC29</f>
        <v>10263.920185832074</v>
      </c>
      <c r="E26" s="31">
        <f>'Customer Costs'!AC36</f>
        <v>6533.5369368922147</v>
      </c>
      <c r="F26" s="31">
        <f t="shared" si="2"/>
        <v>-3730.3832489398592</v>
      </c>
      <c r="G26" s="50">
        <f t="shared" si="3"/>
        <v>-0.36344624484601301</v>
      </c>
    </row>
    <row r="27" spans="1:7" ht="17.3" customHeight="1" x14ac:dyDescent="0.3">
      <c r="A27" s="86"/>
      <c r="B27" s="82" t="s">
        <v>165</v>
      </c>
      <c r="C27" s="83"/>
      <c r="D27" s="31">
        <f>D26+D25</f>
        <v>38531.476634255268</v>
      </c>
      <c r="E27" s="31">
        <f>E26+E25</f>
        <v>21782.760352753292</v>
      </c>
      <c r="F27" s="31">
        <f t="shared" si="2"/>
        <v>-16748.716281501976</v>
      </c>
      <c r="G27" s="50">
        <f t="shared" si="3"/>
        <v>-0.43467621136045498</v>
      </c>
    </row>
    <row r="28" spans="1:7" x14ac:dyDescent="0.3">
      <c r="A28" s="81" t="s">
        <v>145</v>
      </c>
      <c r="B28" s="81"/>
      <c r="C28" s="81"/>
      <c r="D28" s="81"/>
      <c r="E28" s="81"/>
      <c r="F28" s="81"/>
      <c r="G28" s="81"/>
    </row>
    <row r="29" spans="1:7" ht="17.3" hidden="1" customHeight="1" x14ac:dyDescent="0.3">
      <c r="A29" s="86"/>
      <c r="B29" s="82" t="s">
        <v>167</v>
      </c>
      <c r="C29" s="83"/>
      <c r="D29" s="31">
        <f>'Customer Costs'!K11</f>
        <v>2260.3925216027069</v>
      </c>
      <c r="E29" s="31">
        <f>IF(D7="Y",'Customer Costs'!K20-'Customer Costs'!K14+('Customer Costs'!K14*Equipment!H8/Equipment!I8)-'Customer Costs'!K15+('Customer Costs'!K15*Equipment!H8/Equipment!I8),'Customer Costs'!K20)</f>
        <v>1126.1282889531856</v>
      </c>
      <c r="F29" s="31">
        <f t="shared" si="2"/>
        <v>-1134.2642326495213</v>
      </c>
      <c r="G29" s="50">
        <f>F29/D29</f>
        <v>-0.50179967497206346</v>
      </c>
    </row>
    <row r="30" spans="1:7" ht="17.3" customHeight="1" x14ac:dyDescent="0.3">
      <c r="A30" s="86"/>
      <c r="B30" s="82" t="s">
        <v>163</v>
      </c>
      <c r="C30" s="83"/>
      <c r="D30" s="31">
        <f>'Customer Costs'!AE11</f>
        <v>29759.579418814115</v>
      </c>
      <c r="E30" s="31">
        <f>IF(D7="y",'Customer Costs'!AE20-'Customer Costs'!AE14+('Customer Costs'!AE14*Equipment!H8/Equipment!I8)-'Customer Costs'!AE15+('Customer Costs'!AE15*Equipment!H8/Equipment!I8),'Customer Costs'!AE20)</f>
        <v>14826.232139147884</v>
      </c>
      <c r="F30" s="31">
        <f t="shared" si="2"/>
        <v>-14933.347279666232</v>
      </c>
      <c r="G30" s="50">
        <f t="shared" ref="G30:G32" si="4">F30/D30</f>
        <v>-0.50179967497206346</v>
      </c>
    </row>
    <row r="31" spans="1:7" ht="17.3" customHeight="1" x14ac:dyDescent="0.3">
      <c r="A31" s="86"/>
      <c r="B31" s="82" t="s">
        <v>164</v>
      </c>
      <c r="C31" s="83"/>
      <c r="D31" s="31">
        <f>'Customer Costs'!AC45</f>
        <v>10263.920185832074</v>
      </c>
      <c r="E31" s="31">
        <f>IF(D7="y",'Customer Costs'!AC52-'Customer Costs'!AC48+('Customer Costs'!AC48*Equipment!D8/Equipment!C8),'Customer Costs'!AC52)</f>
        <v>6366.0969368922151</v>
      </c>
      <c r="F31" s="31">
        <f t="shared" si="2"/>
        <v>-3897.8232489398588</v>
      </c>
      <c r="G31" s="50">
        <f t="shared" si="4"/>
        <v>-0.3797596998386899</v>
      </c>
    </row>
    <row r="32" spans="1:7" x14ac:dyDescent="0.3">
      <c r="A32" s="86"/>
      <c r="B32" s="82" t="s">
        <v>165</v>
      </c>
      <c r="C32" s="83"/>
      <c r="D32" s="31">
        <f>D31+D30</f>
        <v>40023.499604646189</v>
      </c>
      <c r="E32" s="31">
        <f>E31+E30</f>
        <v>21192.3290760401</v>
      </c>
      <c r="F32" s="31">
        <f t="shared" si="2"/>
        <v>-18831.17052860609</v>
      </c>
      <c r="G32" s="50">
        <f t="shared" si="4"/>
        <v>-0.47050284744265702</v>
      </c>
    </row>
  </sheetData>
  <mergeCells count="22">
    <mergeCell ref="A24:A27"/>
    <mergeCell ref="A29:A32"/>
    <mergeCell ref="A23:G23"/>
    <mergeCell ref="A28:G28"/>
    <mergeCell ref="B24:C24"/>
    <mergeCell ref="B25:C25"/>
    <mergeCell ref="B26:C26"/>
    <mergeCell ref="B27:C27"/>
    <mergeCell ref="B29:C29"/>
    <mergeCell ref="B30:C30"/>
    <mergeCell ref="B31:C31"/>
    <mergeCell ref="B32:C32"/>
    <mergeCell ref="A22:C22"/>
    <mergeCell ref="A13:C13"/>
    <mergeCell ref="A14:G14"/>
    <mergeCell ref="B15:C15"/>
    <mergeCell ref="B16:C16"/>
    <mergeCell ref="B18:C18"/>
    <mergeCell ref="B19:C19"/>
    <mergeCell ref="A17:G17"/>
    <mergeCell ref="A15:A16"/>
    <mergeCell ref="A18:A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C57E0-F440-4F74-A604-5620DCBADF8D}">
  <dimension ref="A1:BP156"/>
  <sheetViews>
    <sheetView zoomScale="70" zoomScaleNormal="70" workbookViewId="0">
      <selection activeCell="D103" sqref="D103"/>
    </sheetView>
  </sheetViews>
  <sheetFormatPr defaultRowHeight="14.4" x14ac:dyDescent="0.3"/>
  <cols>
    <col min="1" max="1" width="2.5" customWidth="1"/>
    <col min="2" max="2" width="26.3984375" customWidth="1"/>
    <col min="29" max="29" width="8.796875" customWidth="1"/>
    <col min="30" max="31" width="8.8984375" customWidth="1"/>
    <col min="32" max="32" width="14.796875" customWidth="1"/>
    <col min="42" max="42" width="1.796875" customWidth="1"/>
    <col min="43" max="43" width="1.59765625" customWidth="1"/>
    <col min="44" max="44" width="16.19921875" customWidth="1"/>
    <col min="45" max="62" width="7" style="1" customWidth="1"/>
  </cols>
  <sheetData>
    <row r="1" spans="1:68" s="16" customFormat="1" ht="17.850000000000001" x14ac:dyDescent="0.35">
      <c r="A1" s="44" t="s">
        <v>24</v>
      </c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</row>
    <row r="2" spans="1:68" x14ac:dyDescent="0.3">
      <c r="C2" s="13">
        <v>2023</v>
      </c>
      <c r="D2" s="13">
        <f>C2+1</f>
        <v>2024</v>
      </c>
      <c r="E2" s="13">
        <f t="shared" ref="E2:W2" si="0">D2+1</f>
        <v>2025</v>
      </c>
      <c r="F2" s="13">
        <f t="shared" si="0"/>
        <v>2026</v>
      </c>
      <c r="G2" s="13">
        <f t="shared" si="0"/>
        <v>2027</v>
      </c>
      <c r="H2" s="13">
        <f t="shared" si="0"/>
        <v>2028</v>
      </c>
      <c r="I2" s="13">
        <f t="shared" si="0"/>
        <v>2029</v>
      </c>
      <c r="J2" s="13">
        <f t="shared" si="0"/>
        <v>2030</v>
      </c>
      <c r="K2" s="13">
        <f t="shared" si="0"/>
        <v>2031</v>
      </c>
      <c r="L2" s="13">
        <f t="shared" si="0"/>
        <v>2032</v>
      </c>
      <c r="M2" s="13">
        <f t="shared" si="0"/>
        <v>2033</v>
      </c>
      <c r="N2" s="13">
        <f t="shared" si="0"/>
        <v>2034</v>
      </c>
      <c r="O2" s="13">
        <f t="shared" si="0"/>
        <v>2035</v>
      </c>
      <c r="P2" s="13">
        <f t="shared" si="0"/>
        <v>2036</v>
      </c>
      <c r="Q2" s="13">
        <f t="shared" si="0"/>
        <v>2037</v>
      </c>
      <c r="R2" s="13">
        <f t="shared" si="0"/>
        <v>2038</v>
      </c>
      <c r="S2" s="13">
        <f t="shared" si="0"/>
        <v>2039</v>
      </c>
      <c r="T2" s="13">
        <f t="shared" si="0"/>
        <v>2040</v>
      </c>
      <c r="U2" s="13">
        <f t="shared" si="0"/>
        <v>2041</v>
      </c>
      <c r="V2" s="13">
        <f>U2+1</f>
        <v>2042</v>
      </c>
      <c r="W2" s="13">
        <f t="shared" si="0"/>
        <v>2043</v>
      </c>
      <c r="X2" s="13">
        <f t="shared" ref="X2" si="1">W2+1</f>
        <v>2044</v>
      </c>
      <c r="Y2" s="13">
        <f t="shared" ref="Y2" si="2">X2+1</f>
        <v>2045</v>
      </c>
      <c r="Z2" s="13">
        <f t="shared" ref="Z2" si="3">Y2+1</f>
        <v>2046</v>
      </c>
      <c r="AA2" s="13">
        <f t="shared" ref="AA2" si="4">Z2+1</f>
        <v>2047</v>
      </c>
      <c r="AB2" s="13"/>
      <c r="AP2" s="87"/>
      <c r="AQ2" s="87"/>
      <c r="AR2" s="87"/>
      <c r="AS2" s="58">
        <v>2023</v>
      </c>
      <c r="AT2" s="58">
        <f t="shared" ref="AT2:BJ2" si="5">AS2+1</f>
        <v>2024</v>
      </c>
      <c r="AU2" s="58">
        <f t="shared" si="5"/>
        <v>2025</v>
      </c>
      <c r="AV2" s="58">
        <f t="shared" si="5"/>
        <v>2026</v>
      </c>
      <c r="AW2" s="58">
        <f t="shared" si="5"/>
        <v>2027</v>
      </c>
      <c r="AX2" s="58">
        <f t="shared" si="5"/>
        <v>2028</v>
      </c>
      <c r="AY2" s="58">
        <f t="shared" si="5"/>
        <v>2029</v>
      </c>
      <c r="AZ2" s="58">
        <f t="shared" si="5"/>
        <v>2030</v>
      </c>
      <c r="BA2" s="58">
        <f t="shared" si="5"/>
        <v>2031</v>
      </c>
      <c r="BB2" s="58">
        <f t="shared" si="5"/>
        <v>2032</v>
      </c>
      <c r="BC2" s="58">
        <f t="shared" si="5"/>
        <v>2033</v>
      </c>
      <c r="BD2" s="58">
        <f t="shared" si="5"/>
        <v>2034</v>
      </c>
      <c r="BE2" s="58">
        <f t="shared" si="5"/>
        <v>2035</v>
      </c>
      <c r="BF2" s="58">
        <f t="shared" si="5"/>
        <v>2036</v>
      </c>
      <c r="BG2" s="58">
        <f t="shared" si="5"/>
        <v>2037</v>
      </c>
      <c r="BH2" s="58">
        <f t="shared" si="5"/>
        <v>2038</v>
      </c>
      <c r="BI2" s="58">
        <f t="shared" si="5"/>
        <v>2039</v>
      </c>
      <c r="BJ2" s="58">
        <f t="shared" si="5"/>
        <v>2040</v>
      </c>
    </row>
    <row r="3" spans="1:68" x14ac:dyDescent="0.3">
      <c r="A3" s="3" t="s">
        <v>25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AP3" s="90" t="s">
        <v>0</v>
      </c>
      <c r="AQ3" s="90"/>
      <c r="AR3" s="90"/>
      <c r="AS3" s="90"/>
      <c r="AT3" s="90"/>
      <c r="AU3" s="90"/>
      <c r="AV3" s="90"/>
      <c r="AW3" s="90"/>
      <c r="AX3" s="90"/>
      <c r="AY3" s="90"/>
      <c r="AZ3" s="90"/>
      <c r="BA3" s="90"/>
      <c r="BB3" s="90"/>
      <c r="BC3" s="90"/>
      <c r="BD3" s="90"/>
      <c r="BE3" s="90"/>
      <c r="BF3" s="90"/>
      <c r="BG3" s="90"/>
      <c r="BH3" s="90"/>
      <c r="BI3" s="90"/>
      <c r="BJ3" s="90"/>
      <c r="BK3" s="1"/>
      <c r="BL3" s="1"/>
      <c r="BM3" s="1"/>
      <c r="BN3" s="1"/>
      <c r="BO3" s="1"/>
      <c r="BP3" s="1"/>
    </row>
    <row r="4" spans="1:68" x14ac:dyDescent="0.3">
      <c r="B4" t="s">
        <v>0</v>
      </c>
      <c r="C4" s="2">
        <f>($J$71*(1+$I$69))*12</f>
        <v>310.25279999999992</v>
      </c>
      <c r="D4" s="2">
        <f>($J$71*(1+$I$69))*12</f>
        <v>310.25279999999992</v>
      </c>
      <c r="E4" s="2">
        <f>($J$71*(1+$I$69))*12</f>
        <v>310.25279999999992</v>
      </c>
      <c r="F4" s="2">
        <f>($J$71*(1+$I$69))*12</f>
        <v>310.25279999999992</v>
      </c>
      <c r="G4" s="2">
        <f>($J$71*(1+$I$69))*12</f>
        <v>310.25279999999992</v>
      </c>
      <c r="H4" s="2">
        <f>($J$71*(1+$I$69))*12</f>
        <v>310.25279999999992</v>
      </c>
      <c r="I4" s="2">
        <f>($J$71*(1+$I$69))*12</f>
        <v>310.25279999999992</v>
      </c>
      <c r="J4" s="2">
        <f>($J$71*(1+$I$69))*12</f>
        <v>310.25279999999992</v>
      </c>
      <c r="K4" s="2">
        <f>($J$71*(1+$I$69))*12</f>
        <v>310.25279999999992</v>
      </c>
      <c r="L4" s="2">
        <f>($J$71*(1+$I$69))*12</f>
        <v>310.25279999999992</v>
      </c>
      <c r="M4" s="2">
        <f>($J$71*(1+$I$69))*12</f>
        <v>310.25279999999992</v>
      </c>
      <c r="N4" s="2">
        <f>($J$71*(1+$I$69))*12</f>
        <v>310.25279999999992</v>
      </c>
      <c r="O4" s="2">
        <f>($J$71*(1+$I$69))*12</f>
        <v>310.25279999999992</v>
      </c>
      <c r="P4" s="2">
        <f>($J$71*(1+$I$69))*12</f>
        <v>310.25279999999992</v>
      </c>
      <c r="Q4" s="2">
        <f>($J$71*(1+$I$69))*12</f>
        <v>310.25279999999992</v>
      </c>
      <c r="R4" s="2">
        <f>($J$71*(1+$I$69))*12</f>
        <v>310.25279999999992</v>
      </c>
      <c r="S4" s="2">
        <f>($J$71*(1+$I$69))*12</f>
        <v>310.25279999999992</v>
      </c>
      <c r="T4" s="2">
        <f>($J$71*(1+$I$69))*12</f>
        <v>310.25279999999992</v>
      </c>
      <c r="U4" s="2">
        <f>($J$71*(1+$I$69))*12</f>
        <v>310.25279999999992</v>
      </c>
      <c r="V4" s="2">
        <f>($J$71*(1+$I$69))*12</f>
        <v>310.25279999999992</v>
      </c>
      <c r="W4" s="2">
        <f>($J$71*(1+$I$69))*12</f>
        <v>310.25279999999992</v>
      </c>
      <c r="X4" s="2">
        <f>($J$71*(1+$I$69))*12</f>
        <v>310.25279999999992</v>
      </c>
      <c r="Y4" s="2">
        <f>($J$71*(1+$I$69))*12</f>
        <v>310.25279999999992</v>
      </c>
      <c r="Z4" s="2">
        <f>($J$71*(1+$I$69))*12</f>
        <v>310.25279999999992</v>
      </c>
      <c r="AA4" s="2">
        <f>($J$71*(1+$I$69))*12</f>
        <v>310.25279999999992</v>
      </c>
      <c r="AP4" s="88"/>
      <c r="AQ4" s="28" t="s">
        <v>190</v>
      </c>
      <c r="AR4" s="28"/>
      <c r="AS4" s="67">
        <f>C4</f>
        <v>310.25279999999992</v>
      </c>
      <c r="AT4" s="67">
        <f t="shared" ref="AT4:BJ4" si="6">D4</f>
        <v>310.25279999999992</v>
      </c>
      <c r="AU4" s="67">
        <f t="shared" si="6"/>
        <v>310.25279999999992</v>
      </c>
      <c r="AV4" s="67">
        <f t="shared" si="6"/>
        <v>310.25279999999992</v>
      </c>
      <c r="AW4" s="67">
        <f t="shared" si="6"/>
        <v>310.25279999999992</v>
      </c>
      <c r="AX4" s="67">
        <f t="shared" si="6"/>
        <v>310.25279999999992</v>
      </c>
      <c r="AY4" s="67">
        <f t="shared" si="6"/>
        <v>310.25279999999992</v>
      </c>
      <c r="AZ4" s="67">
        <f t="shared" si="6"/>
        <v>310.25279999999992</v>
      </c>
      <c r="BA4" s="67">
        <f t="shared" si="6"/>
        <v>310.25279999999992</v>
      </c>
      <c r="BB4" s="67">
        <f t="shared" si="6"/>
        <v>310.25279999999992</v>
      </c>
      <c r="BC4" s="67">
        <f t="shared" si="6"/>
        <v>310.25279999999992</v>
      </c>
      <c r="BD4" s="67">
        <f t="shared" si="6"/>
        <v>310.25279999999992</v>
      </c>
      <c r="BE4" s="67">
        <f t="shared" si="6"/>
        <v>310.25279999999992</v>
      </c>
      <c r="BF4" s="67">
        <f t="shared" si="6"/>
        <v>310.25279999999992</v>
      </c>
      <c r="BG4" s="67">
        <f t="shared" si="6"/>
        <v>310.25279999999992</v>
      </c>
      <c r="BH4" s="67">
        <f t="shared" si="6"/>
        <v>310.25279999999992</v>
      </c>
      <c r="BI4" s="67">
        <f t="shared" si="6"/>
        <v>310.25279999999992</v>
      </c>
      <c r="BJ4" s="67">
        <f t="shared" si="6"/>
        <v>310.25279999999992</v>
      </c>
    </row>
    <row r="5" spans="1:68" x14ac:dyDescent="0.3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P5" s="88"/>
      <c r="AQ5" s="82" t="s">
        <v>191</v>
      </c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3"/>
    </row>
    <row r="6" spans="1:68" x14ac:dyDescent="0.3">
      <c r="A6" s="3" t="s">
        <v>27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P6" s="88"/>
      <c r="AQ6" s="88"/>
      <c r="AR6" s="28" t="s">
        <v>36</v>
      </c>
      <c r="AS6" s="68">
        <f>C7</f>
        <v>0.22068837629276056</v>
      </c>
      <c r="AT6" s="68">
        <f t="shared" ref="AT6:BJ10" si="7">D7</f>
        <v>0.22068837629276056</v>
      </c>
      <c r="AU6" s="68">
        <f t="shared" si="7"/>
        <v>0.22068837629276056</v>
      </c>
      <c r="AV6" s="68">
        <f t="shared" si="7"/>
        <v>0.22068837629276056</v>
      </c>
      <c r="AW6" s="68">
        <f t="shared" si="7"/>
        <v>0.22068837629276056</v>
      </c>
      <c r="AX6" s="68">
        <f t="shared" si="7"/>
        <v>0.22068837629276056</v>
      </c>
      <c r="AY6" s="68">
        <f t="shared" si="7"/>
        <v>0.22068837629276056</v>
      </c>
      <c r="AZ6" s="68">
        <f t="shared" si="7"/>
        <v>0.22068837629276056</v>
      </c>
      <c r="BA6" s="68">
        <f t="shared" si="7"/>
        <v>0.22068837629276056</v>
      </c>
      <c r="BB6" s="68">
        <f t="shared" si="7"/>
        <v>0.22068837629276056</v>
      </c>
      <c r="BC6" s="68">
        <f t="shared" si="7"/>
        <v>0.22068837629276056</v>
      </c>
      <c r="BD6" s="68">
        <f t="shared" si="7"/>
        <v>0.22068837629276056</v>
      </c>
      <c r="BE6" s="68">
        <f t="shared" si="7"/>
        <v>0.22068837629276056</v>
      </c>
      <c r="BF6" s="68">
        <f t="shared" si="7"/>
        <v>0.22068837629276056</v>
      </c>
      <c r="BG6" s="68">
        <f t="shared" si="7"/>
        <v>0.22068837629276056</v>
      </c>
      <c r="BH6" s="68">
        <f t="shared" si="7"/>
        <v>0.22068837629276056</v>
      </c>
      <c r="BI6" s="68">
        <f t="shared" si="7"/>
        <v>0.22068837629276056</v>
      </c>
      <c r="BJ6" s="68">
        <f t="shared" si="7"/>
        <v>0.22068837629276056</v>
      </c>
    </row>
    <row r="7" spans="1:68" x14ac:dyDescent="0.3">
      <c r="B7" t="s">
        <v>36</v>
      </c>
      <c r="C7" s="17">
        <f>M66</f>
        <v>0.22068837629276056</v>
      </c>
      <c r="D7" s="17">
        <f>IF(Summary!$D$3="Y",C7,D24)</f>
        <v>0.22068837629276056</v>
      </c>
      <c r="E7" s="17">
        <f>IF(Summary!$D$3="Y",D7,E24)</f>
        <v>0.22068837629276056</v>
      </c>
      <c r="F7" s="17">
        <f>IF(Summary!$D$3="Y",E7,F24)</f>
        <v>0.22068837629276056</v>
      </c>
      <c r="G7" s="17">
        <f>IF(Summary!$D$3="Y",F7,G24)</f>
        <v>0.22068837629276056</v>
      </c>
      <c r="H7" s="17">
        <f>IF(Summary!$D$3="Y",G7,H24)</f>
        <v>0.22068837629276056</v>
      </c>
      <c r="I7" s="17">
        <f>IF(Summary!$D$3="Y",H7,I24)</f>
        <v>0.22068837629276056</v>
      </c>
      <c r="J7" s="17">
        <f>IF(Summary!$D$3="Y",I7,J24)</f>
        <v>0.22068837629276056</v>
      </c>
      <c r="K7" s="17">
        <f>IF(Summary!$D$3="Y",J7,K24)</f>
        <v>0.22068837629276056</v>
      </c>
      <c r="L7" s="17">
        <f>IF(Summary!$D$3="Y",K7,L24)</f>
        <v>0.22068837629276056</v>
      </c>
      <c r="M7" s="17">
        <f>IF(Summary!$D$3="Y",L7,M24)</f>
        <v>0.22068837629276056</v>
      </c>
      <c r="N7" s="17">
        <f>IF(Summary!$D$3="Y",M7,N24)</f>
        <v>0.22068837629276056</v>
      </c>
      <c r="O7" s="17">
        <f>IF(Summary!$D$3="Y",N7,O24)</f>
        <v>0.22068837629276056</v>
      </c>
      <c r="P7" s="17">
        <f>IF(Summary!$D$3="Y",O7,P24)</f>
        <v>0.22068837629276056</v>
      </c>
      <c r="Q7" s="17">
        <f>IF(Summary!$D$3="Y",P7,Q24)</f>
        <v>0.22068837629276056</v>
      </c>
      <c r="R7" s="17">
        <f>IF(Summary!$D$3="Y",Q7,R24)</f>
        <v>0.22068837629276056</v>
      </c>
      <c r="S7" s="17">
        <f>IF(Summary!$D$3="Y",R7,S24)</f>
        <v>0.22068837629276056</v>
      </c>
      <c r="T7" s="17">
        <f>IF(Summary!$D$3="Y",S7,T24)</f>
        <v>0.22068837629276056</v>
      </c>
      <c r="U7" s="17">
        <f>IF(Summary!$D$3="Y",T7,U24)</f>
        <v>0.22068837629276056</v>
      </c>
      <c r="V7" s="17">
        <f>IF(Summary!$D$3="Y",U7,V24)</f>
        <v>0.22068837629276056</v>
      </c>
      <c r="W7" s="17">
        <f>IF(Summary!$D$3="Y",V7,W24)</f>
        <v>0.22068837629276056</v>
      </c>
      <c r="X7" s="17">
        <f>IF(Summary!$D$3="Y",W7,X24)</f>
        <v>0.22068837629276056</v>
      </c>
      <c r="Y7" s="17">
        <f>IF(Summary!$D$3="Y",X7,Y24)</f>
        <v>0.22068837629276056</v>
      </c>
      <c r="Z7" s="17">
        <f>IF(Summary!$D$3="Y",Y7,Z24)</f>
        <v>0.22068837629276056</v>
      </c>
      <c r="AA7" s="17">
        <f>IF(Summary!$D$3="Y",Z7,AA24)</f>
        <v>0.22068837629276056</v>
      </c>
      <c r="AP7" s="88"/>
      <c r="AQ7" s="88"/>
      <c r="AR7" s="28" t="s">
        <v>37</v>
      </c>
      <c r="AS7" s="68">
        <f t="shared" ref="AS7:AS10" si="8">C8</f>
        <v>5.033412887828162E-2</v>
      </c>
      <c r="AT7" s="68">
        <f t="shared" si="7"/>
        <v>5.033412887828162E-2</v>
      </c>
      <c r="AU7" s="68">
        <f t="shared" si="7"/>
        <v>5.033412887828162E-2</v>
      </c>
      <c r="AV7" s="68">
        <f t="shared" si="7"/>
        <v>5.033412887828162E-2</v>
      </c>
      <c r="AW7" s="68">
        <f t="shared" si="7"/>
        <v>5.033412887828162E-2</v>
      </c>
      <c r="AX7" s="68">
        <f t="shared" si="7"/>
        <v>5.033412887828162E-2</v>
      </c>
      <c r="AY7" s="68">
        <f t="shared" si="7"/>
        <v>5.033412887828162E-2</v>
      </c>
      <c r="AZ7" s="68">
        <f t="shared" si="7"/>
        <v>5.033412887828162E-2</v>
      </c>
      <c r="BA7" s="68">
        <f t="shared" si="7"/>
        <v>5.033412887828162E-2</v>
      </c>
      <c r="BB7" s="68">
        <f t="shared" si="7"/>
        <v>5.033412887828162E-2</v>
      </c>
      <c r="BC7" s="68">
        <f t="shared" si="7"/>
        <v>5.033412887828162E-2</v>
      </c>
      <c r="BD7" s="68">
        <f t="shared" si="7"/>
        <v>5.033412887828162E-2</v>
      </c>
      <c r="BE7" s="68">
        <f t="shared" si="7"/>
        <v>5.033412887828162E-2</v>
      </c>
      <c r="BF7" s="68">
        <f t="shared" si="7"/>
        <v>5.033412887828162E-2</v>
      </c>
      <c r="BG7" s="68">
        <f t="shared" si="7"/>
        <v>5.033412887828162E-2</v>
      </c>
      <c r="BH7" s="68">
        <f t="shared" si="7"/>
        <v>5.033412887828162E-2</v>
      </c>
      <c r="BI7" s="68">
        <f t="shared" si="7"/>
        <v>5.033412887828162E-2</v>
      </c>
      <c r="BJ7" s="68">
        <f t="shared" si="7"/>
        <v>5.033412887828162E-2</v>
      </c>
    </row>
    <row r="8" spans="1:68" x14ac:dyDescent="0.3">
      <c r="B8" t="s">
        <v>37</v>
      </c>
      <c r="C8" s="17">
        <f>I66</f>
        <v>5.033412887828162E-2</v>
      </c>
      <c r="D8" s="17">
        <f>C8*(1+D$25)</f>
        <v>5.033412887828162E-2</v>
      </c>
      <c r="E8" s="17">
        <f>D8*(1+E$25)</f>
        <v>5.033412887828162E-2</v>
      </c>
      <c r="F8" s="17">
        <f>E8*(1+F$25)</f>
        <v>5.033412887828162E-2</v>
      </c>
      <c r="G8" s="17">
        <f>F8*(1+G$25)</f>
        <v>5.033412887828162E-2</v>
      </c>
      <c r="H8" s="17">
        <f>G8*(1+H$25)</f>
        <v>5.033412887828162E-2</v>
      </c>
      <c r="I8" s="17">
        <f>H8*(1+I$25)</f>
        <v>5.033412887828162E-2</v>
      </c>
      <c r="J8" s="17">
        <f>I8*(1+J$25)</f>
        <v>5.033412887828162E-2</v>
      </c>
      <c r="K8" s="17">
        <f>J8*(1+K$25)</f>
        <v>5.033412887828162E-2</v>
      </c>
      <c r="L8" s="17">
        <f>K8*(1+L$25)</f>
        <v>5.033412887828162E-2</v>
      </c>
      <c r="M8" s="17">
        <f>L8*(1+M$25)</f>
        <v>5.033412887828162E-2</v>
      </c>
      <c r="N8" s="17">
        <f>M8*(1+N$25)</f>
        <v>5.033412887828162E-2</v>
      </c>
      <c r="O8" s="17">
        <f>N8*(1+O$25)</f>
        <v>5.033412887828162E-2</v>
      </c>
      <c r="P8" s="17">
        <f>O8*(1+P$25)</f>
        <v>5.033412887828162E-2</v>
      </c>
      <c r="Q8" s="17">
        <f>P8*(1+Q$25)</f>
        <v>5.033412887828162E-2</v>
      </c>
      <c r="R8" s="17">
        <f>Q8*(1+R$25)</f>
        <v>5.033412887828162E-2</v>
      </c>
      <c r="S8" s="17">
        <f>R8*(1+S$25)</f>
        <v>5.033412887828162E-2</v>
      </c>
      <c r="T8" s="17">
        <f>S8*(1+T$25)</f>
        <v>5.033412887828162E-2</v>
      </c>
      <c r="U8" s="17">
        <f>T8*(1+U$25)</f>
        <v>5.033412887828162E-2</v>
      </c>
      <c r="V8" s="17">
        <f>U8*(1+V$25)</f>
        <v>5.033412887828162E-2</v>
      </c>
      <c r="W8" s="17">
        <f>V8*(1+W$25)</f>
        <v>5.033412887828162E-2</v>
      </c>
      <c r="X8" s="17">
        <f>W8*(1+X$25)</f>
        <v>5.033412887828162E-2</v>
      </c>
      <c r="Y8" s="17">
        <f>X8*(1+Y$25)</f>
        <v>5.033412887828162E-2</v>
      </c>
      <c r="Z8" s="17">
        <f>Y8*(1+Z$25)</f>
        <v>5.033412887828162E-2</v>
      </c>
      <c r="AA8" s="17">
        <f>Z8*(1+AA$25)</f>
        <v>5.033412887828162E-2</v>
      </c>
      <c r="AP8" s="88"/>
      <c r="AQ8" s="88"/>
      <c r="AR8" s="28" t="s">
        <v>28</v>
      </c>
      <c r="AS8" s="68">
        <f t="shared" si="8"/>
        <v>0.11837708830548926</v>
      </c>
      <c r="AT8" s="68">
        <f t="shared" si="7"/>
        <v>0.11837708830548926</v>
      </c>
      <c r="AU8" s="68">
        <f t="shared" si="7"/>
        <v>0.11837708830548926</v>
      </c>
      <c r="AV8" s="68">
        <f t="shared" si="7"/>
        <v>0.11837708830548926</v>
      </c>
      <c r="AW8" s="68">
        <f t="shared" si="7"/>
        <v>0.11837708830548926</v>
      </c>
      <c r="AX8" s="68">
        <f t="shared" si="7"/>
        <v>0.11837708830548926</v>
      </c>
      <c r="AY8" s="68">
        <f t="shared" si="7"/>
        <v>0.11837708830548926</v>
      </c>
      <c r="AZ8" s="68">
        <f t="shared" si="7"/>
        <v>0.11837708830548926</v>
      </c>
      <c r="BA8" s="68">
        <f t="shared" si="7"/>
        <v>0.11837708830548926</v>
      </c>
      <c r="BB8" s="68">
        <f t="shared" si="7"/>
        <v>0.11837708830548926</v>
      </c>
      <c r="BC8" s="68">
        <f t="shared" si="7"/>
        <v>0.11837708830548926</v>
      </c>
      <c r="BD8" s="68">
        <f t="shared" si="7"/>
        <v>0.11837708830548926</v>
      </c>
      <c r="BE8" s="68">
        <f t="shared" si="7"/>
        <v>0.11837708830548926</v>
      </c>
      <c r="BF8" s="68">
        <f t="shared" si="7"/>
        <v>0.11837708830548926</v>
      </c>
      <c r="BG8" s="68">
        <f t="shared" si="7"/>
        <v>0.11837708830548926</v>
      </c>
      <c r="BH8" s="68">
        <f t="shared" si="7"/>
        <v>0.11837708830548926</v>
      </c>
      <c r="BI8" s="68">
        <f t="shared" si="7"/>
        <v>0.11837708830548926</v>
      </c>
      <c r="BJ8" s="68">
        <f t="shared" si="7"/>
        <v>0.11837708830548926</v>
      </c>
    </row>
    <row r="9" spans="1:68" x14ac:dyDescent="0.3">
      <c r="B9" t="s">
        <v>28</v>
      </c>
      <c r="C9" s="17">
        <f>I63</f>
        <v>0.11837708830548926</v>
      </c>
      <c r="D9" s="17">
        <f>C9*(1+D$25)</f>
        <v>0.11837708830548926</v>
      </c>
      <c r="E9" s="17">
        <f>D9*(1+E$25)</f>
        <v>0.11837708830548926</v>
      </c>
      <c r="F9" s="17">
        <f>E9*(1+F$25)</f>
        <v>0.11837708830548926</v>
      </c>
      <c r="G9" s="17">
        <f>F9*(1+G$25)</f>
        <v>0.11837708830548926</v>
      </c>
      <c r="H9" s="17">
        <f>G9*(1+H$25)</f>
        <v>0.11837708830548926</v>
      </c>
      <c r="I9" s="17">
        <f>H9*(1+I$25)</f>
        <v>0.11837708830548926</v>
      </c>
      <c r="J9" s="17">
        <f>I9*(1+J$25)</f>
        <v>0.11837708830548926</v>
      </c>
      <c r="K9" s="17">
        <f>J9*(1+K$25)</f>
        <v>0.11837708830548926</v>
      </c>
      <c r="L9" s="17">
        <f>K9*(1+L$25)</f>
        <v>0.11837708830548926</v>
      </c>
      <c r="M9" s="17">
        <f>L9*(1+M$25)</f>
        <v>0.11837708830548926</v>
      </c>
      <c r="N9" s="17">
        <f>M9*(1+N$25)</f>
        <v>0.11837708830548926</v>
      </c>
      <c r="O9" s="17">
        <f>N9*(1+O$25)</f>
        <v>0.11837708830548926</v>
      </c>
      <c r="P9" s="17">
        <f>O9*(1+P$25)</f>
        <v>0.11837708830548926</v>
      </c>
      <c r="Q9" s="17">
        <f>P9*(1+Q$25)</f>
        <v>0.11837708830548926</v>
      </c>
      <c r="R9" s="17">
        <f>Q9*(1+R$25)</f>
        <v>0.11837708830548926</v>
      </c>
      <c r="S9" s="17">
        <f>R9*(1+S$25)</f>
        <v>0.11837708830548926</v>
      </c>
      <c r="T9" s="17">
        <f>S9*(1+T$25)</f>
        <v>0.11837708830548926</v>
      </c>
      <c r="U9" s="17">
        <f>T9*(1+U$25)</f>
        <v>0.11837708830548926</v>
      </c>
      <c r="V9" s="17">
        <f>U9*(1+V$25)</f>
        <v>0.11837708830548926</v>
      </c>
      <c r="W9" s="17">
        <f>V9*(1+W$25)</f>
        <v>0.11837708830548926</v>
      </c>
      <c r="X9" s="17">
        <f>W9*(1+X$25)</f>
        <v>0.11837708830548926</v>
      </c>
      <c r="Y9" s="17">
        <f>X9*(1+Y$25)</f>
        <v>0.11837708830548926</v>
      </c>
      <c r="Z9" s="17">
        <f>Y9*(1+Z$25)</f>
        <v>0.11837708830548926</v>
      </c>
      <c r="AA9" s="17">
        <f>Z9*(1+AA$25)</f>
        <v>0.11837708830548926</v>
      </c>
      <c r="AP9" s="88"/>
      <c r="AQ9" s="88"/>
      <c r="AR9" s="28" t="s">
        <v>29</v>
      </c>
      <c r="AS9" s="68">
        <f t="shared" si="8"/>
        <v>0.12558</v>
      </c>
      <c r="AT9" s="68">
        <f t="shared" si="7"/>
        <v>0.15152941176470588</v>
      </c>
      <c r="AU9" s="68">
        <f t="shared" si="7"/>
        <v>0.17641291810841983</v>
      </c>
      <c r="AV9" s="68">
        <f t="shared" si="7"/>
        <v>0.2002623425379379</v>
      </c>
      <c r="AW9" s="68">
        <f t="shared" si="7"/>
        <v>0.22310867038540319</v>
      </c>
      <c r="AX9" s="68">
        <f t="shared" si="7"/>
        <v>0.24498206944279563</v>
      </c>
      <c r="AY9" s="68">
        <f t="shared" si="7"/>
        <v>0.26591191010947701</v>
      </c>
      <c r="AZ9" s="68">
        <f t="shared" si="7"/>
        <v>0.2859267850639538</v>
      </c>
      <c r="BA9" s="68">
        <f t="shared" si="7"/>
        <v>0.2859267850639538</v>
      </c>
      <c r="BB9" s="68">
        <f t="shared" si="7"/>
        <v>0.28592678506395375</v>
      </c>
      <c r="BC9" s="68">
        <f t="shared" si="7"/>
        <v>0.28592678506395375</v>
      </c>
      <c r="BD9" s="68">
        <f t="shared" si="7"/>
        <v>0.2859267850639538</v>
      </c>
      <c r="BE9" s="68">
        <f t="shared" si="7"/>
        <v>0.2859267850639538</v>
      </c>
      <c r="BF9" s="68">
        <f t="shared" si="7"/>
        <v>0.2859267850639538</v>
      </c>
      <c r="BG9" s="68">
        <f t="shared" si="7"/>
        <v>0.2859267850639538</v>
      </c>
      <c r="BH9" s="68">
        <f t="shared" si="7"/>
        <v>0.28592678506395375</v>
      </c>
      <c r="BI9" s="68">
        <f t="shared" si="7"/>
        <v>0.2859267850639538</v>
      </c>
      <c r="BJ9" s="68">
        <f t="shared" si="7"/>
        <v>0.28592678506395375</v>
      </c>
    </row>
    <row r="10" spans="1:68" x14ac:dyDescent="0.3">
      <c r="B10" t="s">
        <v>29</v>
      </c>
      <c r="C10" s="17">
        <f>C16</f>
        <v>0.12558</v>
      </c>
      <c r="D10" s="17">
        <f>D16</f>
        <v>0.15152941176470588</v>
      </c>
      <c r="E10" s="17">
        <f t="shared" ref="E10:W10" si="9">E16</f>
        <v>0.17641291810841983</v>
      </c>
      <c r="F10" s="17">
        <f t="shared" si="9"/>
        <v>0.2002623425379379</v>
      </c>
      <c r="G10" s="17">
        <f t="shared" si="9"/>
        <v>0.22310867038540319</v>
      </c>
      <c r="H10" s="17">
        <f t="shared" si="9"/>
        <v>0.24498206944279563</v>
      </c>
      <c r="I10" s="17">
        <f t="shared" si="9"/>
        <v>0.26591191010947701</v>
      </c>
      <c r="J10" s="17">
        <f t="shared" si="9"/>
        <v>0.2859267850639538</v>
      </c>
      <c r="K10" s="17">
        <f t="shared" si="9"/>
        <v>0.2859267850639538</v>
      </c>
      <c r="L10" s="17">
        <f t="shared" si="9"/>
        <v>0.28592678506395375</v>
      </c>
      <c r="M10" s="17">
        <f t="shared" si="9"/>
        <v>0.28592678506395375</v>
      </c>
      <c r="N10" s="17">
        <f t="shared" si="9"/>
        <v>0.2859267850639538</v>
      </c>
      <c r="O10" s="17">
        <f t="shared" si="9"/>
        <v>0.2859267850639538</v>
      </c>
      <c r="P10" s="17">
        <f t="shared" si="9"/>
        <v>0.2859267850639538</v>
      </c>
      <c r="Q10" s="17">
        <f t="shared" si="9"/>
        <v>0.2859267850639538</v>
      </c>
      <c r="R10" s="17">
        <f t="shared" si="9"/>
        <v>0.28592678506395375</v>
      </c>
      <c r="S10" s="17">
        <f t="shared" si="9"/>
        <v>0.2859267850639538</v>
      </c>
      <c r="T10" s="17">
        <f t="shared" si="9"/>
        <v>0.28592678506395375</v>
      </c>
      <c r="U10" s="17">
        <f t="shared" si="9"/>
        <v>0.28592678506395375</v>
      </c>
      <c r="V10" s="17">
        <f t="shared" si="9"/>
        <v>0.2859267850639538</v>
      </c>
      <c r="W10" s="17">
        <f t="shared" si="9"/>
        <v>0.28592678506395375</v>
      </c>
      <c r="X10" s="17">
        <f t="shared" ref="X10:AA10" si="10">X16</f>
        <v>0.28592678506395375</v>
      </c>
      <c r="Y10" s="17">
        <f t="shared" si="10"/>
        <v>0.28592678506395375</v>
      </c>
      <c r="Z10" s="17">
        <f t="shared" si="10"/>
        <v>0.28592678506395375</v>
      </c>
      <c r="AA10" s="17">
        <f t="shared" si="10"/>
        <v>0.28592678506395369</v>
      </c>
      <c r="AP10" s="88"/>
      <c r="AQ10" s="88"/>
      <c r="AR10" s="28" t="s">
        <v>17</v>
      </c>
      <c r="AS10" s="68">
        <f t="shared" si="8"/>
        <v>6.6947347151949083E-2</v>
      </c>
      <c r="AT10" s="68">
        <f t="shared" si="7"/>
        <v>7.0320770681360861E-2</v>
      </c>
      <c r="AU10" s="68">
        <f t="shared" si="7"/>
        <v>7.3555626506043664E-2</v>
      </c>
      <c r="AV10" s="68">
        <f t="shared" si="7"/>
        <v>7.6656051681881027E-2</v>
      </c>
      <c r="AW10" s="68">
        <f t="shared" si="7"/>
        <v>7.9626074302051514E-2</v>
      </c>
      <c r="AX10" s="68">
        <f t="shared" si="7"/>
        <v>8.2469616179512525E-2</v>
      </c>
      <c r="AY10" s="68">
        <f t="shared" si="7"/>
        <v>8.5190495466181099E-2</v>
      </c>
      <c r="AZ10" s="68">
        <f t="shared" si="7"/>
        <v>8.779242921026309E-2</v>
      </c>
      <c r="BA10" s="68">
        <f t="shared" si="7"/>
        <v>8.779242921026309E-2</v>
      </c>
      <c r="BB10" s="68">
        <f t="shared" si="7"/>
        <v>8.779242921026309E-2</v>
      </c>
      <c r="BC10" s="68">
        <f t="shared" si="7"/>
        <v>8.779242921026309E-2</v>
      </c>
      <c r="BD10" s="68">
        <f t="shared" si="7"/>
        <v>8.779242921026309E-2</v>
      </c>
      <c r="BE10" s="68">
        <f t="shared" si="7"/>
        <v>8.779242921026309E-2</v>
      </c>
      <c r="BF10" s="68">
        <f t="shared" si="7"/>
        <v>8.779242921026309E-2</v>
      </c>
      <c r="BG10" s="68">
        <f t="shared" si="7"/>
        <v>8.779242921026309E-2</v>
      </c>
      <c r="BH10" s="68">
        <f t="shared" si="7"/>
        <v>8.779242921026309E-2</v>
      </c>
      <c r="BI10" s="68">
        <f t="shared" si="7"/>
        <v>8.779242921026309E-2</v>
      </c>
      <c r="BJ10" s="68">
        <f t="shared" si="7"/>
        <v>8.779242921026309E-2</v>
      </c>
    </row>
    <row r="11" spans="1:68" x14ac:dyDescent="0.3">
      <c r="B11" t="s">
        <v>17</v>
      </c>
      <c r="C11" s="17">
        <f>0.13*SUM(C7:C10)</f>
        <v>6.6947347151949083E-2</v>
      </c>
      <c r="D11" s="17">
        <f>0.13*SUM(D7:D10)</f>
        <v>7.0320770681360861E-2</v>
      </c>
      <c r="E11" s="17">
        <f t="shared" ref="E11:W11" si="11">0.13*SUM(E7:E10)</f>
        <v>7.3555626506043664E-2</v>
      </c>
      <c r="F11" s="17">
        <f t="shared" si="11"/>
        <v>7.6656051681881027E-2</v>
      </c>
      <c r="G11" s="17">
        <f t="shared" si="11"/>
        <v>7.9626074302051514E-2</v>
      </c>
      <c r="H11" s="17">
        <f t="shared" si="11"/>
        <v>8.2469616179512525E-2</v>
      </c>
      <c r="I11" s="17">
        <f t="shared" si="11"/>
        <v>8.5190495466181099E-2</v>
      </c>
      <c r="J11" s="17">
        <f t="shared" si="11"/>
        <v>8.779242921026309E-2</v>
      </c>
      <c r="K11" s="17">
        <f t="shared" si="11"/>
        <v>8.779242921026309E-2</v>
      </c>
      <c r="L11" s="17">
        <f t="shared" si="11"/>
        <v>8.779242921026309E-2</v>
      </c>
      <c r="M11" s="17">
        <f t="shared" si="11"/>
        <v>8.779242921026309E-2</v>
      </c>
      <c r="N11" s="17">
        <f t="shared" si="11"/>
        <v>8.779242921026309E-2</v>
      </c>
      <c r="O11" s="17">
        <f t="shared" si="11"/>
        <v>8.779242921026309E-2</v>
      </c>
      <c r="P11" s="17">
        <f t="shared" si="11"/>
        <v>8.779242921026309E-2</v>
      </c>
      <c r="Q11" s="17">
        <f t="shared" si="11"/>
        <v>8.779242921026309E-2</v>
      </c>
      <c r="R11" s="17">
        <f t="shared" si="11"/>
        <v>8.779242921026309E-2</v>
      </c>
      <c r="S11" s="17">
        <f t="shared" si="11"/>
        <v>8.779242921026309E-2</v>
      </c>
      <c r="T11" s="17">
        <f t="shared" si="11"/>
        <v>8.779242921026309E-2</v>
      </c>
      <c r="U11" s="17">
        <f t="shared" si="11"/>
        <v>8.779242921026309E-2</v>
      </c>
      <c r="V11" s="17">
        <f t="shared" si="11"/>
        <v>8.779242921026309E-2</v>
      </c>
      <c r="W11" s="17">
        <f t="shared" si="11"/>
        <v>8.779242921026309E-2</v>
      </c>
      <c r="X11" s="17">
        <f t="shared" ref="X11:AA11" si="12">0.13*SUM(X7:X10)</f>
        <v>8.779242921026309E-2</v>
      </c>
      <c r="Y11" s="17">
        <f t="shared" si="12"/>
        <v>8.779242921026309E-2</v>
      </c>
      <c r="Z11" s="17">
        <f t="shared" si="12"/>
        <v>8.779242921026309E-2</v>
      </c>
      <c r="AA11" s="17">
        <f t="shared" si="12"/>
        <v>8.7792429210263076E-2</v>
      </c>
      <c r="AP11" s="88"/>
      <c r="AQ11" s="88"/>
      <c r="AR11" s="28" t="s">
        <v>30</v>
      </c>
      <c r="AS11" s="68">
        <f>SUM(AS6:AS10)</f>
        <v>0.58192694062848049</v>
      </c>
      <c r="AT11" s="68">
        <f t="shared" ref="AT11:BJ11" si="13">SUM(AT6:AT10)</f>
        <v>0.61124977592259822</v>
      </c>
      <c r="AU11" s="68">
        <f t="shared" si="13"/>
        <v>0.63936813809099491</v>
      </c>
      <c r="AV11" s="68">
        <f t="shared" si="13"/>
        <v>0.66631798769635042</v>
      </c>
      <c r="AW11" s="68">
        <f t="shared" si="13"/>
        <v>0.69213433816398617</v>
      </c>
      <c r="AX11" s="68">
        <f t="shared" si="13"/>
        <v>0.71685127909883961</v>
      </c>
      <c r="AY11" s="68">
        <f t="shared" si="13"/>
        <v>0.7405019990521895</v>
      </c>
      <c r="AZ11" s="68">
        <f t="shared" si="13"/>
        <v>0.76311880775074836</v>
      </c>
      <c r="BA11" s="68">
        <f t="shared" si="13"/>
        <v>0.76311880775074836</v>
      </c>
      <c r="BB11" s="68">
        <f t="shared" si="13"/>
        <v>0.76311880775074836</v>
      </c>
      <c r="BC11" s="68">
        <f t="shared" si="13"/>
        <v>0.76311880775074836</v>
      </c>
      <c r="BD11" s="68">
        <f t="shared" si="13"/>
        <v>0.76311880775074836</v>
      </c>
      <c r="BE11" s="68">
        <f t="shared" si="13"/>
        <v>0.76311880775074836</v>
      </c>
      <c r="BF11" s="68">
        <f t="shared" si="13"/>
        <v>0.76311880775074836</v>
      </c>
      <c r="BG11" s="68">
        <f t="shared" si="13"/>
        <v>0.76311880775074836</v>
      </c>
      <c r="BH11" s="68">
        <f t="shared" si="13"/>
        <v>0.76311880775074836</v>
      </c>
      <c r="BI11" s="68">
        <f t="shared" si="13"/>
        <v>0.76311880775074836</v>
      </c>
      <c r="BJ11" s="68">
        <f t="shared" si="13"/>
        <v>0.76311880775074836</v>
      </c>
    </row>
    <row r="12" spans="1:68" x14ac:dyDescent="0.3">
      <c r="B12" t="s">
        <v>30</v>
      </c>
      <c r="C12" s="17">
        <f>SUM(C7:C11)</f>
        <v>0.58192694062848049</v>
      </c>
      <c r="D12" s="17">
        <f>SUM(D7:D11)</f>
        <v>0.61124977592259822</v>
      </c>
      <c r="E12" s="17">
        <f t="shared" ref="E12:W12" si="14">SUM(E7:E11)</f>
        <v>0.63936813809099491</v>
      </c>
      <c r="F12" s="17">
        <f t="shared" si="14"/>
        <v>0.66631798769635042</v>
      </c>
      <c r="G12" s="17">
        <f t="shared" si="14"/>
        <v>0.69213433816398617</v>
      </c>
      <c r="H12" s="17">
        <f t="shared" si="14"/>
        <v>0.71685127909883961</v>
      </c>
      <c r="I12" s="17">
        <f t="shared" si="14"/>
        <v>0.7405019990521895</v>
      </c>
      <c r="J12" s="17">
        <f t="shared" si="14"/>
        <v>0.76311880775074836</v>
      </c>
      <c r="K12" s="17">
        <f t="shared" si="14"/>
        <v>0.76311880775074836</v>
      </c>
      <c r="L12" s="17">
        <f t="shared" si="14"/>
        <v>0.76311880775074836</v>
      </c>
      <c r="M12" s="17">
        <f t="shared" si="14"/>
        <v>0.76311880775074836</v>
      </c>
      <c r="N12" s="17">
        <f t="shared" si="14"/>
        <v>0.76311880775074836</v>
      </c>
      <c r="O12" s="17">
        <f t="shared" si="14"/>
        <v>0.76311880775074836</v>
      </c>
      <c r="P12" s="17">
        <f t="shared" si="14"/>
        <v>0.76311880775074836</v>
      </c>
      <c r="Q12" s="17">
        <f t="shared" si="14"/>
        <v>0.76311880775074836</v>
      </c>
      <c r="R12" s="17">
        <f t="shared" si="14"/>
        <v>0.76311880775074836</v>
      </c>
      <c r="S12" s="17">
        <f t="shared" si="14"/>
        <v>0.76311880775074836</v>
      </c>
      <c r="T12" s="17">
        <f t="shared" si="14"/>
        <v>0.76311880775074836</v>
      </c>
      <c r="U12" s="17">
        <f t="shared" si="14"/>
        <v>0.76311880775074836</v>
      </c>
      <c r="V12" s="17">
        <f t="shared" si="14"/>
        <v>0.76311880775074836</v>
      </c>
      <c r="W12" s="17">
        <f t="shared" si="14"/>
        <v>0.76311880775074836</v>
      </c>
      <c r="X12" s="17">
        <f t="shared" ref="X12:AA12" si="15">SUM(X7:X11)</f>
        <v>0.76311880775074836</v>
      </c>
      <c r="Y12" s="17">
        <f t="shared" si="15"/>
        <v>0.76311880775074836</v>
      </c>
      <c r="Z12" s="17">
        <f t="shared" si="15"/>
        <v>0.76311880775074836</v>
      </c>
      <c r="AA12" s="17">
        <f t="shared" si="15"/>
        <v>0.76311880775074825</v>
      </c>
      <c r="AP12" s="90" t="s">
        <v>1</v>
      </c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</row>
    <row r="13" spans="1:68" x14ac:dyDescent="0.3"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P13" s="88"/>
      <c r="AQ13" s="28" t="s">
        <v>190</v>
      </c>
      <c r="AR13" s="28"/>
      <c r="AS13" s="67">
        <f>C33</f>
        <v>560.84159999999986</v>
      </c>
      <c r="AT13" s="67">
        <f>AS13</f>
        <v>560.84159999999986</v>
      </c>
      <c r="AU13" s="67">
        <f t="shared" ref="AU13:BJ13" si="16">AT13</f>
        <v>560.84159999999986</v>
      </c>
      <c r="AV13" s="67">
        <f t="shared" si="16"/>
        <v>560.84159999999986</v>
      </c>
      <c r="AW13" s="67">
        <f t="shared" si="16"/>
        <v>560.84159999999986</v>
      </c>
      <c r="AX13" s="67">
        <f t="shared" si="16"/>
        <v>560.84159999999986</v>
      </c>
      <c r="AY13" s="67">
        <f t="shared" si="16"/>
        <v>560.84159999999986</v>
      </c>
      <c r="AZ13" s="67">
        <f t="shared" si="16"/>
        <v>560.84159999999986</v>
      </c>
      <c r="BA13" s="67">
        <f t="shared" si="16"/>
        <v>560.84159999999986</v>
      </c>
      <c r="BB13" s="67">
        <f t="shared" si="16"/>
        <v>560.84159999999986</v>
      </c>
      <c r="BC13" s="67">
        <f t="shared" si="16"/>
        <v>560.84159999999986</v>
      </c>
      <c r="BD13" s="67">
        <f t="shared" si="16"/>
        <v>560.84159999999986</v>
      </c>
      <c r="BE13" s="67">
        <f t="shared" si="16"/>
        <v>560.84159999999986</v>
      </c>
      <c r="BF13" s="67">
        <f t="shared" si="16"/>
        <v>560.84159999999986</v>
      </c>
      <c r="BG13" s="67">
        <f t="shared" si="16"/>
        <v>560.84159999999986</v>
      </c>
      <c r="BH13" s="67">
        <f t="shared" si="16"/>
        <v>560.84159999999986</v>
      </c>
      <c r="BI13" s="67">
        <f t="shared" si="16"/>
        <v>560.84159999999986</v>
      </c>
      <c r="BJ13" s="67">
        <f t="shared" si="16"/>
        <v>560.84159999999986</v>
      </c>
    </row>
    <row r="14" spans="1:68" x14ac:dyDescent="0.3"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P14" s="88"/>
      <c r="AQ14" s="82" t="s">
        <v>191</v>
      </c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/>
      <c r="BJ14" s="83"/>
    </row>
    <row r="15" spans="1:68" x14ac:dyDescent="0.3">
      <c r="A15" s="3" t="s">
        <v>9</v>
      </c>
      <c r="AP15" s="88"/>
      <c r="AQ15" s="88"/>
      <c r="AR15" s="28" t="s">
        <v>36</v>
      </c>
      <c r="AS15" s="68">
        <f>F119</f>
        <v>9.3399999999999997E-2</v>
      </c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</row>
    <row r="16" spans="1:68" x14ac:dyDescent="0.3">
      <c r="B16" t="s">
        <v>0</v>
      </c>
      <c r="C16" s="6">
        <f t="shared" ref="C16:W16" si="17">C19*$C$20</f>
        <v>0.12558</v>
      </c>
      <c r="D16" s="6">
        <f t="shared" si="17"/>
        <v>0.15152941176470588</v>
      </c>
      <c r="E16" s="6">
        <f t="shared" si="17"/>
        <v>0.17641291810841983</v>
      </c>
      <c r="F16" s="6">
        <f t="shared" si="17"/>
        <v>0.2002623425379379</v>
      </c>
      <c r="G16" s="6">
        <f t="shared" si="17"/>
        <v>0.22310867038540319</v>
      </c>
      <c r="H16" s="6">
        <f t="shared" si="17"/>
        <v>0.24498206944279563</v>
      </c>
      <c r="I16" s="6">
        <f t="shared" si="17"/>
        <v>0.26591191010947701</v>
      </c>
      <c r="J16" s="6">
        <f t="shared" si="17"/>
        <v>0.2859267850639538</v>
      </c>
      <c r="K16" s="6">
        <f t="shared" si="17"/>
        <v>0.2859267850639538</v>
      </c>
      <c r="L16" s="6">
        <f t="shared" si="17"/>
        <v>0.28592678506395375</v>
      </c>
      <c r="M16" s="6">
        <f t="shared" si="17"/>
        <v>0.28592678506395375</v>
      </c>
      <c r="N16" s="6">
        <f t="shared" si="17"/>
        <v>0.2859267850639538</v>
      </c>
      <c r="O16" s="6">
        <f t="shared" si="17"/>
        <v>0.2859267850639538</v>
      </c>
      <c r="P16" s="6">
        <f t="shared" si="17"/>
        <v>0.2859267850639538</v>
      </c>
      <c r="Q16" s="6">
        <f t="shared" si="17"/>
        <v>0.2859267850639538</v>
      </c>
      <c r="R16" s="6">
        <f t="shared" si="17"/>
        <v>0.28592678506395375</v>
      </c>
      <c r="S16" s="6">
        <f t="shared" si="17"/>
        <v>0.2859267850639538</v>
      </c>
      <c r="T16" s="6">
        <f t="shared" si="17"/>
        <v>0.28592678506395375</v>
      </c>
      <c r="U16" s="6">
        <f t="shared" si="17"/>
        <v>0.28592678506395375</v>
      </c>
      <c r="V16" s="6">
        <f t="shared" si="17"/>
        <v>0.2859267850639538</v>
      </c>
      <c r="W16" s="6">
        <f t="shared" si="17"/>
        <v>0.28592678506395375</v>
      </c>
      <c r="X16" s="6">
        <f t="shared" ref="X16:AA16" si="18">X19*$C$20</f>
        <v>0.28592678506395375</v>
      </c>
      <c r="Y16" s="6">
        <f t="shared" si="18"/>
        <v>0.28592678506395375</v>
      </c>
      <c r="Z16" s="6">
        <f t="shared" si="18"/>
        <v>0.28592678506395375</v>
      </c>
      <c r="AA16" s="6">
        <f t="shared" si="18"/>
        <v>0.28592678506395369</v>
      </c>
      <c r="AB16" s="11" t="s">
        <v>8</v>
      </c>
      <c r="AP16" s="88"/>
      <c r="AQ16" s="88"/>
      <c r="AR16" s="28" t="s">
        <v>192</v>
      </c>
      <c r="AS16" s="68">
        <f>F123</f>
        <v>1.891E-2</v>
      </c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</row>
    <row r="17" spans="1:62" x14ac:dyDescent="0.3">
      <c r="B17" t="s">
        <v>1</v>
      </c>
      <c r="C17" s="6">
        <v>0.01</v>
      </c>
      <c r="D17" s="6">
        <f>C17*(D19/C19)</f>
        <v>1.206636500754148E-2</v>
      </c>
      <c r="E17" s="6">
        <f>D17*(E19/D19)</f>
        <v>1.4047851418093633E-2</v>
      </c>
      <c r="F17" s="6">
        <f t="shared" ref="F17:W17" si="19">E17*(F19/E19)</f>
        <v>1.5946993353873062E-2</v>
      </c>
      <c r="G17" s="6">
        <f t="shared" si="19"/>
        <v>1.7766258192817581E-2</v>
      </c>
      <c r="H17" s="6">
        <f t="shared" si="19"/>
        <v>1.9508048211721262E-2</v>
      </c>
      <c r="I17" s="6">
        <f t="shared" si="19"/>
        <v>2.1174702190593805E-2</v>
      </c>
      <c r="J17" s="6">
        <f t="shared" si="19"/>
        <v>2.2768496979133128E-2</v>
      </c>
      <c r="K17" s="6">
        <f t="shared" si="19"/>
        <v>2.2768496979133128E-2</v>
      </c>
      <c r="L17" s="6">
        <f t="shared" si="19"/>
        <v>2.2768496979133124E-2</v>
      </c>
      <c r="M17" s="6">
        <f t="shared" si="19"/>
        <v>2.2768496979133124E-2</v>
      </c>
      <c r="N17" s="6">
        <f t="shared" si="19"/>
        <v>2.2768496979133128E-2</v>
      </c>
      <c r="O17" s="6">
        <f t="shared" si="19"/>
        <v>2.2768496979133128E-2</v>
      </c>
      <c r="P17" s="6">
        <f t="shared" si="19"/>
        <v>2.2768496979133128E-2</v>
      </c>
      <c r="Q17" s="6">
        <f t="shared" si="19"/>
        <v>2.2768496979133128E-2</v>
      </c>
      <c r="R17" s="6">
        <f t="shared" si="19"/>
        <v>2.2768496979133124E-2</v>
      </c>
      <c r="S17" s="6">
        <f t="shared" si="19"/>
        <v>2.2768496979133128E-2</v>
      </c>
      <c r="T17" s="6">
        <f t="shared" si="19"/>
        <v>2.2768496979133124E-2</v>
      </c>
      <c r="U17" s="6">
        <f t="shared" si="19"/>
        <v>2.2768496979133124E-2</v>
      </c>
      <c r="V17" s="6">
        <f t="shared" si="19"/>
        <v>2.2768496979133128E-2</v>
      </c>
      <c r="W17" s="6">
        <f t="shared" si="19"/>
        <v>2.2768496979133124E-2</v>
      </c>
      <c r="X17" s="6">
        <f t="shared" ref="X17" si="20">W17*(X19/W19)</f>
        <v>2.2768496979133124E-2</v>
      </c>
      <c r="Y17" s="6">
        <f t="shared" ref="Y17" si="21">X17*(Y19/X19)</f>
        <v>2.2768496979133124E-2</v>
      </c>
      <c r="Z17" s="6">
        <f t="shared" ref="Z17" si="22">Y17*(Z19/Y19)</f>
        <v>2.2768496979133124E-2</v>
      </c>
      <c r="AA17" s="6">
        <f t="shared" ref="AA17" si="23">Z17*(AA19/Z19)</f>
        <v>2.2768496979133121E-2</v>
      </c>
      <c r="AB17" s="11" t="s">
        <v>10</v>
      </c>
      <c r="AP17" s="88"/>
      <c r="AQ17" s="88"/>
      <c r="AR17" s="28" t="s">
        <v>194</v>
      </c>
      <c r="AS17" s="68">
        <f>F124</f>
        <v>5.1999999999999998E-3</v>
      </c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</row>
    <row r="18" spans="1:62" x14ac:dyDescent="0.3">
      <c r="B18" t="s">
        <v>32</v>
      </c>
      <c r="C18" s="5">
        <v>65</v>
      </c>
      <c r="D18" s="5">
        <f>C18+15</f>
        <v>80</v>
      </c>
      <c r="E18" s="5">
        <f t="shared" ref="E18" si="24">D18+15</f>
        <v>95</v>
      </c>
      <c r="F18" s="5">
        <f t="shared" ref="F18" si="25">E18+15</f>
        <v>110</v>
      </c>
      <c r="G18" s="5">
        <f t="shared" ref="G18" si="26">F18+15</f>
        <v>125</v>
      </c>
      <c r="H18" s="5">
        <f t="shared" ref="H18" si="27">G18+15</f>
        <v>140</v>
      </c>
      <c r="I18" s="5">
        <f t="shared" ref="I18" si="28">H18+15</f>
        <v>155</v>
      </c>
      <c r="J18" s="5">
        <f t="shared" ref="J18" si="29">I18+15</f>
        <v>170</v>
      </c>
      <c r="K18" s="5">
        <f t="shared" ref="K18:W18" si="30">J18*(1+K26)</f>
        <v>173.4</v>
      </c>
      <c r="L18" s="5">
        <f t="shared" si="30"/>
        <v>176.86799999999999</v>
      </c>
      <c r="M18" s="5">
        <f t="shared" si="30"/>
        <v>180.40536</v>
      </c>
      <c r="N18" s="5">
        <f t="shared" si="30"/>
        <v>184.01346720000001</v>
      </c>
      <c r="O18" s="5">
        <f t="shared" si="30"/>
        <v>187.69373654400002</v>
      </c>
      <c r="P18" s="5">
        <f t="shared" si="30"/>
        <v>191.44761127488002</v>
      </c>
      <c r="Q18" s="5">
        <f t="shared" si="30"/>
        <v>195.27656350037762</v>
      </c>
      <c r="R18" s="5">
        <f t="shared" si="30"/>
        <v>199.18209477038516</v>
      </c>
      <c r="S18" s="5">
        <f t="shared" si="30"/>
        <v>203.16573666579288</v>
      </c>
      <c r="T18" s="5">
        <f t="shared" si="30"/>
        <v>207.22905139910873</v>
      </c>
      <c r="U18" s="5">
        <f t="shared" si="30"/>
        <v>211.37363242709091</v>
      </c>
      <c r="V18" s="5">
        <f t="shared" si="30"/>
        <v>215.60110507563274</v>
      </c>
      <c r="W18" s="5">
        <f t="shared" si="30"/>
        <v>219.91312717714541</v>
      </c>
      <c r="X18" s="5">
        <f t="shared" ref="X18" si="31">W18*(1+X26)</f>
        <v>224.31138972068831</v>
      </c>
      <c r="Y18" s="5">
        <f t="shared" ref="Y18" si="32">X18*(1+Y26)</f>
        <v>228.79761751510208</v>
      </c>
      <c r="Z18" s="5">
        <f t="shared" ref="Z18" si="33">Y18*(1+Z26)</f>
        <v>233.37356986540411</v>
      </c>
      <c r="AA18" s="5">
        <f t="shared" ref="AA18" si="34">Z18*(1+AA26)</f>
        <v>238.04104126271218</v>
      </c>
      <c r="AP18" s="88"/>
      <c r="AQ18" s="88"/>
      <c r="AR18" s="28" t="s">
        <v>193</v>
      </c>
      <c r="AS18" s="68">
        <f>SUM(F120:F122)</f>
        <v>5.3000000000000009E-4</v>
      </c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</row>
    <row r="19" spans="1:62" x14ac:dyDescent="0.3">
      <c r="B19" t="s">
        <v>33</v>
      </c>
      <c r="C19" s="5">
        <f t="shared" ref="C19:W19" si="35">C18/C27</f>
        <v>65</v>
      </c>
      <c r="D19" s="5">
        <f t="shared" si="35"/>
        <v>78.431372549019613</v>
      </c>
      <c r="E19" s="5">
        <f t="shared" si="35"/>
        <v>91.311034217608608</v>
      </c>
      <c r="F19" s="5">
        <f t="shared" si="35"/>
        <v>103.6554568001749</v>
      </c>
      <c r="G19" s="5">
        <f t="shared" si="35"/>
        <v>115.48067825331428</v>
      </c>
      <c r="H19" s="5">
        <f t="shared" si="35"/>
        <v>126.80231337618822</v>
      </c>
      <c r="I19" s="5">
        <f t="shared" si="35"/>
        <v>137.63556423885976</v>
      </c>
      <c r="J19" s="5">
        <f t="shared" si="35"/>
        <v>147.99523036436534</v>
      </c>
      <c r="K19" s="5">
        <f t="shared" si="35"/>
        <v>147.99523036436534</v>
      </c>
      <c r="L19" s="5">
        <f t="shared" si="35"/>
        <v>147.99523036436531</v>
      </c>
      <c r="M19" s="5">
        <f t="shared" si="35"/>
        <v>147.99523036436531</v>
      </c>
      <c r="N19" s="5">
        <f t="shared" si="35"/>
        <v>147.99523036436534</v>
      </c>
      <c r="O19" s="5">
        <f t="shared" si="35"/>
        <v>147.99523036436534</v>
      </c>
      <c r="P19" s="5">
        <f t="shared" si="35"/>
        <v>147.99523036436534</v>
      </c>
      <c r="Q19" s="5">
        <f t="shared" si="35"/>
        <v>147.99523036436534</v>
      </c>
      <c r="R19" s="5">
        <f t="shared" si="35"/>
        <v>147.99523036436531</v>
      </c>
      <c r="S19" s="5">
        <f t="shared" si="35"/>
        <v>147.99523036436534</v>
      </c>
      <c r="T19" s="5">
        <f t="shared" si="35"/>
        <v>147.99523036436531</v>
      </c>
      <c r="U19" s="5">
        <f t="shared" si="35"/>
        <v>147.99523036436531</v>
      </c>
      <c r="V19" s="5">
        <f t="shared" si="35"/>
        <v>147.99523036436534</v>
      </c>
      <c r="W19" s="5">
        <f t="shared" si="35"/>
        <v>147.99523036436531</v>
      </c>
      <c r="X19" s="5">
        <f t="shared" ref="X19:AA19" si="36">X18/X27</f>
        <v>147.99523036436531</v>
      </c>
      <c r="Y19" s="5">
        <f t="shared" si="36"/>
        <v>147.99523036436531</v>
      </c>
      <c r="Z19" s="5">
        <f t="shared" si="36"/>
        <v>147.99523036436531</v>
      </c>
      <c r="AA19" s="5">
        <f t="shared" si="36"/>
        <v>147.99523036436528</v>
      </c>
      <c r="AP19" s="88"/>
      <c r="AQ19" s="88"/>
      <c r="AR19" s="28" t="s">
        <v>17</v>
      </c>
      <c r="AS19" s="68">
        <f>SUM(AS15:AS18)*0.13</f>
        <v>1.53452E-2</v>
      </c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</row>
    <row r="20" spans="1:62" x14ac:dyDescent="0.3">
      <c r="B20" t="s">
        <v>38</v>
      </c>
      <c r="C20">
        <v>1.9319999999999999E-3</v>
      </c>
      <c r="D20" s="112" t="s">
        <v>5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P20" s="88"/>
      <c r="AQ20" s="88"/>
      <c r="AR20" s="28" t="s">
        <v>30</v>
      </c>
      <c r="AS20" s="68">
        <f>SUM(AS15:AS19)</f>
        <v>0.13338519999999998</v>
      </c>
      <c r="AT20" s="68">
        <f>AS20</f>
        <v>0.13338519999999998</v>
      </c>
      <c r="AU20" s="68">
        <f t="shared" ref="AU20:BJ20" si="37">AT20</f>
        <v>0.13338519999999998</v>
      </c>
      <c r="AV20" s="68">
        <f t="shared" si="37"/>
        <v>0.13338519999999998</v>
      </c>
      <c r="AW20" s="68">
        <f t="shared" si="37"/>
        <v>0.13338519999999998</v>
      </c>
      <c r="AX20" s="68">
        <f t="shared" si="37"/>
        <v>0.13338519999999998</v>
      </c>
      <c r="AY20" s="68">
        <f t="shared" si="37"/>
        <v>0.13338519999999998</v>
      </c>
      <c r="AZ20" s="68">
        <f t="shared" si="37"/>
        <v>0.13338519999999998</v>
      </c>
      <c r="BA20" s="68">
        <f t="shared" si="37"/>
        <v>0.13338519999999998</v>
      </c>
      <c r="BB20" s="68">
        <f t="shared" si="37"/>
        <v>0.13338519999999998</v>
      </c>
      <c r="BC20" s="68">
        <f t="shared" si="37"/>
        <v>0.13338519999999998</v>
      </c>
      <c r="BD20" s="68">
        <f t="shared" si="37"/>
        <v>0.13338519999999998</v>
      </c>
      <c r="BE20" s="68">
        <f t="shared" si="37"/>
        <v>0.13338519999999998</v>
      </c>
      <c r="BF20" s="68">
        <f t="shared" si="37"/>
        <v>0.13338519999999998</v>
      </c>
      <c r="BG20" s="68">
        <f t="shared" si="37"/>
        <v>0.13338519999999998</v>
      </c>
      <c r="BH20" s="68">
        <f t="shared" si="37"/>
        <v>0.13338519999999998</v>
      </c>
      <c r="BI20" s="68">
        <f t="shared" si="37"/>
        <v>0.13338519999999998</v>
      </c>
      <c r="BJ20" s="68">
        <f t="shared" si="37"/>
        <v>0.13338519999999998</v>
      </c>
    </row>
    <row r="21" spans="1:62" x14ac:dyDescent="0.3">
      <c r="AS21" s="17"/>
    </row>
    <row r="22" spans="1:62" x14ac:dyDescent="0.3">
      <c r="A22" s="3" t="s">
        <v>31</v>
      </c>
    </row>
    <row r="23" spans="1:62" x14ac:dyDescent="0.3">
      <c r="A23" s="3"/>
      <c r="B23" t="s">
        <v>34</v>
      </c>
      <c r="C23" s="6">
        <v>0.26</v>
      </c>
      <c r="D23" s="6">
        <v>0.23</v>
      </c>
      <c r="E23" s="6">
        <v>0.22</v>
      </c>
      <c r="F23" s="6">
        <v>0.21</v>
      </c>
      <c r="G23" s="6">
        <v>0.18</v>
      </c>
      <c r="H23" s="6">
        <v>0.15</v>
      </c>
      <c r="I23" s="6">
        <v>0.18</v>
      </c>
      <c r="J23" s="6">
        <v>0.21</v>
      </c>
      <c r="K23" s="6">
        <v>0.22</v>
      </c>
      <c r="L23" s="6">
        <v>0.22</v>
      </c>
      <c r="M23" s="6">
        <v>0.23</v>
      </c>
      <c r="N23" s="6">
        <v>0.22</v>
      </c>
      <c r="O23" s="6">
        <v>0.22</v>
      </c>
      <c r="P23" s="6">
        <v>0.23</v>
      </c>
      <c r="Q23" s="6">
        <v>0.24</v>
      </c>
      <c r="R23" s="6">
        <v>0.26</v>
      </c>
      <c r="S23" s="6">
        <v>0.28000000000000003</v>
      </c>
      <c r="T23" s="6">
        <v>0.28999999999999998</v>
      </c>
      <c r="U23" s="6">
        <v>0.28000000000000003</v>
      </c>
      <c r="V23" s="6">
        <v>0.27</v>
      </c>
      <c r="W23" s="6">
        <v>0.28000000000000003</v>
      </c>
      <c r="X23" s="10">
        <v>0.3</v>
      </c>
      <c r="Y23" s="10">
        <v>0.33</v>
      </c>
      <c r="Z23" s="6">
        <f>Y23*(1+Z26)</f>
        <v>0.33660000000000001</v>
      </c>
      <c r="AA23" s="6">
        <f>Z23*(1+AA26)</f>
        <v>0.34333200000000003</v>
      </c>
    </row>
    <row r="24" spans="1:62" x14ac:dyDescent="0.3">
      <c r="A24" s="3"/>
      <c r="B24" t="s">
        <v>35</v>
      </c>
      <c r="C24" s="6"/>
      <c r="D24" s="6">
        <f t="shared" ref="D24:W24" si="38">D23/D27</f>
        <v>0.22549019607843138</v>
      </c>
      <c r="E24" s="6">
        <f t="shared" si="38"/>
        <v>0.21145713187235679</v>
      </c>
      <c r="F24" s="6">
        <f t="shared" si="38"/>
        <v>0.19788769025487934</v>
      </c>
      <c r="G24" s="6">
        <f t="shared" si="38"/>
        <v>0.16629217668477256</v>
      </c>
      <c r="H24" s="6">
        <f t="shared" si="38"/>
        <v>0.13585962147448738</v>
      </c>
      <c r="I24" s="6">
        <f t="shared" si="38"/>
        <v>0.15983484879351456</v>
      </c>
      <c r="J24" s="6">
        <f t="shared" si="38"/>
        <v>0.18281763750892188</v>
      </c>
      <c r="K24" s="6">
        <f t="shared" si="38"/>
        <v>0.18776788166182451</v>
      </c>
      <c r="L24" s="6">
        <f t="shared" si="38"/>
        <v>0.18408615849198481</v>
      </c>
      <c r="M24" s="6">
        <f t="shared" si="38"/>
        <v>0.1886801089712857</v>
      </c>
      <c r="N24" s="6">
        <f t="shared" si="38"/>
        <v>0.17693786860052366</v>
      </c>
      <c r="O24" s="6">
        <f t="shared" si="38"/>
        <v>0.17346849862796437</v>
      </c>
      <c r="P24" s="6">
        <f t="shared" si="38"/>
        <v>0.1777974807684127</v>
      </c>
      <c r="Q24" s="6">
        <f t="shared" si="38"/>
        <v>0.18189000590118942</v>
      </c>
      <c r="R24" s="6">
        <f t="shared" si="38"/>
        <v>0.19318382979701493</v>
      </c>
      <c r="S24" s="6">
        <f t="shared" si="38"/>
        <v>0.2039648278399856</v>
      </c>
      <c r="T24" s="6">
        <f t="shared" si="38"/>
        <v>0.20710714311483128</v>
      </c>
      <c r="U24" s="6">
        <f t="shared" si="38"/>
        <v>0.19604462499037445</v>
      </c>
      <c r="V24" s="6">
        <f t="shared" si="38"/>
        <v>0.18533630513795904</v>
      </c>
      <c r="W24" s="6">
        <f t="shared" si="38"/>
        <v>0.1884319732702561</v>
      </c>
      <c r="X24" s="6">
        <f t="shared" ref="X24:AA24" si="39">X23/X27</f>
        <v>0.19793274503178157</v>
      </c>
      <c r="Y24" s="6">
        <f t="shared" si="39"/>
        <v>0.21345688189701936</v>
      </c>
      <c r="Z24" s="6">
        <f t="shared" si="39"/>
        <v>0.21345688189701936</v>
      </c>
      <c r="AA24" s="6">
        <f t="shared" si="39"/>
        <v>0.21345688189701936</v>
      </c>
    </row>
    <row r="25" spans="1:62" x14ac:dyDescent="0.3">
      <c r="B25" t="s">
        <v>39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</row>
    <row r="26" spans="1:62" x14ac:dyDescent="0.3">
      <c r="B26" t="s">
        <v>6</v>
      </c>
      <c r="D26" s="8">
        <v>0.02</v>
      </c>
      <c r="E26" s="8">
        <f>D26</f>
        <v>0.02</v>
      </c>
      <c r="F26" s="8">
        <f t="shared" ref="F26:W26" si="40">E26</f>
        <v>0.02</v>
      </c>
      <c r="G26" s="8">
        <f t="shared" si="40"/>
        <v>0.02</v>
      </c>
      <c r="H26" s="8">
        <f t="shared" si="40"/>
        <v>0.02</v>
      </c>
      <c r="I26" s="8">
        <f t="shared" si="40"/>
        <v>0.02</v>
      </c>
      <c r="J26" s="8">
        <f t="shared" si="40"/>
        <v>0.02</v>
      </c>
      <c r="K26" s="8">
        <f t="shared" si="40"/>
        <v>0.02</v>
      </c>
      <c r="L26" s="8">
        <f t="shared" si="40"/>
        <v>0.02</v>
      </c>
      <c r="M26" s="8">
        <f t="shared" si="40"/>
        <v>0.02</v>
      </c>
      <c r="N26" s="8">
        <f t="shared" si="40"/>
        <v>0.02</v>
      </c>
      <c r="O26" s="8">
        <f t="shared" si="40"/>
        <v>0.02</v>
      </c>
      <c r="P26" s="8">
        <f t="shared" si="40"/>
        <v>0.02</v>
      </c>
      <c r="Q26" s="8">
        <f t="shared" si="40"/>
        <v>0.02</v>
      </c>
      <c r="R26" s="8">
        <f t="shared" si="40"/>
        <v>0.02</v>
      </c>
      <c r="S26" s="8">
        <f t="shared" si="40"/>
        <v>0.02</v>
      </c>
      <c r="T26" s="8">
        <f t="shared" si="40"/>
        <v>0.02</v>
      </c>
      <c r="U26" s="8">
        <f t="shared" si="40"/>
        <v>0.02</v>
      </c>
      <c r="V26" s="8">
        <f t="shared" si="40"/>
        <v>0.02</v>
      </c>
      <c r="W26" s="8">
        <f t="shared" si="40"/>
        <v>0.02</v>
      </c>
      <c r="X26" s="8">
        <f t="shared" ref="X26" si="41">W26</f>
        <v>0.02</v>
      </c>
      <c r="Y26" s="8">
        <f t="shared" ref="Y26" si="42">X26</f>
        <v>0.02</v>
      </c>
      <c r="Z26" s="8">
        <f t="shared" ref="Z26" si="43">Y26</f>
        <v>0.02</v>
      </c>
      <c r="AA26" s="8">
        <f t="shared" ref="AA26" si="44">Z26</f>
        <v>0.02</v>
      </c>
    </row>
    <row r="27" spans="1:62" x14ac:dyDescent="0.3">
      <c r="B27" t="s">
        <v>7</v>
      </c>
      <c r="C27" s="9">
        <v>1</v>
      </c>
      <c r="D27" s="9">
        <f>1+D26</f>
        <v>1.02</v>
      </c>
      <c r="E27" s="10">
        <f>D27*(1+E26)</f>
        <v>1.0404</v>
      </c>
      <c r="F27" s="10">
        <f t="shared" ref="F27:W27" si="45">E27*(1+F26)</f>
        <v>1.0612079999999999</v>
      </c>
      <c r="G27" s="10">
        <f t="shared" si="45"/>
        <v>1.08243216</v>
      </c>
      <c r="H27" s="10">
        <f t="shared" si="45"/>
        <v>1.1040808032</v>
      </c>
      <c r="I27" s="10">
        <f t="shared" si="45"/>
        <v>1.1261624192640001</v>
      </c>
      <c r="J27" s="10">
        <f t="shared" si="45"/>
        <v>1.14868566764928</v>
      </c>
      <c r="K27" s="10">
        <f t="shared" si="45"/>
        <v>1.1716593810022657</v>
      </c>
      <c r="L27" s="10">
        <f t="shared" si="45"/>
        <v>1.1950925686223111</v>
      </c>
      <c r="M27" s="10">
        <f t="shared" si="45"/>
        <v>1.2189944199947573</v>
      </c>
      <c r="N27" s="10">
        <f t="shared" si="45"/>
        <v>1.2433743083946525</v>
      </c>
      <c r="O27" s="10">
        <f t="shared" si="45"/>
        <v>1.2682417945625455</v>
      </c>
      <c r="P27" s="10">
        <f t="shared" si="45"/>
        <v>1.2936066304537963</v>
      </c>
      <c r="Q27" s="10">
        <f t="shared" si="45"/>
        <v>1.3194787630628724</v>
      </c>
      <c r="R27" s="10">
        <f t="shared" si="45"/>
        <v>1.3458683383241299</v>
      </c>
      <c r="S27" s="10">
        <f t="shared" si="45"/>
        <v>1.3727857050906125</v>
      </c>
      <c r="T27" s="10">
        <f t="shared" si="45"/>
        <v>1.4002414191924248</v>
      </c>
      <c r="U27" s="10">
        <f t="shared" si="45"/>
        <v>1.4282462475762734</v>
      </c>
      <c r="V27" s="10">
        <f t="shared" si="45"/>
        <v>1.4568111725277988</v>
      </c>
      <c r="W27" s="10">
        <f t="shared" si="45"/>
        <v>1.4859473959783549</v>
      </c>
      <c r="X27" s="10">
        <f t="shared" ref="X27" si="46">W27*(1+X26)</f>
        <v>1.5156663438979221</v>
      </c>
      <c r="Y27" s="10">
        <f t="shared" ref="Y27" si="47">X27*(1+Y26)</f>
        <v>1.5459796707758806</v>
      </c>
      <c r="Z27" s="10">
        <f t="shared" ref="Z27" si="48">Y27*(1+Z26)</f>
        <v>1.5768992641913981</v>
      </c>
      <c r="AA27" s="10">
        <f t="shared" ref="AA27" si="49">Z27*(1+AA26)</f>
        <v>1.6084372494752261</v>
      </c>
    </row>
    <row r="28" spans="1:62" x14ac:dyDescent="0.3">
      <c r="C28" s="9"/>
      <c r="D28" s="9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</row>
    <row r="29" spans="1:62" s="45" customFormat="1" ht="6.35" customHeight="1" x14ac:dyDescent="0.3"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  <c r="BD29" s="66"/>
      <c r="BE29" s="66"/>
      <c r="BF29" s="66"/>
      <c r="BG29" s="66"/>
      <c r="BH29" s="66"/>
      <c r="BI29" s="66"/>
      <c r="BJ29" s="66"/>
    </row>
    <row r="30" spans="1:62" ht="17.850000000000001" x14ac:dyDescent="0.35">
      <c r="A30" s="44" t="s">
        <v>26</v>
      </c>
    </row>
    <row r="31" spans="1:62" ht="17.850000000000001" x14ac:dyDescent="0.35">
      <c r="A31" s="44"/>
      <c r="C31" s="13">
        <v>2023</v>
      </c>
      <c r="D31" s="13">
        <f>C31+1</f>
        <v>2024</v>
      </c>
      <c r="E31" s="13">
        <f t="shared" ref="E31:W31" si="50">D31+1</f>
        <v>2025</v>
      </c>
      <c r="F31" s="13">
        <f t="shared" si="50"/>
        <v>2026</v>
      </c>
      <c r="G31" s="13">
        <f t="shared" si="50"/>
        <v>2027</v>
      </c>
      <c r="H31" s="13">
        <f t="shared" si="50"/>
        <v>2028</v>
      </c>
      <c r="I31" s="13">
        <f t="shared" si="50"/>
        <v>2029</v>
      </c>
      <c r="J31" s="13">
        <f t="shared" si="50"/>
        <v>2030</v>
      </c>
      <c r="K31" s="13">
        <f t="shared" si="50"/>
        <v>2031</v>
      </c>
      <c r="L31" s="13">
        <f t="shared" si="50"/>
        <v>2032</v>
      </c>
      <c r="M31" s="13">
        <f t="shared" si="50"/>
        <v>2033</v>
      </c>
      <c r="N31" s="13">
        <f t="shared" si="50"/>
        <v>2034</v>
      </c>
      <c r="O31" s="13">
        <f t="shared" si="50"/>
        <v>2035</v>
      </c>
      <c r="P31" s="13">
        <f t="shared" si="50"/>
        <v>2036</v>
      </c>
      <c r="Q31" s="13">
        <f t="shared" si="50"/>
        <v>2037</v>
      </c>
      <c r="R31" s="13">
        <f t="shared" si="50"/>
        <v>2038</v>
      </c>
      <c r="S31" s="13">
        <f t="shared" si="50"/>
        <v>2039</v>
      </c>
      <c r="T31" s="13">
        <f t="shared" si="50"/>
        <v>2040</v>
      </c>
      <c r="U31" s="13">
        <f t="shared" si="50"/>
        <v>2041</v>
      </c>
      <c r="V31" s="13">
        <f t="shared" si="50"/>
        <v>2042</v>
      </c>
      <c r="W31" s="13">
        <f t="shared" si="50"/>
        <v>2043</v>
      </c>
      <c r="X31" s="13">
        <f t="shared" ref="X31" si="51">W31+1</f>
        <v>2044</v>
      </c>
      <c r="Y31" s="13">
        <f t="shared" ref="Y31" si="52">X31+1</f>
        <v>2045</v>
      </c>
      <c r="Z31" s="13">
        <f t="shared" ref="Z31" si="53">Y31+1</f>
        <v>2046</v>
      </c>
      <c r="AA31" s="13">
        <f t="shared" ref="AA31" si="54">Z31+1</f>
        <v>2047</v>
      </c>
    </row>
    <row r="32" spans="1:62" x14ac:dyDescent="0.3">
      <c r="A32" s="3" t="s">
        <v>25</v>
      </c>
    </row>
    <row r="33" spans="1:28" x14ac:dyDescent="0.3">
      <c r="A33" t="s">
        <v>1</v>
      </c>
      <c r="C33" s="2">
        <f>(F115*12)*(1.13)</f>
        <v>560.84159999999986</v>
      </c>
      <c r="D33" s="15">
        <f>C33</f>
        <v>560.84159999999986</v>
      </c>
      <c r="E33" s="15">
        <f t="shared" ref="E33:W33" si="55">D33</f>
        <v>560.84159999999986</v>
      </c>
      <c r="F33" s="15">
        <f t="shared" si="55"/>
        <v>560.84159999999986</v>
      </c>
      <c r="G33" s="15">
        <f t="shared" si="55"/>
        <v>560.84159999999986</v>
      </c>
      <c r="H33" s="15">
        <f t="shared" si="55"/>
        <v>560.84159999999986</v>
      </c>
      <c r="I33" s="15">
        <f t="shared" si="55"/>
        <v>560.84159999999986</v>
      </c>
      <c r="J33" s="15">
        <f t="shared" si="55"/>
        <v>560.84159999999986</v>
      </c>
      <c r="K33" s="15">
        <f t="shared" si="55"/>
        <v>560.84159999999986</v>
      </c>
      <c r="L33" s="15">
        <f t="shared" si="55"/>
        <v>560.84159999999986</v>
      </c>
      <c r="M33" s="15">
        <f t="shared" si="55"/>
        <v>560.84159999999986</v>
      </c>
      <c r="N33" s="15">
        <f t="shared" si="55"/>
        <v>560.84159999999986</v>
      </c>
      <c r="O33" s="15">
        <f t="shared" si="55"/>
        <v>560.84159999999986</v>
      </c>
      <c r="P33" s="15">
        <f t="shared" si="55"/>
        <v>560.84159999999986</v>
      </c>
      <c r="Q33" s="15">
        <f t="shared" si="55"/>
        <v>560.84159999999986</v>
      </c>
      <c r="R33" s="15">
        <f t="shared" si="55"/>
        <v>560.84159999999986</v>
      </c>
      <c r="S33" s="15">
        <f t="shared" si="55"/>
        <v>560.84159999999986</v>
      </c>
      <c r="T33" s="15">
        <f t="shared" si="55"/>
        <v>560.84159999999986</v>
      </c>
      <c r="U33" s="15">
        <f t="shared" si="55"/>
        <v>560.84159999999986</v>
      </c>
      <c r="V33" s="15">
        <f t="shared" si="55"/>
        <v>560.84159999999986</v>
      </c>
      <c r="W33" s="15">
        <f t="shared" si="55"/>
        <v>560.84159999999986</v>
      </c>
      <c r="X33" s="15">
        <f t="shared" ref="X33" si="56">W33</f>
        <v>560.84159999999986</v>
      </c>
      <c r="Y33" s="15">
        <f t="shared" ref="Y33" si="57">X33</f>
        <v>560.84159999999986</v>
      </c>
      <c r="Z33" s="15">
        <f t="shared" ref="Z33" si="58">Y33</f>
        <v>560.84159999999986</v>
      </c>
      <c r="AA33" s="15">
        <f t="shared" ref="AA33" si="59">Z33</f>
        <v>560.84159999999986</v>
      </c>
    </row>
    <row r="34" spans="1:28" x14ac:dyDescent="0.3"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8" x14ac:dyDescent="0.3">
      <c r="A35" s="3" t="s">
        <v>18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8" x14ac:dyDescent="0.3">
      <c r="B36" t="s">
        <v>2</v>
      </c>
      <c r="C36" s="6">
        <f>F126</f>
        <v>0.13338519999999998</v>
      </c>
      <c r="D36" s="6">
        <f>C36*(1+D39)</f>
        <v>0.13338519999999998</v>
      </c>
      <c r="E36" s="6">
        <f>D36*(1+E39)</f>
        <v>0.13338519999999998</v>
      </c>
      <c r="F36" s="6">
        <f>E36*(1+F39)</f>
        <v>0.13338519999999998</v>
      </c>
      <c r="G36" s="6">
        <f>F36*(1+G39)</f>
        <v>0.13338519999999998</v>
      </c>
      <c r="H36" s="6">
        <f>G36*(1+H39)</f>
        <v>0.13338519999999998</v>
      </c>
      <c r="I36" s="6">
        <f>H36*(1+I39)</f>
        <v>0.13338519999999998</v>
      </c>
      <c r="J36" s="6">
        <f>I36*(1+J39)</f>
        <v>0.13338519999999998</v>
      </c>
      <c r="K36" s="6">
        <f>J36*(1+K39)</f>
        <v>0.13338519999999998</v>
      </c>
      <c r="L36" s="6">
        <f>K36*(1+L39)</f>
        <v>0.13338519999999998</v>
      </c>
      <c r="M36" s="6">
        <f>L36*(1+M39)</f>
        <v>0.13338519999999998</v>
      </c>
      <c r="N36" s="6">
        <f>M36*(1+N39)</f>
        <v>0.13338519999999998</v>
      </c>
      <c r="O36" s="6">
        <f>N36*(1+O39)</f>
        <v>0.13338519999999998</v>
      </c>
      <c r="P36" s="6">
        <f>O36*(1+P39)</f>
        <v>0.13338519999999998</v>
      </c>
      <c r="Q36" s="6">
        <f>P36*(1+Q39)</f>
        <v>0.13338519999999998</v>
      </c>
      <c r="R36" s="6">
        <f>Q36*(1+R39)</f>
        <v>0.13338519999999998</v>
      </c>
      <c r="S36" s="6">
        <f>R36*(1+S39)</f>
        <v>0.13338519999999998</v>
      </c>
      <c r="T36" s="6">
        <f>S36*(1+T39)</f>
        <v>0.13338519999999998</v>
      </c>
      <c r="U36" s="6">
        <f>T36*(1+U39)</f>
        <v>0.13338519999999998</v>
      </c>
      <c r="V36" s="6">
        <f>U36*(1+V39)</f>
        <v>0.13338519999999998</v>
      </c>
      <c r="W36" s="6">
        <f>V36*(1+W39)</f>
        <v>0.13338519999999998</v>
      </c>
      <c r="X36" s="6">
        <f>W36*(1+X39)</f>
        <v>0.13338519999999998</v>
      </c>
      <c r="Y36" s="6">
        <f>X36*(1+Y39)</f>
        <v>0.13338519999999998</v>
      </c>
      <c r="Z36" s="6">
        <f>Y36*(1+Z39)</f>
        <v>0.13338519999999998</v>
      </c>
      <c r="AA36" s="6">
        <f>Z36*(1+AA39)</f>
        <v>0.13338519999999998</v>
      </c>
    </row>
    <row r="37" spans="1:28" x14ac:dyDescent="0.3">
      <c r="C37" s="6"/>
      <c r="D37" s="47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spans="1:28" x14ac:dyDescent="0.3">
      <c r="A38" s="3" t="s">
        <v>4</v>
      </c>
    </row>
    <row r="39" spans="1:28" x14ac:dyDescent="0.3">
      <c r="A39" t="s">
        <v>1</v>
      </c>
      <c r="D39" s="8">
        <f>IF(Summary!D10&gt;0,((Summary!D10+1)^(1/(2050-2023)))-1,0)</f>
        <v>0</v>
      </c>
      <c r="E39" s="8">
        <f>D39</f>
        <v>0</v>
      </c>
      <c r="F39" s="8">
        <f t="shared" ref="F39:AA39" si="60">E39</f>
        <v>0</v>
      </c>
      <c r="G39" s="8">
        <f t="shared" si="60"/>
        <v>0</v>
      </c>
      <c r="H39" s="8">
        <f t="shared" si="60"/>
        <v>0</v>
      </c>
      <c r="I39" s="8">
        <f t="shared" si="60"/>
        <v>0</v>
      </c>
      <c r="J39" s="8">
        <f t="shared" si="60"/>
        <v>0</v>
      </c>
      <c r="K39" s="8">
        <f t="shared" si="60"/>
        <v>0</v>
      </c>
      <c r="L39" s="8">
        <f t="shared" si="60"/>
        <v>0</v>
      </c>
      <c r="M39" s="8">
        <f t="shared" si="60"/>
        <v>0</v>
      </c>
      <c r="N39" s="8">
        <f t="shared" si="60"/>
        <v>0</v>
      </c>
      <c r="O39" s="8">
        <f t="shared" si="60"/>
        <v>0</v>
      </c>
      <c r="P39" s="8">
        <f t="shared" si="60"/>
        <v>0</v>
      </c>
      <c r="Q39" s="8">
        <f t="shared" si="60"/>
        <v>0</v>
      </c>
      <c r="R39" s="8">
        <f t="shared" si="60"/>
        <v>0</v>
      </c>
      <c r="S39" s="8">
        <f t="shared" si="60"/>
        <v>0</v>
      </c>
      <c r="T39" s="8">
        <f t="shared" si="60"/>
        <v>0</v>
      </c>
      <c r="U39" s="8">
        <f t="shared" si="60"/>
        <v>0</v>
      </c>
      <c r="V39" s="8">
        <f t="shared" si="60"/>
        <v>0</v>
      </c>
      <c r="W39" s="8">
        <f t="shared" si="60"/>
        <v>0</v>
      </c>
      <c r="X39" s="8">
        <f t="shared" si="60"/>
        <v>0</v>
      </c>
      <c r="Y39" s="8">
        <f t="shared" si="60"/>
        <v>0</v>
      </c>
      <c r="Z39" s="8">
        <f t="shared" si="60"/>
        <v>0</v>
      </c>
      <c r="AA39" s="8">
        <f t="shared" si="60"/>
        <v>0</v>
      </c>
      <c r="AB39" s="57"/>
    </row>
    <row r="40" spans="1:28" x14ac:dyDescent="0.3">
      <c r="A40" t="s">
        <v>6</v>
      </c>
      <c r="D40" s="8">
        <v>0.02</v>
      </c>
      <c r="E40" s="8">
        <f>D40</f>
        <v>0.02</v>
      </c>
      <c r="F40" s="8">
        <f t="shared" ref="F40:W40" si="61">E40</f>
        <v>0.02</v>
      </c>
      <c r="G40" s="8">
        <f t="shared" si="61"/>
        <v>0.02</v>
      </c>
      <c r="H40" s="8">
        <f t="shared" si="61"/>
        <v>0.02</v>
      </c>
      <c r="I40" s="8">
        <f t="shared" si="61"/>
        <v>0.02</v>
      </c>
      <c r="J40" s="8">
        <f t="shared" si="61"/>
        <v>0.02</v>
      </c>
      <c r="K40" s="8">
        <f t="shared" si="61"/>
        <v>0.02</v>
      </c>
      <c r="L40" s="8">
        <f t="shared" si="61"/>
        <v>0.02</v>
      </c>
      <c r="M40" s="8">
        <f t="shared" si="61"/>
        <v>0.02</v>
      </c>
      <c r="N40" s="8">
        <f t="shared" si="61"/>
        <v>0.02</v>
      </c>
      <c r="O40" s="8">
        <f t="shared" si="61"/>
        <v>0.02</v>
      </c>
      <c r="P40" s="8">
        <f t="shared" si="61"/>
        <v>0.02</v>
      </c>
      <c r="Q40" s="8">
        <f t="shared" si="61"/>
        <v>0.02</v>
      </c>
      <c r="R40" s="8">
        <f t="shared" si="61"/>
        <v>0.02</v>
      </c>
      <c r="S40" s="8">
        <f t="shared" si="61"/>
        <v>0.02</v>
      </c>
      <c r="T40" s="8">
        <f t="shared" si="61"/>
        <v>0.02</v>
      </c>
      <c r="U40" s="8">
        <f t="shared" si="61"/>
        <v>0.02</v>
      </c>
      <c r="V40" s="8">
        <f t="shared" si="61"/>
        <v>0.02</v>
      </c>
      <c r="W40" s="8">
        <f t="shared" si="61"/>
        <v>0.02</v>
      </c>
      <c r="X40" s="8">
        <f t="shared" ref="X40" si="62">W40</f>
        <v>0.02</v>
      </c>
      <c r="Y40" s="8">
        <f t="shared" ref="Y40" si="63">X40</f>
        <v>0.02</v>
      </c>
      <c r="Z40" s="8">
        <f t="shared" ref="Z40" si="64">Y40</f>
        <v>0.02</v>
      </c>
      <c r="AA40" s="8">
        <f t="shared" ref="AA40" si="65">Z40</f>
        <v>0.02</v>
      </c>
    </row>
    <row r="41" spans="1:28" x14ac:dyDescent="0.3">
      <c r="A41" t="s">
        <v>7</v>
      </c>
      <c r="C41" s="9">
        <v>1</v>
      </c>
      <c r="D41" s="9">
        <f>1+D40</f>
        <v>1.02</v>
      </c>
      <c r="E41" s="10">
        <f>D41*(1+E40)</f>
        <v>1.0404</v>
      </c>
      <c r="F41" s="10">
        <f t="shared" ref="F41" si="66">E41*(1+F40)</f>
        <v>1.0612079999999999</v>
      </c>
      <c r="G41" s="10">
        <f t="shared" ref="G41" si="67">F41*(1+G40)</f>
        <v>1.08243216</v>
      </c>
      <c r="H41" s="10">
        <f t="shared" ref="H41" si="68">G41*(1+H40)</f>
        <v>1.1040808032</v>
      </c>
      <c r="I41" s="10">
        <f t="shared" ref="I41" si="69">H41*(1+I40)</f>
        <v>1.1261624192640001</v>
      </c>
      <c r="J41" s="10">
        <f t="shared" ref="J41" si="70">I41*(1+J40)</f>
        <v>1.14868566764928</v>
      </c>
      <c r="K41" s="10">
        <f t="shared" ref="K41" si="71">J41*(1+K40)</f>
        <v>1.1716593810022657</v>
      </c>
      <c r="L41" s="10">
        <f t="shared" ref="L41" si="72">K41*(1+L40)</f>
        <v>1.1950925686223111</v>
      </c>
      <c r="M41" s="10">
        <f t="shared" ref="M41" si="73">L41*(1+M40)</f>
        <v>1.2189944199947573</v>
      </c>
      <c r="N41" s="10">
        <f t="shared" ref="N41" si="74">M41*(1+N40)</f>
        <v>1.2433743083946525</v>
      </c>
      <c r="O41" s="10">
        <f t="shared" ref="O41" si="75">N41*(1+O40)</f>
        <v>1.2682417945625455</v>
      </c>
      <c r="P41" s="10">
        <f t="shared" ref="P41" si="76">O41*(1+P40)</f>
        <v>1.2936066304537963</v>
      </c>
      <c r="Q41" s="10">
        <f t="shared" ref="Q41" si="77">P41*(1+Q40)</f>
        <v>1.3194787630628724</v>
      </c>
      <c r="R41" s="10">
        <f t="shared" ref="R41" si="78">Q41*(1+R40)</f>
        <v>1.3458683383241299</v>
      </c>
      <c r="S41" s="10">
        <f t="shared" ref="S41" si="79">R41*(1+S40)</f>
        <v>1.3727857050906125</v>
      </c>
      <c r="T41" s="10">
        <f t="shared" ref="T41" si="80">S41*(1+T40)</f>
        <v>1.4002414191924248</v>
      </c>
      <c r="U41" s="10">
        <f t="shared" ref="U41" si="81">T41*(1+U40)</f>
        <v>1.4282462475762734</v>
      </c>
      <c r="V41" s="10">
        <f t="shared" ref="V41" si="82">U41*(1+V40)</f>
        <v>1.4568111725277988</v>
      </c>
      <c r="W41" s="10">
        <f t="shared" ref="W41" si="83">V41*(1+W40)</f>
        <v>1.4859473959783549</v>
      </c>
      <c r="X41" s="10">
        <f t="shared" ref="X41" si="84">W41*(1+X40)</f>
        <v>1.5156663438979221</v>
      </c>
      <c r="Y41" s="10">
        <f t="shared" ref="Y41" si="85">X41*(1+Y40)</f>
        <v>1.5459796707758806</v>
      </c>
      <c r="Z41" s="10">
        <f t="shared" ref="Z41" si="86">Y41*(1+Z40)</f>
        <v>1.5768992641913981</v>
      </c>
      <c r="AA41" s="10">
        <f t="shared" ref="AA41" si="87">Z41*(1+AA40)</f>
        <v>1.6084372494752261</v>
      </c>
    </row>
    <row r="42" spans="1:28" x14ac:dyDescent="0.3">
      <c r="C42" s="9"/>
      <c r="D42" s="9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</row>
    <row r="43" spans="1:28" x14ac:dyDescent="0.3">
      <c r="C43" s="9"/>
      <c r="D43" s="9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</row>
    <row r="44" spans="1:28" ht="16.149999999999999" x14ac:dyDescent="0.35">
      <c r="A44" s="35" t="s">
        <v>239</v>
      </c>
    </row>
    <row r="45" spans="1:28" x14ac:dyDescent="0.3">
      <c r="A45" s="3"/>
    </row>
    <row r="46" spans="1:28" x14ac:dyDescent="0.3">
      <c r="A46" s="3"/>
    </row>
    <row r="47" spans="1:28" x14ac:dyDescent="0.3">
      <c r="A47" s="3"/>
    </row>
    <row r="48" spans="1:28" x14ac:dyDescent="0.3">
      <c r="A48" s="3"/>
    </row>
    <row r="49" spans="1:13" x14ac:dyDescent="0.3">
      <c r="A49" s="3"/>
    </row>
    <row r="50" spans="1:13" x14ac:dyDescent="0.3">
      <c r="A50" s="3"/>
    </row>
    <row r="51" spans="1:13" x14ac:dyDescent="0.3">
      <c r="A51" s="3"/>
    </row>
    <row r="52" spans="1:13" x14ac:dyDescent="0.3">
      <c r="A52" s="3"/>
    </row>
    <row r="53" spans="1:13" x14ac:dyDescent="0.3">
      <c r="A53" s="3"/>
    </row>
    <row r="54" spans="1:13" x14ac:dyDescent="0.3">
      <c r="A54" s="3"/>
    </row>
    <row r="55" spans="1:13" x14ac:dyDescent="0.3">
      <c r="A55" s="3"/>
    </row>
    <row r="56" spans="1:13" x14ac:dyDescent="0.3">
      <c r="A56" s="3"/>
    </row>
    <row r="57" spans="1:13" x14ac:dyDescent="0.3">
      <c r="A57" s="3"/>
    </row>
    <row r="58" spans="1:13" x14ac:dyDescent="0.3">
      <c r="A58" s="3"/>
    </row>
    <row r="59" spans="1:13" x14ac:dyDescent="0.3">
      <c r="A59" s="3"/>
    </row>
    <row r="60" spans="1:13" x14ac:dyDescent="0.3">
      <c r="A60" s="3"/>
    </row>
    <row r="61" spans="1:13" x14ac:dyDescent="0.3">
      <c r="I61" s="111">
        <v>44927</v>
      </c>
      <c r="K61" s="111">
        <v>44835</v>
      </c>
      <c r="L61" s="111">
        <v>45017</v>
      </c>
      <c r="M61" s="13" t="s">
        <v>140</v>
      </c>
    </row>
    <row r="62" spans="1:13" x14ac:dyDescent="0.3">
      <c r="I62" s="13" t="s">
        <v>3</v>
      </c>
    </row>
    <row r="63" spans="1:13" x14ac:dyDescent="0.3">
      <c r="H63" s="12" t="s">
        <v>12</v>
      </c>
      <c r="I63" s="14">
        <f>49.6/419</f>
        <v>0.11837708830548926</v>
      </c>
      <c r="J63" s="2">
        <f>I63*419</f>
        <v>49.6</v>
      </c>
    </row>
    <row r="64" spans="1:13" x14ac:dyDescent="0.3">
      <c r="H64" s="12" t="s">
        <v>13</v>
      </c>
      <c r="I64" s="14">
        <f>89.11/419</f>
        <v>0.21267303102625298</v>
      </c>
      <c r="J64" s="2">
        <f t="shared" ref="J64:J67" si="88">I64*419</f>
        <v>89.11</v>
      </c>
      <c r="K64">
        <v>0.27657500000000002</v>
      </c>
      <c r="L64">
        <v>0.15270400000000001</v>
      </c>
      <c r="M64" s="14">
        <f>AVERAGE(I64,K64,L64)</f>
        <v>0.21398401034208434</v>
      </c>
    </row>
    <row r="65" spans="1:13" x14ac:dyDescent="0.3">
      <c r="H65" s="12" t="s">
        <v>14</v>
      </c>
      <c r="I65" s="14">
        <f>7.4/419</f>
        <v>1.7661097852028639E-2</v>
      </c>
      <c r="J65" s="2">
        <f t="shared" si="88"/>
        <v>7.3999999999999995</v>
      </c>
      <c r="K65">
        <v>2.4520000000000002E-3</v>
      </c>
      <c r="L65">
        <v>0</v>
      </c>
      <c r="M65" s="14">
        <f>AVERAGE(I65,K65,L65)</f>
        <v>6.7043659506762126E-3</v>
      </c>
    </row>
    <row r="66" spans="1:13" x14ac:dyDescent="0.3">
      <c r="H66" s="12" t="s">
        <v>15</v>
      </c>
      <c r="I66" s="14">
        <f>21.09/419</f>
        <v>5.033412887828162E-2</v>
      </c>
      <c r="J66" s="2">
        <f t="shared" si="88"/>
        <v>21.09</v>
      </c>
      <c r="K66">
        <f>K65+K64</f>
        <v>0.27902700000000003</v>
      </c>
      <c r="L66">
        <f>L65+L64</f>
        <v>0.15270400000000001</v>
      </c>
      <c r="M66">
        <f>M65+M64</f>
        <v>0.22068837629276056</v>
      </c>
    </row>
    <row r="67" spans="1:13" x14ac:dyDescent="0.3">
      <c r="H67" s="12" t="s">
        <v>16</v>
      </c>
      <c r="I67" s="14">
        <f>41.02/419</f>
        <v>9.7899761336515526E-2</v>
      </c>
      <c r="J67" s="2">
        <f t="shared" si="88"/>
        <v>41.02</v>
      </c>
    </row>
    <row r="68" spans="1:13" x14ac:dyDescent="0.3">
      <c r="H68" s="12" t="s">
        <v>19</v>
      </c>
      <c r="I68" s="14">
        <f>SUM(I63:I67)</f>
        <v>0.49694510739856795</v>
      </c>
      <c r="J68" s="2">
        <f>I68*419</f>
        <v>208.21999999999997</v>
      </c>
    </row>
    <row r="69" spans="1:13" x14ac:dyDescent="0.3">
      <c r="H69" s="12" t="s">
        <v>17</v>
      </c>
      <c r="I69" s="4">
        <v>0.13</v>
      </c>
      <c r="J69" s="2">
        <f>I69*J68</f>
        <v>27.068599999999996</v>
      </c>
    </row>
    <row r="70" spans="1:13" x14ac:dyDescent="0.3">
      <c r="H70" s="12" t="s">
        <v>20</v>
      </c>
      <c r="J70" s="2">
        <f>J69+J68</f>
        <v>235.28859999999997</v>
      </c>
    </row>
    <row r="71" spans="1:13" x14ac:dyDescent="0.3">
      <c r="H71" s="12" t="s">
        <v>21</v>
      </c>
      <c r="J71" s="2">
        <v>22.88</v>
      </c>
    </row>
    <row r="72" spans="1:13" x14ac:dyDescent="0.3">
      <c r="B72" s="51" t="s">
        <v>11</v>
      </c>
      <c r="H72" s="12" t="s">
        <v>17</v>
      </c>
      <c r="J72" s="2">
        <f>J71*I69</f>
        <v>2.9744000000000002</v>
      </c>
    </row>
    <row r="73" spans="1:13" x14ac:dyDescent="0.3">
      <c r="H73" s="12" t="s">
        <v>22</v>
      </c>
      <c r="J73" s="2">
        <f>J72+J71</f>
        <v>25.854399999999998</v>
      </c>
    </row>
    <row r="74" spans="1:13" x14ac:dyDescent="0.3">
      <c r="H74" s="12" t="s">
        <v>23</v>
      </c>
      <c r="J74" s="2">
        <f>J73+J70</f>
        <v>261.14299999999997</v>
      </c>
    </row>
    <row r="75" spans="1:13" x14ac:dyDescent="0.3">
      <c r="H75" s="12"/>
      <c r="J75" s="2"/>
    </row>
    <row r="76" spans="1:13" ht="16.149999999999999" x14ac:dyDescent="0.35">
      <c r="A76" s="35" t="s">
        <v>238</v>
      </c>
      <c r="H76" s="12"/>
      <c r="J76" s="2"/>
    </row>
    <row r="101" spans="1:33" x14ac:dyDescent="0.3">
      <c r="B101" s="18" t="s">
        <v>88</v>
      </c>
      <c r="K101" s="1">
        <v>2023</v>
      </c>
      <c r="L101" s="1">
        <f>K101+1</f>
        <v>2024</v>
      </c>
      <c r="M101" s="1">
        <f t="shared" ref="M101:AF101" si="89">L101+1</f>
        <v>2025</v>
      </c>
      <c r="N101" s="1">
        <f t="shared" si="89"/>
        <v>2026</v>
      </c>
      <c r="O101" s="1">
        <f t="shared" si="89"/>
        <v>2027</v>
      </c>
      <c r="P101" s="1">
        <f t="shared" si="89"/>
        <v>2028</v>
      </c>
      <c r="Q101" s="1">
        <f t="shared" si="89"/>
        <v>2029</v>
      </c>
      <c r="R101" s="1">
        <f t="shared" si="89"/>
        <v>2030</v>
      </c>
      <c r="S101" s="1">
        <f t="shared" si="89"/>
        <v>2031</v>
      </c>
      <c r="T101" s="1">
        <f t="shared" si="89"/>
        <v>2032</v>
      </c>
      <c r="U101" s="1">
        <f t="shared" si="89"/>
        <v>2033</v>
      </c>
      <c r="V101" s="1">
        <f t="shared" si="89"/>
        <v>2034</v>
      </c>
      <c r="W101" s="1">
        <f t="shared" si="89"/>
        <v>2035</v>
      </c>
      <c r="X101" s="1">
        <f t="shared" si="89"/>
        <v>2036</v>
      </c>
      <c r="Y101" s="1">
        <f t="shared" si="89"/>
        <v>2037</v>
      </c>
      <c r="Z101" s="1">
        <f>Y101+1</f>
        <v>2038</v>
      </c>
      <c r="AA101" s="1">
        <f t="shared" si="89"/>
        <v>2039</v>
      </c>
      <c r="AB101" s="1">
        <f t="shared" si="89"/>
        <v>2040</v>
      </c>
      <c r="AC101" s="1">
        <f>AB101+1</f>
        <v>2041</v>
      </c>
      <c r="AD101" s="1">
        <f t="shared" si="89"/>
        <v>2042</v>
      </c>
      <c r="AE101" s="1">
        <f t="shared" si="89"/>
        <v>2043</v>
      </c>
      <c r="AF101" s="1">
        <f t="shared" si="89"/>
        <v>2044</v>
      </c>
      <c r="AG101" s="1">
        <f>AF101+1</f>
        <v>2045</v>
      </c>
    </row>
    <row r="102" spans="1:33" x14ac:dyDescent="0.3">
      <c r="K102">
        <v>0.26</v>
      </c>
      <c r="L102">
        <v>0.23</v>
      </c>
      <c r="M102">
        <v>0.22</v>
      </c>
      <c r="N102">
        <v>0.21</v>
      </c>
      <c r="O102">
        <v>0.18</v>
      </c>
      <c r="P102">
        <v>0.15</v>
      </c>
      <c r="Q102">
        <v>0.18</v>
      </c>
      <c r="R102">
        <v>0.21</v>
      </c>
      <c r="S102">
        <v>0.22</v>
      </c>
      <c r="T102">
        <v>0.22</v>
      </c>
      <c r="U102">
        <v>0.23</v>
      </c>
      <c r="V102">
        <v>0.22</v>
      </c>
      <c r="W102">
        <v>0.22</v>
      </c>
      <c r="X102">
        <v>0.23</v>
      </c>
      <c r="Y102">
        <v>0.24</v>
      </c>
      <c r="Z102">
        <v>0.26</v>
      </c>
      <c r="AA102">
        <v>0.28000000000000003</v>
      </c>
      <c r="AB102">
        <v>0.28999999999999998</v>
      </c>
      <c r="AC102">
        <v>0.28000000000000003</v>
      </c>
      <c r="AD102">
        <v>0.27</v>
      </c>
      <c r="AE102">
        <v>0.28000000000000003</v>
      </c>
      <c r="AF102">
        <v>0.3</v>
      </c>
      <c r="AG102">
        <v>0.33</v>
      </c>
    </row>
    <row r="104" spans="1:33" ht="16.149999999999999" x14ac:dyDescent="0.35">
      <c r="A104" s="35" t="s">
        <v>68</v>
      </c>
    </row>
    <row r="106" spans="1:33" x14ac:dyDescent="0.3">
      <c r="A106" s="3" t="s">
        <v>83</v>
      </c>
    </row>
    <row r="107" spans="1:33" x14ac:dyDescent="0.3">
      <c r="B107" t="s">
        <v>69</v>
      </c>
      <c r="F107" s="25">
        <v>43.31</v>
      </c>
      <c r="G107" s="114" t="s">
        <v>85</v>
      </c>
    </row>
    <row r="108" spans="1:33" x14ac:dyDescent="0.3">
      <c r="B108" t="s">
        <v>70</v>
      </c>
      <c r="F108" s="25">
        <v>-0.1</v>
      </c>
      <c r="G108" s="112" t="s">
        <v>85</v>
      </c>
    </row>
    <row r="109" spans="1:33" x14ac:dyDescent="0.3">
      <c r="B109" t="s">
        <v>71</v>
      </c>
      <c r="F109" s="25">
        <v>-2.17</v>
      </c>
      <c r="G109" s="112" t="s">
        <v>85</v>
      </c>
    </row>
    <row r="110" spans="1:33" x14ac:dyDescent="0.3">
      <c r="B110" t="s">
        <v>72</v>
      </c>
      <c r="F110" s="25">
        <v>-0.31</v>
      </c>
      <c r="G110" s="112" t="s">
        <v>85</v>
      </c>
    </row>
    <row r="111" spans="1:33" x14ac:dyDescent="0.3">
      <c r="B111" t="s">
        <v>73</v>
      </c>
      <c r="F111" s="25">
        <v>0.41</v>
      </c>
      <c r="G111" s="112" t="s">
        <v>85</v>
      </c>
    </row>
    <row r="112" spans="1:33" x14ac:dyDescent="0.3">
      <c r="B112" t="s">
        <v>74</v>
      </c>
      <c r="F112" s="25">
        <v>-0.02</v>
      </c>
      <c r="G112" s="112" t="s">
        <v>85</v>
      </c>
    </row>
    <row r="113" spans="1:7" x14ac:dyDescent="0.3">
      <c r="B113" t="s">
        <v>75</v>
      </c>
      <c r="F113" s="25">
        <v>-0.01</v>
      </c>
      <c r="G113" s="112" t="s">
        <v>85</v>
      </c>
    </row>
    <row r="114" spans="1:7" x14ac:dyDescent="0.3">
      <c r="B114" t="s">
        <v>81</v>
      </c>
      <c r="F114" s="25">
        <v>0.25</v>
      </c>
      <c r="G114" s="112" t="s">
        <v>85</v>
      </c>
    </row>
    <row r="115" spans="1:7" x14ac:dyDescent="0.3">
      <c r="B115" t="s">
        <v>30</v>
      </c>
      <c r="F115" s="25">
        <f>SUM(F107:F114)</f>
        <v>41.359999999999992</v>
      </c>
      <c r="G115" s="113"/>
    </row>
    <row r="116" spans="1:7" x14ac:dyDescent="0.3">
      <c r="B116" t="s">
        <v>84</v>
      </c>
      <c r="F116" s="25">
        <f>F115*1.13</f>
        <v>46.736799999999988</v>
      </c>
      <c r="G116" s="113"/>
    </row>
    <row r="117" spans="1:7" x14ac:dyDescent="0.3">
      <c r="F117" s="25"/>
      <c r="G117" s="113"/>
    </row>
    <row r="118" spans="1:7" x14ac:dyDescent="0.3">
      <c r="A118" s="3" t="s">
        <v>76</v>
      </c>
      <c r="G118" s="113"/>
    </row>
    <row r="119" spans="1:7" x14ac:dyDescent="0.3">
      <c r="B119" t="s">
        <v>13</v>
      </c>
      <c r="F119" s="26">
        <v>9.3399999999999997E-2</v>
      </c>
      <c r="G119" s="112" t="s">
        <v>87</v>
      </c>
    </row>
    <row r="120" spans="1:7" x14ac:dyDescent="0.3">
      <c r="B120" t="s">
        <v>77</v>
      </c>
      <c r="F120" s="26">
        <v>-1.4999999999999999E-4</v>
      </c>
      <c r="G120" s="112" t="s">
        <v>85</v>
      </c>
    </row>
    <row r="121" spans="1:7" x14ac:dyDescent="0.3">
      <c r="B121" t="s">
        <v>78</v>
      </c>
      <c r="F121" s="26">
        <v>3.1900000000000001E-3</v>
      </c>
      <c r="G121" s="112" t="s">
        <v>85</v>
      </c>
    </row>
    <row r="122" spans="1:7" x14ac:dyDescent="0.3">
      <c r="B122" t="s">
        <v>79</v>
      </c>
      <c r="F122" s="26">
        <v>-2.5100000000000001E-3</v>
      </c>
      <c r="G122" s="112" t="s">
        <v>85</v>
      </c>
    </row>
    <row r="123" spans="1:7" x14ac:dyDescent="0.3">
      <c r="B123" t="s">
        <v>80</v>
      </c>
      <c r="F123" s="26">
        <v>1.891E-2</v>
      </c>
      <c r="G123" s="112" t="s">
        <v>85</v>
      </c>
    </row>
    <row r="124" spans="1:7" x14ac:dyDescent="0.3">
      <c r="B124" t="s">
        <v>82</v>
      </c>
      <c r="F124" s="26">
        <v>5.1999999999999998E-3</v>
      </c>
      <c r="G124" s="112" t="s">
        <v>85</v>
      </c>
    </row>
    <row r="125" spans="1:7" x14ac:dyDescent="0.3">
      <c r="B125" t="s">
        <v>19</v>
      </c>
      <c r="F125" s="26">
        <f>SUM(F119:F124)</f>
        <v>0.11803999999999999</v>
      </c>
      <c r="G125" s="113"/>
    </row>
    <row r="126" spans="1:7" x14ac:dyDescent="0.3">
      <c r="B126" t="s">
        <v>20</v>
      </c>
      <c r="F126" s="26">
        <f>F125*1.13</f>
        <v>0.13338519999999998</v>
      </c>
    </row>
    <row r="128" spans="1:7" x14ac:dyDescent="0.3">
      <c r="A128" s="7"/>
    </row>
    <row r="156" spans="8:8" x14ac:dyDescent="0.3">
      <c r="H156" s="4"/>
    </row>
  </sheetData>
  <mergeCells count="9">
    <mergeCell ref="AP2:AR2"/>
    <mergeCell ref="AQ6:AQ11"/>
    <mergeCell ref="AP13:AP20"/>
    <mergeCell ref="AQ15:AQ20"/>
    <mergeCell ref="AQ5:BJ5"/>
    <mergeCell ref="AQ14:BJ14"/>
    <mergeCell ref="AP3:BJ3"/>
    <mergeCell ref="AP12:BJ12"/>
    <mergeCell ref="AP4:AP11"/>
  </mergeCells>
  <hyperlinks>
    <hyperlink ref="G107" r:id="rId1" xr:uid="{C5C15B4E-2D53-4D52-874A-DDD433F807D1}"/>
    <hyperlink ref="B72" r:id="rId2" xr:uid="{01E75D8A-F48E-4717-9261-6862EF530BB7}"/>
  </hyperlinks>
  <pageMargins left="0.7" right="0.7" top="0.75" bottom="0.75" header="0.3" footer="0.3"/>
  <pageSetup orientation="portrait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5D53E-E8FE-4229-8E56-58014E44C158}">
  <dimension ref="A1:R83"/>
  <sheetViews>
    <sheetView zoomScale="80" zoomScaleNormal="80" workbookViewId="0">
      <selection activeCell="C28" sqref="C28"/>
    </sheetView>
  </sheetViews>
  <sheetFormatPr defaultRowHeight="14.4" x14ac:dyDescent="0.3"/>
  <cols>
    <col min="1" max="1" width="2.296875" customWidth="1"/>
    <col min="2" max="2" width="28.296875" customWidth="1"/>
    <col min="3" max="6" width="8.19921875" customWidth="1"/>
    <col min="7" max="7" width="6.69921875" customWidth="1"/>
    <col min="8" max="9" width="7.19921875" customWidth="1"/>
    <col min="10" max="16" width="6.69921875" customWidth="1"/>
    <col min="17" max="17" width="9.09765625" bestFit="1" customWidth="1"/>
  </cols>
  <sheetData>
    <row r="1" spans="1:17" ht="17.850000000000001" x14ac:dyDescent="0.35">
      <c r="A1" s="16" t="s">
        <v>86</v>
      </c>
    </row>
    <row r="2" spans="1:17" ht="17.850000000000001" x14ac:dyDescent="0.35">
      <c r="A2" s="16"/>
    </row>
    <row r="3" spans="1:17" x14ac:dyDescent="0.3">
      <c r="A3" s="87"/>
      <c r="B3" s="87"/>
      <c r="C3" s="92" t="s">
        <v>169</v>
      </c>
      <c r="D3" s="93" t="s">
        <v>170</v>
      </c>
      <c r="E3" s="93" t="s">
        <v>177</v>
      </c>
      <c r="F3" s="92" t="s">
        <v>41</v>
      </c>
      <c r="G3" s="92" t="s">
        <v>187</v>
      </c>
      <c r="H3" s="92" t="s">
        <v>148</v>
      </c>
      <c r="I3" s="92" t="s">
        <v>149</v>
      </c>
      <c r="J3" s="92" t="s">
        <v>62</v>
      </c>
      <c r="K3" s="92" t="s">
        <v>52</v>
      </c>
      <c r="L3" s="92" t="s">
        <v>188</v>
      </c>
      <c r="M3" s="91" t="s">
        <v>48</v>
      </c>
      <c r="N3" s="91"/>
      <c r="O3" s="91"/>
      <c r="P3" s="91"/>
    </row>
    <row r="4" spans="1:17" ht="43.2" customHeight="1" x14ac:dyDescent="0.3">
      <c r="A4" s="87"/>
      <c r="B4" s="87"/>
      <c r="C4" s="92"/>
      <c r="D4" s="94"/>
      <c r="E4" s="94"/>
      <c r="F4" s="92"/>
      <c r="G4" s="92"/>
      <c r="H4" s="92"/>
      <c r="I4" s="92"/>
      <c r="J4" s="92"/>
      <c r="K4" s="92"/>
      <c r="L4" s="92"/>
      <c r="M4" s="27" t="s">
        <v>59</v>
      </c>
      <c r="N4" s="27" t="s">
        <v>60</v>
      </c>
      <c r="O4" s="27" t="s">
        <v>61</v>
      </c>
      <c r="P4" s="27" t="s">
        <v>30</v>
      </c>
    </row>
    <row r="5" spans="1:17" x14ac:dyDescent="0.3">
      <c r="A5" s="90" t="s">
        <v>42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</row>
    <row r="6" spans="1:17" x14ac:dyDescent="0.3">
      <c r="A6" s="95"/>
      <c r="B6" s="28" t="s">
        <v>189</v>
      </c>
      <c r="C6" s="29"/>
      <c r="D6" s="29"/>
      <c r="E6" s="29"/>
      <c r="F6" s="29"/>
      <c r="G6" s="29"/>
      <c r="H6" s="64">
        <v>0.9</v>
      </c>
      <c r="I6" s="29"/>
      <c r="J6" s="62">
        <v>13</v>
      </c>
      <c r="K6" s="29"/>
      <c r="L6" s="32">
        <f>C35</f>
        <v>2117</v>
      </c>
      <c r="M6" s="28">
        <f>M7</f>
        <v>631</v>
      </c>
      <c r="N6" s="32">
        <f>C37</f>
        <v>779</v>
      </c>
      <c r="O6" s="28"/>
      <c r="P6" s="30">
        <f>SUM(M6:O6)</f>
        <v>1410</v>
      </c>
    </row>
    <row r="7" spans="1:17" x14ac:dyDescent="0.3">
      <c r="A7" s="96"/>
      <c r="B7" s="28" t="s">
        <v>57</v>
      </c>
      <c r="C7" s="60">
        <f>D63</f>
        <v>8000</v>
      </c>
      <c r="D7" s="61">
        <f>C7</f>
        <v>8000</v>
      </c>
      <c r="E7" s="61"/>
      <c r="F7" s="62">
        <f>C81</f>
        <v>18</v>
      </c>
      <c r="G7" s="31">
        <f>-PMT($C$22,F7,C7)</f>
        <v>631.94662515442008</v>
      </c>
      <c r="H7" s="64">
        <v>0.95</v>
      </c>
      <c r="I7" s="64">
        <v>0.95</v>
      </c>
      <c r="J7" s="62">
        <v>14</v>
      </c>
      <c r="K7" s="29"/>
      <c r="L7" s="32">
        <f>L6*H6/H7</f>
        <v>2005.578947368421</v>
      </c>
      <c r="M7" s="28">
        <f>C38</f>
        <v>631</v>
      </c>
      <c r="N7" s="32">
        <f>N6*J6/J7</f>
        <v>723.35714285714289</v>
      </c>
      <c r="O7" s="28"/>
      <c r="P7" s="30">
        <f t="shared" ref="P7:P18" si="0">SUM(M7:O7)</f>
        <v>1354.3571428571429</v>
      </c>
    </row>
    <row r="8" spans="1:17" x14ac:dyDescent="0.3">
      <c r="A8" s="97"/>
      <c r="B8" s="28" t="s">
        <v>40</v>
      </c>
      <c r="C8" s="60">
        <f>IF(Summary!D9="Y",C62-Equipment!C27,C62)</f>
        <v>4600</v>
      </c>
      <c r="D8" s="61">
        <f>(1-((7/30)*0.15))*C8</f>
        <v>4439</v>
      </c>
      <c r="E8" s="61"/>
      <c r="F8" s="62">
        <f>C82</f>
        <v>18</v>
      </c>
      <c r="G8" s="31">
        <f>-PMT($C$22,$F8,$C$8)</f>
        <v>363.36930946379152</v>
      </c>
      <c r="H8" s="64">
        <f>2.84*Summary!D8</f>
        <v>2.84</v>
      </c>
      <c r="I8" s="64">
        <f>(2.93/2.84)*H8</f>
        <v>2.93</v>
      </c>
      <c r="J8" s="62">
        <v>18</v>
      </c>
      <c r="K8" s="29"/>
      <c r="L8" s="28"/>
      <c r="M8" s="33">
        <f>L6*C25*(H6/H8)/C26</f>
        <v>7279.0117315852922</v>
      </c>
      <c r="N8" s="32">
        <f>N7*J7/J8</f>
        <v>562.61111111111109</v>
      </c>
      <c r="O8" s="28"/>
      <c r="P8" s="30">
        <f t="shared" si="0"/>
        <v>7841.6228426964035</v>
      </c>
    </row>
    <row r="9" spans="1:17" x14ac:dyDescent="0.3">
      <c r="A9" s="90" t="s">
        <v>43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</row>
    <row r="10" spans="1:17" x14ac:dyDescent="0.3">
      <c r="A10" s="95"/>
      <c r="B10" s="28" t="s">
        <v>58</v>
      </c>
      <c r="C10" s="29"/>
      <c r="D10" s="29"/>
      <c r="E10" s="29"/>
      <c r="F10" s="29"/>
      <c r="G10" s="29"/>
      <c r="H10" s="29"/>
      <c r="I10" s="29"/>
      <c r="J10" s="29"/>
      <c r="K10" s="28">
        <f>C70</f>
        <v>0.63</v>
      </c>
      <c r="L10" s="32">
        <f>IF(Summary!D4="y",C36,C45*K11/K10)</f>
        <v>441</v>
      </c>
      <c r="M10" s="28"/>
      <c r="N10" s="28"/>
      <c r="O10" s="28"/>
      <c r="P10" s="30">
        <f t="shared" si="0"/>
        <v>0</v>
      </c>
    </row>
    <row r="11" spans="1:17" x14ac:dyDescent="0.3">
      <c r="A11" s="96"/>
      <c r="B11" s="28" t="s">
        <v>44</v>
      </c>
      <c r="C11" s="60">
        <f>E71</f>
        <v>3016.00299</v>
      </c>
      <c r="D11" s="60"/>
      <c r="E11" s="60">
        <f>PV($C$22,F11/2,PMT($C$22,F11,C11))*'Customer Costs'!C7</f>
        <v>1409.4733737506865</v>
      </c>
      <c r="F11" s="62">
        <f>F71</f>
        <v>14.5</v>
      </c>
      <c r="G11" s="31">
        <f>-PMT($C$22,F11,C11)</f>
        <v>278.13983457200726</v>
      </c>
      <c r="H11" s="29"/>
      <c r="I11" s="29"/>
      <c r="J11" s="29"/>
      <c r="K11" s="63">
        <f>C71</f>
        <v>0.83</v>
      </c>
      <c r="L11" s="32">
        <f>L10*(K10/K11)</f>
        <v>334.73493975903614</v>
      </c>
      <c r="M11" s="28"/>
      <c r="N11" s="28"/>
      <c r="O11" s="28"/>
      <c r="P11" s="30">
        <f t="shared" si="0"/>
        <v>0</v>
      </c>
    </row>
    <row r="12" spans="1:17" x14ac:dyDescent="0.3">
      <c r="A12" s="97"/>
      <c r="B12" s="28" t="s">
        <v>45</v>
      </c>
      <c r="C12" s="60">
        <f>IF(Summary!D9="Y",E72-Equipment!C28,E72)</f>
        <v>1111.39633</v>
      </c>
      <c r="D12" s="60"/>
      <c r="E12" s="60"/>
      <c r="F12" s="62">
        <f>F72</f>
        <v>15.1</v>
      </c>
      <c r="G12" s="31">
        <f>-PMT($C$22,$F$12,$C$12)</f>
        <v>99.474056905407508</v>
      </c>
      <c r="H12" s="29"/>
      <c r="I12" s="29"/>
      <c r="J12" s="29"/>
      <c r="K12" s="63">
        <f>C72</f>
        <v>3.73</v>
      </c>
      <c r="L12" s="28"/>
      <c r="M12" s="32">
        <f>L11*C25*(K11/K12)/C26</f>
        <v>808.16064732893506</v>
      </c>
      <c r="N12" s="28"/>
      <c r="O12" s="28"/>
      <c r="P12" s="30">
        <f t="shared" si="0"/>
        <v>808.16064732893506</v>
      </c>
    </row>
    <row r="13" spans="1:17" x14ac:dyDescent="0.3">
      <c r="A13" s="90" t="s">
        <v>50</v>
      </c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</row>
    <row r="14" spans="1:17" x14ac:dyDescent="0.3">
      <c r="A14" s="98"/>
      <c r="B14" s="28" t="s">
        <v>46</v>
      </c>
      <c r="C14" s="60">
        <f>E74</f>
        <v>1223.27394</v>
      </c>
      <c r="D14" s="60"/>
      <c r="E14" s="60">
        <f>PV($C$22,F14/2,PMT($C$22,F14,C14))*'Customer Costs'!C8</f>
        <v>106.82308149977231</v>
      </c>
      <c r="F14" s="62">
        <f>F74</f>
        <v>13</v>
      </c>
      <c r="G14" s="31">
        <f>-PMT($C$22,F14,C14)</f>
        <v>122.50321248935926</v>
      </c>
      <c r="H14" s="29"/>
      <c r="I14" s="29"/>
      <c r="J14" s="29"/>
      <c r="K14" s="63">
        <f>C74</f>
        <v>3.48</v>
      </c>
      <c r="L14" s="32">
        <f>(((O15*C26)*(K15/K14))-(O14*C26))/C25</f>
        <v>53.329383930401093</v>
      </c>
      <c r="M14" s="28"/>
      <c r="N14" s="28"/>
      <c r="O14" s="33">
        <f>C39</f>
        <v>108</v>
      </c>
      <c r="P14" s="30">
        <f t="shared" si="0"/>
        <v>108</v>
      </c>
      <c r="Q14" s="18" t="s">
        <v>175</v>
      </c>
    </row>
    <row r="15" spans="1:17" x14ac:dyDescent="0.3">
      <c r="A15" s="99"/>
      <c r="B15" s="28" t="s">
        <v>47</v>
      </c>
      <c r="C15" s="60">
        <f>E73</f>
        <v>998.30401999999992</v>
      </c>
      <c r="D15" s="60"/>
      <c r="E15" s="60"/>
      <c r="F15" s="62">
        <f>F73</f>
        <v>13</v>
      </c>
      <c r="G15" s="31">
        <f>-PMT($C$22,F15,C15)</f>
        <v>99.973886054534546</v>
      </c>
      <c r="H15" s="29"/>
      <c r="I15" s="29"/>
      <c r="J15" s="29"/>
      <c r="K15" s="63">
        <f>C73</f>
        <v>3.93</v>
      </c>
      <c r="L15" s="28"/>
      <c r="M15" s="28"/>
      <c r="N15" s="28"/>
      <c r="O15" s="33">
        <v>608</v>
      </c>
      <c r="P15" s="30">
        <f>SUM(M15:O15)</f>
        <v>608</v>
      </c>
      <c r="Q15" s="38"/>
    </row>
    <row r="16" spans="1:17" x14ac:dyDescent="0.3">
      <c r="A16" s="90" t="s">
        <v>49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</row>
    <row r="17" spans="1:16" x14ac:dyDescent="0.3">
      <c r="A17" s="98"/>
      <c r="B17" s="28" t="s">
        <v>234</v>
      </c>
      <c r="C17" s="60">
        <f>E75</f>
        <v>1195.1526999999999</v>
      </c>
      <c r="D17" s="60"/>
      <c r="E17" s="60">
        <f>PV($C$22,F17/2,PMT($C$22,F17,C17))*'Customer Costs'!C9</f>
        <v>202.71210243874955</v>
      </c>
      <c r="F17" s="62">
        <f>F75</f>
        <v>15</v>
      </c>
      <c r="G17" s="31">
        <f>-PMT($C$22,F17,C17)</f>
        <v>107.49334894933961</v>
      </c>
      <c r="H17" s="29"/>
      <c r="I17" s="29"/>
      <c r="J17" s="29"/>
      <c r="K17" s="29"/>
      <c r="L17" s="32">
        <f>C57</f>
        <v>94.054054054054063</v>
      </c>
      <c r="M17" s="28"/>
      <c r="N17" s="28"/>
      <c r="O17" s="28"/>
      <c r="P17" s="30">
        <f t="shared" si="0"/>
        <v>0</v>
      </c>
    </row>
    <row r="18" spans="1:16" x14ac:dyDescent="0.3">
      <c r="A18" s="99"/>
      <c r="B18" s="28" t="s">
        <v>228</v>
      </c>
      <c r="C18" s="60">
        <f>E76</f>
        <v>1476.3651</v>
      </c>
      <c r="D18" s="60"/>
      <c r="E18" s="60"/>
      <c r="F18" s="62">
        <f>F76</f>
        <v>17</v>
      </c>
      <c r="G18" s="31">
        <f>-PMT($C$22,F18,C18)</f>
        <v>121.35502928392555</v>
      </c>
      <c r="H18" s="29"/>
      <c r="I18" s="29"/>
      <c r="J18" s="29"/>
      <c r="K18" s="29"/>
      <c r="L18" s="28"/>
      <c r="M18" s="28"/>
      <c r="N18" s="28"/>
      <c r="O18" s="33">
        <f>(L17*C25/C26/C42)*(1-C43)</f>
        <v>289.86660000000006</v>
      </c>
      <c r="P18" s="30">
        <f t="shared" si="0"/>
        <v>289.86660000000006</v>
      </c>
    </row>
    <row r="19" spans="1:16" x14ac:dyDescent="0.3">
      <c r="C19" s="20"/>
      <c r="D19" s="20"/>
      <c r="E19" s="20"/>
    </row>
    <row r="20" spans="1:16" x14ac:dyDescent="0.3">
      <c r="C20" s="20"/>
      <c r="D20" s="20"/>
      <c r="E20" s="20"/>
      <c r="F20" s="5"/>
    </row>
    <row r="21" spans="1:16" ht="16.149999999999999" x14ac:dyDescent="0.35">
      <c r="A21" s="35" t="s">
        <v>174</v>
      </c>
      <c r="L21" s="37"/>
    </row>
    <row r="22" spans="1:16" x14ac:dyDescent="0.3">
      <c r="B22" t="s">
        <v>51</v>
      </c>
      <c r="C22" s="21">
        <v>0.04</v>
      </c>
      <c r="D22" s="21"/>
      <c r="E22" s="21"/>
      <c r="F22" s="18" t="s">
        <v>137</v>
      </c>
    </row>
    <row r="23" spans="1:16" x14ac:dyDescent="0.3">
      <c r="B23" t="s">
        <v>54</v>
      </c>
      <c r="C23" s="23">
        <v>3.9079999999999997E-2</v>
      </c>
      <c r="D23" s="23"/>
      <c r="E23" s="23"/>
      <c r="L23" s="37"/>
    </row>
    <row r="24" spans="1:16" x14ac:dyDescent="0.3">
      <c r="B24" t="s">
        <v>53</v>
      </c>
      <c r="C24">
        <v>3.7019999999999997E-2</v>
      </c>
      <c r="F24" s="18" t="s">
        <v>215</v>
      </c>
      <c r="L24" s="38"/>
    </row>
    <row r="25" spans="1:16" x14ac:dyDescent="0.3">
      <c r="B25" t="s">
        <v>55</v>
      </c>
      <c r="C25" s="22">
        <f>C24*1000000</f>
        <v>37020</v>
      </c>
      <c r="D25" s="22"/>
      <c r="E25" s="22"/>
    </row>
    <row r="26" spans="1:16" x14ac:dyDescent="0.3">
      <c r="B26" t="s">
        <v>56</v>
      </c>
      <c r="C26">
        <v>3412</v>
      </c>
    </row>
    <row r="27" spans="1:16" x14ac:dyDescent="0.3">
      <c r="B27" t="s">
        <v>213</v>
      </c>
      <c r="C27" s="20">
        <v>6500</v>
      </c>
      <c r="F27" s="51" t="s">
        <v>173</v>
      </c>
    </row>
    <row r="28" spans="1:16" x14ac:dyDescent="0.3">
      <c r="B28" t="s">
        <v>214</v>
      </c>
      <c r="C28" s="20">
        <v>1300</v>
      </c>
    </row>
    <row r="29" spans="1:16" x14ac:dyDescent="0.3">
      <c r="B29" t="s">
        <v>224</v>
      </c>
      <c r="C29">
        <v>1.0492999999999999</v>
      </c>
      <c r="F29" s="51" t="s">
        <v>108</v>
      </c>
    </row>
    <row r="30" spans="1:16" x14ac:dyDescent="0.3">
      <c r="B30" t="s">
        <v>109</v>
      </c>
      <c r="C30">
        <v>1.34</v>
      </c>
      <c r="E30" s="59">
        <v>45030</v>
      </c>
      <c r="F30" s="18" t="s">
        <v>186</v>
      </c>
    </row>
    <row r="31" spans="1:16" x14ac:dyDescent="0.3">
      <c r="F31" s="18" t="s">
        <v>110</v>
      </c>
    </row>
    <row r="32" spans="1:16" x14ac:dyDescent="0.3">
      <c r="F32" s="18"/>
    </row>
    <row r="33" spans="1:11" ht="16.149999999999999" x14ac:dyDescent="0.35">
      <c r="A33" s="35" t="s">
        <v>150</v>
      </c>
    </row>
    <row r="34" spans="1:11" ht="16.149999999999999" x14ac:dyDescent="0.35">
      <c r="A34" s="35"/>
    </row>
    <row r="35" spans="1:11" ht="16.149999999999999" x14ac:dyDescent="0.35">
      <c r="A35" s="35"/>
      <c r="B35" t="s">
        <v>59</v>
      </c>
      <c r="C35">
        <v>2117</v>
      </c>
      <c r="D35" s="18" t="s">
        <v>151</v>
      </c>
      <c r="E35" s="18"/>
    </row>
    <row r="36" spans="1:11" ht="16.149999999999999" x14ac:dyDescent="0.35">
      <c r="A36" s="35"/>
      <c r="B36" t="s">
        <v>43</v>
      </c>
      <c r="C36">
        <v>441</v>
      </c>
      <c r="D36" s="18" t="str">
        <f>D35</f>
        <v>Posterity response to JT2.1</v>
      </c>
      <c r="E36" s="18"/>
    </row>
    <row r="37" spans="1:11" ht="16.149999999999999" x14ac:dyDescent="0.35">
      <c r="A37" s="35"/>
      <c r="B37" t="s">
        <v>105</v>
      </c>
      <c r="C37" s="34">
        <v>779</v>
      </c>
      <c r="D37" s="18" t="s">
        <v>106</v>
      </c>
      <c r="E37" s="18"/>
      <c r="G37" s="36"/>
      <c r="H37" s="36"/>
      <c r="I37" s="36"/>
      <c r="J37" s="36"/>
      <c r="K37" s="1"/>
    </row>
    <row r="38" spans="1:11" ht="16.149999999999999" x14ac:dyDescent="0.35">
      <c r="A38" s="35"/>
      <c r="B38" t="s">
        <v>103</v>
      </c>
      <c r="C38">
        <v>631</v>
      </c>
      <c r="D38" s="18" t="s">
        <v>232</v>
      </c>
    </row>
    <row r="39" spans="1:11" x14ac:dyDescent="0.3">
      <c r="B39" t="s">
        <v>104</v>
      </c>
      <c r="C39">
        <v>108</v>
      </c>
      <c r="D39" t="s">
        <v>117</v>
      </c>
    </row>
    <row r="40" spans="1:11" x14ac:dyDescent="0.3">
      <c r="B40" t="s">
        <v>120</v>
      </c>
      <c r="C40">
        <v>261</v>
      </c>
      <c r="D40" t="s">
        <v>124</v>
      </c>
    </row>
    <row r="41" spans="1:11" x14ac:dyDescent="0.3">
      <c r="B41" t="s">
        <v>121</v>
      </c>
      <c r="C41">
        <v>29</v>
      </c>
      <c r="D41" t="s">
        <v>123</v>
      </c>
      <c r="I41" s="18" t="s">
        <v>119</v>
      </c>
    </row>
    <row r="42" spans="1:11" x14ac:dyDescent="0.3">
      <c r="B42" t="s">
        <v>122</v>
      </c>
      <c r="C42" s="9">
        <f>(C41*100000)/(C40*3412)</f>
        <v>3.256480395988016</v>
      </c>
      <c r="I42" s="18" t="s">
        <v>119</v>
      </c>
      <c r="J42" s="18"/>
    </row>
    <row r="43" spans="1:11" x14ac:dyDescent="0.3">
      <c r="B43" t="s">
        <v>128</v>
      </c>
      <c r="C43" s="42">
        <v>7.4999999999999997E-2</v>
      </c>
      <c r="D43" t="s">
        <v>130</v>
      </c>
      <c r="H43" s="18"/>
      <c r="I43" s="18" t="s">
        <v>129</v>
      </c>
      <c r="J43" s="18"/>
    </row>
    <row r="44" spans="1:11" x14ac:dyDescent="0.3">
      <c r="B44" t="s">
        <v>125</v>
      </c>
      <c r="C44">
        <v>531</v>
      </c>
      <c r="D44" t="s">
        <v>127</v>
      </c>
      <c r="I44" s="18" t="s">
        <v>126</v>
      </c>
      <c r="J44" s="18"/>
    </row>
    <row r="45" spans="1:11" ht="16.149999999999999" x14ac:dyDescent="0.35">
      <c r="A45" s="35"/>
      <c r="B45" t="s">
        <v>133</v>
      </c>
      <c r="C45" s="37">
        <f>(AVERAGE(190,232))*100000/C25</f>
        <v>569.9621826039978</v>
      </c>
      <c r="D45" t="s">
        <v>132</v>
      </c>
      <c r="I45" s="18" t="s">
        <v>131</v>
      </c>
      <c r="J45" s="18"/>
    </row>
    <row r="46" spans="1:11" ht="16.149999999999999" x14ac:dyDescent="0.35">
      <c r="A46" s="35"/>
    </row>
    <row r="47" spans="1:11" ht="16.149999999999999" x14ac:dyDescent="0.35">
      <c r="A47" s="35"/>
    </row>
    <row r="48" spans="1:11" ht="16.149999999999999" x14ac:dyDescent="0.35">
      <c r="A48" s="35" t="s">
        <v>219</v>
      </c>
    </row>
    <row r="49" spans="1:18" x14ac:dyDescent="0.3">
      <c r="F49" s="13"/>
    </row>
    <row r="50" spans="1:18" x14ac:dyDescent="0.3">
      <c r="C50" s="13" t="s">
        <v>49</v>
      </c>
      <c r="D50" s="13" t="s">
        <v>90</v>
      </c>
      <c r="E50" s="13" t="s">
        <v>91</v>
      </c>
      <c r="F50" s="13" t="s">
        <v>92</v>
      </c>
    </row>
    <row r="51" spans="1:18" x14ac:dyDescent="0.3">
      <c r="C51" s="8">
        <v>0.29599999999999999</v>
      </c>
      <c r="D51" s="8">
        <v>0.96299999999999997</v>
      </c>
      <c r="E51" s="8">
        <v>0.155</v>
      </c>
      <c r="F51" s="8">
        <v>0.81899999999999995</v>
      </c>
      <c r="G51" s="18" t="s">
        <v>217</v>
      </c>
    </row>
    <row r="52" spans="1:18" x14ac:dyDescent="0.3">
      <c r="C52" s="3"/>
      <c r="D52" s="3"/>
      <c r="E52" s="3"/>
      <c r="F52" s="3"/>
      <c r="G52" s="3"/>
      <c r="H52" s="3"/>
      <c r="I52" s="3"/>
      <c r="J52" s="3"/>
      <c r="K52" s="3"/>
    </row>
    <row r="53" spans="1:18" ht="16.149999999999999" x14ac:dyDescent="0.35">
      <c r="A53" s="35" t="s">
        <v>220</v>
      </c>
      <c r="D53" s="13"/>
      <c r="E53" s="13"/>
      <c r="M53" s="13"/>
    </row>
    <row r="54" spans="1:18" x14ac:dyDescent="0.3">
      <c r="B54" s="54" t="s">
        <v>216</v>
      </c>
      <c r="C54">
        <v>2784</v>
      </c>
      <c r="D54" s="18" t="s">
        <v>217</v>
      </c>
      <c r="E54" s="13"/>
      <c r="M54" s="13"/>
      <c r="N54" s="13"/>
      <c r="O54" s="13"/>
      <c r="P54" s="13"/>
      <c r="Q54" s="13"/>
      <c r="R54" s="13"/>
    </row>
    <row r="55" spans="1:18" x14ac:dyDescent="0.3">
      <c r="B55" t="s">
        <v>93</v>
      </c>
      <c r="C55" s="57">
        <v>0.01</v>
      </c>
      <c r="D55" s="18" t="s">
        <v>218</v>
      </c>
      <c r="E55" s="4"/>
      <c r="M55" s="8"/>
      <c r="N55" s="8"/>
      <c r="O55" s="8"/>
      <c r="P55" s="8"/>
      <c r="Q55" s="8"/>
      <c r="R55" s="4"/>
    </row>
    <row r="56" spans="1:18" x14ac:dyDescent="0.3">
      <c r="B56" t="s">
        <v>94</v>
      </c>
      <c r="C56" s="34">
        <f>C55*$C$54</f>
        <v>27.84</v>
      </c>
      <c r="D56" s="34"/>
      <c r="E56" s="34"/>
      <c r="M56" s="34"/>
      <c r="N56" s="34"/>
      <c r="O56" s="34"/>
      <c r="P56" s="34"/>
      <c r="Q56" s="34"/>
    </row>
    <row r="57" spans="1:18" x14ac:dyDescent="0.3">
      <c r="B57" t="s">
        <v>95</v>
      </c>
      <c r="C57" s="36">
        <f>C56/C51</f>
        <v>94.054054054054063</v>
      </c>
      <c r="D57" s="36"/>
      <c r="E57" s="36"/>
      <c r="L57" s="34"/>
      <c r="M57" s="36"/>
      <c r="N57" s="36"/>
      <c r="O57" s="36"/>
      <c r="P57" s="36"/>
      <c r="Q57" s="36"/>
      <c r="R57" s="1"/>
    </row>
    <row r="58" spans="1:18" x14ac:dyDescent="0.3">
      <c r="C58" s="36"/>
      <c r="D58" s="36"/>
      <c r="E58" s="36"/>
      <c r="F58" s="36"/>
      <c r="G58" s="36"/>
      <c r="H58" s="36"/>
      <c r="I58" s="36"/>
      <c r="J58" s="36"/>
      <c r="K58" s="1"/>
    </row>
    <row r="59" spans="1:18" ht="16.149999999999999" x14ac:dyDescent="0.35">
      <c r="A59" s="35" t="s">
        <v>96</v>
      </c>
    </row>
    <row r="60" spans="1:18" ht="57.6" x14ac:dyDescent="0.3">
      <c r="C60" s="19" t="s">
        <v>221</v>
      </c>
      <c r="D60" s="19" t="s">
        <v>100</v>
      </c>
    </row>
    <row r="61" spans="1:18" x14ac:dyDescent="0.3">
      <c r="B61" t="s">
        <v>97</v>
      </c>
      <c r="C61" s="20">
        <v>12200</v>
      </c>
      <c r="D61" s="20">
        <v>18250</v>
      </c>
      <c r="E61" s="18"/>
    </row>
    <row r="62" spans="1:18" x14ac:dyDescent="0.3">
      <c r="B62" t="s">
        <v>98</v>
      </c>
      <c r="C62" s="20">
        <v>11100</v>
      </c>
      <c r="D62" s="20">
        <v>11100</v>
      </c>
      <c r="E62" s="20"/>
      <c r="G62" s="18"/>
    </row>
    <row r="63" spans="1:18" x14ac:dyDescent="0.3">
      <c r="B63" t="s">
        <v>99</v>
      </c>
      <c r="C63" s="20"/>
      <c r="D63" s="20">
        <v>8000</v>
      </c>
      <c r="E63" s="20"/>
      <c r="G63" s="18"/>
    </row>
    <row r="64" spans="1:18" ht="28.8" x14ac:dyDescent="0.3">
      <c r="B64" t="s">
        <v>101</v>
      </c>
      <c r="D64" s="40" t="s">
        <v>102</v>
      </c>
      <c r="E64" s="18"/>
    </row>
    <row r="65" spans="1:8" x14ac:dyDescent="0.3">
      <c r="D65" s="40"/>
      <c r="E65" s="18"/>
    </row>
    <row r="66" spans="1:8" x14ac:dyDescent="0.3">
      <c r="B66" s="18" t="s">
        <v>222</v>
      </c>
      <c r="D66" s="40"/>
      <c r="E66" s="18"/>
    </row>
    <row r="67" spans="1:8" x14ac:dyDescent="0.3">
      <c r="B67" s="18" t="s">
        <v>223</v>
      </c>
      <c r="F67" s="39"/>
    </row>
    <row r="69" spans="1:8" ht="43.2" x14ac:dyDescent="0.3">
      <c r="C69" s="13" t="s">
        <v>113</v>
      </c>
      <c r="D69" s="19" t="s">
        <v>225</v>
      </c>
      <c r="E69" s="19" t="s">
        <v>111</v>
      </c>
      <c r="F69" s="19" t="s">
        <v>107</v>
      </c>
      <c r="G69" s="19"/>
    </row>
    <row r="70" spans="1:8" x14ac:dyDescent="0.3">
      <c r="B70" t="s">
        <v>118</v>
      </c>
      <c r="C70" s="1">
        <v>0.63</v>
      </c>
      <c r="D70" s="19"/>
      <c r="E70" s="19"/>
      <c r="F70" s="19"/>
      <c r="G70" s="19"/>
      <c r="H70" t="s">
        <v>236</v>
      </c>
    </row>
    <row r="71" spans="1:8" x14ac:dyDescent="0.3">
      <c r="B71" t="s">
        <v>114</v>
      </c>
      <c r="C71" s="1">
        <v>0.83</v>
      </c>
      <c r="D71" s="20">
        <f>AVERAGE(1130,3160)</f>
        <v>2145</v>
      </c>
      <c r="E71" s="20">
        <f>D71*$C$29*$C$30</f>
        <v>3016.00299</v>
      </c>
      <c r="F71" s="1">
        <v>14.5</v>
      </c>
      <c r="G71" s="1"/>
      <c r="H71" t="s">
        <v>227</v>
      </c>
    </row>
    <row r="72" spans="1:8" x14ac:dyDescent="0.3">
      <c r="B72" t="s">
        <v>112</v>
      </c>
      <c r="C72" s="1">
        <v>3.73</v>
      </c>
      <c r="D72" s="20">
        <f>AVERAGE(980,2450)</f>
        <v>1715</v>
      </c>
      <c r="E72" s="20">
        <f>D72*$C$29*$C$30</f>
        <v>2411.39633</v>
      </c>
      <c r="F72" s="1">
        <v>15.1</v>
      </c>
      <c r="G72" s="1"/>
      <c r="H72" t="s">
        <v>237</v>
      </c>
    </row>
    <row r="73" spans="1:8" x14ac:dyDescent="0.3">
      <c r="B73" t="s">
        <v>115</v>
      </c>
      <c r="C73" s="41">
        <v>3.93</v>
      </c>
      <c r="D73" s="20">
        <v>710</v>
      </c>
      <c r="E73" s="20">
        <f>D73*$C$29*$C$30</f>
        <v>998.30401999999992</v>
      </c>
      <c r="F73" s="1">
        <f>AVERAGE(18,8)</f>
        <v>13</v>
      </c>
      <c r="G73" s="1"/>
      <c r="H73" t="s">
        <v>226</v>
      </c>
    </row>
    <row r="74" spans="1:8" x14ac:dyDescent="0.3">
      <c r="B74" t="s">
        <v>116</v>
      </c>
      <c r="C74" s="41">
        <v>3.48</v>
      </c>
      <c r="D74" s="20">
        <v>870</v>
      </c>
      <c r="E74" s="20">
        <f>D74*$C$29*$C$30</f>
        <v>1223.27394</v>
      </c>
      <c r="F74" s="1">
        <f>AVERAGE(18,8)</f>
        <v>13</v>
      </c>
      <c r="G74" s="1"/>
      <c r="H74" t="str">
        <f t="shared" ref="H74" si="1">H73</f>
        <v>2022 Energy Star</v>
      </c>
    </row>
    <row r="75" spans="1:8" x14ac:dyDescent="0.3">
      <c r="B75" t="s">
        <v>229</v>
      </c>
      <c r="C75" s="1"/>
      <c r="D75" s="20">
        <v>850</v>
      </c>
      <c r="E75" s="20">
        <f t="shared" ref="E75:E76" si="2">D75*$C$29*$C$30</f>
        <v>1195.1526999999999</v>
      </c>
      <c r="F75" s="1">
        <v>15</v>
      </c>
      <c r="G75" s="1"/>
      <c r="H75" t="s">
        <v>231</v>
      </c>
    </row>
    <row r="76" spans="1:8" x14ac:dyDescent="0.3">
      <c r="B76" t="s">
        <v>230</v>
      </c>
      <c r="D76" s="20">
        <v>1050</v>
      </c>
      <c r="E76" s="20">
        <f t="shared" si="2"/>
        <v>1476.3651</v>
      </c>
      <c r="F76" s="1">
        <v>17</v>
      </c>
      <c r="G76" s="20"/>
      <c r="H76" t="s">
        <v>231</v>
      </c>
    </row>
    <row r="77" spans="1:8" x14ac:dyDescent="0.3">
      <c r="B77" s="18" t="s">
        <v>232</v>
      </c>
    </row>
    <row r="78" spans="1:8" x14ac:dyDescent="0.3">
      <c r="B78" s="18" t="s">
        <v>233</v>
      </c>
    </row>
    <row r="80" spans="1:8" ht="16.149999999999999" x14ac:dyDescent="0.35">
      <c r="A80" s="35" t="s">
        <v>134</v>
      </c>
    </row>
    <row r="81" spans="2:6" x14ac:dyDescent="0.3">
      <c r="B81" t="s">
        <v>135</v>
      </c>
      <c r="C81">
        <v>18</v>
      </c>
      <c r="F81" s="18" t="s">
        <v>136</v>
      </c>
    </row>
    <row r="82" spans="2:6" x14ac:dyDescent="0.3">
      <c r="B82" t="s">
        <v>65</v>
      </c>
      <c r="C82">
        <v>18</v>
      </c>
      <c r="F82" s="18" t="s">
        <v>235</v>
      </c>
    </row>
    <row r="83" spans="2:6" x14ac:dyDescent="0.3">
      <c r="F83" s="7"/>
    </row>
  </sheetData>
  <mergeCells count="20">
    <mergeCell ref="A6:A8"/>
    <mergeCell ref="A10:A12"/>
    <mergeCell ref="A14:A15"/>
    <mergeCell ref="A17:A18"/>
    <mergeCell ref="A9:P9"/>
    <mergeCell ref="A13:P13"/>
    <mergeCell ref="A16:P16"/>
    <mergeCell ref="M3:P3"/>
    <mergeCell ref="A5:P5"/>
    <mergeCell ref="A3:B4"/>
    <mergeCell ref="C3:C4"/>
    <mergeCell ref="F3:F4"/>
    <mergeCell ref="G3:G4"/>
    <mergeCell ref="H3:H4"/>
    <mergeCell ref="J3:J4"/>
    <mergeCell ref="K3:K4"/>
    <mergeCell ref="L3:L4"/>
    <mergeCell ref="I3:I4"/>
    <mergeCell ref="E3:E4"/>
    <mergeCell ref="D3:D4"/>
  </mergeCells>
  <phoneticPr fontId="8" type="noConversion"/>
  <hyperlinks>
    <hyperlink ref="F27" r:id="rId1" location="s5" xr:uid="{DB79333F-AB8F-4C34-A944-BCC481350308}"/>
    <hyperlink ref="F29" r:id="rId2" xr:uid="{9A494E06-D3C3-48CD-A90E-CDE5A47A26B0}"/>
  </hyperlinks>
  <pageMargins left="0.7" right="0.7" top="0.75" bottom="0.75" header="0.3" footer="0.3"/>
  <pageSetup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FE6F6-D00D-47EC-929C-6EEDAD590662}">
  <dimension ref="A1:AF53"/>
  <sheetViews>
    <sheetView topLeftCell="A22" zoomScale="70" zoomScaleNormal="70" workbookViewId="0">
      <selection activeCell="AG3" sqref="AG3"/>
    </sheetView>
  </sheetViews>
  <sheetFormatPr defaultRowHeight="14.4" x14ac:dyDescent="0.3"/>
  <cols>
    <col min="1" max="1" width="3.19921875" customWidth="1"/>
    <col min="2" max="2" width="14.3984375" customWidth="1"/>
    <col min="29" max="29" width="10.5" bestFit="1" customWidth="1"/>
    <col min="31" max="31" width="11.796875" customWidth="1"/>
  </cols>
  <sheetData>
    <row r="1" spans="1:32" ht="17.850000000000001" x14ac:dyDescent="0.35">
      <c r="A1" s="16" t="s">
        <v>168</v>
      </c>
    </row>
    <row r="2" spans="1:32" ht="17.850000000000001" x14ac:dyDescent="0.35">
      <c r="A2" s="44" t="s">
        <v>179</v>
      </c>
      <c r="AC2" s="100" t="s">
        <v>144</v>
      </c>
      <c r="AD2" s="100"/>
      <c r="AE2" s="100" t="s">
        <v>145</v>
      </c>
      <c r="AF2" s="100"/>
    </row>
    <row r="3" spans="1:32" ht="28.8" x14ac:dyDescent="0.3">
      <c r="A3" s="101"/>
      <c r="B3" s="101"/>
      <c r="C3" s="3" t="s">
        <v>63</v>
      </c>
      <c r="D3" s="13">
        <v>2023</v>
      </c>
      <c r="E3" s="13">
        <f>D3+1</f>
        <v>2024</v>
      </c>
      <c r="F3" s="13">
        <f t="shared" ref="F3:U3" si="0">E3+1</f>
        <v>2025</v>
      </c>
      <c r="G3" s="13">
        <f t="shared" si="0"/>
        <v>2026</v>
      </c>
      <c r="H3" s="13">
        <f t="shared" si="0"/>
        <v>2027</v>
      </c>
      <c r="I3" s="13">
        <f t="shared" si="0"/>
        <v>2028</v>
      </c>
      <c r="J3" s="13">
        <f t="shared" si="0"/>
        <v>2029</v>
      </c>
      <c r="K3" s="13">
        <f t="shared" si="0"/>
        <v>2030</v>
      </c>
      <c r="L3" s="13">
        <f t="shared" si="0"/>
        <v>2031</v>
      </c>
      <c r="M3" s="13">
        <f t="shared" si="0"/>
        <v>2032</v>
      </c>
      <c r="N3" s="13">
        <f t="shared" si="0"/>
        <v>2033</v>
      </c>
      <c r="O3" s="13">
        <f t="shared" si="0"/>
        <v>2034</v>
      </c>
      <c r="P3" s="13">
        <f t="shared" si="0"/>
        <v>2035</v>
      </c>
      <c r="Q3" s="13">
        <f t="shared" si="0"/>
        <v>2036</v>
      </c>
      <c r="R3" s="13">
        <f t="shared" si="0"/>
        <v>2037</v>
      </c>
      <c r="S3" s="13">
        <f>R3+1</f>
        <v>2038</v>
      </c>
      <c r="T3" s="13">
        <f t="shared" si="0"/>
        <v>2039</v>
      </c>
      <c r="U3" s="13">
        <f t="shared" si="0"/>
        <v>2040</v>
      </c>
      <c r="V3" s="13">
        <f t="shared" ref="V3:W3" si="1">U3+1</f>
        <v>2041</v>
      </c>
      <c r="W3" s="13">
        <f t="shared" si="1"/>
        <v>2042</v>
      </c>
      <c r="X3" s="13">
        <f t="shared" ref="X3" si="2">W3+1</f>
        <v>2043</v>
      </c>
      <c r="Y3" s="13">
        <f t="shared" ref="Y3" si="3">X3+1</f>
        <v>2044</v>
      </c>
      <c r="Z3" s="13">
        <f t="shared" ref="Z3" si="4">Y3+1</f>
        <v>2045</v>
      </c>
      <c r="AA3" s="13">
        <f t="shared" ref="AA3" si="5">Z3+1</f>
        <v>2046</v>
      </c>
      <c r="AB3" s="13">
        <f t="shared" ref="AB3" si="6">AA3+1</f>
        <v>2047</v>
      </c>
      <c r="AC3" s="19" t="s">
        <v>143</v>
      </c>
      <c r="AD3" s="3" t="s">
        <v>89</v>
      </c>
      <c r="AE3" s="19" t="s">
        <v>143</v>
      </c>
      <c r="AF3" s="3" t="s">
        <v>89</v>
      </c>
    </row>
    <row r="4" spans="1:32" x14ac:dyDescent="0.3">
      <c r="A4" s="3" t="s">
        <v>181</v>
      </c>
      <c r="C4" s="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9"/>
    </row>
    <row r="5" spans="1:32" x14ac:dyDescent="0.3">
      <c r="B5" t="s">
        <v>59</v>
      </c>
      <c r="C5" s="24">
        <v>1</v>
      </c>
      <c r="D5" s="20">
        <f>(Equipment!$L$7*$C$5*'Fuel Prices'!C12)+(Equipment!$M$7*'Customer Costs'!$C$5*'Fuel Prices'!C36)</f>
        <v>1251.2664822309937</v>
      </c>
      <c r="E5" s="20">
        <f>(Equipment!$L$7*$C$5*'Fuel Prices'!D12)+(Equipment!$M$7*'Customer Costs'!$C$5*'Fuel Prices'!D36)</f>
        <v>1310.0757433740278</v>
      </c>
      <c r="F5" s="20">
        <f>(Equipment!$L$7*$C$5*'Fuel Prices'!E12)+(Equipment!$M$7*'Customer Costs'!$C$5*'Fuel Prices'!E36)</f>
        <v>1366.4693385734449</v>
      </c>
      <c r="G5" s="20">
        <f>(Equipment!$L$7*$C$5*'Fuel Prices'!F12)+(Equipment!$M$7*'Customer Costs'!$C$5*'Fuel Prices'!F36)</f>
        <v>1420.5193895766911</v>
      </c>
      <c r="H5" s="20">
        <f>(Equipment!$L$7*$C$5*'Fuel Prices'!G12)+(Equipment!$M$7*'Customer Costs'!$C$5*'Fuel Prices'!G36)</f>
        <v>1472.2961185724662</v>
      </c>
      <c r="I5" s="20">
        <f>(Equipment!$L$7*$C$5*'Fuel Prices'!H12)+(Equipment!$M$7*'Customer Costs'!$C$5*'Fuel Prices'!H36)</f>
        <v>1521.867894954757</v>
      </c>
      <c r="J5" s="20">
        <f>(Equipment!$L$7*$C$5*'Fuel Prices'!I12)+(Equipment!$M$7*'Customer Costs'!$C$5*'Fuel Prices'!I36)</f>
        <v>1569.3012809833017</v>
      </c>
      <c r="K5" s="20">
        <f>(Equipment!$L$7*$C$5*'Fuel Prices'!J12)+(Equipment!$M$7*'Customer Costs'!$C$5*'Fuel Prices'!J36)</f>
        <v>1614.6610763657904</v>
      </c>
      <c r="L5" s="20">
        <f>(Equipment!$L$7*$C$5*'Fuel Prices'!K12)+(Equipment!$M$7*'Customer Costs'!$C$5*'Fuel Prices'!K36)</f>
        <v>1614.6610763657904</v>
      </c>
      <c r="M5" s="20">
        <f>(Equipment!$L$7*$C$5*'Fuel Prices'!L12)+(Equipment!$M$7*'Customer Costs'!$C$5*'Fuel Prices'!L36)</f>
        <v>1614.6610763657904</v>
      </c>
      <c r="N5" s="20">
        <f>(Equipment!$L$7*$C$5*'Fuel Prices'!M12)+(Equipment!$M$7*'Customer Costs'!$C$5*'Fuel Prices'!M36)</f>
        <v>1614.6610763657904</v>
      </c>
      <c r="O5" s="20">
        <f>(Equipment!$L$7*$C$5*'Fuel Prices'!N12)+(Equipment!$M$7*'Customer Costs'!$C$5*'Fuel Prices'!N36)</f>
        <v>1614.6610763657904</v>
      </c>
      <c r="P5" s="20">
        <f>(Equipment!$L$7*$C$5*'Fuel Prices'!O12)+(Equipment!$M$7*'Customer Costs'!$C$5*'Fuel Prices'!O36)</f>
        <v>1614.6610763657904</v>
      </c>
      <c r="Q5" s="20">
        <f>(Equipment!$L$7*$C$5*'Fuel Prices'!P12)+(Equipment!$M$7*'Customer Costs'!$C$5*'Fuel Prices'!P36)</f>
        <v>1614.6610763657904</v>
      </c>
      <c r="R5" s="20">
        <f>(Equipment!$L$7*$C$5*'Fuel Prices'!Q12)+(Equipment!$M$7*'Customer Costs'!$C$5*'Fuel Prices'!Q36)</f>
        <v>1614.6610763657904</v>
      </c>
      <c r="S5" s="20">
        <f>(Equipment!$L$7*$C$5*'Fuel Prices'!R12)+(Equipment!$M$7*'Customer Costs'!$C$5*'Fuel Prices'!R36)</f>
        <v>1614.6610763657904</v>
      </c>
      <c r="T5" s="20">
        <f>(Equipment!$L$7*$C$5*'Fuel Prices'!S12)+(Equipment!$M$7*'Customer Costs'!$C$5*'Fuel Prices'!S36)</f>
        <v>1614.6610763657904</v>
      </c>
      <c r="U5" s="20">
        <f>(Equipment!$L$7*$C$5*'Fuel Prices'!T12)+(Equipment!$M$7*'Customer Costs'!$C$5*'Fuel Prices'!T36)</f>
        <v>1614.6610763657904</v>
      </c>
      <c r="V5" s="20">
        <f>(Equipment!$L$7*$C$5*'Fuel Prices'!U12)+(Equipment!$M$7*'Customer Costs'!$C$5*'Fuel Prices'!U36)</f>
        <v>1614.6610763657904</v>
      </c>
      <c r="W5" s="20">
        <f>(Equipment!$L$7*$C$5*'Fuel Prices'!V12)+(Equipment!$M$7*'Customer Costs'!$C$5*'Fuel Prices'!V36)</f>
        <v>1614.6610763657904</v>
      </c>
      <c r="X5" s="20">
        <f>(Equipment!$L$7*$C$5*'Fuel Prices'!W12)+(Equipment!$M$7*'Customer Costs'!$C$5*'Fuel Prices'!W36)</f>
        <v>1614.6610763657904</v>
      </c>
      <c r="Y5" s="20">
        <f>(Equipment!$L$7*$C$5*'Fuel Prices'!X12)+(Equipment!$M$7*'Customer Costs'!$C$5*'Fuel Prices'!X36)</f>
        <v>1614.6610763657904</v>
      </c>
      <c r="Z5" s="20">
        <f>(Equipment!$L$7*$C$5*'Fuel Prices'!Y12)+(Equipment!$M$7*'Customer Costs'!$C$5*'Fuel Prices'!Y36)</f>
        <v>1614.6610763657904</v>
      </c>
      <c r="AA5" s="20">
        <f>(Equipment!$L$7*$C$5*'Fuel Prices'!Z12)+(Equipment!$M$7*'Customer Costs'!$C$5*'Fuel Prices'!Z36)</f>
        <v>1614.6610763657904</v>
      </c>
      <c r="AB5" s="20">
        <f>(Equipment!$L$7*$C$5*'Fuel Prices'!AA12)+(Equipment!$M$7*'Customer Costs'!$C$5*'Fuel Prices'!AA36)</f>
        <v>1614.6610763657902</v>
      </c>
      <c r="AC5" s="5">
        <f>NPV(Equipment!$C$22,'Customer Costs'!D5:U5)*(1+Equipment!$C$22)</f>
        <v>19965.957571079256</v>
      </c>
      <c r="AE5" s="5">
        <f>NPV(Equipment!$C$22,'Customer Costs'!K5:AB5)*(1+Equipment!$C$22)</f>
        <v>21258.093042400054</v>
      </c>
    </row>
    <row r="6" spans="1:32" x14ac:dyDescent="0.3">
      <c r="B6" t="s">
        <v>60</v>
      </c>
      <c r="C6" s="4">
        <f>C5</f>
        <v>1</v>
      </c>
      <c r="D6" s="20">
        <f>Equipment!$N$7*'Customer Costs'!$C$6*'Fuel Prices'!C36</f>
        <v>96.485137171428562</v>
      </c>
      <c r="E6" s="20">
        <f>Equipment!$N$7*'Customer Costs'!$C$6*'Fuel Prices'!D36</f>
        <v>96.485137171428562</v>
      </c>
      <c r="F6" s="20">
        <f>Equipment!$N$7*'Customer Costs'!$C$6*'Fuel Prices'!E36</f>
        <v>96.485137171428562</v>
      </c>
      <c r="G6" s="20">
        <f>Equipment!$N$7*'Customer Costs'!$C$6*'Fuel Prices'!F36</f>
        <v>96.485137171428562</v>
      </c>
      <c r="H6" s="20">
        <f>Equipment!$N$7*'Customer Costs'!$C$6*'Fuel Prices'!G36</f>
        <v>96.485137171428562</v>
      </c>
      <c r="I6" s="20">
        <f>Equipment!$N$7*'Customer Costs'!$C$6*'Fuel Prices'!H36</f>
        <v>96.485137171428562</v>
      </c>
      <c r="J6" s="20">
        <f>Equipment!$N$7*'Customer Costs'!$C$6*'Fuel Prices'!I36</f>
        <v>96.485137171428562</v>
      </c>
      <c r="K6" s="20">
        <f>Equipment!$N$7*'Customer Costs'!$C$6*'Fuel Prices'!J36</f>
        <v>96.485137171428562</v>
      </c>
      <c r="L6" s="20">
        <f>Equipment!$N$7*'Customer Costs'!$C$6*'Fuel Prices'!K36</f>
        <v>96.485137171428562</v>
      </c>
      <c r="M6" s="20">
        <f>Equipment!$N$7*'Customer Costs'!$C$6*'Fuel Prices'!L36</f>
        <v>96.485137171428562</v>
      </c>
      <c r="N6" s="20">
        <f>Equipment!$N$7*'Customer Costs'!$C$6*'Fuel Prices'!M36</f>
        <v>96.485137171428562</v>
      </c>
      <c r="O6" s="20">
        <f>Equipment!$N$7*'Customer Costs'!$C$6*'Fuel Prices'!N36</f>
        <v>96.485137171428562</v>
      </c>
      <c r="P6" s="20">
        <f>Equipment!$N$7*'Customer Costs'!$C$6*'Fuel Prices'!O36</f>
        <v>96.485137171428562</v>
      </c>
      <c r="Q6" s="20">
        <f>Equipment!$N$7*'Customer Costs'!$C$6*'Fuel Prices'!P36</f>
        <v>96.485137171428562</v>
      </c>
      <c r="R6" s="20">
        <f>Equipment!$N$7*'Customer Costs'!$C$6*'Fuel Prices'!Q36</f>
        <v>96.485137171428562</v>
      </c>
      <c r="S6" s="20">
        <f>Equipment!$N$7*'Customer Costs'!$C$6*'Fuel Prices'!R36</f>
        <v>96.485137171428562</v>
      </c>
      <c r="T6" s="20">
        <f>Equipment!$N$7*'Customer Costs'!$C$6*'Fuel Prices'!S36</f>
        <v>96.485137171428562</v>
      </c>
      <c r="U6" s="20">
        <f>Equipment!$N$7*'Customer Costs'!$C$6*'Fuel Prices'!T36</f>
        <v>96.485137171428562</v>
      </c>
      <c r="V6" s="20">
        <f>Equipment!$N$7*'Customer Costs'!$C$6*'Fuel Prices'!U36</f>
        <v>96.485137171428562</v>
      </c>
      <c r="W6" s="20">
        <f>Equipment!$N$7*'Customer Costs'!$C$6*'Fuel Prices'!V36</f>
        <v>96.485137171428562</v>
      </c>
      <c r="X6" s="20">
        <f>Equipment!$N$7*'Customer Costs'!$C$6*'Fuel Prices'!W36</f>
        <v>96.485137171428562</v>
      </c>
      <c r="Y6" s="20">
        <f>Equipment!$N$7*'Customer Costs'!$C$6*'Fuel Prices'!X36</f>
        <v>96.485137171428562</v>
      </c>
      <c r="Z6" s="20">
        <f>Equipment!$N$7*'Customer Costs'!$C$6*'Fuel Prices'!Y36</f>
        <v>96.485137171428562</v>
      </c>
      <c r="AA6" s="20">
        <f>Equipment!$N$7*'Customer Costs'!$C$6*'Fuel Prices'!Z36</f>
        <v>96.485137171428562</v>
      </c>
      <c r="AB6" s="20">
        <f>Equipment!$N$7*'Customer Costs'!$C$6*'Fuel Prices'!AA36</f>
        <v>96.485137171428562</v>
      </c>
      <c r="AC6" s="5">
        <f>NPV(Equipment!$C$22,'Customer Costs'!D6:U6)*(1+Equipment!$C$22)</f>
        <v>1270.2913653034018</v>
      </c>
      <c r="AE6" s="5">
        <f>NPV(Equipment!$C$22,'Customer Costs'!K6:AB6)*(1+Equipment!$C$22)</f>
        <v>1270.2913653034018</v>
      </c>
    </row>
    <row r="7" spans="1:32" x14ac:dyDescent="0.3">
      <c r="B7" t="s">
        <v>43</v>
      </c>
      <c r="C7" s="24">
        <f>IF(Summary!D5="Y",0,IF(Summary!D6="Y",Equipment!F51,1))</f>
        <v>0.81899999999999995</v>
      </c>
      <c r="D7" s="20">
        <f>Equipment!$L$11*'Customer Costs'!$C$7*'Fuel Prices'!C12</f>
        <v>159.53405784124095</v>
      </c>
      <c r="E7" s="20">
        <f>Equipment!$L$11*'Customer Costs'!$C$7*'Fuel Prices'!D12</f>
        <v>167.57285201844252</v>
      </c>
      <c r="F7" s="20">
        <f>Equipment!$L$11*'Customer Costs'!$C$7*'Fuel Prices'!E12</f>
        <v>175.28144239875601</v>
      </c>
      <c r="G7" s="20">
        <f>Equipment!$L$11*'Customer Costs'!$C$7*'Fuel Prices'!F12</f>
        <v>182.66968749548613</v>
      </c>
      <c r="H7" s="20">
        <f>Equipment!$L$11*'Customer Costs'!$C$7*'Fuel Prices'!G12</f>
        <v>189.74718616620495</v>
      </c>
      <c r="I7" s="20">
        <f>Equipment!$L$11*'Customer Costs'!$C$7*'Fuel Prices'!H12</f>
        <v>196.52328400505186</v>
      </c>
      <c r="J7" s="20">
        <f>Equipment!$L$11*'Customer Costs'!$C$7*'Fuel Prices'!I12</f>
        <v>203.0070795841838</v>
      </c>
      <c r="K7" s="20">
        <f>Equipment!$L$11*'Customer Costs'!$C$7*'Fuel Prices'!J12</f>
        <v>209.20743054783463</v>
      </c>
      <c r="L7" s="20">
        <f>Equipment!$L$11*'Customer Costs'!$C$7*'Fuel Prices'!K12</f>
        <v>209.20743054783463</v>
      </c>
      <c r="M7" s="20">
        <f>Equipment!$L$11*'Customer Costs'!$C$7*'Fuel Prices'!L12</f>
        <v>209.20743054783463</v>
      </c>
      <c r="N7" s="20">
        <f>Equipment!$L$11*'Customer Costs'!$C$7*'Fuel Prices'!M12</f>
        <v>209.20743054783463</v>
      </c>
      <c r="O7" s="20">
        <f>Equipment!$L$11*'Customer Costs'!$C$7*'Fuel Prices'!N12</f>
        <v>209.20743054783463</v>
      </c>
      <c r="P7" s="20">
        <f>Equipment!$L$11*'Customer Costs'!$C$7*'Fuel Prices'!O12</f>
        <v>209.20743054783463</v>
      </c>
      <c r="Q7" s="20">
        <f>Equipment!$L$11*'Customer Costs'!$C$7*'Fuel Prices'!P12</f>
        <v>209.20743054783463</v>
      </c>
      <c r="R7" s="20">
        <f>Equipment!$L$11*'Customer Costs'!$C$7*'Fuel Prices'!Q12</f>
        <v>209.20743054783463</v>
      </c>
      <c r="S7" s="20">
        <f>Equipment!$L$11*'Customer Costs'!$C$7*'Fuel Prices'!R12</f>
        <v>209.20743054783463</v>
      </c>
      <c r="T7" s="20">
        <f>Equipment!$L$11*'Customer Costs'!$C$7*'Fuel Prices'!S12</f>
        <v>209.20743054783463</v>
      </c>
      <c r="U7" s="20">
        <f>Equipment!$L$11*'Customer Costs'!$C$7*'Fuel Prices'!T12</f>
        <v>209.20743054783463</v>
      </c>
      <c r="V7" s="20">
        <f>Equipment!$L$11*'Customer Costs'!$C$7*'Fuel Prices'!U12</f>
        <v>209.20743054783463</v>
      </c>
      <c r="W7" s="20">
        <f>Equipment!$L$11*'Customer Costs'!$C$7*'Fuel Prices'!V12</f>
        <v>209.20743054783463</v>
      </c>
      <c r="X7" s="20">
        <f>Equipment!$L$11*'Customer Costs'!$C$7*'Fuel Prices'!W12</f>
        <v>209.20743054783463</v>
      </c>
      <c r="Y7" s="20">
        <f>Equipment!$L$11*'Customer Costs'!$C$7*'Fuel Prices'!X12</f>
        <v>209.20743054783463</v>
      </c>
      <c r="Z7" s="20">
        <f>Equipment!$L$11*'Customer Costs'!$C$7*'Fuel Prices'!Y12</f>
        <v>209.20743054783463</v>
      </c>
      <c r="AA7" s="20">
        <f>Equipment!$L$11*'Customer Costs'!$C$7*'Fuel Prices'!Z12</f>
        <v>209.20743054783463</v>
      </c>
      <c r="AB7" s="20">
        <f>Equipment!$L$11*'Customer Costs'!$C$7*'Fuel Prices'!AA12</f>
        <v>209.20743054783458</v>
      </c>
      <c r="AC7" s="5">
        <f>NPV(Equipment!$C$22,'Customer Costs'!D7:U7)*(1+Equipment!$C$22)</f>
        <v>2577.7303212113052</v>
      </c>
      <c r="AE7" s="5">
        <f>NPV(Equipment!$C$22,'Customer Costs'!K7:AB7)*(1+Equipment!$C$22)</f>
        <v>2754.3557523274312</v>
      </c>
    </row>
    <row r="8" spans="1:32" x14ac:dyDescent="0.3">
      <c r="B8" t="s">
        <v>50</v>
      </c>
      <c r="C8" s="24">
        <f>IF(Summary!D5="Y",0,IF(Summary!D6="Y",Equipment!E51,1))</f>
        <v>0.155</v>
      </c>
      <c r="D8" s="20">
        <f>(Equipment!$L$14*$C$8*'Fuel Prices'!C12)+(Equipment!$O$14*'Customer Costs'!$C$8*'Fuel Prices'!C36)</f>
        <v>7.0431080596140934</v>
      </c>
      <c r="E8" s="20">
        <f>(Equipment!$L$14*$C$8*'Fuel Prices'!D12)+(Equipment!$O$14*'Customer Costs'!$C$8*'Fuel Prices'!D36)</f>
        <v>7.2854922145199215</v>
      </c>
      <c r="F8" s="20">
        <f>(Equipment!$L$14*$C$8*'Fuel Prices'!E12)+(Equipment!$O$14*'Customer Costs'!$C$8*'Fuel Prices'!E36)</f>
        <v>7.5179201289136568</v>
      </c>
      <c r="G8" s="20">
        <f>(Equipment!$L$14*$C$8*'Fuel Prices'!F12)+(Equipment!$O$14*'Customer Costs'!$C$8*'Fuel Prices'!F36)</f>
        <v>7.7406890547665963</v>
      </c>
      <c r="H8" s="20">
        <f>(Equipment!$L$14*$C$8*'Fuel Prices'!G12)+(Equipment!$O$14*'Customer Costs'!$C$8*'Fuel Prices'!G36)</f>
        <v>7.9540884149609976</v>
      </c>
      <c r="I8" s="20">
        <f>(Equipment!$L$14*$C$8*'Fuel Prices'!H12)+(Equipment!$O$14*'Customer Costs'!$C$8*'Fuel Prices'!H36)</f>
        <v>8.1583999960294751</v>
      </c>
      <c r="J8" s="20">
        <f>(Equipment!$L$14*$C$8*'Fuel Prices'!I12)+(Equipment!$O$14*'Customer Costs'!$C$8*'Fuel Prices'!I36)</f>
        <v>8.3538981363459772</v>
      </c>
      <c r="K8" s="20">
        <f>(Equipment!$L$14*$C$8*'Fuel Prices'!J12)+(Equipment!$O$14*'Customer Costs'!$C$8*'Fuel Prices'!J36)</f>
        <v>8.5408499098726871</v>
      </c>
      <c r="L8" s="20">
        <f>(Equipment!$L$14*$C$8*'Fuel Prices'!K12)+(Equipment!$O$14*'Customer Costs'!$C$8*'Fuel Prices'!K36)</f>
        <v>8.5408499098726871</v>
      </c>
      <c r="M8" s="20">
        <f>(Equipment!$L$14*$C$8*'Fuel Prices'!L12)+(Equipment!$O$14*'Customer Costs'!$C$8*'Fuel Prices'!L36)</f>
        <v>8.5408499098726871</v>
      </c>
      <c r="N8" s="20">
        <f>(Equipment!$L$14*$C$8*'Fuel Prices'!M12)+(Equipment!$O$14*'Customer Costs'!$C$8*'Fuel Prices'!M36)</f>
        <v>8.5408499098726871</v>
      </c>
      <c r="O8" s="20">
        <f>(Equipment!$L$14*$C$8*'Fuel Prices'!N12)+(Equipment!$O$14*'Customer Costs'!$C$8*'Fuel Prices'!N36)</f>
        <v>8.5408499098726871</v>
      </c>
      <c r="P8" s="20">
        <f>(Equipment!$L$14*$C$8*'Fuel Prices'!O12)+(Equipment!$O$14*'Customer Costs'!$C$8*'Fuel Prices'!O36)</f>
        <v>8.5408499098726871</v>
      </c>
      <c r="Q8" s="20">
        <f>(Equipment!$L$14*$C$8*'Fuel Prices'!P12)+(Equipment!$O$14*'Customer Costs'!$C$8*'Fuel Prices'!P36)</f>
        <v>8.5408499098726871</v>
      </c>
      <c r="R8" s="20">
        <f>(Equipment!$L$14*$C$8*'Fuel Prices'!Q12)+(Equipment!$O$14*'Customer Costs'!$C$8*'Fuel Prices'!Q36)</f>
        <v>8.5408499098726871</v>
      </c>
      <c r="S8" s="20">
        <f>(Equipment!$L$14*$C$8*'Fuel Prices'!R12)+(Equipment!$O$14*'Customer Costs'!$C$8*'Fuel Prices'!R36)</f>
        <v>8.5408499098726871</v>
      </c>
      <c r="T8" s="20">
        <f>(Equipment!$L$14*$C$8*'Fuel Prices'!S12)+(Equipment!$O$14*'Customer Costs'!$C$8*'Fuel Prices'!S36)</f>
        <v>8.5408499098726871</v>
      </c>
      <c r="U8" s="20">
        <f>(Equipment!$L$14*$C$8*'Fuel Prices'!T12)+(Equipment!$O$14*'Customer Costs'!$C$8*'Fuel Prices'!T36)</f>
        <v>8.5408499098726871</v>
      </c>
      <c r="V8" s="20">
        <f>(Equipment!$L$14*$C$8*'Fuel Prices'!U12)+(Equipment!$O$14*'Customer Costs'!$C$8*'Fuel Prices'!U36)</f>
        <v>8.5408499098726871</v>
      </c>
      <c r="W8" s="20">
        <f>(Equipment!$L$14*$C$8*'Fuel Prices'!V12)+(Equipment!$O$14*'Customer Costs'!$C$8*'Fuel Prices'!V36)</f>
        <v>8.5408499098726871</v>
      </c>
      <c r="X8" s="20">
        <f>(Equipment!$L$14*$C$8*'Fuel Prices'!W12)+(Equipment!$O$14*'Customer Costs'!$C$8*'Fuel Prices'!W36)</f>
        <v>8.5408499098726871</v>
      </c>
      <c r="Y8" s="20">
        <f>(Equipment!$L$14*$C$8*'Fuel Prices'!X12)+(Equipment!$O$14*'Customer Costs'!$C$8*'Fuel Prices'!X36)</f>
        <v>8.5408499098726871</v>
      </c>
      <c r="Z8" s="20">
        <f>(Equipment!$L$14*$C$8*'Fuel Prices'!Y12)+(Equipment!$O$14*'Customer Costs'!$C$8*'Fuel Prices'!Y36)</f>
        <v>8.5408499098726871</v>
      </c>
      <c r="AA8" s="20">
        <f>(Equipment!$L$14*$C$8*'Fuel Prices'!Z12)+(Equipment!$O$14*'Customer Costs'!$C$8*'Fuel Prices'!Z36)</f>
        <v>8.5408499098726871</v>
      </c>
      <c r="AB8" s="20">
        <f>(Equipment!$L$14*$C$8*'Fuel Prices'!AA12)+(Equipment!$O$14*'Customer Costs'!$C$8*'Fuel Prices'!AA36)</f>
        <v>8.5408499098726871</v>
      </c>
      <c r="AC8" s="5">
        <f>NPV(Equipment!$C$22,'Customer Costs'!D8:U8)*(1+Equipment!$C$22)</f>
        <v>107.12042607587068</v>
      </c>
      <c r="AE8" s="5">
        <f>NPV(Equipment!$C$22,'Customer Costs'!K8:AB8)*(1+Equipment!$C$22)</f>
        <v>112.44600164258622</v>
      </c>
    </row>
    <row r="9" spans="1:32" x14ac:dyDescent="0.3">
      <c r="B9" t="s">
        <v>49</v>
      </c>
      <c r="C9" s="24">
        <f>IF(Summary!D5="Y",0,IF(Summary!D6="Y",Equipment!C51,1))</f>
        <v>0.29599999999999999</v>
      </c>
      <c r="D9" s="20">
        <f>Equipment!$L$17*'Customer Costs'!$C$9*'Fuel Prices'!C12</f>
        <v>16.200846027096897</v>
      </c>
      <c r="E9" s="20">
        <f>Equipment!$L$17*'Customer Costs'!$C$9*'Fuel Prices'!D12</f>
        <v>17.017193761685135</v>
      </c>
      <c r="F9" s="20">
        <f>Equipment!$L$17*'Customer Costs'!$C$9*'Fuel Prices'!E12</f>
        <v>17.800008964453298</v>
      </c>
      <c r="G9" s="20">
        <f>Equipment!$L$17*'Customer Costs'!$C$9*'Fuel Prices'!F12</f>
        <v>18.550292777466396</v>
      </c>
      <c r="H9" s="20">
        <f>Equipment!$L$17*'Customer Costs'!$C$9*'Fuel Prices'!G12</f>
        <v>19.269019974485374</v>
      </c>
      <c r="I9" s="20">
        <f>Equipment!$L$17*'Customer Costs'!$C$9*'Fuel Prices'!H12</f>
        <v>19.957139610111696</v>
      </c>
      <c r="J9" s="20">
        <f>Equipment!$L$17*'Customer Costs'!$C$9*'Fuel Prices'!I12</f>
        <v>20.615575653612954</v>
      </c>
      <c r="K9" s="20">
        <f>Equipment!$L$17*'Customer Costs'!$C$9*'Fuel Prices'!J12</f>
        <v>21.245227607780834</v>
      </c>
      <c r="L9" s="20">
        <f>Equipment!$L$17*'Customer Costs'!$C$9*'Fuel Prices'!K12</f>
        <v>21.245227607780834</v>
      </c>
      <c r="M9" s="20">
        <f>Equipment!$L$17*'Customer Costs'!$C$9*'Fuel Prices'!L12</f>
        <v>21.245227607780834</v>
      </c>
      <c r="N9" s="20">
        <f>Equipment!$L$17*'Customer Costs'!$C$9*'Fuel Prices'!M12</f>
        <v>21.245227607780834</v>
      </c>
      <c r="O9" s="20">
        <f>Equipment!$L$17*'Customer Costs'!$C$9*'Fuel Prices'!N12</f>
        <v>21.245227607780834</v>
      </c>
      <c r="P9" s="20">
        <f>Equipment!$L$17*'Customer Costs'!$C$9*'Fuel Prices'!O12</f>
        <v>21.245227607780834</v>
      </c>
      <c r="Q9" s="20">
        <f>Equipment!$L$17*'Customer Costs'!$C$9*'Fuel Prices'!P12</f>
        <v>21.245227607780834</v>
      </c>
      <c r="R9" s="20">
        <f>Equipment!$L$17*'Customer Costs'!$C$9*'Fuel Prices'!Q12</f>
        <v>21.245227607780834</v>
      </c>
      <c r="S9" s="20">
        <f>Equipment!$L$17*'Customer Costs'!$C$9*'Fuel Prices'!R12</f>
        <v>21.245227607780834</v>
      </c>
      <c r="T9" s="20">
        <f>Equipment!$L$17*'Customer Costs'!$C$9*'Fuel Prices'!S12</f>
        <v>21.245227607780834</v>
      </c>
      <c r="U9" s="20">
        <f>Equipment!$L$17*'Customer Costs'!$C$9*'Fuel Prices'!T12</f>
        <v>21.245227607780834</v>
      </c>
      <c r="V9" s="20">
        <f>Equipment!$L$17*'Customer Costs'!$C$9*'Fuel Prices'!U12</f>
        <v>21.245227607780834</v>
      </c>
      <c r="W9" s="20">
        <f>Equipment!$L$17*'Customer Costs'!$C$9*'Fuel Prices'!V12</f>
        <v>21.245227607780834</v>
      </c>
      <c r="X9" s="20">
        <f>Equipment!$L$17*'Customer Costs'!$C$9*'Fuel Prices'!W12</f>
        <v>21.245227607780834</v>
      </c>
      <c r="Y9" s="20">
        <f>Equipment!$L$17*'Customer Costs'!$C$9*'Fuel Prices'!X12</f>
        <v>21.245227607780834</v>
      </c>
      <c r="Z9" s="20">
        <f>Equipment!$L$17*'Customer Costs'!$C$9*'Fuel Prices'!Y12</f>
        <v>21.245227607780834</v>
      </c>
      <c r="AA9" s="20">
        <f>Equipment!$L$17*'Customer Costs'!$C$9*'Fuel Prices'!Z12</f>
        <v>21.245227607780834</v>
      </c>
      <c r="AB9" s="20">
        <f>Equipment!$L$17*'Customer Costs'!$C$9*'Fuel Prices'!AA12</f>
        <v>21.24522760778083</v>
      </c>
      <c r="AC9" s="5">
        <f>NPV(Equipment!$C$22,'Customer Costs'!D9:U9)*(1+Equipment!$C$22)</f>
        <v>261.77113901836503</v>
      </c>
      <c r="AE9" s="5">
        <f>NPV(Equipment!$C$22,'Customer Costs'!K9:AB9)*(1+Equipment!$C$22)</f>
        <v>279.70763140564918</v>
      </c>
    </row>
    <row r="10" spans="1:32" x14ac:dyDescent="0.3">
      <c r="B10" t="s">
        <v>66</v>
      </c>
      <c r="C10" s="4"/>
      <c r="D10" s="20">
        <f>'Fuel Prices'!C4</f>
        <v>310.25279999999992</v>
      </c>
      <c r="E10" s="20">
        <f>'Fuel Prices'!D4</f>
        <v>310.25279999999992</v>
      </c>
      <c r="F10" s="20">
        <f>'Fuel Prices'!E4</f>
        <v>310.25279999999992</v>
      </c>
      <c r="G10" s="20">
        <f>'Fuel Prices'!F4</f>
        <v>310.25279999999992</v>
      </c>
      <c r="H10" s="20">
        <f>'Fuel Prices'!G4</f>
        <v>310.25279999999992</v>
      </c>
      <c r="I10" s="20">
        <f>'Fuel Prices'!H4</f>
        <v>310.25279999999992</v>
      </c>
      <c r="J10" s="20">
        <f>'Fuel Prices'!I4</f>
        <v>310.25279999999992</v>
      </c>
      <c r="K10" s="20">
        <f>'Fuel Prices'!J4</f>
        <v>310.25279999999992</v>
      </c>
      <c r="L10" s="20">
        <f>'Fuel Prices'!K4</f>
        <v>310.25279999999992</v>
      </c>
      <c r="M10" s="20">
        <f>'Fuel Prices'!L4</f>
        <v>310.25279999999992</v>
      </c>
      <c r="N10" s="20">
        <f>'Fuel Prices'!M4</f>
        <v>310.25279999999992</v>
      </c>
      <c r="O10" s="20">
        <f>'Fuel Prices'!N4</f>
        <v>310.25279999999992</v>
      </c>
      <c r="P10" s="20">
        <f>'Fuel Prices'!O4</f>
        <v>310.25279999999992</v>
      </c>
      <c r="Q10" s="20">
        <f>'Fuel Prices'!P4</f>
        <v>310.25279999999992</v>
      </c>
      <c r="R10" s="20">
        <f>'Fuel Prices'!Q4</f>
        <v>310.25279999999992</v>
      </c>
      <c r="S10" s="20">
        <f>'Fuel Prices'!R4</f>
        <v>310.25279999999992</v>
      </c>
      <c r="T10" s="20">
        <f>'Fuel Prices'!S4</f>
        <v>310.25279999999992</v>
      </c>
      <c r="U10" s="20">
        <f>'Fuel Prices'!T4</f>
        <v>310.25279999999992</v>
      </c>
      <c r="V10" s="20">
        <f>'Fuel Prices'!U4</f>
        <v>310.25279999999992</v>
      </c>
      <c r="W10" s="20">
        <f>'Fuel Prices'!V4</f>
        <v>310.25279999999992</v>
      </c>
      <c r="X10" s="20">
        <f>'Fuel Prices'!W4</f>
        <v>310.25279999999992</v>
      </c>
      <c r="Y10" s="20">
        <f>'Fuel Prices'!X4</f>
        <v>310.25279999999992</v>
      </c>
      <c r="Z10" s="20">
        <f>'Fuel Prices'!Y4</f>
        <v>310.25279999999992</v>
      </c>
      <c r="AA10" s="20">
        <f>'Fuel Prices'!Z4</f>
        <v>310.25279999999992</v>
      </c>
      <c r="AB10" s="20">
        <f>'Fuel Prices'!AA4</f>
        <v>310.25279999999992</v>
      </c>
      <c r="AC10" s="5">
        <f>NPV(Equipment!$C$22,'Customer Costs'!D10:U10)*(1+Equipment!$C$22)</f>
        <v>4084.6856257349918</v>
      </c>
      <c r="AE10" s="5">
        <f>NPV(Equipment!$C$22,'Customer Costs'!K10:AB10)*(1+Equipment!$C$22)</f>
        <v>4084.6856257349918</v>
      </c>
    </row>
    <row r="11" spans="1:32" x14ac:dyDescent="0.3">
      <c r="B11" t="s">
        <v>146</v>
      </c>
      <c r="C11" s="4"/>
      <c r="D11" s="20">
        <f>SUM(D5:D10)</f>
        <v>1840.782431330374</v>
      </c>
      <c r="E11" s="20">
        <f t="shared" ref="E11:AB11" si="7">SUM(E5:E10)</f>
        <v>1908.6892185401039</v>
      </c>
      <c r="F11" s="20">
        <f t="shared" si="7"/>
        <v>1973.8066472369965</v>
      </c>
      <c r="G11" s="20">
        <f t="shared" si="7"/>
        <v>2036.2179960758388</v>
      </c>
      <c r="H11" s="20">
        <f t="shared" si="7"/>
        <v>2096.0043502995459</v>
      </c>
      <c r="I11" s="20">
        <f t="shared" si="7"/>
        <v>2153.2446557373783</v>
      </c>
      <c r="J11" s="20">
        <f t="shared" si="7"/>
        <v>2208.0157715288728</v>
      </c>
      <c r="K11" s="20">
        <f t="shared" si="7"/>
        <v>2260.3925216027069</v>
      </c>
      <c r="L11" s="20">
        <f t="shared" si="7"/>
        <v>2260.3925216027069</v>
      </c>
      <c r="M11" s="20">
        <f t="shared" si="7"/>
        <v>2260.3925216027069</v>
      </c>
      <c r="N11" s="20">
        <f t="shared" si="7"/>
        <v>2260.3925216027069</v>
      </c>
      <c r="O11" s="20">
        <f t="shared" si="7"/>
        <v>2260.3925216027069</v>
      </c>
      <c r="P11" s="20">
        <f t="shared" si="7"/>
        <v>2260.3925216027069</v>
      </c>
      <c r="Q11" s="20">
        <f t="shared" si="7"/>
        <v>2260.3925216027069</v>
      </c>
      <c r="R11" s="20">
        <f t="shared" si="7"/>
        <v>2260.3925216027069</v>
      </c>
      <c r="S11" s="20">
        <f t="shared" si="7"/>
        <v>2260.3925216027069</v>
      </c>
      <c r="T11" s="20">
        <f t="shared" si="7"/>
        <v>2260.3925216027069</v>
      </c>
      <c r="U11" s="20">
        <f t="shared" si="7"/>
        <v>2260.3925216027069</v>
      </c>
      <c r="V11" s="20">
        <f t="shared" si="7"/>
        <v>2260.3925216027069</v>
      </c>
      <c r="W11" s="20">
        <f t="shared" si="7"/>
        <v>2260.3925216027069</v>
      </c>
      <c r="X11" s="20">
        <f t="shared" si="7"/>
        <v>2260.3925216027069</v>
      </c>
      <c r="Y11" s="20">
        <f t="shared" si="7"/>
        <v>2260.3925216027069</v>
      </c>
      <c r="Z11" s="20">
        <f t="shared" si="7"/>
        <v>2260.3925216027069</v>
      </c>
      <c r="AA11" s="20">
        <f t="shared" si="7"/>
        <v>2260.3925216027069</v>
      </c>
      <c r="AB11" s="20">
        <f t="shared" si="7"/>
        <v>2260.3925216027064</v>
      </c>
      <c r="AC11" s="5">
        <f>NPV(Equipment!$C$22,'Customer Costs'!D11:U11)*(1+Equipment!$C$22)</f>
        <v>28267.556448423195</v>
      </c>
      <c r="AE11" s="5">
        <f>NPV(Equipment!$C$22,'Customer Costs'!K11:AB11)*(1+Equipment!$C$22)</f>
        <v>29759.579418814115</v>
      </c>
    </row>
    <row r="12" spans="1:32" x14ac:dyDescent="0.3">
      <c r="AC12" s="5"/>
    </row>
    <row r="13" spans="1:32" x14ac:dyDescent="0.3">
      <c r="A13" s="3" t="s">
        <v>180</v>
      </c>
      <c r="AC13" s="5"/>
    </row>
    <row r="14" spans="1:32" x14ac:dyDescent="0.3">
      <c r="B14" t="s">
        <v>59</v>
      </c>
      <c r="C14" s="4">
        <f>C5</f>
        <v>1</v>
      </c>
      <c r="D14" s="5">
        <f>Equipment!$M$8*'Customer Costs'!$C$14*'Fuel Prices'!C36</f>
        <v>970.91243561985038</v>
      </c>
      <c r="E14" s="5">
        <f>Equipment!$M$8*'Customer Costs'!$C$14*'Fuel Prices'!D36</f>
        <v>970.91243561985038</v>
      </c>
      <c r="F14" s="5">
        <f>Equipment!$M$8*'Customer Costs'!$C$14*'Fuel Prices'!E36</f>
        <v>970.91243561985038</v>
      </c>
      <c r="G14" s="5">
        <f>Equipment!$M$8*'Customer Costs'!$C$14*'Fuel Prices'!F36</f>
        <v>970.91243561985038</v>
      </c>
      <c r="H14" s="5">
        <f>Equipment!$M$8*'Customer Costs'!$C$14*'Fuel Prices'!G36</f>
        <v>970.91243561985038</v>
      </c>
      <c r="I14" s="5">
        <f>Equipment!$M$8*'Customer Costs'!$C$14*'Fuel Prices'!H36</f>
        <v>970.91243561985038</v>
      </c>
      <c r="J14" s="5">
        <f>Equipment!$M$8*'Customer Costs'!$C$14*'Fuel Prices'!I36</f>
        <v>970.91243561985038</v>
      </c>
      <c r="K14" s="5">
        <f>Equipment!$M$8*'Customer Costs'!$C$14*'Fuel Prices'!J36</f>
        <v>970.91243561985038</v>
      </c>
      <c r="L14" s="5">
        <f>Equipment!$M$8*'Customer Costs'!$C$14*'Fuel Prices'!K36</f>
        <v>970.91243561985038</v>
      </c>
      <c r="M14" s="5">
        <f>Equipment!$M$8*'Customer Costs'!$C$14*'Fuel Prices'!L36</f>
        <v>970.91243561985038</v>
      </c>
      <c r="N14" s="5">
        <f>Equipment!$M$8*'Customer Costs'!$C$14*'Fuel Prices'!M36</f>
        <v>970.91243561985038</v>
      </c>
      <c r="O14" s="5">
        <f>Equipment!$M$8*'Customer Costs'!$C$14*'Fuel Prices'!N36</f>
        <v>970.91243561985038</v>
      </c>
      <c r="P14" s="5">
        <f>Equipment!$M$8*'Customer Costs'!$C$14*'Fuel Prices'!O36</f>
        <v>970.91243561985038</v>
      </c>
      <c r="Q14" s="5">
        <f>Equipment!$M$8*'Customer Costs'!$C$14*'Fuel Prices'!P36</f>
        <v>970.91243561985038</v>
      </c>
      <c r="R14" s="5">
        <f>Equipment!$M$8*'Customer Costs'!$C$14*'Fuel Prices'!Q36</f>
        <v>970.91243561985038</v>
      </c>
      <c r="S14" s="5">
        <f>Equipment!$M$8*'Customer Costs'!$C$14*'Fuel Prices'!R36</f>
        <v>970.91243561985038</v>
      </c>
      <c r="T14" s="5">
        <f>Equipment!$M$8*'Customer Costs'!$C$14*'Fuel Prices'!S36</f>
        <v>970.91243561985038</v>
      </c>
      <c r="U14" s="5">
        <f>Equipment!$M$8*'Customer Costs'!$C$14*'Fuel Prices'!T36</f>
        <v>970.91243561985038</v>
      </c>
      <c r="V14" s="5">
        <f>Equipment!$M$8*'Customer Costs'!$C$14*'Fuel Prices'!U36</f>
        <v>970.91243561985038</v>
      </c>
      <c r="W14" s="5">
        <f>Equipment!$M$8*'Customer Costs'!$C$14*'Fuel Prices'!V36</f>
        <v>970.91243561985038</v>
      </c>
      <c r="X14" s="5">
        <f>Equipment!$M$8*'Customer Costs'!$C$14*'Fuel Prices'!W36</f>
        <v>970.91243561985038</v>
      </c>
      <c r="Y14" s="5">
        <f>Equipment!$M$8*'Customer Costs'!$C$14*'Fuel Prices'!X36</f>
        <v>970.91243561985038</v>
      </c>
      <c r="Z14" s="5">
        <f>Equipment!$M$8*'Customer Costs'!$C$14*'Fuel Prices'!Y36</f>
        <v>970.91243561985038</v>
      </c>
      <c r="AA14" s="5">
        <f>Equipment!$M$8*'Customer Costs'!$C$14*'Fuel Prices'!Z36</f>
        <v>970.91243561985038</v>
      </c>
      <c r="AB14" s="5">
        <f>Equipment!$M$8*'Customer Costs'!$C$14*'Fuel Prices'!AA36</f>
        <v>970.91243561985038</v>
      </c>
      <c r="AC14" s="5">
        <f>NPV(Equipment!$C$22,'Customer Costs'!D14:U14)*(1+Equipment!$C$22)</f>
        <v>12782.711613315831</v>
      </c>
      <c r="AD14" s="5">
        <f t="shared" ref="AD14:AD20" si="8">AC14-AC5</f>
        <v>-7183.2459577634254</v>
      </c>
      <c r="AE14" s="5">
        <f>NPV(Equipment!$C$22,'Customer Costs'!K14:AB14)*(1+Equipment!$C$22)</f>
        <v>12782.711613315831</v>
      </c>
      <c r="AF14" s="5">
        <f t="shared" ref="AF14:AF20" si="9">AE14-AE5</f>
        <v>-8475.3814290842238</v>
      </c>
    </row>
    <row r="15" spans="1:32" x14ac:dyDescent="0.3">
      <c r="B15" t="s">
        <v>60</v>
      </c>
      <c r="C15" s="4">
        <f>C6</f>
        <v>1</v>
      </c>
      <c r="D15" s="5">
        <f>Equipment!$N$8*'Customer Costs'!$C$15*'Fuel Prices'!C36</f>
        <v>75.043995577777764</v>
      </c>
      <c r="E15" s="5">
        <f>Equipment!$N$8*'Customer Costs'!$C$15*'Fuel Prices'!D36</f>
        <v>75.043995577777764</v>
      </c>
      <c r="F15" s="5">
        <f>Equipment!$N$8*'Customer Costs'!$C$15*'Fuel Prices'!E36</f>
        <v>75.043995577777764</v>
      </c>
      <c r="G15" s="5">
        <f>Equipment!$N$8*'Customer Costs'!$C$15*'Fuel Prices'!F36</f>
        <v>75.043995577777764</v>
      </c>
      <c r="H15" s="5">
        <f>Equipment!$N$8*'Customer Costs'!$C$15*'Fuel Prices'!G36</f>
        <v>75.043995577777764</v>
      </c>
      <c r="I15" s="5">
        <f>Equipment!$N$8*'Customer Costs'!$C$15*'Fuel Prices'!H36</f>
        <v>75.043995577777764</v>
      </c>
      <c r="J15" s="5">
        <f>Equipment!$N$8*'Customer Costs'!$C$15*'Fuel Prices'!I36</f>
        <v>75.043995577777764</v>
      </c>
      <c r="K15" s="5">
        <f>Equipment!$N$8*'Customer Costs'!$C$15*'Fuel Prices'!J36</f>
        <v>75.043995577777764</v>
      </c>
      <c r="L15" s="5">
        <f>Equipment!$N$8*'Customer Costs'!$C$15*'Fuel Prices'!K36</f>
        <v>75.043995577777764</v>
      </c>
      <c r="M15" s="5">
        <f>Equipment!$N$8*'Customer Costs'!$C$15*'Fuel Prices'!L36</f>
        <v>75.043995577777764</v>
      </c>
      <c r="N15" s="5">
        <f>Equipment!$N$8*'Customer Costs'!$C$15*'Fuel Prices'!M36</f>
        <v>75.043995577777764</v>
      </c>
      <c r="O15" s="5">
        <f>Equipment!$N$8*'Customer Costs'!$C$15*'Fuel Prices'!N36</f>
        <v>75.043995577777764</v>
      </c>
      <c r="P15" s="5">
        <f>Equipment!$N$8*'Customer Costs'!$C$15*'Fuel Prices'!O36</f>
        <v>75.043995577777764</v>
      </c>
      <c r="Q15" s="5">
        <f>Equipment!$N$8*'Customer Costs'!$C$15*'Fuel Prices'!P36</f>
        <v>75.043995577777764</v>
      </c>
      <c r="R15" s="5">
        <f>Equipment!$N$8*'Customer Costs'!$C$15*'Fuel Prices'!Q36</f>
        <v>75.043995577777764</v>
      </c>
      <c r="S15" s="5">
        <f>Equipment!$N$8*'Customer Costs'!$C$15*'Fuel Prices'!R36</f>
        <v>75.043995577777764</v>
      </c>
      <c r="T15" s="5">
        <f>Equipment!$N$8*'Customer Costs'!$C$15*'Fuel Prices'!S36</f>
        <v>75.043995577777764</v>
      </c>
      <c r="U15" s="5">
        <f>Equipment!$N$8*'Customer Costs'!$C$15*'Fuel Prices'!T36</f>
        <v>75.043995577777764</v>
      </c>
      <c r="V15" s="5">
        <f>Equipment!$N$8*'Customer Costs'!$C$15*'Fuel Prices'!U36</f>
        <v>75.043995577777764</v>
      </c>
      <c r="W15" s="5">
        <f>Equipment!$N$8*'Customer Costs'!$C$15*'Fuel Prices'!V36</f>
        <v>75.043995577777764</v>
      </c>
      <c r="X15" s="5">
        <f>Equipment!$N$8*'Customer Costs'!$C$15*'Fuel Prices'!W36</f>
        <v>75.043995577777764</v>
      </c>
      <c r="Y15" s="5">
        <f>Equipment!$N$8*'Customer Costs'!$C$15*'Fuel Prices'!X36</f>
        <v>75.043995577777764</v>
      </c>
      <c r="Z15" s="5">
        <f>Equipment!$N$8*'Customer Costs'!$C$15*'Fuel Prices'!Y36</f>
        <v>75.043995577777764</v>
      </c>
      <c r="AA15" s="5">
        <f>Equipment!$N$8*'Customer Costs'!$C$15*'Fuel Prices'!Z36</f>
        <v>75.043995577777764</v>
      </c>
      <c r="AB15" s="5">
        <f>Equipment!$N$8*'Customer Costs'!$C$15*'Fuel Prices'!AA36</f>
        <v>75.043995577777764</v>
      </c>
      <c r="AC15" s="5">
        <f>NPV(Equipment!$C$22,'Customer Costs'!D15:U15)*(1+Equipment!$C$22)</f>
        <v>988.00439523597902</v>
      </c>
      <c r="AD15" s="5">
        <f t="shared" si="8"/>
        <v>-282.28697006742277</v>
      </c>
      <c r="AE15" s="5">
        <f>NPV(Equipment!$C$22,'Customer Costs'!K15:AB15)*(1+Equipment!$C$22)</f>
        <v>988.00439523597902</v>
      </c>
      <c r="AF15" s="5">
        <f t="shared" si="9"/>
        <v>-282.28697006742277</v>
      </c>
    </row>
    <row r="16" spans="1:32" x14ac:dyDescent="0.3">
      <c r="B16" t="s">
        <v>43</v>
      </c>
      <c r="C16" s="4">
        <f>C7</f>
        <v>0.81899999999999995</v>
      </c>
      <c r="D16" s="5">
        <f>Equipment!$M$12*'Customer Costs'!$C$16*'Fuel Prices'!C36</f>
        <v>88.285472382825446</v>
      </c>
      <c r="E16" s="5">
        <f>Equipment!$M$12*'Customer Costs'!$C$16*'Fuel Prices'!D36</f>
        <v>88.285472382825446</v>
      </c>
      <c r="F16" s="5">
        <f>Equipment!$M$12*'Customer Costs'!$C$16*'Fuel Prices'!E36</f>
        <v>88.285472382825446</v>
      </c>
      <c r="G16" s="5">
        <f>Equipment!$M$12*'Customer Costs'!$C$16*'Fuel Prices'!F36</f>
        <v>88.285472382825446</v>
      </c>
      <c r="H16" s="5">
        <f>Equipment!$M$12*'Customer Costs'!$C$16*'Fuel Prices'!G36</f>
        <v>88.285472382825446</v>
      </c>
      <c r="I16" s="5">
        <f>Equipment!$M$12*'Customer Costs'!$C$16*'Fuel Prices'!H36</f>
        <v>88.285472382825446</v>
      </c>
      <c r="J16" s="5">
        <f>Equipment!$M$12*'Customer Costs'!$C$16*'Fuel Prices'!I36</f>
        <v>88.285472382825446</v>
      </c>
      <c r="K16" s="5">
        <f>Equipment!$M$12*'Customer Costs'!$C$16*'Fuel Prices'!J36</f>
        <v>88.285472382825446</v>
      </c>
      <c r="L16" s="5">
        <f>Equipment!$M$12*'Customer Costs'!$C$16*'Fuel Prices'!K36</f>
        <v>88.285472382825446</v>
      </c>
      <c r="M16" s="5">
        <f>Equipment!$M$12*'Customer Costs'!$C$16*'Fuel Prices'!L36</f>
        <v>88.285472382825446</v>
      </c>
      <c r="N16" s="5">
        <f>Equipment!$M$12*'Customer Costs'!$C$16*'Fuel Prices'!M36</f>
        <v>88.285472382825446</v>
      </c>
      <c r="O16" s="5">
        <f>Equipment!$M$12*'Customer Costs'!$C$16*'Fuel Prices'!N36</f>
        <v>88.285472382825446</v>
      </c>
      <c r="P16" s="5">
        <f>Equipment!$M$12*'Customer Costs'!$C$16*'Fuel Prices'!O36</f>
        <v>88.285472382825446</v>
      </c>
      <c r="Q16" s="5">
        <f>Equipment!$M$12*'Customer Costs'!$C$16*'Fuel Prices'!P36</f>
        <v>88.285472382825446</v>
      </c>
      <c r="R16" s="5">
        <f>Equipment!$M$12*'Customer Costs'!$C$16*'Fuel Prices'!Q36</f>
        <v>88.285472382825446</v>
      </c>
      <c r="S16" s="5">
        <f>Equipment!$M$12*'Customer Costs'!$C$16*'Fuel Prices'!R36</f>
        <v>88.285472382825446</v>
      </c>
      <c r="T16" s="5">
        <f>Equipment!$M$12*'Customer Costs'!$C$16*'Fuel Prices'!S36</f>
        <v>88.285472382825446</v>
      </c>
      <c r="U16" s="5">
        <f>Equipment!$M$12*'Customer Costs'!$C$16*'Fuel Prices'!T36</f>
        <v>88.285472382825446</v>
      </c>
      <c r="V16" s="5">
        <f>Equipment!$M$12*'Customer Costs'!$C$16*'Fuel Prices'!U36</f>
        <v>88.285472382825446</v>
      </c>
      <c r="W16" s="5">
        <f>Equipment!$M$12*'Customer Costs'!$C$16*'Fuel Prices'!V36</f>
        <v>88.285472382825446</v>
      </c>
      <c r="X16" s="5">
        <f>Equipment!$M$12*'Customer Costs'!$C$16*'Fuel Prices'!W36</f>
        <v>88.285472382825446</v>
      </c>
      <c r="Y16" s="5">
        <f>Equipment!$M$12*'Customer Costs'!$C$16*'Fuel Prices'!X36</f>
        <v>88.285472382825446</v>
      </c>
      <c r="Z16" s="5">
        <f>Equipment!$M$12*'Customer Costs'!$C$16*'Fuel Prices'!Y36</f>
        <v>88.285472382825446</v>
      </c>
      <c r="AA16" s="5">
        <f>Equipment!$M$12*'Customer Costs'!$C$16*'Fuel Prices'!Z36</f>
        <v>88.285472382825446</v>
      </c>
      <c r="AB16" s="5">
        <f>Equipment!$M$12*'Customer Costs'!$C$16*'Fuel Prices'!AA36</f>
        <v>88.285472382825446</v>
      </c>
      <c r="AC16" s="5">
        <f>NPV(Equipment!$C$22,'Customer Costs'!D16:U16)*(1+Equipment!$C$22)</f>
        <v>1162.3372939852625</v>
      </c>
      <c r="AD16" s="5">
        <f t="shared" si="8"/>
        <v>-1415.3930272260427</v>
      </c>
      <c r="AE16" s="5">
        <f>NPV(Equipment!$C$22,'Customer Costs'!K16:AB16)*(1+Equipment!$C$22)</f>
        <v>1162.3372939852625</v>
      </c>
      <c r="AF16" s="5">
        <f t="shared" si="9"/>
        <v>-1592.0184583421687</v>
      </c>
    </row>
    <row r="17" spans="1:32" x14ac:dyDescent="0.3">
      <c r="B17" t="s">
        <v>50</v>
      </c>
      <c r="C17" s="4">
        <f>C8</f>
        <v>0.155</v>
      </c>
      <c r="D17" s="5">
        <f>Equipment!$O$15*'Customer Costs'!$C$17*'Fuel Prices'!C36</f>
        <v>12.570221247999998</v>
      </c>
      <c r="E17" s="5">
        <f>Equipment!$O$15*'Customer Costs'!$C$17*'Fuel Prices'!D36</f>
        <v>12.570221247999998</v>
      </c>
      <c r="F17" s="5">
        <f>Equipment!$O$15*'Customer Costs'!$C$17*'Fuel Prices'!E36</f>
        <v>12.570221247999998</v>
      </c>
      <c r="G17" s="5">
        <f>Equipment!$O$15*'Customer Costs'!$C$17*'Fuel Prices'!F36</f>
        <v>12.570221247999998</v>
      </c>
      <c r="H17" s="5">
        <f>Equipment!$O$15*'Customer Costs'!$C$17*'Fuel Prices'!G36</f>
        <v>12.570221247999998</v>
      </c>
      <c r="I17" s="5">
        <f>Equipment!$O$15*'Customer Costs'!$C$17*'Fuel Prices'!H36</f>
        <v>12.570221247999998</v>
      </c>
      <c r="J17" s="5">
        <f>Equipment!$O$15*'Customer Costs'!$C$17*'Fuel Prices'!I36</f>
        <v>12.570221247999998</v>
      </c>
      <c r="K17" s="5">
        <f>Equipment!$O$15*'Customer Costs'!$C$17*'Fuel Prices'!J36</f>
        <v>12.570221247999998</v>
      </c>
      <c r="L17" s="5">
        <f>Equipment!$O$15*'Customer Costs'!$C$17*'Fuel Prices'!K36</f>
        <v>12.570221247999998</v>
      </c>
      <c r="M17" s="5">
        <f>Equipment!$O$15*'Customer Costs'!$C$17*'Fuel Prices'!L36</f>
        <v>12.570221247999998</v>
      </c>
      <c r="N17" s="5">
        <f>Equipment!$O$15*'Customer Costs'!$C$17*'Fuel Prices'!M36</f>
        <v>12.570221247999998</v>
      </c>
      <c r="O17" s="5">
        <f>Equipment!$O$15*'Customer Costs'!$C$17*'Fuel Prices'!N36</f>
        <v>12.570221247999998</v>
      </c>
      <c r="P17" s="5">
        <f>Equipment!$O$15*'Customer Costs'!$C$17*'Fuel Prices'!O36</f>
        <v>12.570221247999998</v>
      </c>
      <c r="Q17" s="5">
        <f>Equipment!$O$15*'Customer Costs'!$C$17*'Fuel Prices'!P36</f>
        <v>12.570221247999998</v>
      </c>
      <c r="R17" s="5">
        <f>Equipment!$O$15*'Customer Costs'!$C$17*'Fuel Prices'!Q36</f>
        <v>12.570221247999998</v>
      </c>
      <c r="S17" s="5">
        <f>Equipment!$O$15*'Customer Costs'!$C$17*'Fuel Prices'!R36</f>
        <v>12.570221247999998</v>
      </c>
      <c r="T17" s="5">
        <f>Equipment!$O$15*'Customer Costs'!$C$17*'Fuel Prices'!S36</f>
        <v>12.570221247999998</v>
      </c>
      <c r="U17" s="5">
        <f>Equipment!$O$15*'Customer Costs'!$C$17*'Fuel Prices'!T36</f>
        <v>12.570221247999998</v>
      </c>
      <c r="V17" s="5">
        <f>Equipment!$O$15*'Customer Costs'!$C$17*'Fuel Prices'!U36</f>
        <v>12.570221247999998</v>
      </c>
      <c r="W17" s="5">
        <f>Equipment!$O$15*'Customer Costs'!$C$17*'Fuel Prices'!V36</f>
        <v>12.570221247999998</v>
      </c>
      <c r="X17" s="5">
        <f>Equipment!$O$15*'Customer Costs'!$C$17*'Fuel Prices'!W36</f>
        <v>12.570221247999998</v>
      </c>
      <c r="Y17" s="5">
        <f>Equipment!$O$15*'Customer Costs'!$C$17*'Fuel Prices'!X36</f>
        <v>12.570221247999998</v>
      </c>
      <c r="Z17" s="5">
        <f>Equipment!$O$15*'Customer Costs'!$C$17*'Fuel Prices'!Y36</f>
        <v>12.570221247999998</v>
      </c>
      <c r="AA17" s="5">
        <f>Equipment!$O$15*'Customer Costs'!$C$17*'Fuel Prices'!Z36</f>
        <v>12.570221247999998</v>
      </c>
      <c r="AB17" s="5">
        <f>Equipment!$O$15*'Customer Costs'!$C$17*'Fuel Prices'!AA36</f>
        <v>12.570221247999998</v>
      </c>
      <c r="AC17" s="5">
        <f>NPV(Equipment!$C$22,'Customer Costs'!D17:U17)*(1+Equipment!$C$22)</f>
        <v>165.49537036898352</v>
      </c>
      <c r="AD17" s="5">
        <f t="shared" si="8"/>
        <v>58.374944293112833</v>
      </c>
      <c r="AE17" s="5">
        <f>NPV(Equipment!$C$22,'Customer Costs'!K17:AB17)*(1+Equipment!$C$22)</f>
        <v>165.49537036898352</v>
      </c>
      <c r="AF17" s="5">
        <f t="shared" si="9"/>
        <v>53.04936872639729</v>
      </c>
    </row>
    <row r="18" spans="1:32" x14ac:dyDescent="0.3">
      <c r="B18" t="s">
        <v>49</v>
      </c>
      <c r="C18" s="4">
        <f>C9</f>
        <v>0.29599999999999999</v>
      </c>
      <c r="D18" s="5">
        <f>Equipment!$O$18*'Customer Costs'!$C$18*'Fuel Prices'!C36</f>
        <v>11.44451866663872</v>
      </c>
      <c r="E18" s="5">
        <f>Equipment!$O$18*'Customer Costs'!$C$18*'Fuel Prices'!D36</f>
        <v>11.44451866663872</v>
      </c>
      <c r="F18" s="5">
        <f>Equipment!$O$18*'Customer Costs'!$C$18*'Fuel Prices'!E36</f>
        <v>11.44451866663872</v>
      </c>
      <c r="G18" s="5">
        <f>Equipment!$O$18*'Customer Costs'!$C$18*'Fuel Prices'!F36</f>
        <v>11.44451866663872</v>
      </c>
      <c r="H18" s="5">
        <f>Equipment!$O$18*'Customer Costs'!$C$18*'Fuel Prices'!G36</f>
        <v>11.44451866663872</v>
      </c>
      <c r="I18" s="5">
        <f>Equipment!$O$18*'Customer Costs'!$C$18*'Fuel Prices'!H36</f>
        <v>11.44451866663872</v>
      </c>
      <c r="J18" s="5">
        <f>Equipment!$O$18*'Customer Costs'!$C$18*'Fuel Prices'!I36</f>
        <v>11.44451866663872</v>
      </c>
      <c r="K18" s="5">
        <f>Equipment!$O$18*'Customer Costs'!$C$18*'Fuel Prices'!J36</f>
        <v>11.44451866663872</v>
      </c>
      <c r="L18" s="5">
        <f>Equipment!$O$18*'Customer Costs'!$C$18*'Fuel Prices'!K36</f>
        <v>11.44451866663872</v>
      </c>
      <c r="M18" s="5">
        <f>Equipment!$O$18*'Customer Costs'!$C$18*'Fuel Prices'!L36</f>
        <v>11.44451866663872</v>
      </c>
      <c r="N18" s="5">
        <f>Equipment!$O$18*'Customer Costs'!$C$18*'Fuel Prices'!M36</f>
        <v>11.44451866663872</v>
      </c>
      <c r="O18" s="5">
        <f>Equipment!$O$18*'Customer Costs'!$C$18*'Fuel Prices'!N36</f>
        <v>11.44451866663872</v>
      </c>
      <c r="P18" s="5">
        <f>Equipment!$O$18*'Customer Costs'!$C$18*'Fuel Prices'!O36</f>
        <v>11.44451866663872</v>
      </c>
      <c r="Q18" s="5">
        <f>Equipment!$O$18*'Customer Costs'!$C$18*'Fuel Prices'!P36</f>
        <v>11.44451866663872</v>
      </c>
      <c r="R18" s="5">
        <f>Equipment!$O$18*'Customer Costs'!$C$18*'Fuel Prices'!Q36</f>
        <v>11.44451866663872</v>
      </c>
      <c r="S18" s="5">
        <f>Equipment!$O$18*'Customer Costs'!$C$18*'Fuel Prices'!R36</f>
        <v>11.44451866663872</v>
      </c>
      <c r="T18" s="5">
        <f>Equipment!$O$18*'Customer Costs'!$C$18*'Fuel Prices'!S36</f>
        <v>11.44451866663872</v>
      </c>
      <c r="U18" s="5">
        <f>Equipment!$O$18*'Customer Costs'!$C$18*'Fuel Prices'!T36</f>
        <v>11.44451866663872</v>
      </c>
      <c r="V18" s="5">
        <f>Equipment!$O$18*'Customer Costs'!$C$18*'Fuel Prices'!U36</f>
        <v>11.44451866663872</v>
      </c>
      <c r="W18" s="5">
        <f>Equipment!$O$18*'Customer Costs'!$C$18*'Fuel Prices'!V36</f>
        <v>11.44451866663872</v>
      </c>
      <c r="X18" s="5">
        <f>Equipment!$O$18*'Customer Costs'!$C$18*'Fuel Prices'!W36</f>
        <v>11.44451866663872</v>
      </c>
      <c r="Y18" s="5">
        <f>Equipment!$O$18*'Customer Costs'!$C$18*'Fuel Prices'!X36</f>
        <v>11.44451866663872</v>
      </c>
      <c r="Z18" s="5">
        <f>Equipment!$O$18*'Customer Costs'!$C$18*'Fuel Prices'!Y36</f>
        <v>11.44451866663872</v>
      </c>
      <c r="AA18" s="5">
        <f>Equipment!$O$18*'Customer Costs'!$C$18*'Fuel Prices'!Z36</f>
        <v>11.44451866663872</v>
      </c>
      <c r="AB18" s="5">
        <f>Equipment!$O$18*'Customer Costs'!$C$18*'Fuel Prices'!AA36</f>
        <v>11.44451866663872</v>
      </c>
      <c r="AC18" s="5">
        <f>NPV(Equipment!$C$22,'Customer Costs'!D18:U18)*(1+Equipment!$C$22)</f>
        <v>150.67474295501918</v>
      </c>
      <c r="AD18" s="5">
        <f t="shared" si="8"/>
        <v>-111.09639606334585</v>
      </c>
      <c r="AE18" s="5">
        <f>NPV(Equipment!$C$22,'Customer Costs'!K18:AB18)*(1+Equipment!$C$22)</f>
        <v>150.67474295501918</v>
      </c>
      <c r="AF18" s="5">
        <f t="shared" si="9"/>
        <v>-129.03288845063</v>
      </c>
    </row>
    <row r="19" spans="1:32" x14ac:dyDescent="0.3">
      <c r="B19" t="s">
        <v>67</v>
      </c>
      <c r="C19" s="4"/>
      <c r="D19" s="5">
        <f>IF(Summary!$D$5="y",'Customer Costs'!D10,0)</f>
        <v>0</v>
      </c>
      <c r="E19" s="5">
        <f>IF(Summary!$D$5="y",'Customer Costs'!E10,0)</f>
        <v>0</v>
      </c>
      <c r="F19" s="5">
        <f>IF(Summary!$D$5="y",'Customer Costs'!F10,0)</f>
        <v>0</v>
      </c>
      <c r="G19" s="5">
        <f>IF(Summary!$D$5="y",'Customer Costs'!G10,0)</f>
        <v>0</v>
      </c>
      <c r="H19" s="5">
        <f>IF(Summary!$D$5="y",'Customer Costs'!H10,0)</f>
        <v>0</v>
      </c>
      <c r="I19" s="5">
        <f>IF(Summary!$D$5="y",'Customer Costs'!I10,0)</f>
        <v>0</v>
      </c>
      <c r="J19" s="5">
        <f>IF(Summary!$D$5="y",'Customer Costs'!J10,0)</f>
        <v>0</v>
      </c>
      <c r="K19" s="5">
        <f>IF(Summary!$D$5="y",'Customer Costs'!K10,0)</f>
        <v>0</v>
      </c>
      <c r="L19" s="5">
        <f>IF(Summary!$D$5="y",'Customer Costs'!L10,0)</f>
        <v>0</v>
      </c>
      <c r="M19" s="5">
        <f>IF(Summary!$D$5="y",'Customer Costs'!M10,0)</f>
        <v>0</v>
      </c>
      <c r="N19" s="5">
        <f>IF(Summary!$D$5="y",'Customer Costs'!N10,0)</f>
        <v>0</v>
      </c>
      <c r="O19" s="5">
        <f>IF(Summary!$D$5="y",'Customer Costs'!O10,0)</f>
        <v>0</v>
      </c>
      <c r="P19" s="5">
        <f>IF(Summary!$D$5="y",'Customer Costs'!P10,0)</f>
        <v>0</v>
      </c>
      <c r="Q19" s="5">
        <f>IF(Summary!$D$5="y",'Customer Costs'!Q10,0)</f>
        <v>0</v>
      </c>
      <c r="R19" s="5">
        <f>IF(Summary!$D$5="y",'Customer Costs'!R10,0)</f>
        <v>0</v>
      </c>
      <c r="S19" s="5">
        <f>IF(Summary!$D$5="y",'Customer Costs'!S10,0)</f>
        <v>0</v>
      </c>
      <c r="T19" s="5">
        <f>IF(Summary!$D$5="y",'Customer Costs'!T10,0)</f>
        <v>0</v>
      </c>
      <c r="U19" s="5">
        <f>IF(Summary!$D$5="y",'Customer Costs'!U10,0)</f>
        <v>0</v>
      </c>
      <c r="V19" s="5">
        <f>IF(Summary!$D$5="y",'Customer Costs'!V10,0)</f>
        <v>0</v>
      </c>
      <c r="W19" s="5">
        <f>IF(Summary!$D$5="y",'Customer Costs'!W10,0)</f>
        <v>0</v>
      </c>
      <c r="X19" s="5">
        <f>IF(Summary!$D$5="y",'Customer Costs'!X10,0)</f>
        <v>0</v>
      </c>
      <c r="Y19" s="5">
        <f>IF(Summary!$D$5="y",'Customer Costs'!Y10,0)</f>
        <v>0</v>
      </c>
      <c r="Z19" s="5">
        <f>IF(Summary!$D$5="y",'Customer Costs'!Z10,0)</f>
        <v>0</v>
      </c>
      <c r="AA19" s="5">
        <f>IF(Summary!$D$5="y",'Customer Costs'!AA10,0)</f>
        <v>0</v>
      </c>
      <c r="AB19" s="5">
        <f>IF(Summary!$D$5="y",'Customer Costs'!AB10,0)</f>
        <v>0</v>
      </c>
      <c r="AC19" s="5">
        <f>NPV(Equipment!$C$22,'Customer Costs'!D19:U19)*(1+Equipment!$C$22)</f>
        <v>0</v>
      </c>
      <c r="AD19" s="5">
        <f t="shared" si="8"/>
        <v>-4084.6856257349918</v>
      </c>
      <c r="AE19" s="5">
        <f>NPV(Equipment!$C$22,'Customer Costs'!K19:AB19)*(1+Equipment!$C$22)</f>
        <v>0</v>
      </c>
      <c r="AF19" s="5">
        <f t="shared" si="9"/>
        <v>-4084.6856257349918</v>
      </c>
    </row>
    <row r="20" spans="1:32" x14ac:dyDescent="0.3">
      <c r="B20" t="s">
        <v>146</v>
      </c>
      <c r="C20" s="4"/>
      <c r="D20" s="5">
        <f>SUM(D14:D19)</f>
        <v>1158.2566434950925</v>
      </c>
      <c r="E20" s="5">
        <f t="shared" ref="E20:AB20" si="10">SUM(E14:E19)</f>
        <v>1158.2566434950925</v>
      </c>
      <c r="F20" s="5">
        <f t="shared" si="10"/>
        <v>1158.2566434950925</v>
      </c>
      <c r="G20" s="5">
        <f t="shared" si="10"/>
        <v>1158.2566434950925</v>
      </c>
      <c r="H20" s="5">
        <f t="shared" si="10"/>
        <v>1158.2566434950925</v>
      </c>
      <c r="I20" s="5">
        <f t="shared" si="10"/>
        <v>1158.2566434950925</v>
      </c>
      <c r="J20" s="5">
        <f t="shared" si="10"/>
        <v>1158.2566434950925</v>
      </c>
      <c r="K20" s="5">
        <f t="shared" si="10"/>
        <v>1158.2566434950925</v>
      </c>
      <c r="L20" s="5">
        <f t="shared" si="10"/>
        <v>1158.2566434950925</v>
      </c>
      <c r="M20" s="5">
        <f t="shared" si="10"/>
        <v>1158.2566434950925</v>
      </c>
      <c r="N20" s="5">
        <f t="shared" si="10"/>
        <v>1158.2566434950925</v>
      </c>
      <c r="O20" s="5">
        <f t="shared" si="10"/>
        <v>1158.2566434950925</v>
      </c>
      <c r="P20" s="5">
        <f t="shared" si="10"/>
        <v>1158.2566434950925</v>
      </c>
      <c r="Q20" s="5">
        <f t="shared" si="10"/>
        <v>1158.2566434950925</v>
      </c>
      <c r="R20" s="5">
        <f t="shared" si="10"/>
        <v>1158.2566434950925</v>
      </c>
      <c r="S20" s="5">
        <f t="shared" si="10"/>
        <v>1158.2566434950925</v>
      </c>
      <c r="T20" s="5">
        <f t="shared" si="10"/>
        <v>1158.2566434950925</v>
      </c>
      <c r="U20" s="5">
        <f t="shared" si="10"/>
        <v>1158.2566434950925</v>
      </c>
      <c r="V20" s="5">
        <f t="shared" si="10"/>
        <v>1158.2566434950925</v>
      </c>
      <c r="W20" s="5">
        <f t="shared" si="10"/>
        <v>1158.2566434950925</v>
      </c>
      <c r="X20" s="5">
        <f t="shared" si="10"/>
        <v>1158.2566434950925</v>
      </c>
      <c r="Y20" s="5">
        <f t="shared" si="10"/>
        <v>1158.2566434950925</v>
      </c>
      <c r="Z20" s="5">
        <f t="shared" si="10"/>
        <v>1158.2566434950925</v>
      </c>
      <c r="AA20" s="5">
        <f t="shared" si="10"/>
        <v>1158.2566434950925</v>
      </c>
      <c r="AB20" s="5">
        <f t="shared" si="10"/>
        <v>1158.2566434950925</v>
      </c>
      <c r="AC20" s="5">
        <f>NPV(Equipment!$C$22,'Customer Costs'!D20:U20)*(1+Equipment!$C$22)</f>
        <v>15249.223415861079</v>
      </c>
      <c r="AD20" s="5">
        <f t="shared" si="8"/>
        <v>-13018.333032562115</v>
      </c>
      <c r="AE20" s="5">
        <f>NPV(Equipment!$C$22,'Customer Costs'!K20:AB20)*(1+Equipment!$C$22)</f>
        <v>15249.223415861079</v>
      </c>
      <c r="AF20" s="5">
        <f t="shared" si="9"/>
        <v>-14510.356002953036</v>
      </c>
    </row>
    <row r="21" spans="1:32" x14ac:dyDescent="0.3"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</row>
    <row r="22" spans="1:32" ht="17.850000000000001" x14ac:dyDescent="0.35">
      <c r="A22" s="44" t="s">
        <v>184</v>
      </c>
    </row>
    <row r="23" spans="1:32" ht="28.8" x14ac:dyDescent="0.3">
      <c r="A23" s="101"/>
      <c r="B23" s="101"/>
      <c r="C23" s="3" t="s">
        <v>63</v>
      </c>
      <c r="D23" s="13">
        <v>2023</v>
      </c>
      <c r="E23" s="13">
        <f>D23+1</f>
        <v>2024</v>
      </c>
      <c r="F23" s="13">
        <f t="shared" ref="F23" si="11">E23+1</f>
        <v>2025</v>
      </c>
      <c r="G23" s="13">
        <f t="shared" ref="G23" si="12">F23+1</f>
        <v>2026</v>
      </c>
      <c r="H23" s="13">
        <f t="shared" ref="H23" si="13">G23+1</f>
        <v>2027</v>
      </c>
      <c r="I23" s="13">
        <f t="shared" ref="I23" si="14">H23+1</f>
        <v>2028</v>
      </c>
      <c r="J23" s="13">
        <f t="shared" ref="J23" si="15">I23+1</f>
        <v>2029</v>
      </c>
      <c r="K23" s="13">
        <f t="shared" ref="K23" si="16">J23+1</f>
        <v>2030</v>
      </c>
      <c r="L23" s="13">
        <f t="shared" ref="L23" si="17">K23+1</f>
        <v>2031</v>
      </c>
      <c r="M23" s="13">
        <f t="shared" ref="M23" si="18">L23+1</f>
        <v>2032</v>
      </c>
      <c r="N23" s="13">
        <f t="shared" ref="N23" si="19">M23+1</f>
        <v>2033</v>
      </c>
      <c r="O23" s="13">
        <f t="shared" ref="O23" si="20">N23+1</f>
        <v>2034</v>
      </c>
      <c r="P23" s="13">
        <f t="shared" ref="P23" si="21">O23+1</f>
        <v>2035</v>
      </c>
      <c r="Q23" s="13">
        <f t="shared" ref="Q23" si="22">P23+1</f>
        <v>2036</v>
      </c>
      <c r="R23" s="13">
        <f t="shared" ref="R23" si="23">Q23+1</f>
        <v>2037</v>
      </c>
      <c r="S23" s="13">
        <f>R23+1</f>
        <v>2038</v>
      </c>
      <c r="T23" s="13">
        <f t="shared" ref="T23" si="24">S23+1</f>
        <v>2039</v>
      </c>
      <c r="U23" s="13">
        <f t="shared" ref="U23" si="25">T23+1</f>
        <v>2040</v>
      </c>
      <c r="V23" s="13">
        <f t="shared" ref="V23" si="26">U23+1</f>
        <v>2041</v>
      </c>
      <c r="W23" s="13">
        <f t="shared" ref="W23" si="27">V23+1</f>
        <v>2042</v>
      </c>
      <c r="X23" s="13">
        <f t="shared" ref="X23" si="28">W23+1</f>
        <v>2043</v>
      </c>
      <c r="Y23" s="13">
        <f t="shared" ref="Y23" si="29">X23+1</f>
        <v>2044</v>
      </c>
      <c r="Z23" s="13">
        <f t="shared" ref="Z23" si="30">Y23+1</f>
        <v>2045</v>
      </c>
      <c r="AA23" s="13">
        <f t="shared" ref="AA23" si="31">Z23+1</f>
        <v>2046</v>
      </c>
      <c r="AB23" s="13">
        <f t="shared" ref="AB23" si="32">AA23+1</f>
        <v>2047</v>
      </c>
      <c r="AC23" s="19" t="s">
        <v>143</v>
      </c>
      <c r="AD23" s="3" t="s">
        <v>89</v>
      </c>
      <c r="AE23" s="19"/>
      <c r="AF23" s="3"/>
    </row>
    <row r="24" spans="1:32" x14ac:dyDescent="0.3">
      <c r="A24" s="3" t="str">
        <f>A4</f>
        <v>Staying Gas</v>
      </c>
      <c r="C24" s="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9"/>
    </row>
    <row r="25" spans="1:32" x14ac:dyDescent="0.3">
      <c r="B25" t="s">
        <v>42</v>
      </c>
      <c r="C25" s="53">
        <f>C5</f>
        <v>1</v>
      </c>
      <c r="D25" s="20">
        <f>Equipment!$G$7*$C$25</f>
        <v>631.94662515442008</v>
      </c>
      <c r="E25" s="20">
        <f>Equipment!$G$7*$C$25</f>
        <v>631.94662515442008</v>
      </c>
      <c r="F25" s="20">
        <f>Equipment!$G$7*$C$25</f>
        <v>631.94662515442008</v>
      </c>
      <c r="G25" s="20">
        <f>Equipment!$G$7*$C$25</f>
        <v>631.94662515442008</v>
      </c>
      <c r="H25" s="20">
        <f>Equipment!$G$7*$C$25</f>
        <v>631.94662515442008</v>
      </c>
      <c r="I25" s="20">
        <f>Equipment!$G$7*$C$25</f>
        <v>631.94662515442008</v>
      </c>
      <c r="J25" s="20">
        <f>Equipment!$G$7*$C$25</f>
        <v>631.94662515442008</v>
      </c>
      <c r="K25" s="20">
        <f>Equipment!$G$7*$C$25</f>
        <v>631.94662515442008</v>
      </c>
      <c r="L25" s="20">
        <f>Equipment!$G$7*$C$25</f>
        <v>631.94662515442008</v>
      </c>
      <c r="M25" s="20">
        <f>Equipment!$G$7*$C$25</f>
        <v>631.94662515442008</v>
      </c>
      <c r="N25" s="20">
        <f>Equipment!$G$7*$C$25</f>
        <v>631.94662515442008</v>
      </c>
      <c r="O25" s="20">
        <f>Equipment!$G$7*$C$25</f>
        <v>631.94662515442008</v>
      </c>
      <c r="P25" s="20">
        <f>Equipment!$G$7*$C$25</f>
        <v>631.94662515442008</v>
      </c>
      <c r="Q25" s="20">
        <f>Equipment!$G$7*$C$25</f>
        <v>631.94662515442008</v>
      </c>
      <c r="R25" s="20">
        <f>Equipment!$G$7*$C$25</f>
        <v>631.94662515442008</v>
      </c>
      <c r="S25" s="20">
        <f>Equipment!$G$7*$C$25</f>
        <v>631.94662515442008</v>
      </c>
      <c r="T25" s="20">
        <f>Equipment!$G$7*$C$25</f>
        <v>631.94662515442008</v>
      </c>
      <c r="U25" s="20">
        <f>Equipment!$G$7*$C$25</f>
        <v>631.94662515442008</v>
      </c>
      <c r="V25" s="20">
        <f>Equipment!$G$7*$C$25</f>
        <v>631.94662515442008</v>
      </c>
      <c r="W25" s="20">
        <f>Equipment!$G$7*$C$25</f>
        <v>631.94662515442008</v>
      </c>
      <c r="X25" s="20">
        <f>Equipment!$G$7*$C$25</f>
        <v>631.94662515442008</v>
      </c>
      <c r="Y25" s="20">
        <f>Equipment!$G$7*$C$25</f>
        <v>631.94662515442008</v>
      </c>
      <c r="Z25" s="20">
        <f>Equipment!$G$7*$C$25</f>
        <v>631.94662515442008</v>
      </c>
      <c r="AA25" s="20">
        <f>Equipment!$G$7*$C$25</f>
        <v>631.94662515442008</v>
      </c>
      <c r="AB25" s="20">
        <f>Equipment!$G$7*$C$25</f>
        <v>631.94662515442008</v>
      </c>
      <c r="AC25" s="5">
        <f>NPV(Equipment!$C$22,'Customer Costs'!D25:U25)*(1+Equipment!$C$22)</f>
        <v>8319.9999999999982</v>
      </c>
      <c r="AE25" s="5"/>
    </row>
    <row r="26" spans="1:32" x14ac:dyDescent="0.3">
      <c r="B26" t="s">
        <v>43</v>
      </c>
      <c r="C26" s="53">
        <f>C7</f>
        <v>0.81899999999999995</v>
      </c>
      <c r="D26" s="20">
        <f>IF((D$23-$D$23)&gt;(Equipment!$F$11/2)-1,Equipment!$G$11*'Customer Costs'!$C$26,0)</f>
        <v>0</v>
      </c>
      <c r="E26" s="20">
        <f>IF((E23-$D$23)&gt;(Equipment!$F$11/2)-1,Equipment!$G$11*'Customer Costs'!$C$26,0)</f>
        <v>0</v>
      </c>
      <c r="F26" s="20">
        <f>IF((F23-$D$23)&gt;(Equipment!$F$11/2)-1,Equipment!$G$11*'Customer Costs'!$C$26,0)</f>
        <v>0</v>
      </c>
      <c r="G26" s="20">
        <f>IF((G23-$D$23)&gt;(Equipment!$F$11/2)-1,Equipment!$G$11*'Customer Costs'!$C$26,0)</f>
        <v>0</v>
      </c>
      <c r="H26" s="20">
        <f>IF((H23-$D$23)&gt;(Equipment!$F$11/2)-1,Equipment!$G$11*'Customer Costs'!$C$26,0)</f>
        <v>0</v>
      </c>
      <c r="I26" s="20">
        <f>IF((I23-$D$23)&gt;(Equipment!$F$11/2)-1,Equipment!$G$11*'Customer Costs'!$C$26,0)</f>
        <v>0</v>
      </c>
      <c r="J26" s="20">
        <f>IF((J23-$D$23)&gt;(Equipment!$F$11/2)-1,Equipment!$G$11*'Customer Costs'!$C$26,0)</f>
        <v>0</v>
      </c>
      <c r="K26" s="20">
        <f>IF((K23-$D$23)&gt;(Equipment!$F$11/2)-1,Equipment!$G$11*'Customer Costs'!$C$26,0)</f>
        <v>227.79652451447393</v>
      </c>
      <c r="L26" s="20">
        <f>IF((L23-$D$23)&gt;(Equipment!$F$11/2)-1,Equipment!$G$11*'Customer Costs'!$C$26,0)</f>
        <v>227.79652451447393</v>
      </c>
      <c r="M26" s="20">
        <f>IF((M23-$D$23)&gt;(Equipment!$F$11/2)-1,Equipment!$G$11*'Customer Costs'!$C$26,0)</f>
        <v>227.79652451447393</v>
      </c>
      <c r="N26" s="20">
        <f>IF((N23-$D$23)&gt;(Equipment!$F$11/2)-1,Equipment!$G$11*'Customer Costs'!$C$26,0)</f>
        <v>227.79652451447393</v>
      </c>
      <c r="O26" s="20">
        <f>IF((O23-$D$23)&gt;(Equipment!$F$11/2)-1,Equipment!$G$11*'Customer Costs'!$C$26,0)</f>
        <v>227.79652451447393</v>
      </c>
      <c r="P26" s="20">
        <f>IF((P23-$D$23)&gt;(Equipment!$F$11/2)-1,Equipment!$G$11*'Customer Costs'!$C$26,0)</f>
        <v>227.79652451447393</v>
      </c>
      <c r="Q26" s="20">
        <f>IF((Q23-$D$23)&gt;(Equipment!$F$11/2)-1,Equipment!$G$11*'Customer Costs'!$C$26,0)</f>
        <v>227.79652451447393</v>
      </c>
      <c r="R26" s="20">
        <f>IF((R23-$D$23)&gt;(Equipment!$F$11/2)-1,Equipment!$G$11*'Customer Costs'!$C$26,0)</f>
        <v>227.79652451447393</v>
      </c>
      <c r="S26" s="20">
        <f>IF((S23-$D$23)&gt;(Equipment!$F$11/2)-1,Equipment!$G$11*'Customer Costs'!$C$26,0)</f>
        <v>227.79652451447393</v>
      </c>
      <c r="T26" s="20">
        <f>IF((T23-$D$23)&gt;(Equipment!$F$11/2)-1,Equipment!$G$11*'Customer Costs'!$C$26,0)</f>
        <v>227.79652451447393</v>
      </c>
      <c r="U26" s="20">
        <f>IF((U23-$D$23)&gt;(Equipment!$F$11/2)-1,Equipment!$G$11*'Customer Costs'!$C$26,0)</f>
        <v>227.79652451447393</v>
      </c>
      <c r="V26" s="20">
        <f>IF((V23-$D$23)&gt;(Equipment!$F$11/2)-1,Equipment!$G$11*'Customer Costs'!$C$26,0)</f>
        <v>227.79652451447393</v>
      </c>
      <c r="W26" s="20">
        <f>IF((W23-$D$23)&gt;(Equipment!$F$11/2)-1,Equipment!$G$11*'Customer Costs'!$C$26,0)</f>
        <v>227.79652451447393</v>
      </c>
      <c r="X26" s="20">
        <f>IF((X23-$D$23)&gt;(Equipment!$F$11/2)-1,Equipment!$G$11*'Customer Costs'!$C$26,0)</f>
        <v>227.79652451447393</v>
      </c>
      <c r="Y26" s="20">
        <f>IF((Y23-$D$23)&gt;(Equipment!$F$11/2)-1,Equipment!$G$11*'Customer Costs'!$C$26,0)</f>
        <v>227.79652451447393</v>
      </c>
      <c r="Z26" s="20">
        <f>IF((Z23-$D$23)&gt;(Equipment!$F$11/2)-1,Equipment!$G$11*'Customer Costs'!$C$26,0)</f>
        <v>227.79652451447393</v>
      </c>
      <c r="AA26" s="20">
        <f>IF((AA23-$D$23)&gt;(Equipment!$F$11/2)-1,Equipment!$G$11*'Customer Costs'!$C$26,0)</f>
        <v>227.79652451447393</v>
      </c>
      <c r="AB26" s="20">
        <f>IF((AB23-$D$23)&gt;(Equipment!$F$11/2)-1,Equipment!$G$11*'Customer Costs'!$C$26,0)</f>
        <v>227.79652451447393</v>
      </c>
      <c r="AC26" s="5">
        <f>NPV(Equipment!$C$22,'Customer Costs'!D26:U26)*(1+Equipment!$C$22)</f>
        <v>1577.1565262721015</v>
      </c>
      <c r="AE26" s="5"/>
    </row>
    <row r="27" spans="1:32" x14ac:dyDescent="0.3">
      <c r="B27" t="s">
        <v>50</v>
      </c>
      <c r="C27" s="53">
        <f>C8</f>
        <v>0.155</v>
      </c>
      <c r="D27" s="20">
        <f>IF((D$23-$D$23)&gt;(Equipment!$F$14/2)-1,Equipment!$G$14*'Customer Costs'!$C$27,0)</f>
        <v>0</v>
      </c>
      <c r="E27" s="20">
        <f>IF((E$23-$D$23)&gt;(Equipment!$F$14/2)-1,Equipment!$G$14*'Customer Costs'!$C$27,0)</f>
        <v>0</v>
      </c>
      <c r="F27" s="20">
        <f>IF((F$23-$D$23)&gt;(Equipment!$F$14/2)-1,Equipment!$G$14*'Customer Costs'!$C$27,0)</f>
        <v>0</v>
      </c>
      <c r="G27" s="20">
        <f>IF((G$23-$D$23)&gt;(Equipment!$F$14/2)-1,Equipment!$G$14*'Customer Costs'!$C$27,0)</f>
        <v>0</v>
      </c>
      <c r="H27" s="20">
        <f>IF((H$23-$D$23)&gt;(Equipment!$F$14/2)-1,Equipment!$G$14*'Customer Costs'!$C$27,0)</f>
        <v>0</v>
      </c>
      <c r="I27" s="20">
        <f>IF((I$23-$D$23)&gt;(Equipment!$F$14/2)-1,Equipment!$G$14*'Customer Costs'!$C$27,0)</f>
        <v>0</v>
      </c>
      <c r="J27" s="20">
        <f>IF((J$23-$D$23)&gt;(Equipment!$F$14/2)-1,Equipment!$G$14*'Customer Costs'!$C$27,0)</f>
        <v>18.987997935850686</v>
      </c>
      <c r="K27" s="20">
        <f>IF((K$23-$D$23)&gt;(Equipment!$F$14/2)-1,Equipment!$G$14*'Customer Costs'!$C$27,0)</f>
        <v>18.987997935850686</v>
      </c>
      <c r="L27" s="20">
        <f>IF((L$23-$D$23)&gt;(Equipment!$F$14/2)-1,Equipment!$G$14*'Customer Costs'!$C$27,0)</f>
        <v>18.987997935850686</v>
      </c>
      <c r="M27" s="20">
        <f>IF((M$23-$D$23)&gt;(Equipment!$F$14/2)-1,Equipment!$G$14*'Customer Costs'!$C$27,0)</f>
        <v>18.987997935850686</v>
      </c>
      <c r="N27" s="20">
        <f>IF((N$23-$D$23)&gt;(Equipment!$F$14/2)-1,Equipment!$G$14*'Customer Costs'!$C$27,0)</f>
        <v>18.987997935850686</v>
      </c>
      <c r="O27" s="20">
        <f>IF((O$23-$D$23)&gt;(Equipment!$F$14/2)-1,Equipment!$G$14*'Customer Costs'!$C$27,0)</f>
        <v>18.987997935850686</v>
      </c>
      <c r="P27" s="20">
        <f>IF((P$23-$D$23)&gt;(Equipment!$F$14/2)-1,Equipment!$G$14*'Customer Costs'!$C$27,0)</f>
        <v>18.987997935850686</v>
      </c>
      <c r="Q27" s="20">
        <f>IF((Q$23-$D$23)&gt;(Equipment!$F$14/2)-1,Equipment!$G$14*'Customer Costs'!$C$27,0)</f>
        <v>18.987997935850686</v>
      </c>
      <c r="R27" s="20">
        <f>IF((R$23-$D$23)&gt;(Equipment!$F$14/2)-1,Equipment!$G$14*'Customer Costs'!$C$27,0)</f>
        <v>18.987997935850686</v>
      </c>
      <c r="S27" s="20">
        <f>IF((S$23-$D$23)&gt;(Equipment!$F$14/2)-1,Equipment!$G$14*'Customer Costs'!$C$27,0)</f>
        <v>18.987997935850686</v>
      </c>
      <c r="T27" s="20">
        <f>IF((T$23-$D$23)&gt;(Equipment!$F$14/2)-1,Equipment!$G$14*'Customer Costs'!$C$27,0)</f>
        <v>18.987997935850686</v>
      </c>
      <c r="U27" s="20">
        <f>IF((U$23-$D$23)&gt;(Equipment!$F$14/2)-1,Equipment!$G$14*'Customer Costs'!$C$27,0)</f>
        <v>18.987997935850686</v>
      </c>
      <c r="V27" s="20">
        <f>IF((V$23-$D$23)&gt;(Equipment!$F$14/2)-1,Equipment!$G$14*'Customer Costs'!$C$27,0)</f>
        <v>18.987997935850686</v>
      </c>
      <c r="W27" s="20">
        <f>IF((W$23-$D$23)&gt;(Equipment!$F$14/2)-1,Equipment!$G$14*'Customer Costs'!$C$27,0)</f>
        <v>18.987997935850686</v>
      </c>
      <c r="X27" s="20">
        <f>IF((X$23-$D$23)&gt;(Equipment!$F$14/2)-1,Equipment!$G$14*'Customer Costs'!$C$27,0)</f>
        <v>18.987997935850686</v>
      </c>
      <c r="Y27" s="20">
        <f>IF((Y$23-$D$23)&gt;(Equipment!$F$14/2)-1,Equipment!$G$14*'Customer Costs'!$C$27,0)</f>
        <v>18.987997935850686</v>
      </c>
      <c r="Z27" s="20">
        <f>IF((Z$23-$D$23)&gt;(Equipment!$F$14/2)-1,Equipment!$G$14*'Customer Costs'!$C$27,0)</f>
        <v>18.987997935850686</v>
      </c>
      <c r="AA27" s="20">
        <f>IF((AA$23-$D$23)&gt;(Equipment!$F$14/2)-1,Equipment!$G$14*'Customer Costs'!$C$27,0)</f>
        <v>18.987997935850686</v>
      </c>
      <c r="AB27" s="20">
        <f>IF((AB$23-$D$23)&gt;(Equipment!$F$14/2)-1,Equipment!$G$14*'Customer Costs'!$C$27,0)</f>
        <v>18.987997935850686</v>
      </c>
      <c r="AC27" s="5">
        <f>NPV(Equipment!$C$22,'Customer Costs'!D27:U27)*(1+Equipment!$C$22)</f>
        <v>146.47050185029767</v>
      </c>
      <c r="AE27" s="5"/>
    </row>
    <row r="28" spans="1:32" x14ac:dyDescent="0.3">
      <c r="B28" t="s">
        <v>49</v>
      </c>
      <c r="C28" s="53">
        <f>C9</f>
        <v>0.29599999999999999</v>
      </c>
      <c r="D28" s="20">
        <f>IF((D$23-$D$23)&gt;(Equipment!$F$17/2)-1,Equipment!$G$17*'Customer Costs'!$C$28,0)</f>
        <v>0</v>
      </c>
      <c r="E28" s="20">
        <f>IF((E$23-$D$23)&gt;(Equipment!$F$17/2)-1,Equipment!$G$17*'Customer Costs'!$C$28,0)</f>
        <v>0</v>
      </c>
      <c r="F28" s="20">
        <f>IF((F$23-$D$23)&gt;(Equipment!$F$17/2)-1,Equipment!$G$17*'Customer Costs'!$C$28,0)</f>
        <v>0</v>
      </c>
      <c r="G28" s="20">
        <f>IF((G$23-$D$23)&gt;(Equipment!$F$17/2)-1,Equipment!$G$17*'Customer Costs'!$C$28,0)</f>
        <v>0</v>
      </c>
      <c r="H28" s="20">
        <f>IF((H$23-$D$23)&gt;(Equipment!$F$17/2)-1,Equipment!$G$17*'Customer Costs'!$C$28,0)</f>
        <v>0</v>
      </c>
      <c r="I28" s="20">
        <f>IF((I$23-$D$23)&gt;(Equipment!$F$17/2)-1,Equipment!$G$17*'Customer Costs'!$C$28,0)</f>
        <v>0</v>
      </c>
      <c r="J28" s="20">
        <f>IF((J$23-$D$23)&gt;(Equipment!$F$17/2)-1,Equipment!$G$17*'Customer Costs'!$C$28,0)</f>
        <v>0</v>
      </c>
      <c r="K28" s="20">
        <f>IF((K$23-$D$23)&gt;(Equipment!$F$17/2)-1,Equipment!$G$17*'Customer Costs'!$C$28,0)</f>
        <v>31.818031289004523</v>
      </c>
      <c r="L28" s="20">
        <f>IF((L$23-$D$23)&gt;(Equipment!$F$17/2)-1,Equipment!$G$17*'Customer Costs'!$C$28,0)</f>
        <v>31.818031289004523</v>
      </c>
      <c r="M28" s="20">
        <f>IF((M$23-$D$23)&gt;(Equipment!$F$17/2)-1,Equipment!$G$17*'Customer Costs'!$C$28,0)</f>
        <v>31.818031289004523</v>
      </c>
      <c r="N28" s="20">
        <f>IF((N$23-$D$23)&gt;(Equipment!$F$17/2)-1,Equipment!$G$17*'Customer Costs'!$C$28,0)</f>
        <v>31.818031289004523</v>
      </c>
      <c r="O28" s="20">
        <f>IF((O$23-$D$23)&gt;(Equipment!$F$17/2)-1,Equipment!$G$17*'Customer Costs'!$C$28,0)</f>
        <v>31.818031289004523</v>
      </c>
      <c r="P28" s="20">
        <f>IF((P$23-$D$23)&gt;(Equipment!$F$17/2)-1,Equipment!$G$17*'Customer Costs'!$C$28,0)</f>
        <v>31.818031289004523</v>
      </c>
      <c r="Q28" s="20">
        <f>IF((Q$23-$D$23)&gt;(Equipment!$F$17/2)-1,Equipment!$G$17*'Customer Costs'!$C$28,0)</f>
        <v>31.818031289004523</v>
      </c>
      <c r="R28" s="20">
        <f>IF((R$23-$D$23)&gt;(Equipment!$F$17/2)-1,Equipment!$G$17*'Customer Costs'!$C$28,0)</f>
        <v>31.818031289004523</v>
      </c>
      <c r="S28" s="20">
        <f>IF((S$23-$D$23)&gt;(Equipment!$F$17/2)-1,Equipment!$G$17*'Customer Costs'!$C$28,0)</f>
        <v>31.818031289004523</v>
      </c>
      <c r="T28" s="20">
        <f>IF((T$23-$D$23)&gt;(Equipment!$F$17/2)-1,Equipment!$G$17*'Customer Costs'!$C$28,0)</f>
        <v>31.818031289004523</v>
      </c>
      <c r="U28" s="20">
        <f>IF((U$23-$D$23)&gt;(Equipment!$F$17/2)-1,Equipment!$G$17*'Customer Costs'!$C$28,0)</f>
        <v>31.818031289004523</v>
      </c>
      <c r="V28" s="20">
        <f>IF((V$23-$D$23)&gt;(Equipment!$F$17/2)-1,Equipment!$G$17*'Customer Costs'!$C$28,0)</f>
        <v>31.818031289004523</v>
      </c>
      <c r="W28" s="20">
        <f>IF((W$23-$D$23)&gt;(Equipment!$F$17/2)-1,Equipment!$G$17*'Customer Costs'!$C$28,0)</f>
        <v>31.818031289004523</v>
      </c>
      <c r="X28" s="20">
        <f>IF((X$23-$D$23)&gt;(Equipment!$F$17/2)-1,Equipment!$G$17*'Customer Costs'!$C$28,0)</f>
        <v>31.818031289004523</v>
      </c>
      <c r="Y28" s="20">
        <f>IF((Y$23-$D$23)&gt;(Equipment!$F$17/2)-1,Equipment!$G$17*'Customer Costs'!$C$28,0)</f>
        <v>31.818031289004523</v>
      </c>
      <c r="Z28" s="20">
        <f>IF((Z$23-$D$23)&gt;(Equipment!$F$17/2)-1,Equipment!$G$17*'Customer Costs'!$C$28,0)</f>
        <v>31.818031289004523</v>
      </c>
      <c r="AA28" s="20">
        <f>IF((AA$23-$D$23)&gt;(Equipment!$F$17/2)-1,Equipment!$G$17*'Customer Costs'!$C$28,0)</f>
        <v>31.818031289004523</v>
      </c>
      <c r="AB28" s="20">
        <f>IF((AB$23-$D$23)&gt;(Equipment!$F$17/2)-1,Equipment!$G$17*'Customer Costs'!$C$28,0)</f>
        <v>31.818031289004523</v>
      </c>
      <c r="AC28" s="5">
        <f>NPV(Equipment!$C$22,'Customer Costs'!D28:U28)*(1+Equipment!$C$22)</f>
        <v>220.29315770967753</v>
      </c>
      <c r="AE28" s="5"/>
    </row>
    <row r="29" spans="1:32" x14ac:dyDescent="0.3">
      <c r="B29" t="s">
        <v>64</v>
      </c>
      <c r="C29" s="4"/>
      <c r="D29" s="20">
        <f t="shared" ref="D29:AB29" si="33">SUM(D25:D28)</f>
        <v>631.94662515442008</v>
      </c>
      <c r="E29" s="20">
        <f t="shared" si="33"/>
        <v>631.94662515442008</v>
      </c>
      <c r="F29" s="20">
        <f t="shared" si="33"/>
        <v>631.94662515442008</v>
      </c>
      <c r="G29" s="20">
        <f t="shared" si="33"/>
        <v>631.94662515442008</v>
      </c>
      <c r="H29" s="20">
        <f t="shared" si="33"/>
        <v>631.94662515442008</v>
      </c>
      <c r="I29" s="20">
        <f t="shared" si="33"/>
        <v>631.94662515442008</v>
      </c>
      <c r="J29" s="20">
        <f t="shared" si="33"/>
        <v>650.93462309027075</v>
      </c>
      <c r="K29" s="20">
        <f t="shared" si="33"/>
        <v>910.54917889374929</v>
      </c>
      <c r="L29" s="20">
        <f t="shared" si="33"/>
        <v>910.54917889374929</v>
      </c>
      <c r="M29" s="20">
        <f t="shared" si="33"/>
        <v>910.54917889374929</v>
      </c>
      <c r="N29" s="20">
        <f t="shared" si="33"/>
        <v>910.54917889374929</v>
      </c>
      <c r="O29" s="20">
        <f t="shared" si="33"/>
        <v>910.54917889374929</v>
      </c>
      <c r="P29" s="20">
        <f t="shared" si="33"/>
        <v>910.54917889374929</v>
      </c>
      <c r="Q29" s="20">
        <f t="shared" si="33"/>
        <v>910.54917889374929</v>
      </c>
      <c r="R29" s="20">
        <f t="shared" si="33"/>
        <v>910.54917889374929</v>
      </c>
      <c r="S29" s="20">
        <f t="shared" si="33"/>
        <v>910.54917889374929</v>
      </c>
      <c r="T29" s="20">
        <f t="shared" si="33"/>
        <v>910.54917889374929</v>
      </c>
      <c r="U29" s="20">
        <f t="shared" si="33"/>
        <v>910.54917889374929</v>
      </c>
      <c r="V29" s="20">
        <f t="shared" si="33"/>
        <v>910.54917889374929</v>
      </c>
      <c r="W29" s="20">
        <f t="shared" si="33"/>
        <v>910.54917889374929</v>
      </c>
      <c r="X29" s="20">
        <f t="shared" si="33"/>
        <v>910.54917889374929</v>
      </c>
      <c r="Y29" s="20">
        <f t="shared" si="33"/>
        <v>910.54917889374929</v>
      </c>
      <c r="Z29" s="20">
        <f t="shared" si="33"/>
        <v>910.54917889374929</v>
      </c>
      <c r="AA29" s="20">
        <f t="shared" si="33"/>
        <v>910.54917889374929</v>
      </c>
      <c r="AB29" s="20">
        <f t="shared" si="33"/>
        <v>910.54917889374929</v>
      </c>
      <c r="AC29" s="5">
        <f>NPV(Equipment!$C$22,'Customer Costs'!D29:U29)*(1+Equipment!$C$22)</f>
        <v>10263.920185832074</v>
      </c>
      <c r="AE29" s="5"/>
    </row>
    <row r="30" spans="1:32" x14ac:dyDescent="0.3">
      <c r="AC30" s="5"/>
    </row>
    <row r="31" spans="1:32" x14ac:dyDescent="0.3">
      <c r="A31" s="3" t="str">
        <f>A13</f>
        <v>Electrification</v>
      </c>
      <c r="AC31" s="5"/>
    </row>
    <row r="32" spans="1:32" x14ac:dyDescent="0.3">
      <c r="B32" t="str">
        <f>B25</f>
        <v>Heating/Cooling</v>
      </c>
      <c r="C32" s="4">
        <f>C25</f>
        <v>1</v>
      </c>
      <c r="D32" s="5">
        <f>Equipment!$G$8*$C$32</f>
        <v>363.36930946379152</v>
      </c>
      <c r="E32" s="5">
        <f>Equipment!$G$8*$C$32</f>
        <v>363.36930946379152</v>
      </c>
      <c r="F32" s="5">
        <f>Equipment!$G$8*$C$32</f>
        <v>363.36930946379152</v>
      </c>
      <c r="G32" s="5">
        <f>Equipment!$G$8*$C$32</f>
        <v>363.36930946379152</v>
      </c>
      <c r="H32" s="5">
        <f>Equipment!$G$8*$C$32</f>
        <v>363.36930946379152</v>
      </c>
      <c r="I32" s="5">
        <f>Equipment!$G$8*$C$32</f>
        <v>363.36930946379152</v>
      </c>
      <c r="J32" s="5">
        <f>Equipment!$G$8*$C$32</f>
        <v>363.36930946379152</v>
      </c>
      <c r="K32" s="5">
        <f>Equipment!$G$8*$C$32</f>
        <v>363.36930946379152</v>
      </c>
      <c r="L32" s="5">
        <f>Equipment!$G$8*$C$32</f>
        <v>363.36930946379152</v>
      </c>
      <c r="M32" s="5">
        <f>Equipment!$G$8*$C$32</f>
        <v>363.36930946379152</v>
      </c>
      <c r="N32" s="5">
        <f>Equipment!$G$8*$C$32</f>
        <v>363.36930946379152</v>
      </c>
      <c r="O32" s="5">
        <f>Equipment!$G$8*$C$32</f>
        <v>363.36930946379152</v>
      </c>
      <c r="P32" s="5">
        <f>Equipment!$G$8*$C$32</f>
        <v>363.36930946379152</v>
      </c>
      <c r="Q32" s="5">
        <f>Equipment!$G$8*$C$32</f>
        <v>363.36930946379152</v>
      </c>
      <c r="R32" s="5">
        <f>Equipment!$G$8*$C$32</f>
        <v>363.36930946379152</v>
      </c>
      <c r="S32" s="5">
        <f>Equipment!$G$8*$C$32</f>
        <v>363.36930946379152</v>
      </c>
      <c r="T32" s="5">
        <f>Equipment!$G$8*$C$32</f>
        <v>363.36930946379152</v>
      </c>
      <c r="U32" s="5">
        <f>Equipment!$G$8*$C$32</f>
        <v>363.36930946379152</v>
      </c>
      <c r="V32" s="5">
        <f>Equipment!$G$8*$C$32</f>
        <v>363.36930946379152</v>
      </c>
      <c r="W32" s="5">
        <f>Equipment!$G$8*$C$32</f>
        <v>363.36930946379152</v>
      </c>
      <c r="X32" s="5">
        <f>Equipment!$G$8*$C$32</f>
        <v>363.36930946379152</v>
      </c>
      <c r="Y32" s="5">
        <f>Equipment!$G$8*$C$32</f>
        <v>363.36930946379152</v>
      </c>
      <c r="Z32" s="5">
        <f>Equipment!$G$8*$C$32</f>
        <v>363.36930946379152</v>
      </c>
      <c r="AA32" s="5">
        <f>Equipment!$G$8*$C$32</f>
        <v>363.36930946379152</v>
      </c>
      <c r="AB32" s="5">
        <f>Equipment!$G$8*$C$32</f>
        <v>363.36930946379152</v>
      </c>
      <c r="AC32" s="5">
        <f>NPV(Equipment!$C$22,'Customer Costs'!D32:U32)*(1+Equipment!$C$22)</f>
        <v>4783.9999999999991</v>
      </c>
      <c r="AD32" s="5">
        <f>AC32-AC25</f>
        <v>-3535.9999999999991</v>
      </c>
      <c r="AE32" s="5"/>
      <c r="AF32" s="5"/>
    </row>
    <row r="33" spans="1:32" x14ac:dyDescent="0.3">
      <c r="B33" t="str">
        <f t="shared" ref="B33:B36" si="34">B26</f>
        <v>Water Heating</v>
      </c>
      <c r="C33" s="4">
        <f>C26</f>
        <v>0.81899999999999995</v>
      </c>
      <c r="D33" s="5">
        <f>Equipment!$G$12*'Customer Costs'!$C$33</f>
        <v>81.469252605528737</v>
      </c>
      <c r="E33" s="5">
        <f>Equipment!$G$12*'Customer Costs'!$C$33</f>
        <v>81.469252605528737</v>
      </c>
      <c r="F33" s="5">
        <f>Equipment!$G$12*'Customer Costs'!$C$33</f>
        <v>81.469252605528737</v>
      </c>
      <c r="G33" s="5">
        <f>Equipment!$G$12*'Customer Costs'!$C$33</f>
        <v>81.469252605528737</v>
      </c>
      <c r="H33" s="5">
        <f>Equipment!$G$12*'Customer Costs'!$C$33</f>
        <v>81.469252605528737</v>
      </c>
      <c r="I33" s="5">
        <f>Equipment!$G$12*'Customer Costs'!$C$33</f>
        <v>81.469252605528737</v>
      </c>
      <c r="J33" s="5">
        <f>Equipment!$G$12*'Customer Costs'!$C$33</f>
        <v>81.469252605528737</v>
      </c>
      <c r="K33" s="5">
        <f>Equipment!$G$12*'Customer Costs'!$C$33</f>
        <v>81.469252605528737</v>
      </c>
      <c r="L33" s="5">
        <f>Equipment!$G$12*'Customer Costs'!$C$33</f>
        <v>81.469252605528737</v>
      </c>
      <c r="M33" s="5">
        <f>Equipment!$G$12*'Customer Costs'!$C$33</f>
        <v>81.469252605528737</v>
      </c>
      <c r="N33" s="5">
        <f>Equipment!$G$12*'Customer Costs'!$C$33</f>
        <v>81.469252605528737</v>
      </c>
      <c r="O33" s="5">
        <f>Equipment!$G$12*'Customer Costs'!$C$33</f>
        <v>81.469252605528737</v>
      </c>
      <c r="P33" s="5">
        <f>Equipment!$G$12*'Customer Costs'!$C$33</f>
        <v>81.469252605528737</v>
      </c>
      <c r="Q33" s="5">
        <f>Equipment!$G$12*'Customer Costs'!$C$33</f>
        <v>81.469252605528737</v>
      </c>
      <c r="R33" s="5">
        <f>Equipment!$G$12*'Customer Costs'!$C$33</f>
        <v>81.469252605528737</v>
      </c>
      <c r="S33" s="5">
        <f>Equipment!$G$12*'Customer Costs'!$C$33</f>
        <v>81.469252605528737</v>
      </c>
      <c r="T33" s="5">
        <f>Equipment!$G$12*'Customer Costs'!$C$33</f>
        <v>81.469252605528737</v>
      </c>
      <c r="U33" s="5">
        <f>Equipment!$G$12*'Customer Costs'!$C$33</f>
        <v>81.469252605528737</v>
      </c>
      <c r="V33" s="5">
        <f>Equipment!$G$12*'Customer Costs'!$C$33</f>
        <v>81.469252605528737</v>
      </c>
      <c r="W33" s="5">
        <f>Equipment!$G$12*'Customer Costs'!$C$33</f>
        <v>81.469252605528737</v>
      </c>
      <c r="X33" s="5">
        <f>Equipment!$G$12*'Customer Costs'!$C$33</f>
        <v>81.469252605528737</v>
      </c>
      <c r="Y33" s="5">
        <f>Equipment!$G$12*'Customer Costs'!$C$33</f>
        <v>81.469252605528737</v>
      </c>
      <c r="Z33" s="5">
        <f>Equipment!$G$12*'Customer Costs'!$C$33</f>
        <v>81.469252605528737</v>
      </c>
      <c r="AA33" s="5">
        <f>Equipment!$G$12*'Customer Costs'!$C$33</f>
        <v>81.469252605528737</v>
      </c>
      <c r="AB33" s="5">
        <f>Equipment!$G$12*'Customer Costs'!$C$33</f>
        <v>81.469252605528737</v>
      </c>
      <c r="AC33" s="5">
        <f>NPV(Equipment!$C$22,'Customer Costs'!D33:U33)*(1+Equipment!$C$22)</f>
        <v>1072.597201563294</v>
      </c>
      <c r="AD33" s="5">
        <f>AC33-AC26</f>
        <v>-504.55932470880748</v>
      </c>
      <c r="AE33" s="5"/>
      <c r="AF33" s="5"/>
    </row>
    <row r="34" spans="1:32" x14ac:dyDescent="0.3">
      <c r="B34" t="str">
        <f t="shared" si="34"/>
        <v>Drying</v>
      </c>
      <c r="C34" s="4">
        <f>C27</f>
        <v>0.155</v>
      </c>
      <c r="D34" s="5">
        <f>Equipment!$G$15*'Customer Costs'!$C$34</f>
        <v>15.495952338452854</v>
      </c>
      <c r="E34" s="5">
        <f>Equipment!$G$15*'Customer Costs'!$C$34</f>
        <v>15.495952338452854</v>
      </c>
      <c r="F34" s="5">
        <f>Equipment!$G$15*'Customer Costs'!$C$34</f>
        <v>15.495952338452854</v>
      </c>
      <c r="G34" s="5">
        <f>Equipment!$G$15*'Customer Costs'!$C$34</f>
        <v>15.495952338452854</v>
      </c>
      <c r="H34" s="5">
        <f>Equipment!$G$15*'Customer Costs'!$C$34</f>
        <v>15.495952338452854</v>
      </c>
      <c r="I34" s="5">
        <f>Equipment!$G$15*'Customer Costs'!$C$34</f>
        <v>15.495952338452854</v>
      </c>
      <c r="J34" s="5">
        <f>Equipment!$G$15*'Customer Costs'!$C$34</f>
        <v>15.495952338452854</v>
      </c>
      <c r="K34" s="5">
        <f>Equipment!$G$15*'Customer Costs'!$C$34</f>
        <v>15.495952338452854</v>
      </c>
      <c r="L34" s="5">
        <f>Equipment!$G$15*'Customer Costs'!$C$34</f>
        <v>15.495952338452854</v>
      </c>
      <c r="M34" s="5">
        <f>Equipment!$G$15*'Customer Costs'!$C$34</f>
        <v>15.495952338452854</v>
      </c>
      <c r="N34" s="5">
        <f>Equipment!$G$15*'Customer Costs'!$C$34</f>
        <v>15.495952338452854</v>
      </c>
      <c r="O34" s="5">
        <f>Equipment!$G$15*'Customer Costs'!$C$34</f>
        <v>15.495952338452854</v>
      </c>
      <c r="P34" s="5">
        <f>Equipment!$G$15*'Customer Costs'!$C$34</f>
        <v>15.495952338452854</v>
      </c>
      <c r="Q34" s="5">
        <f>Equipment!$G$15*'Customer Costs'!$C$34</f>
        <v>15.495952338452854</v>
      </c>
      <c r="R34" s="5">
        <f>Equipment!$G$15*'Customer Costs'!$C$34</f>
        <v>15.495952338452854</v>
      </c>
      <c r="S34" s="5">
        <f>Equipment!$G$15*'Customer Costs'!$C$34</f>
        <v>15.495952338452854</v>
      </c>
      <c r="T34" s="5">
        <f>Equipment!$G$15*'Customer Costs'!$C$34</f>
        <v>15.495952338452854</v>
      </c>
      <c r="U34" s="5">
        <f>Equipment!$G$15*'Customer Costs'!$C$34</f>
        <v>15.495952338452854</v>
      </c>
      <c r="V34" s="5">
        <f>Equipment!$G$15*'Customer Costs'!$C$34</f>
        <v>15.495952338452854</v>
      </c>
      <c r="W34" s="5">
        <f>Equipment!$G$15*'Customer Costs'!$C$34</f>
        <v>15.495952338452854</v>
      </c>
      <c r="X34" s="5">
        <f>Equipment!$G$15*'Customer Costs'!$C$34</f>
        <v>15.495952338452854</v>
      </c>
      <c r="Y34" s="5">
        <f>Equipment!$G$15*'Customer Costs'!$C$34</f>
        <v>15.495952338452854</v>
      </c>
      <c r="Z34" s="5">
        <f>Equipment!$G$15*'Customer Costs'!$C$34</f>
        <v>15.495952338452854</v>
      </c>
      <c r="AA34" s="5">
        <f>Equipment!$G$15*'Customer Costs'!$C$34</f>
        <v>15.495952338452854</v>
      </c>
      <c r="AB34" s="5">
        <f>Equipment!$G$15*'Customer Costs'!$C$34</f>
        <v>15.495952338452854</v>
      </c>
      <c r="AC34" s="5">
        <f>NPV(Equipment!$C$22,'Customer Costs'!D34:U34)*(1+Equipment!$C$22)</f>
        <v>204.01457706087717</v>
      </c>
      <c r="AD34" s="5">
        <f>AC34-AC27</f>
        <v>57.544075210579507</v>
      </c>
      <c r="AE34" s="5"/>
      <c r="AF34" s="5"/>
    </row>
    <row r="35" spans="1:32" x14ac:dyDescent="0.3">
      <c r="B35" t="str">
        <f t="shared" si="34"/>
        <v>Cooking</v>
      </c>
      <c r="C35" s="4">
        <f>C28</f>
        <v>0.29599999999999999</v>
      </c>
      <c r="D35" s="5">
        <f>Equipment!$G$18*'Customer Costs'!$C$35</f>
        <v>35.921088668041961</v>
      </c>
      <c r="E35" s="5">
        <f>Equipment!$G$18*'Customer Costs'!$C$35</f>
        <v>35.921088668041961</v>
      </c>
      <c r="F35" s="5">
        <f>Equipment!$G$18*'Customer Costs'!$C$35</f>
        <v>35.921088668041961</v>
      </c>
      <c r="G35" s="5">
        <f>Equipment!$G$18*'Customer Costs'!$C$35</f>
        <v>35.921088668041961</v>
      </c>
      <c r="H35" s="5">
        <f>Equipment!$G$18*'Customer Costs'!$C$35</f>
        <v>35.921088668041961</v>
      </c>
      <c r="I35" s="5">
        <f>Equipment!$G$18*'Customer Costs'!$C$35</f>
        <v>35.921088668041961</v>
      </c>
      <c r="J35" s="5">
        <f>Equipment!$G$18*'Customer Costs'!$C$35</f>
        <v>35.921088668041961</v>
      </c>
      <c r="K35" s="5">
        <f>Equipment!$G$18*'Customer Costs'!$C$35</f>
        <v>35.921088668041961</v>
      </c>
      <c r="L35" s="5">
        <f>Equipment!$G$18*'Customer Costs'!$C$35</f>
        <v>35.921088668041961</v>
      </c>
      <c r="M35" s="5">
        <f>Equipment!$G$18*'Customer Costs'!$C$35</f>
        <v>35.921088668041961</v>
      </c>
      <c r="N35" s="5">
        <f>Equipment!$G$18*'Customer Costs'!$C$35</f>
        <v>35.921088668041961</v>
      </c>
      <c r="O35" s="5">
        <f>Equipment!$G$18*'Customer Costs'!$C$35</f>
        <v>35.921088668041961</v>
      </c>
      <c r="P35" s="5">
        <f>Equipment!$G$18*'Customer Costs'!$C$35</f>
        <v>35.921088668041961</v>
      </c>
      <c r="Q35" s="5">
        <f>Equipment!$G$18*'Customer Costs'!$C$35</f>
        <v>35.921088668041961</v>
      </c>
      <c r="R35" s="5">
        <f>Equipment!$G$18*'Customer Costs'!$C$35</f>
        <v>35.921088668041961</v>
      </c>
      <c r="S35" s="5">
        <f>Equipment!$G$18*'Customer Costs'!$C$35</f>
        <v>35.921088668041961</v>
      </c>
      <c r="T35" s="5">
        <f>Equipment!$G$18*'Customer Costs'!$C$35</f>
        <v>35.921088668041961</v>
      </c>
      <c r="U35" s="5">
        <f>Equipment!$G$18*'Customer Costs'!$C$35</f>
        <v>35.921088668041961</v>
      </c>
      <c r="V35" s="5">
        <f>Equipment!$G$18*'Customer Costs'!$C$35</f>
        <v>35.921088668041961</v>
      </c>
      <c r="W35" s="5">
        <f>Equipment!$G$18*'Customer Costs'!$C$35</f>
        <v>35.921088668041961</v>
      </c>
      <c r="X35" s="5">
        <f>Equipment!$G$18*'Customer Costs'!$C$35</f>
        <v>35.921088668041961</v>
      </c>
      <c r="Y35" s="5">
        <f>Equipment!$G$18*'Customer Costs'!$C$35</f>
        <v>35.921088668041961</v>
      </c>
      <c r="Z35" s="5">
        <f>Equipment!$G$18*'Customer Costs'!$C$35</f>
        <v>35.921088668041961</v>
      </c>
      <c r="AA35" s="5">
        <f>Equipment!$G$18*'Customer Costs'!$C$35</f>
        <v>35.921088668041961</v>
      </c>
      <c r="AB35" s="5">
        <f>Equipment!$G$18*'Customer Costs'!$C$35</f>
        <v>35.921088668041961</v>
      </c>
      <c r="AC35" s="5">
        <f>NPV(Equipment!$C$22,'Customer Costs'!D35:U35)*(1+Equipment!$C$22)</f>
        <v>472.92515826804186</v>
      </c>
      <c r="AD35" s="5">
        <f>AC35-AC28</f>
        <v>252.63200055836433</v>
      </c>
      <c r="AE35" s="5"/>
      <c r="AF35" s="5"/>
    </row>
    <row r="36" spans="1:32" x14ac:dyDescent="0.3">
      <c r="B36" t="str">
        <f t="shared" si="34"/>
        <v>Total Cost</v>
      </c>
      <c r="C36" s="4"/>
      <c r="D36" s="5">
        <f t="shared" ref="D36:AB36" si="35">SUM(D32:D35)</f>
        <v>496.25560307581509</v>
      </c>
      <c r="E36" s="5">
        <f t="shared" si="35"/>
        <v>496.25560307581509</v>
      </c>
      <c r="F36" s="5">
        <f t="shared" si="35"/>
        <v>496.25560307581509</v>
      </c>
      <c r="G36" s="5">
        <f t="shared" si="35"/>
        <v>496.25560307581509</v>
      </c>
      <c r="H36" s="5">
        <f t="shared" si="35"/>
        <v>496.25560307581509</v>
      </c>
      <c r="I36" s="5">
        <f t="shared" si="35"/>
        <v>496.25560307581509</v>
      </c>
      <c r="J36" s="5">
        <f t="shared" si="35"/>
        <v>496.25560307581509</v>
      </c>
      <c r="K36" s="5">
        <f t="shared" si="35"/>
        <v>496.25560307581509</v>
      </c>
      <c r="L36" s="5">
        <f t="shared" si="35"/>
        <v>496.25560307581509</v>
      </c>
      <c r="M36" s="5">
        <f t="shared" si="35"/>
        <v>496.25560307581509</v>
      </c>
      <c r="N36" s="5">
        <f t="shared" si="35"/>
        <v>496.25560307581509</v>
      </c>
      <c r="O36" s="5">
        <f t="shared" si="35"/>
        <v>496.25560307581509</v>
      </c>
      <c r="P36" s="5">
        <f t="shared" si="35"/>
        <v>496.25560307581509</v>
      </c>
      <c r="Q36" s="5">
        <f t="shared" si="35"/>
        <v>496.25560307581509</v>
      </c>
      <c r="R36" s="5">
        <f t="shared" si="35"/>
        <v>496.25560307581509</v>
      </c>
      <c r="S36" s="5">
        <f t="shared" si="35"/>
        <v>496.25560307581509</v>
      </c>
      <c r="T36" s="5">
        <f t="shared" si="35"/>
        <v>496.25560307581509</v>
      </c>
      <c r="U36" s="5">
        <f t="shared" si="35"/>
        <v>496.25560307581509</v>
      </c>
      <c r="V36" s="5">
        <f t="shared" si="35"/>
        <v>496.25560307581509</v>
      </c>
      <c r="W36" s="5">
        <f t="shared" si="35"/>
        <v>496.25560307581509</v>
      </c>
      <c r="X36" s="5">
        <f t="shared" si="35"/>
        <v>496.25560307581509</v>
      </c>
      <c r="Y36" s="5">
        <f t="shared" si="35"/>
        <v>496.25560307581509</v>
      </c>
      <c r="Z36" s="5">
        <f t="shared" si="35"/>
        <v>496.25560307581509</v>
      </c>
      <c r="AA36" s="5">
        <f t="shared" si="35"/>
        <v>496.25560307581509</v>
      </c>
      <c r="AB36" s="5">
        <f t="shared" si="35"/>
        <v>496.25560307581509</v>
      </c>
      <c r="AC36" s="5">
        <f>NPV(Equipment!$C$22,'Customer Costs'!D36:U36)*(1+Equipment!$C$22)</f>
        <v>6533.5369368922147</v>
      </c>
      <c r="AD36" s="5">
        <f>AC36-AC29</f>
        <v>-3730.3832489398592</v>
      </c>
      <c r="AE36" s="5"/>
      <c r="AF36" s="5"/>
    </row>
    <row r="37" spans="1:32" x14ac:dyDescent="0.3">
      <c r="AC37" s="5"/>
      <c r="AE37" s="5"/>
    </row>
    <row r="38" spans="1:32" ht="17.850000000000001" x14ac:dyDescent="0.35">
      <c r="A38" s="44" t="s">
        <v>240</v>
      </c>
    </row>
    <row r="39" spans="1:32" ht="28.8" x14ac:dyDescent="0.3">
      <c r="A39" s="101"/>
      <c r="B39" s="101"/>
      <c r="C39" s="3" t="s">
        <v>63</v>
      </c>
      <c r="D39" s="13">
        <v>2023</v>
      </c>
      <c r="E39" s="13">
        <f>D39+1</f>
        <v>2024</v>
      </c>
      <c r="F39" s="13">
        <f t="shared" ref="F39" si="36">E39+1</f>
        <v>2025</v>
      </c>
      <c r="G39" s="13">
        <f t="shared" ref="G39" si="37">F39+1</f>
        <v>2026</v>
      </c>
      <c r="H39" s="13">
        <f t="shared" ref="H39" si="38">G39+1</f>
        <v>2027</v>
      </c>
      <c r="I39" s="13">
        <f t="shared" ref="I39" si="39">H39+1</f>
        <v>2028</v>
      </c>
      <c r="J39" s="13">
        <f t="shared" ref="J39" si="40">I39+1</f>
        <v>2029</v>
      </c>
      <c r="K39" s="13">
        <f t="shared" ref="K39" si="41">J39+1</f>
        <v>2030</v>
      </c>
      <c r="L39" s="13">
        <f t="shared" ref="L39" si="42">K39+1</f>
        <v>2031</v>
      </c>
      <c r="M39" s="13">
        <f t="shared" ref="M39" si="43">L39+1</f>
        <v>2032</v>
      </c>
      <c r="N39" s="13">
        <f t="shared" ref="N39" si="44">M39+1</f>
        <v>2033</v>
      </c>
      <c r="O39" s="13">
        <f t="shared" ref="O39" si="45">N39+1</f>
        <v>2034</v>
      </c>
      <c r="P39" s="13">
        <f t="shared" ref="P39" si="46">O39+1</f>
        <v>2035</v>
      </c>
      <c r="Q39" s="13">
        <f t="shared" ref="Q39" si="47">P39+1</f>
        <v>2036</v>
      </c>
      <c r="R39" s="13">
        <f t="shared" ref="R39" si="48">Q39+1</f>
        <v>2037</v>
      </c>
      <c r="S39" s="13">
        <f>R39+1</f>
        <v>2038</v>
      </c>
      <c r="T39" s="13">
        <f t="shared" ref="T39" si="49">S39+1</f>
        <v>2039</v>
      </c>
      <c r="U39" s="13">
        <f t="shared" ref="U39" si="50">T39+1</f>
        <v>2040</v>
      </c>
      <c r="V39" s="13">
        <f t="shared" ref="V39" si="51">U39+1</f>
        <v>2041</v>
      </c>
      <c r="W39" s="13">
        <f t="shared" ref="W39" si="52">V39+1</f>
        <v>2042</v>
      </c>
      <c r="X39" s="13">
        <f t="shared" ref="X39" si="53">W39+1</f>
        <v>2043</v>
      </c>
      <c r="Y39" s="13">
        <f t="shared" ref="Y39" si="54">X39+1</f>
        <v>2044</v>
      </c>
      <c r="Z39" s="13">
        <f t="shared" ref="Z39" si="55">Y39+1</f>
        <v>2045</v>
      </c>
      <c r="AA39" s="13">
        <f t="shared" ref="AA39" si="56">Z39+1</f>
        <v>2046</v>
      </c>
      <c r="AB39" s="13">
        <f t="shared" ref="AB39" si="57">AA39+1</f>
        <v>2047</v>
      </c>
      <c r="AC39" s="19" t="s">
        <v>143</v>
      </c>
      <c r="AD39" s="3" t="s">
        <v>89</v>
      </c>
    </row>
    <row r="40" spans="1:32" x14ac:dyDescent="0.3">
      <c r="A40" s="3" t="str">
        <f>A24</f>
        <v>Staying Gas</v>
      </c>
      <c r="C40" s="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</row>
    <row r="41" spans="1:32" x14ac:dyDescent="0.3">
      <c r="B41" t="s">
        <v>42</v>
      </c>
      <c r="C41" s="53">
        <f>C25</f>
        <v>1</v>
      </c>
      <c r="D41" s="20"/>
      <c r="E41" s="20"/>
      <c r="F41" s="20"/>
      <c r="G41" s="20"/>
      <c r="H41" s="20"/>
      <c r="I41" s="20"/>
      <c r="J41" s="20"/>
      <c r="K41" s="20">
        <f>Equipment!$G$7*$C$25</f>
        <v>631.94662515442008</v>
      </c>
      <c r="L41" s="20">
        <f>Equipment!$G$7*$C$25</f>
        <v>631.94662515442008</v>
      </c>
      <c r="M41" s="20">
        <f>Equipment!$G$7*$C$25</f>
        <v>631.94662515442008</v>
      </c>
      <c r="N41" s="20">
        <f>Equipment!$G$7*$C$25</f>
        <v>631.94662515442008</v>
      </c>
      <c r="O41" s="20">
        <f>Equipment!$G$7*$C$25</f>
        <v>631.94662515442008</v>
      </c>
      <c r="P41" s="20">
        <f>Equipment!$G$7*$C$25</f>
        <v>631.94662515442008</v>
      </c>
      <c r="Q41" s="20">
        <f>Equipment!$G$7*$C$25</f>
        <v>631.94662515442008</v>
      </c>
      <c r="R41" s="20">
        <f>Equipment!$G$7*$C$25</f>
        <v>631.94662515442008</v>
      </c>
      <c r="S41" s="20">
        <f>Equipment!$G$7*$C$25</f>
        <v>631.94662515442008</v>
      </c>
      <c r="T41" s="20">
        <f>Equipment!$G$7*$C$25</f>
        <v>631.94662515442008</v>
      </c>
      <c r="U41" s="20">
        <f>Equipment!$G$7*$C$25</f>
        <v>631.94662515442008</v>
      </c>
      <c r="V41" s="20">
        <f>Equipment!$G$7*$C$25</f>
        <v>631.94662515442008</v>
      </c>
      <c r="W41" s="20">
        <f>Equipment!$G$7*$C$25</f>
        <v>631.94662515442008</v>
      </c>
      <c r="X41" s="20">
        <f>Equipment!$G$7*$C$25</f>
        <v>631.94662515442008</v>
      </c>
      <c r="Y41" s="20">
        <f>Equipment!$G$7*$C$25</f>
        <v>631.94662515442008</v>
      </c>
      <c r="Z41" s="20">
        <f>Equipment!$G$7*$C$25</f>
        <v>631.94662515442008</v>
      </c>
      <c r="AA41" s="20">
        <f>Equipment!$G$7*$C$25</f>
        <v>631.94662515442008</v>
      </c>
      <c r="AB41" s="20">
        <f>Equipment!$G$7*$C$25</f>
        <v>631.94662515442008</v>
      </c>
      <c r="AC41" s="5">
        <f>NPV(Equipment!$C$22,'Customer Costs'!K41:AB41)*(1+Equipment!$C$22)</f>
        <v>8319.9999999999982</v>
      </c>
    </row>
    <row r="42" spans="1:32" x14ac:dyDescent="0.3">
      <c r="B42" t="s">
        <v>43</v>
      </c>
      <c r="C42" s="53">
        <f t="shared" ref="C42:C44" si="58">C26</f>
        <v>0.81899999999999995</v>
      </c>
      <c r="D42" s="20"/>
      <c r="E42" s="20"/>
      <c r="F42" s="20"/>
      <c r="G42" s="20"/>
      <c r="H42" s="20"/>
      <c r="I42" s="20"/>
      <c r="J42" s="20"/>
      <c r="K42" s="20">
        <f>IF((K39-$K$39)&gt;(Equipment!$F$11/2)-1,Equipment!$G$11*'Customer Costs'!$C$26,0)</f>
        <v>0</v>
      </c>
      <c r="L42" s="20">
        <f>IF((L39-$K$39)&gt;(Equipment!$F$11/2)-1,Equipment!$G$11*'Customer Costs'!$C$26,0)</f>
        <v>0</v>
      </c>
      <c r="M42" s="20">
        <f>IF((M39-$K$39)&gt;(Equipment!$F$11/2)-1,Equipment!$G$11*'Customer Costs'!$C$26,0)</f>
        <v>0</v>
      </c>
      <c r="N42" s="20">
        <f>IF((N39-$K$39)&gt;(Equipment!$F$11/2)-1,Equipment!$G$11*'Customer Costs'!$C$26,0)</f>
        <v>0</v>
      </c>
      <c r="O42" s="20">
        <f>IF((O39-$K$39)&gt;(Equipment!$F$11/2)-1,Equipment!$G$11*'Customer Costs'!$C$26,0)</f>
        <v>0</v>
      </c>
      <c r="P42" s="20">
        <f>IF((P39-$K$39)&gt;(Equipment!$F$11/2)-1,Equipment!$G$11*'Customer Costs'!$C$26,0)</f>
        <v>0</v>
      </c>
      <c r="Q42" s="20">
        <f>IF((Q39-$K$39)&gt;(Equipment!$F$11/2)-1,Equipment!$G$11*'Customer Costs'!$C$26,0)</f>
        <v>0</v>
      </c>
      <c r="R42" s="20">
        <f>IF((R39-$K$39)&gt;(Equipment!$F$11/2)-1,Equipment!$G$11*'Customer Costs'!$C$26,0)</f>
        <v>227.79652451447393</v>
      </c>
      <c r="S42" s="20">
        <f>IF((S39-$K$39)&gt;(Equipment!$F$11/2)-1,Equipment!$G$11*'Customer Costs'!$C$26,0)</f>
        <v>227.79652451447393</v>
      </c>
      <c r="T42" s="20">
        <f>IF((T39-$K$39)&gt;(Equipment!$F$11/2)-1,Equipment!$G$11*'Customer Costs'!$C$26,0)</f>
        <v>227.79652451447393</v>
      </c>
      <c r="U42" s="20">
        <f>IF((U39-$K$39)&gt;(Equipment!$F$11/2)-1,Equipment!$G$11*'Customer Costs'!$C$26,0)</f>
        <v>227.79652451447393</v>
      </c>
      <c r="V42" s="20">
        <f>IF((V39-$K$39)&gt;(Equipment!$F$11/2)-1,Equipment!$G$11*'Customer Costs'!$C$26,0)</f>
        <v>227.79652451447393</v>
      </c>
      <c r="W42" s="20">
        <f>IF((W39-$K$39)&gt;(Equipment!$F$11/2)-1,Equipment!$G$11*'Customer Costs'!$C$26,0)</f>
        <v>227.79652451447393</v>
      </c>
      <c r="X42" s="20">
        <f>IF((X39-$K$39)&gt;(Equipment!$F$11/2)-1,Equipment!$G$11*'Customer Costs'!$C$26,0)</f>
        <v>227.79652451447393</v>
      </c>
      <c r="Y42" s="20">
        <f>IF((Y39-$K$39)&gt;(Equipment!$F$11/2)-1,Equipment!$G$11*'Customer Costs'!$C$26,0)</f>
        <v>227.79652451447393</v>
      </c>
      <c r="Z42" s="20">
        <f>IF((Z39-$K$39)&gt;(Equipment!$F$11/2)-1,Equipment!$G$11*'Customer Costs'!$C$26,0)</f>
        <v>227.79652451447393</v>
      </c>
      <c r="AA42" s="20">
        <f>IF((AA39-$K$39)&gt;(Equipment!$F$11/2)-1,Equipment!$G$11*'Customer Costs'!$C$26,0)</f>
        <v>227.79652451447393</v>
      </c>
      <c r="AB42" s="20">
        <f>IF((AB39-$K$39)&gt;(Equipment!$F$11/2)-1,Equipment!$G$11*'Customer Costs'!$C$26,0)</f>
        <v>227.79652451447393</v>
      </c>
      <c r="AC42" s="5">
        <f>NPV(Equipment!$C$22,'Customer Costs'!K42:AB42)*(1+Equipment!$C$22)</f>
        <v>1577.1565262721015</v>
      </c>
    </row>
    <row r="43" spans="1:32" x14ac:dyDescent="0.3">
      <c r="B43" t="s">
        <v>50</v>
      </c>
      <c r="C43" s="53">
        <f t="shared" si="58"/>
        <v>0.155</v>
      </c>
      <c r="D43" s="20"/>
      <c r="E43" s="20"/>
      <c r="F43" s="20"/>
      <c r="G43" s="20"/>
      <c r="H43" s="20"/>
      <c r="I43" s="20"/>
      <c r="J43" s="20"/>
      <c r="K43" s="20">
        <f>IF((K$23-$K$39)&gt;(Equipment!$F$14/2)-1,Equipment!$G$14*'Customer Costs'!$C$27,0)</f>
        <v>0</v>
      </c>
      <c r="L43" s="20">
        <f>IF((L$23-$K$39)&gt;(Equipment!$F$14/2)-1,Equipment!$G$14*'Customer Costs'!$C$27,0)</f>
        <v>0</v>
      </c>
      <c r="M43" s="20">
        <f>IF((M$23-$K$39)&gt;(Equipment!$F$14/2)-1,Equipment!$G$14*'Customer Costs'!$C$27,0)</f>
        <v>0</v>
      </c>
      <c r="N43" s="20">
        <f>IF((N$23-$K$39)&gt;(Equipment!$F$14/2)-1,Equipment!$G$14*'Customer Costs'!$C$27,0)</f>
        <v>0</v>
      </c>
      <c r="O43" s="20">
        <f>IF((O$23-$K$39)&gt;(Equipment!$F$14/2)-1,Equipment!$G$14*'Customer Costs'!$C$27,0)</f>
        <v>0</v>
      </c>
      <c r="P43" s="20">
        <f>IF((P$23-$K$39)&gt;(Equipment!$F$14/2)-1,Equipment!$G$14*'Customer Costs'!$C$27,0)</f>
        <v>0</v>
      </c>
      <c r="Q43" s="20">
        <f>IF((Q$23-$K$39)&gt;(Equipment!$F$14/2)-1,Equipment!$G$14*'Customer Costs'!$C$27,0)</f>
        <v>18.987997935850686</v>
      </c>
      <c r="R43" s="20">
        <f>IF((R$23-$K$39)&gt;(Equipment!$F$14/2)-1,Equipment!$G$14*'Customer Costs'!$C$27,0)</f>
        <v>18.987997935850686</v>
      </c>
      <c r="S43" s="20">
        <f>IF((S$23-$K$39)&gt;(Equipment!$F$14/2)-1,Equipment!$G$14*'Customer Costs'!$C$27,0)</f>
        <v>18.987997935850686</v>
      </c>
      <c r="T43" s="20">
        <f>IF((T$23-$K$39)&gt;(Equipment!$F$14/2)-1,Equipment!$G$14*'Customer Costs'!$C$27,0)</f>
        <v>18.987997935850686</v>
      </c>
      <c r="U43" s="20">
        <f>IF((U$23-$K$39)&gt;(Equipment!$F$14/2)-1,Equipment!$G$14*'Customer Costs'!$C$27,0)</f>
        <v>18.987997935850686</v>
      </c>
      <c r="V43" s="20">
        <f>IF((V$23-$K$39)&gt;(Equipment!$F$14/2)-1,Equipment!$G$14*'Customer Costs'!$C$27,0)</f>
        <v>18.987997935850686</v>
      </c>
      <c r="W43" s="20">
        <f>IF((W$23-$K$39)&gt;(Equipment!$F$14/2)-1,Equipment!$G$14*'Customer Costs'!$C$27,0)</f>
        <v>18.987997935850686</v>
      </c>
      <c r="X43" s="20">
        <f>IF((X$23-$K$39)&gt;(Equipment!$F$14/2)-1,Equipment!$G$14*'Customer Costs'!$C$27,0)</f>
        <v>18.987997935850686</v>
      </c>
      <c r="Y43" s="20">
        <f>IF((Y$23-$K$39)&gt;(Equipment!$F$14/2)-1,Equipment!$G$14*'Customer Costs'!$C$27,0)</f>
        <v>18.987997935850686</v>
      </c>
      <c r="Z43" s="20">
        <f>IF((Z$23-$K$39)&gt;(Equipment!$F$14/2)-1,Equipment!$G$14*'Customer Costs'!$C$27,0)</f>
        <v>18.987997935850686</v>
      </c>
      <c r="AA43" s="20">
        <f>IF((AA$23-$K$39)&gt;(Equipment!$F$14/2)-1,Equipment!$G$14*'Customer Costs'!$C$27,0)</f>
        <v>18.987997935850686</v>
      </c>
      <c r="AB43" s="20">
        <f>IF((AB$23-$K$39)&gt;(Equipment!$F$14/2)-1,Equipment!$G$14*'Customer Costs'!$C$27,0)</f>
        <v>18.987997935850686</v>
      </c>
      <c r="AC43" s="5">
        <f>NPV(Equipment!$C$22,'Customer Costs'!K43:AB43)*(1+Equipment!$C$22)</f>
        <v>146.47050185029767</v>
      </c>
    </row>
    <row r="44" spans="1:32" x14ac:dyDescent="0.3">
      <c r="B44" t="s">
        <v>49</v>
      </c>
      <c r="C44" s="53">
        <f t="shared" si="58"/>
        <v>0.29599999999999999</v>
      </c>
      <c r="D44" s="20"/>
      <c r="E44" s="20"/>
      <c r="F44" s="20"/>
      <c r="G44" s="20"/>
      <c r="H44" s="20"/>
      <c r="I44" s="20"/>
      <c r="J44" s="20"/>
      <c r="K44" s="20">
        <f>IF((K$39-$K$39)&gt;(Equipment!$F$17/2)-1,Equipment!$G$17*'Customer Costs'!$C$28,0)</f>
        <v>0</v>
      </c>
      <c r="L44" s="20">
        <f>IF((L$39-$K$39)&gt;(Equipment!$F$17/2)-1,Equipment!$G$17*'Customer Costs'!$C$28,0)</f>
        <v>0</v>
      </c>
      <c r="M44" s="20">
        <f>IF((M$39-$K$39)&gt;(Equipment!$F$17/2)-1,Equipment!$G$17*'Customer Costs'!$C$28,0)</f>
        <v>0</v>
      </c>
      <c r="N44" s="20">
        <f>IF((N$39-$K$39)&gt;(Equipment!$F$17/2)-1,Equipment!$G$17*'Customer Costs'!$C$28,0)</f>
        <v>0</v>
      </c>
      <c r="O44" s="20">
        <f>IF((O$39-$K$39)&gt;(Equipment!$F$17/2)-1,Equipment!$G$17*'Customer Costs'!$C$28,0)</f>
        <v>0</v>
      </c>
      <c r="P44" s="20">
        <f>IF((P$39-$K$39)&gt;(Equipment!$F$17/2)-1,Equipment!$G$17*'Customer Costs'!$C$28,0)</f>
        <v>0</v>
      </c>
      <c r="Q44" s="20">
        <f>IF((Q$39-$K$39)&gt;(Equipment!$F$17/2)-1,Equipment!$G$17*'Customer Costs'!$C$28,0)</f>
        <v>0</v>
      </c>
      <c r="R44" s="20">
        <f>IF((R$39-$K$39)&gt;(Equipment!$F$17/2)-1,Equipment!$G$17*'Customer Costs'!$C$28,0)</f>
        <v>31.818031289004523</v>
      </c>
      <c r="S44" s="20">
        <f>IF((S$39-$K$39)&gt;(Equipment!$F$17/2)-1,Equipment!$G$17*'Customer Costs'!$C$28,0)</f>
        <v>31.818031289004523</v>
      </c>
      <c r="T44" s="20">
        <f>IF((T$39-$K$39)&gt;(Equipment!$F$17/2)-1,Equipment!$G$17*'Customer Costs'!$C$28,0)</f>
        <v>31.818031289004523</v>
      </c>
      <c r="U44" s="20">
        <f>IF((U$39-$K$39)&gt;(Equipment!$F$17/2)-1,Equipment!$G$17*'Customer Costs'!$C$28,0)</f>
        <v>31.818031289004523</v>
      </c>
      <c r="V44" s="20">
        <f>IF((V$39-$K$39)&gt;(Equipment!$F$17/2)-1,Equipment!$G$17*'Customer Costs'!$C$28,0)</f>
        <v>31.818031289004523</v>
      </c>
      <c r="W44" s="20">
        <f>IF((W$39-$K$39)&gt;(Equipment!$F$17/2)-1,Equipment!$G$17*'Customer Costs'!$C$28,0)</f>
        <v>31.818031289004523</v>
      </c>
      <c r="X44" s="20">
        <f>IF((X$39-$K$39)&gt;(Equipment!$F$17/2)-1,Equipment!$G$17*'Customer Costs'!$C$28,0)</f>
        <v>31.818031289004523</v>
      </c>
      <c r="Y44" s="20">
        <f>IF((Y$39-$K$39)&gt;(Equipment!$F$17/2)-1,Equipment!$G$17*'Customer Costs'!$C$28,0)</f>
        <v>31.818031289004523</v>
      </c>
      <c r="Z44" s="20">
        <f>IF((Z$39-$K$39)&gt;(Equipment!$F$17/2)-1,Equipment!$G$17*'Customer Costs'!$C$28,0)</f>
        <v>31.818031289004523</v>
      </c>
      <c r="AA44" s="20">
        <f>IF((AA$39-$K$39)&gt;(Equipment!$F$17/2)-1,Equipment!$G$17*'Customer Costs'!$C$28,0)</f>
        <v>31.818031289004523</v>
      </c>
      <c r="AB44" s="20">
        <f>IF((AB$39-$K$39)&gt;(Equipment!$F$17/2)-1,Equipment!$G$17*'Customer Costs'!$C$28,0)</f>
        <v>31.818031289004523</v>
      </c>
      <c r="AC44" s="5">
        <f>NPV(Equipment!$C$22,'Customer Costs'!K44:AB44)*(1+Equipment!$C$22)</f>
        <v>220.29315770967753</v>
      </c>
    </row>
    <row r="45" spans="1:32" x14ac:dyDescent="0.3">
      <c r="B45" t="s">
        <v>64</v>
      </c>
      <c r="C45" s="4"/>
      <c r="D45" s="20">
        <f t="shared" ref="D45:AB45" si="59">SUM(D41:D44)</f>
        <v>0</v>
      </c>
      <c r="E45" s="20">
        <f t="shared" si="59"/>
        <v>0</v>
      </c>
      <c r="F45" s="20">
        <f t="shared" si="59"/>
        <v>0</v>
      </c>
      <c r="G45" s="20">
        <f t="shared" si="59"/>
        <v>0</v>
      </c>
      <c r="H45" s="20">
        <f t="shared" si="59"/>
        <v>0</v>
      </c>
      <c r="I45" s="20">
        <f t="shared" si="59"/>
        <v>0</v>
      </c>
      <c r="J45" s="20">
        <f t="shared" si="59"/>
        <v>0</v>
      </c>
      <c r="K45" s="20">
        <f t="shared" si="59"/>
        <v>631.94662515442008</v>
      </c>
      <c r="L45" s="20">
        <f t="shared" si="59"/>
        <v>631.94662515442008</v>
      </c>
      <c r="M45" s="20">
        <f t="shared" si="59"/>
        <v>631.94662515442008</v>
      </c>
      <c r="N45" s="20">
        <f t="shared" si="59"/>
        <v>631.94662515442008</v>
      </c>
      <c r="O45" s="20">
        <f t="shared" si="59"/>
        <v>631.94662515442008</v>
      </c>
      <c r="P45" s="20">
        <f t="shared" si="59"/>
        <v>631.94662515442008</v>
      </c>
      <c r="Q45" s="20">
        <f t="shared" si="59"/>
        <v>650.93462309027075</v>
      </c>
      <c r="R45" s="20">
        <f t="shared" si="59"/>
        <v>910.54917889374929</v>
      </c>
      <c r="S45" s="20">
        <f t="shared" si="59"/>
        <v>910.54917889374929</v>
      </c>
      <c r="T45" s="20">
        <f t="shared" si="59"/>
        <v>910.54917889374929</v>
      </c>
      <c r="U45" s="20">
        <f t="shared" si="59"/>
        <v>910.54917889374929</v>
      </c>
      <c r="V45" s="20">
        <f t="shared" si="59"/>
        <v>910.54917889374929</v>
      </c>
      <c r="W45" s="20">
        <f t="shared" si="59"/>
        <v>910.54917889374929</v>
      </c>
      <c r="X45" s="20">
        <f t="shared" si="59"/>
        <v>910.54917889374929</v>
      </c>
      <c r="Y45" s="20">
        <f t="shared" si="59"/>
        <v>910.54917889374929</v>
      </c>
      <c r="Z45" s="20">
        <f t="shared" si="59"/>
        <v>910.54917889374929</v>
      </c>
      <c r="AA45" s="20">
        <f t="shared" si="59"/>
        <v>910.54917889374929</v>
      </c>
      <c r="AB45" s="20">
        <f t="shared" si="59"/>
        <v>910.54917889374929</v>
      </c>
      <c r="AC45" s="5">
        <f>NPV(Equipment!$C$22,'Customer Costs'!K45:AB45)*(1+Equipment!$C$22)</f>
        <v>10263.920185832074</v>
      </c>
    </row>
    <row r="47" spans="1:32" x14ac:dyDescent="0.3">
      <c r="A47" s="3" t="str">
        <f>A31</f>
        <v>Electrification</v>
      </c>
    </row>
    <row r="48" spans="1:32" x14ac:dyDescent="0.3">
      <c r="B48" t="str">
        <f>B41</f>
        <v>Heating/Cooling</v>
      </c>
      <c r="C48" s="4">
        <f>C32</f>
        <v>1</v>
      </c>
      <c r="D48" s="5"/>
      <c r="E48" s="5"/>
      <c r="F48" s="5"/>
      <c r="G48" s="5"/>
      <c r="H48" s="5"/>
      <c r="I48" s="5"/>
      <c r="J48" s="5"/>
      <c r="K48" s="5">
        <f>Equipment!$G$8*$C$32</f>
        <v>363.36930946379152</v>
      </c>
      <c r="L48" s="5">
        <f>Equipment!$G$8*$C$32</f>
        <v>363.36930946379152</v>
      </c>
      <c r="M48" s="5">
        <f>Equipment!$G$8*$C$32</f>
        <v>363.36930946379152</v>
      </c>
      <c r="N48" s="5">
        <f>Equipment!$G$8*$C$32</f>
        <v>363.36930946379152</v>
      </c>
      <c r="O48" s="5">
        <f>Equipment!$G$8*$C$32</f>
        <v>363.36930946379152</v>
      </c>
      <c r="P48" s="5">
        <f>Equipment!$G$8*$C$32</f>
        <v>363.36930946379152</v>
      </c>
      <c r="Q48" s="5">
        <f>Equipment!$G$8*$C$32</f>
        <v>363.36930946379152</v>
      </c>
      <c r="R48" s="5">
        <f>Equipment!$G$8*$C$32</f>
        <v>363.36930946379152</v>
      </c>
      <c r="S48" s="5">
        <f>Equipment!$G$8*$C$32</f>
        <v>363.36930946379152</v>
      </c>
      <c r="T48" s="5">
        <f>Equipment!$G$8*$C$32</f>
        <v>363.36930946379152</v>
      </c>
      <c r="U48" s="5">
        <f>Equipment!$G$8*$C$32</f>
        <v>363.36930946379152</v>
      </c>
      <c r="V48" s="5">
        <f>Equipment!$G$8*$C$32</f>
        <v>363.36930946379152</v>
      </c>
      <c r="W48" s="5">
        <f>Equipment!$G$8*$C$32</f>
        <v>363.36930946379152</v>
      </c>
      <c r="X48" s="5">
        <f>Equipment!$G$8*$C$32</f>
        <v>363.36930946379152</v>
      </c>
      <c r="Y48" s="5">
        <f>Equipment!$G$8*$C$32</f>
        <v>363.36930946379152</v>
      </c>
      <c r="Z48" s="5">
        <f>Equipment!$G$8*$C$32</f>
        <v>363.36930946379152</v>
      </c>
      <c r="AA48" s="5">
        <f>Equipment!$G$8*$C$32</f>
        <v>363.36930946379152</v>
      </c>
      <c r="AB48" s="5">
        <f>Equipment!$G$8*$C$32</f>
        <v>363.36930946379152</v>
      </c>
      <c r="AC48" s="5">
        <f>NPV(Equipment!$C$22,'Customer Costs'!K48:AB48)*(1+Equipment!$C$22)</f>
        <v>4783.9999999999991</v>
      </c>
      <c r="AD48" s="5">
        <f>AC48-AC41</f>
        <v>-3535.9999999999991</v>
      </c>
    </row>
    <row r="49" spans="2:32" x14ac:dyDescent="0.3">
      <c r="B49" t="str">
        <f t="shared" ref="B49:B52" si="60">B42</f>
        <v>Water Heating</v>
      </c>
      <c r="C49" s="4">
        <f t="shared" ref="C49:C51" si="61">C33</f>
        <v>0.81899999999999995</v>
      </c>
      <c r="D49" s="5"/>
      <c r="E49" s="5"/>
      <c r="F49" s="5"/>
      <c r="G49" s="5"/>
      <c r="H49" s="5"/>
      <c r="I49" s="5"/>
      <c r="J49" s="5"/>
      <c r="K49" s="5">
        <f>Equipment!$G$12*'Customer Costs'!$C$33</f>
        <v>81.469252605528737</v>
      </c>
      <c r="L49" s="5">
        <f>Equipment!$G$12*'Customer Costs'!$C$33</f>
        <v>81.469252605528737</v>
      </c>
      <c r="M49" s="5">
        <f>Equipment!$G$12*'Customer Costs'!$C$33</f>
        <v>81.469252605528737</v>
      </c>
      <c r="N49" s="5">
        <f>Equipment!$G$12*'Customer Costs'!$C$33</f>
        <v>81.469252605528737</v>
      </c>
      <c r="O49" s="5">
        <f>Equipment!$G$12*'Customer Costs'!$C$33</f>
        <v>81.469252605528737</v>
      </c>
      <c r="P49" s="5">
        <f>Equipment!$G$12*'Customer Costs'!$C$33</f>
        <v>81.469252605528737</v>
      </c>
      <c r="Q49" s="5">
        <f>Equipment!$G$12*'Customer Costs'!$C$33</f>
        <v>81.469252605528737</v>
      </c>
      <c r="R49" s="5">
        <f>Equipment!$G$12*'Customer Costs'!$C$33</f>
        <v>81.469252605528737</v>
      </c>
      <c r="S49" s="5">
        <f>Equipment!$G$12*'Customer Costs'!$C$33</f>
        <v>81.469252605528737</v>
      </c>
      <c r="T49" s="5">
        <f>Equipment!$G$12*'Customer Costs'!$C$33</f>
        <v>81.469252605528737</v>
      </c>
      <c r="U49" s="5">
        <f>Equipment!$G$12*'Customer Costs'!$C$33</f>
        <v>81.469252605528737</v>
      </c>
      <c r="V49" s="5">
        <f>Equipment!$G$12*'Customer Costs'!$C$33</f>
        <v>81.469252605528737</v>
      </c>
      <c r="W49" s="5">
        <f>Equipment!$G$12*'Customer Costs'!$C$33</f>
        <v>81.469252605528737</v>
      </c>
      <c r="X49" s="5">
        <f>Equipment!$G$12*'Customer Costs'!$C$33</f>
        <v>81.469252605528737</v>
      </c>
      <c r="Y49" s="5">
        <f>Equipment!$G$12*'Customer Costs'!$C$33</f>
        <v>81.469252605528737</v>
      </c>
      <c r="Z49" s="5">
        <f>Equipment!$G$12*'Customer Costs'!$C$33</f>
        <v>81.469252605528737</v>
      </c>
      <c r="AA49" s="5">
        <f>Equipment!$G$12*'Customer Costs'!$C$33</f>
        <v>81.469252605528737</v>
      </c>
      <c r="AB49" s="5">
        <f>Equipment!$G$12*'Customer Costs'!$C$33</f>
        <v>81.469252605528737</v>
      </c>
      <c r="AC49" s="5">
        <f>NPV(Equipment!$C$22,'Customer Costs'!K49:AB49)*(1+Equipment!$C$22)</f>
        <v>1072.597201563294</v>
      </c>
      <c r="AD49" s="5">
        <f>AC49-AC42</f>
        <v>-504.55932470880748</v>
      </c>
    </row>
    <row r="50" spans="2:32" x14ac:dyDescent="0.3">
      <c r="B50" t="str">
        <f t="shared" si="60"/>
        <v>Drying</v>
      </c>
      <c r="C50" s="4">
        <f t="shared" si="61"/>
        <v>0.155</v>
      </c>
      <c r="D50" s="5"/>
      <c r="E50" s="5"/>
      <c r="F50" s="5"/>
      <c r="G50" s="5"/>
      <c r="H50" s="5"/>
      <c r="I50" s="5"/>
      <c r="J50" s="5"/>
      <c r="K50" s="5">
        <f>Equipment!$G$15*'Customer Costs'!$C$34</f>
        <v>15.495952338452854</v>
      </c>
      <c r="L50" s="5">
        <f>Equipment!$G$15*'Customer Costs'!$C$34</f>
        <v>15.495952338452854</v>
      </c>
      <c r="M50" s="5">
        <f>Equipment!$G$15*'Customer Costs'!$C$34</f>
        <v>15.495952338452854</v>
      </c>
      <c r="N50" s="5">
        <f>Equipment!$G$15*'Customer Costs'!$C$34</f>
        <v>15.495952338452854</v>
      </c>
      <c r="O50" s="5">
        <f>Equipment!$G$15*'Customer Costs'!$C$34</f>
        <v>15.495952338452854</v>
      </c>
      <c r="P50" s="5">
        <f>Equipment!$G$15*'Customer Costs'!$C$34</f>
        <v>15.495952338452854</v>
      </c>
      <c r="Q50" s="5">
        <f>Equipment!$G$15*'Customer Costs'!$C$34</f>
        <v>15.495952338452854</v>
      </c>
      <c r="R50" s="5">
        <f>Equipment!$G$15*'Customer Costs'!$C$34</f>
        <v>15.495952338452854</v>
      </c>
      <c r="S50" s="5">
        <f>Equipment!$G$15*'Customer Costs'!$C$34</f>
        <v>15.495952338452854</v>
      </c>
      <c r="T50" s="5">
        <f>Equipment!$G$15*'Customer Costs'!$C$34</f>
        <v>15.495952338452854</v>
      </c>
      <c r="U50" s="5">
        <f>Equipment!$G$15*'Customer Costs'!$C$34</f>
        <v>15.495952338452854</v>
      </c>
      <c r="V50" s="5">
        <f>Equipment!$G$15*'Customer Costs'!$C$34</f>
        <v>15.495952338452854</v>
      </c>
      <c r="W50" s="5">
        <f>Equipment!$G$15*'Customer Costs'!$C$34</f>
        <v>15.495952338452854</v>
      </c>
      <c r="X50" s="5">
        <f>Equipment!$G$15*'Customer Costs'!$C$34</f>
        <v>15.495952338452854</v>
      </c>
      <c r="Y50" s="5">
        <f>Equipment!$G$15*'Customer Costs'!$C$34</f>
        <v>15.495952338452854</v>
      </c>
      <c r="Z50" s="5">
        <f>Equipment!$G$15*'Customer Costs'!$C$34</f>
        <v>15.495952338452854</v>
      </c>
      <c r="AA50" s="5">
        <f>Equipment!$G$15*'Customer Costs'!$C$34</f>
        <v>15.495952338452854</v>
      </c>
      <c r="AB50" s="5">
        <f>Equipment!$G$15*'Customer Costs'!$C$34</f>
        <v>15.495952338452854</v>
      </c>
      <c r="AC50" s="5">
        <f>NPV(Equipment!$C$22,'Customer Costs'!K50:AB50)*(1+Equipment!$C$22)</f>
        <v>204.01457706087717</v>
      </c>
      <c r="AD50" s="5">
        <f>AC50-AC43</f>
        <v>57.544075210579507</v>
      </c>
    </row>
    <row r="51" spans="2:32" x14ac:dyDescent="0.3">
      <c r="B51" t="str">
        <f t="shared" si="60"/>
        <v>Cooking</v>
      </c>
      <c r="C51" s="4">
        <f t="shared" si="61"/>
        <v>0.29599999999999999</v>
      </c>
      <c r="D51" s="5"/>
      <c r="E51" s="5"/>
      <c r="F51" s="5"/>
      <c r="G51" s="5"/>
      <c r="H51" s="5"/>
      <c r="I51" s="5"/>
      <c r="J51" s="5"/>
      <c r="K51" s="5">
        <f>Equipment!$G$18*'Customer Costs'!$C$35</f>
        <v>35.921088668041961</v>
      </c>
      <c r="L51" s="5">
        <f>Equipment!$G$18*'Customer Costs'!$C$35</f>
        <v>35.921088668041961</v>
      </c>
      <c r="M51" s="5">
        <f>Equipment!$G$18*'Customer Costs'!$C$35</f>
        <v>35.921088668041961</v>
      </c>
      <c r="N51" s="5">
        <f>Equipment!$G$18*'Customer Costs'!$C$35</f>
        <v>35.921088668041961</v>
      </c>
      <c r="O51" s="5">
        <f>Equipment!$G$18*'Customer Costs'!$C$35</f>
        <v>35.921088668041961</v>
      </c>
      <c r="P51" s="5">
        <f>Equipment!$G$18*'Customer Costs'!$C$35</f>
        <v>35.921088668041961</v>
      </c>
      <c r="Q51" s="5">
        <f>Equipment!$G$18*'Customer Costs'!$C$35</f>
        <v>35.921088668041961</v>
      </c>
      <c r="R51" s="5">
        <f>Equipment!$G$18*'Customer Costs'!$C$35</f>
        <v>35.921088668041961</v>
      </c>
      <c r="S51" s="5">
        <f>Equipment!$G$18*'Customer Costs'!$C$35</f>
        <v>35.921088668041961</v>
      </c>
      <c r="T51" s="5">
        <f>Equipment!$G$18*'Customer Costs'!$C$35</f>
        <v>35.921088668041961</v>
      </c>
      <c r="U51" s="5">
        <f>Equipment!$G$18*'Customer Costs'!$C$35</f>
        <v>35.921088668041961</v>
      </c>
      <c r="V51" s="5">
        <f>Equipment!$G$18*'Customer Costs'!$C$35</f>
        <v>35.921088668041961</v>
      </c>
      <c r="W51" s="5">
        <f>Equipment!$G$18*'Customer Costs'!$C$35</f>
        <v>35.921088668041961</v>
      </c>
      <c r="X51" s="5">
        <f>Equipment!$G$18*'Customer Costs'!$C$35</f>
        <v>35.921088668041961</v>
      </c>
      <c r="Y51" s="5">
        <f>Equipment!$G$18*'Customer Costs'!$C$35</f>
        <v>35.921088668041961</v>
      </c>
      <c r="Z51" s="5">
        <f>Equipment!$G$18*'Customer Costs'!$C$35</f>
        <v>35.921088668041961</v>
      </c>
      <c r="AA51" s="5">
        <f>Equipment!$G$18*'Customer Costs'!$C$35</f>
        <v>35.921088668041961</v>
      </c>
      <c r="AB51" s="5">
        <f>Equipment!$G$18*'Customer Costs'!$C$35</f>
        <v>35.921088668041961</v>
      </c>
      <c r="AC51" s="5">
        <f>NPV(Equipment!$C$22,'Customer Costs'!K51:AB51)*(1+Equipment!$C$22)</f>
        <v>472.92515826804186</v>
      </c>
      <c r="AD51" s="5">
        <f>AC51-AC44</f>
        <v>252.63200055836433</v>
      </c>
    </row>
    <row r="52" spans="2:32" x14ac:dyDescent="0.3">
      <c r="B52" t="str">
        <f t="shared" si="60"/>
        <v>Total Cost</v>
      </c>
      <c r="C52" s="4"/>
      <c r="D52" s="5">
        <f t="shared" ref="D52:AB52" si="62">SUM(D48:D51)</f>
        <v>0</v>
      </c>
      <c r="E52" s="5">
        <f t="shared" si="62"/>
        <v>0</v>
      </c>
      <c r="F52" s="5">
        <f t="shared" si="62"/>
        <v>0</v>
      </c>
      <c r="G52" s="5">
        <f t="shared" si="62"/>
        <v>0</v>
      </c>
      <c r="H52" s="5">
        <f t="shared" si="62"/>
        <v>0</v>
      </c>
      <c r="I52" s="5">
        <f t="shared" si="62"/>
        <v>0</v>
      </c>
      <c r="J52" s="5">
        <f t="shared" si="62"/>
        <v>0</v>
      </c>
      <c r="K52" s="5">
        <f t="shared" si="62"/>
        <v>496.25560307581509</v>
      </c>
      <c r="L52" s="5">
        <f t="shared" si="62"/>
        <v>496.25560307581509</v>
      </c>
      <c r="M52" s="5">
        <f t="shared" si="62"/>
        <v>496.25560307581509</v>
      </c>
      <c r="N52" s="5">
        <f t="shared" si="62"/>
        <v>496.25560307581509</v>
      </c>
      <c r="O52" s="5">
        <f t="shared" si="62"/>
        <v>496.25560307581509</v>
      </c>
      <c r="P52" s="5">
        <f t="shared" si="62"/>
        <v>496.25560307581509</v>
      </c>
      <c r="Q52" s="5">
        <f t="shared" si="62"/>
        <v>496.25560307581509</v>
      </c>
      <c r="R52" s="5">
        <f t="shared" si="62"/>
        <v>496.25560307581509</v>
      </c>
      <c r="S52" s="5">
        <f t="shared" si="62"/>
        <v>496.25560307581509</v>
      </c>
      <c r="T52" s="5">
        <f t="shared" si="62"/>
        <v>496.25560307581509</v>
      </c>
      <c r="U52" s="5">
        <f t="shared" si="62"/>
        <v>496.25560307581509</v>
      </c>
      <c r="V52" s="5">
        <f t="shared" si="62"/>
        <v>496.25560307581509</v>
      </c>
      <c r="W52" s="5">
        <f t="shared" si="62"/>
        <v>496.25560307581509</v>
      </c>
      <c r="X52" s="5">
        <f t="shared" si="62"/>
        <v>496.25560307581509</v>
      </c>
      <c r="Y52" s="5">
        <f t="shared" si="62"/>
        <v>496.25560307581509</v>
      </c>
      <c r="Z52" s="5">
        <f t="shared" si="62"/>
        <v>496.25560307581509</v>
      </c>
      <c r="AA52" s="5">
        <f t="shared" si="62"/>
        <v>496.25560307581509</v>
      </c>
      <c r="AB52" s="5">
        <f t="shared" si="62"/>
        <v>496.25560307581509</v>
      </c>
      <c r="AC52" s="5">
        <f>NPV(Equipment!$C$22,'Customer Costs'!K52:AB52)*(1+Equipment!$C$22)</f>
        <v>6533.5369368922147</v>
      </c>
      <c r="AD52" s="5">
        <f>AC52-AC45</f>
        <v>-3730.3832489398592</v>
      </c>
    </row>
    <row r="53" spans="2:32" x14ac:dyDescent="0.3">
      <c r="C53" s="4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</row>
  </sheetData>
  <mergeCells count="5">
    <mergeCell ref="AC2:AD2"/>
    <mergeCell ref="AE2:AF2"/>
    <mergeCell ref="A3:B3"/>
    <mergeCell ref="A23:B23"/>
    <mergeCell ref="A39:B39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51ABF-0E5A-470F-9187-67AE12420A3F}">
  <dimension ref="A3:F22"/>
  <sheetViews>
    <sheetView workbookViewId="0">
      <selection activeCell="C13" sqref="C13"/>
    </sheetView>
  </sheetViews>
  <sheetFormatPr defaultRowHeight="14.4" x14ac:dyDescent="0.3"/>
  <cols>
    <col min="1" max="1" width="1.59765625" customWidth="1"/>
    <col min="2" max="2" width="19.59765625" customWidth="1"/>
    <col min="3" max="6" width="15.69921875" customWidth="1"/>
  </cols>
  <sheetData>
    <row r="3" spans="1:6" x14ac:dyDescent="0.3">
      <c r="A3" s="87"/>
      <c r="B3" s="87"/>
      <c r="C3" s="91" t="s">
        <v>207</v>
      </c>
      <c r="D3" s="91"/>
      <c r="E3" s="91" t="s">
        <v>206</v>
      </c>
      <c r="F3" s="91"/>
    </row>
    <row r="4" spans="1:6" x14ac:dyDescent="0.3">
      <c r="A4" s="87"/>
      <c r="B4" s="87"/>
      <c r="C4" s="110" t="s">
        <v>197</v>
      </c>
      <c r="D4" s="110"/>
      <c r="E4" s="110" t="s">
        <v>208</v>
      </c>
      <c r="F4" s="110"/>
    </row>
    <row r="5" spans="1:6" x14ac:dyDescent="0.3">
      <c r="A5" s="87"/>
      <c r="B5" s="87"/>
      <c r="C5" s="108" t="s">
        <v>212</v>
      </c>
      <c r="D5" s="109"/>
      <c r="E5" s="108" t="s">
        <v>210</v>
      </c>
      <c r="F5" s="109"/>
    </row>
    <row r="6" spans="1:6" x14ac:dyDescent="0.3">
      <c r="A6" s="87"/>
      <c r="B6" s="87"/>
      <c r="C6" s="110" t="s">
        <v>209</v>
      </c>
      <c r="D6" s="110"/>
      <c r="E6" s="110" t="s">
        <v>211</v>
      </c>
      <c r="F6" s="110"/>
    </row>
    <row r="7" spans="1:6" x14ac:dyDescent="0.3">
      <c r="A7" s="87"/>
      <c r="B7" s="87"/>
      <c r="C7" s="77" t="s">
        <v>202</v>
      </c>
      <c r="D7" s="77" t="s">
        <v>203</v>
      </c>
      <c r="E7" s="77" t="s">
        <v>204</v>
      </c>
      <c r="F7" s="77" t="s">
        <v>203</v>
      </c>
    </row>
    <row r="8" spans="1:6" x14ac:dyDescent="0.3">
      <c r="A8" s="105" t="s">
        <v>199</v>
      </c>
      <c r="B8" s="106"/>
      <c r="C8" s="106"/>
      <c r="D8" s="106"/>
      <c r="E8" s="106"/>
      <c r="F8" s="107"/>
    </row>
    <row r="9" spans="1:6" x14ac:dyDescent="0.3">
      <c r="A9" s="102"/>
      <c r="B9" s="71" t="str">
        <f>'Fuel Prices'!B7</f>
        <v>Commodity</v>
      </c>
      <c r="C9" s="72">
        <f>'Fuel Prices'!J7</f>
        <v>0.22068837629276056</v>
      </c>
      <c r="D9" s="71"/>
      <c r="E9" s="72">
        <v>2.41</v>
      </c>
      <c r="F9" s="70"/>
    </row>
    <row r="10" spans="1:6" x14ac:dyDescent="0.3">
      <c r="A10" s="102"/>
      <c r="B10" s="71" t="str">
        <f>'Fuel Prices'!B8</f>
        <v>Transportation</v>
      </c>
      <c r="C10" s="72">
        <f>'Fuel Prices'!J8</f>
        <v>5.033412887828162E-2</v>
      </c>
      <c r="D10" s="71"/>
      <c r="E10" s="72">
        <f>C10</f>
        <v>5.033412887828162E-2</v>
      </c>
      <c r="F10" s="70"/>
    </row>
    <row r="11" spans="1:6" x14ac:dyDescent="0.3">
      <c r="A11" s="102"/>
      <c r="B11" s="71" t="str">
        <f>'Fuel Prices'!B9</f>
        <v>Distribution</v>
      </c>
      <c r="C11" s="72">
        <f>'Fuel Prices'!J9</f>
        <v>0.11837708830548926</v>
      </c>
      <c r="D11" s="71"/>
      <c r="E11" s="72">
        <f>C11</f>
        <v>0.11837708830548926</v>
      </c>
      <c r="F11" s="70"/>
    </row>
    <row r="12" spans="1:6" x14ac:dyDescent="0.3">
      <c r="A12" s="102"/>
      <c r="B12" s="71" t="str">
        <f>'Fuel Prices'!B10</f>
        <v>Carbon Tax</v>
      </c>
      <c r="C12" s="72">
        <f>'Fuel Prices'!J10</f>
        <v>0.2859267850639538</v>
      </c>
      <c r="D12" s="71"/>
      <c r="E12" s="72">
        <v>0</v>
      </c>
      <c r="F12" s="70"/>
    </row>
    <row r="13" spans="1:6" x14ac:dyDescent="0.3">
      <c r="A13" s="102"/>
      <c r="B13" s="71" t="str">
        <f>'Fuel Prices'!B11</f>
        <v>HST</v>
      </c>
      <c r="C13" s="72">
        <f>'Fuel Prices'!J11</f>
        <v>8.779242921026309E-2</v>
      </c>
      <c r="D13" s="71"/>
      <c r="E13" s="72" cm="1">
        <f t="array" ref="E13">SUM(E9:E12*0.13)</f>
        <v>0.33523245823389025</v>
      </c>
      <c r="F13" s="72"/>
    </row>
    <row r="14" spans="1:6" x14ac:dyDescent="0.3">
      <c r="A14" s="102"/>
      <c r="B14" s="71" t="str">
        <f>'Fuel Prices'!B12</f>
        <v>Total</v>
      </c>
      <c r="C14" s="72">
        <f>SUM(C9:C13)</f>
        <v>0.76311880775074836</v>
      </c>
      <c r="D14" s="72">
        <f>'Fuel Prices'!J36</f>
        <v>0.13338519999999998</v>
      </c>
      <c r="E14" s="72">
        <f>SUM(E9:E13)</f>
        <v>2.9139436754176615</v>
      </c>
      <c r="F14" s="72">
        <f>D14*1.25</f>
        <v>0.16673149999999998</v>
      </c>
    </row>
    <row r="15" spans="1:6" x14ac:dyDescent="0.3">
      <c r="A15" s="71" t="s">
        <v>200</v>
      </c>
      <c r="B15" s="71"/>
      <c r="C15" s="72">
        <f>C14*$C$21</f>
        <v>20.492029344530845</v>
      </c>
      <c r="D15" s="72">
        <f>D14*$C$22</f>
        <v>37.051474085599999</v>
      </c>
      <c r="E15" s="72">
        <f>E14*$C$21</f>
        <v>78.24812951599047</v>
      </c>
      <c r="F15" s="72">
        <f>F14*$C$22</f>
        <v>46.314342607</v>
      </c>
    </row>
    <row r="16" spans="1:6" x14ac:dyDescent="0.3">
      <c r="A16" s="71" t="s">
        <v>198</v>
      </c>
      <c r="B16" s="71"/>
      <c r="C16" s="73">
        <f>Equipment!I7</f>
        <v>0.95</v>
      </c>
      <c r="D16" s="73">
        <f>Equipment!I8</f>
        <v>2.93</v>
      </c>
      <c r="E16" s="74">
        <f>C16</f>
        <v>0.95</v>
      </c>
      <c r="F16" s="74">
        <f>D16</f>
        <v>2.93</v>
      </c>
    </row>
    <row r="17" spans="1:6" x14ac:dyDescent="0.3">
      <c r="A17" s="71" t="s">
        <v>201</v>
      </c>
      <c r="B17" s="71"/>
      <c r="C17" s="75">
        <f>C15/C16</f>
        <v>21.570557204769312</v>
      </c>
      <c r="D17" s="76">
        <f>D15/D16</f>
        <v>12.645554295426621</v>
      </c>
      <c r="E17" s="75">
        <f t="shared" ref="E17:F17" si="0">E15/E16</f>
        <v>82.366452122095239</v>
      </c>
      <c r="F17" s="76">
        <f t="shared" si="0"/>
        <v>15.806942869283276</v>
      </c>
    </row>
    <row r="18" spans="1:6" x14ac:dyDescent="0.3">
      <c r="A18" s="103" t="s">
        <v>205</v>
      </c>
      <c r="B18" s="103"/>
      <c r="C18" s="104">
        <f>C17/D17</f>
        <v>1.705781866167029</v>
      </c>
      <c r="D18" s="104"/>
      <c r="E18" s="104">
        <f>E17/F17</f>
        <v>5.2107768594617516</v>
      </c>
      <c r="F18" s="104"/>
    </row>
    <row r="21" spans="1:6" x14ac:dyDescent="0.3">
      <c r="B21" t="s">
        <v>195</v>
      </c>
      <c r="C21">
        <v>26.853000000000002</v>
      </c>
    </row>
    <row r="22" spans="1:6" x14ac:dyDescent="0.3">
      <c r="B22" t="s">
        <v>196</v>
      </c>
      <c r="C22">
        <v>277.77800000000002</v>
      </c>
    </row>
  </sheetData>
  <mergeCells count="14">
    <mergeCell ref="C6:D6"/>
    <mergeCell ref="E6:F6"/>
    <mergeCell ref="E5:F5"/>
    <mergeCell ref="A3:B7"/>
    <mergeCell ref="C3:D3"/>
    <mergeCell ref="E3:F3"/>
    <mergeCell ref="A8:F8"/>
    <mergeCell ref="C5:D5"/>
    <mergeCell ref="C4:D4"/>
    <mergeCell ref="E4:F4"/>
    <mergeCell ref="A9:A14"/>
    <mergeCell ref="A18:B18"/>
    <mergeCell ref="C18:D18"/>
    <mergeCell ref="E18:F18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58427FD0CC4444B87AB1CF5C8D52EB" ma:contentTypeVersion="16" ma:contentTypeDescription="Create a new document." ma:contentTypeScope="" ma:versionID="09bf63ac1a30f44b964c073b6317921c">
  <xsd:schema xmlns:xsd="http://www.w3.org/2001/XMLSchema" xmlns:xs="http://www.w3.org/2001/XMLSchema" xmlns:p="http://schemas.microsoft.com/office/2006/metadata/properties" xmlns:ns2="173c2605-4b7d-457e-8dba-1d57dca954fb" xmlns:ns3="2546f5b2-04f2-4a0e-9993-466f4f9aad71" targetNamespace="http://schemas.microsoft.com/office/2006/metadata/properties" ma:root="true" ma:fieldsID="6ae48c98ff8421222abae0afbb5be502" ns2:_="" ns3:_="">
    <xsd:import namespace="173c2605-4b7d-457e-8dba-1d57dca954fb"/>
    <xsd:import namespace="2546f5b2-04f2-4a0e-9993-466f4f9aad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3c2605-4b7d-457e-8dba-1d57dca95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e670ea6-2f79-449f-ac2a-ce9deb4e7c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6f5b2-04f2-4a0e-9993-466f4f9aad7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54d66dc-3591-49a4-96e5-0b2840783e5f}" ma:internalName="TaxCatchAll" ma:showField="CatchAllData" ma:web="2546f5b2-04f2-4a0e-9993-466f4f9aad7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546f5b2-04f2-4a0e-9993-466f4f9aad71" xsi:nil="true"/>
    <lcf76f155ced4ddcb4097134ff3c332f xmlns="173c2605-4b7d-457e-8dba-1d57dca954f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DF15039-F6B7-4DFE-9C64-1B1C8CAE0D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3c2605-4b7d-457e-8dba-1d57dca954fb"/>
    <ds:schemaRef ds:uri="2546f5b2-04f2-4a0e-9993-466f4f9aad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A492251-6891-4C14-8B81-A3820A66D844}">
  <ds:schemaRefs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2546f5b2-04f2-4a0e-9993-466f4f9aad71"/>
    <ds:schemaRef ds:uri="173c2605-4b7d-457e-8dba-1d57dca954fb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3C11F87-6BEC-4590-BB0D-1E4E3E5A52C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Fuel Prices</vt:lpstr>
      <vt:lpstr>Equipment</vt:lpstr>
      <vt:lpstr>Customer Costs</vt:lpstr>
      <vt:lpstr>elec vs RNG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Neme</dc:creator>
  <cp:lastModifiedBy>Chris Neme</cp:lastModifiedBy>
  <dcterms:created xsi:type="dcterms:W3CDTF">2023-03-24T14:22:38Z</dcterms:created>
  <dcterms:modified xsi:type="dcterms:W3CDTF">2023-05-24T17:40:52Z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0x010100A558427FD0CC4444B87AB1CF5C8D52EB</vt:lpwstr>
  </property>
  <property fmtid="{D5CDD505-2E9C-101B-9397-08002B2CF9AE}" pid="3" name="MediaServiceImageTags">
    <vt:lpwstr/>
  </property>
</Properties>
</file>