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ergyplusinc-my.sharepoint.com/personal/dmolon_grandbridgeenergy_com/Documents/04 - Regulatory Affairs/02 - Rate Applications/2023 IRM Application Phase 2/Draft Rate Order/"/>
    </mc:Choice>
  </mc:AlternateContent>
  <xr:revisionPtr revIDLastSave="603" documentId="8_{BAF53C64-4B61-4165-B9CF-BE9CE15ECAD2}" xr6:coauthVersionLast="47" xr6:coauthVersionMax="47" xr10:uidLastSave="{6A50F12C-8C86-4933-9A76-F8CA0355559E}"/>
  <bookViews>
    <workbookView xWindow="-120" yWindow="-120" windowWidth="29040" windowHeight="15840" xr2:uid="{8697FA8C-E058-4A59-91FC-70F9CC7331B0}"/>
  </bookViews>
  <sheets>
    <sheet name="Proposed Tariff" sheetId="2" r:id="rId1"/>
    <sheet name="Current Tariff" sheetId="1" r:id="rId2"/>
    <sheet name="Bill Impacts vs 2022" sheetId="3" r:id="rId3"/>
    <sheet name="Bill Impacts vs 2023 Phase 1" sheetId="4" r:id="rId4"/>
    <sheet name="Bill Impacts Summary"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A">#REF!</definedName>
    <definedName name="\B">#REF!</definedName>
    <definedName name="\M">#REF!</definedName>
    <definedName name="\S">#REF!</definedName>
    <definedName name="\Z">#REF!</definedName>
    <definedName name="___1100">#REF!</definedName>
    <definedName name="___1101">#REF!</definedName>
    <definedName name="___1120">#REF!</definedName>
    <definedName name="___1140">#REF!</definedName>
    <definedName name="___1150">#REF!</definedName>
    <definedName name="___1153">#REF!</definedName>
    <definedName name="___200">#REF!</definedName>
    <definedName name="___201">#REF!</definedName>
    <definedName name="___203">#REF!</definedName>
    <definedName name="___204">#REF!</definedName>
    <definedName name="___205">#REF!</definedName>
    <definedName name="___206">#REF!</definedName>
    <definedName name="___207">#REF!</definedName>
    <definedName name="___208">#REF!</definedName>
    <definedName name="___209">#REF!</definedName>
    <definedName name="___210">#REF!</definedName>
    <definedName name="___211">#REF!</definedName>
    <definedName name="___212">#REF!</definedName>
    <definedName name="___213">#REF!</definedName>
    <definedName name="___215">#REF!</definedName>
    <definedName name="___216">#REF!</definedName>
    <definedName name="___217">#REF!</definedName>
    <definedName name="___218">#REF!</definedName>
    <definedName name="___219">#REF!</definedName>
    <definedName name="___220">#REF!</definedName>
    <definedName name="___223">#REF!</definedName>
    <definedName name="___224">#REF!</definedName>
    <definedName name="___232">#REF!</definedName>
    <definedName name="___240">#REF!</definedName>
    <definedName name="___241">#REF!</definedName>
    <definedName name="___242">#REF!</definedName>
    <definedName name="___243">#REF!</definedName>
    <definedName name="___250">#REF!</definedName>
    <definedName name="___300">#REF!</definedName>
    <definedName name="___301">#REF!</definedName>
    <definedName name="___303">#REF!</definedName>
    <definedName name="___304">#REF!</definedName>
    <definedName name="___305">#REF!</definedName>
    <definedName name="___306">#REF!</definedName>
    <definedName name="___307">#REF!</definedName>
    <definedName name="___308">#REF!</definedName>
    <definedName name="___309">#REF!</definedName>
    <definedName name="___310">#REF!</definedName>
    <definedName name="___311">#REF!</definedName>
    <definedName name="___312">#REF!</definedName>
    <definedName name="___313">#REF!</definedName>
    <definedName name="___315">#REF!</definedName>
    <definedName name="___316">#REF!</definedName>
    <definedName name="___317">#REF!</definedName>
    <definedName name="___318">#REF!</definedName>
    <definedName name="___319">#REF!</definedName>
    <definedName name="___320">#REF!</definedName>
    <definedName name="___323">#REF!</definedName>
    <definedName name="___324">#REF!</definedName>
    <definedName name="___332">#REF!</definedName>
    <definedName name="___340">#REF!</definedName>
    <definedName name="___390">#REF!</definedName>
    <definedName name="___500">#REF!</definedName>
    <definedName name="___600">#REF!</definedName>
    <definedName name="___700">#REF!</definedName>
    <definedName name="___800">#REF!</definedName>
    <definedName name="__1100">#REF!</definedName>
    <definedName name="__1101">#REF!</definedName>
    <definedName name="__1120">#REF!</definedName>
    <definedName name="__1140">#REF!</definedName>
    <definedName name="__1150">#REF!</definedName>
    <definedName name="__1153">#REF!</definedName>
    <definedName name="__200">#REF!</definedName>
    <definedName name="__201">#REF!</definedName>
    <definedName name="__203">#REF!</definedName>
    <definedName name="__204">#REF!</definedName>
    <definedName name="__205">#REF!</definedName>
    <definedName name="__206">#REF!</definedName>
    <definedName name="__207">#REF!</definedName>
    <definedName name="__208">#REF!</definedName>
    <definedName name="__209">#REF!</definedName>
    <definedName name="__210">#REF!</definedName>
    <definedName name="__211">#REF!</definedName>
    <definedName name="__212">#REF!</definedName>
    <definedName name="__213">#REF!</definedName>
    <definedName name="__215">#REF!</definedName>
    <definedName name="__216">#REF!</definedName>
    <definedName name="__217">#REF!</definedName>
    <definedName name="__218">#REF!</definedName>
    <definedName name="__219">#REF!</definedName>
    <definedName name="__220">#REF!</definedName>
    <definedName name="__223">#REF!</definedName>
    <definedName name="__224">#REF!</definedName>
    <definedName name="__232">#REF!</definedName>
    <definedName name="__240">#REF!</definedName>
    <definedName name="__241">#REF!</definedName>
    <definedName name="__242">#REF!</definedName>
    <definedName name="__243">#REF!</definedName>
    <definedName name="__250">#REF!</definedName>
    <definedName name="__300">#REF!</definedName>
    <definedName name="__301">#REF!</definedName>
    <definedName name="__303">#REF!</definedName>
    <definedName name="__304">#REF!</definedName>
    <definedName name="__305">#REF!</definedName>
    <definedName name="__306">#REF!</definedName>
    <definedName name="__307">#REF!</definedName>
    <definedName name="__308">#REF!</definedName>
    <definedName name="__309">#REF!</definedName>
    <definedName name="__310">#REF!</definedName>
    <definedName name="__311">#REF!</definedName>
    <definedName name="__312">#REF!</definedName>
    <definedName name="__313">#REF!</definedName>
    <definedName name="__315">#REF!</definedName>
    <definedName name="__316">#REF!</definedName>
    <definedName name="__317">#REF!</definedName>
    <definedName name="__318">#REF!</definedName>
    <definedName name="__319">#REF!</definedName>
    <definedName name="__320">#REF!</definedName>
    <definedName name="__323">#REF!</definedName>
    <definedName name="__324">#REF!</definedName>
    <definedName name="__332">#REF!</definedName>
    <definedName name="__340">#REF!</definedName>
    <definedName name="__390">#REF!</definedName>
    <definedName name="__500">#REF!</definedName>
    <definedName name="__600">#REF!</definedName>
    <definedName name="__700">#REF!</definedName>
    <definedName name="__800">#REF!</definedName>
    <definedName name="__No1000">#REF!</definedName>
    <definedName name="_1_1100">#REF!</definedName>
    <definedName name="_10_204">#REF!</definedName>
    <definedName name="_11_205">#REF!</definedName>
    <definedName name="_1100">#REF!</definedName>
    <definedName name="_1101">#REF!</definedName>
    <definedName name="_1120">#REF!</definedName>
    <definedName name="_1140">#REF!</definedName>
    <definedName name="_1150">#REF!</definedName>
    <definedName name="_1153">#REF!</definedName>
    <definedName name="_12_206">#REF!</definedName>
    <definedName name="_13_207">#REF!</definedName>
    <definedName name="_14_208">#REF!</definedName>
    <definedName name="_15_209">#REF!</definedName>
    <definedName name="_16_210">#REF!</definedName>
    <definedName name="_17_211">#REF!</definedName>
    <definedName name="_18_212">#REF!</definedName>
    <definedName name="_19_213">#REF!</definedName>
    <definedName name="_2_1101">#REF!</definedName>
    <definedName name="_20_215">#REF!</definedName>
    <definedName name="_200">#REF!</definedName>
    <definedName name="_201">#REF!</definedName>
    <definedName name="_203">#REF!</definedName>
    <definedName name="_204">#REF!</definedName>
    <definedName name="_205">#REF!</definedName>
    <definedName name="_206">#REF!</definedName>
    <definedName name="_207">#REF!</definedName>
    <definedName name="_208">#REF!</definedName>
    <definedName name="_209">#REF!</definedName>
    <definedName name="_21_216">#REF!</definedName>
    <definedName name="_210">#REF!</definedName>
    <definedName name="_211">#REF!</definedName>
    <definedName name="_212">#REF!</definedName>
    <definedName name="_213">#REF!</definedName>
    <definedName name="_215">#REF!</definedName>
    <definedName name="_216">#REF!</definedName>
    <definedName name="_217">#REF!</definedName>
    <definedName name="_218">#REF!</definedName>
    <definedName name="_219">#REF!</definedName>
    <definedName name="_22_217">#REF!</definedName>
    <definedName name="_220">#REF!</definedName>
    <definedName name="_223">#REF!</definedName>
    <definedName name="_224">#REF!</definedName>
    <definedName name="_23_218">#REF!</definedName>
    <definedName name="_232">#REF!</definedName>
    <definedName name="_24_219">#REF!</definedName>
    <definedName name="_240">#REF!</definedName>
    <definedName name="_241">#REF!</definedName>
    <definedName name="_242">#REF!</definedName>
    <definedName name="_243">#REF!</definedName>
    <definedName name="_25_220">#REF!</definedName>
    <definedName name="_250">#REF!</definedName>
    <definedName name="_26_223">#REF!</definedName>
    <definedName name="_27_224">#REF!</definedName>
    <definedName name="_28_232">#REF!</definedName>
    <definedName name="_29_240">#REF!</definedName>
    <definedName name="_3_1120">#REF!</definedName>
    <definedName name="_30_241">#REF!</definedName>
    <definedName name="_300">#REF!</definedName>
    <definedName name="_301">#REF!</definedName>
    <definedName name="_303">#REF!</definedName>
    <definedName name="_304">#REF!</definedName>
    <definedName name="_305">#REF!</definedName>
    <definedName name="_306">#REF!</definedName>
    <definedName name="_307">#REF!</definedName>
    <definedName name="_308">#REF!</definedName>
    <definedName name="_309">#REF!</definedName>
    <definedName name="_31_242">#REF!</definedName>
    <definedName name="_310">#REF!</definedName>
    <definedName name="_311">#REF!</definedName>
    <definedName name="_312">#REF!</definedName>
    <definedName name="_313">#REF!</definedName>
    <definedName name="_315">#REF!</definedName>
    <definedName name="_316">#REF!</definedName>
    <definedName name="_317">#REF!</definedName>
    <definedName name="_318">#REF!</definedName>
    <definedName name="_319">#REF!</definedName>
    <definedName name="_32_243">#REF!</definedName>
    <definedName name="_320">#REF!</definedName>
    <definedName name="_323">#REF!</definedName>
    <definedName name="_324">#REF!</definedName>
    <definedName name="_33_250">#REF!</definedName>
    <definedName name="_332">#REF!</definedName>
    <definedName name="_34_300">#REF!</definedName>
    <definedName name="_340">#REF!</definedName>
    <definedName name="_35_301">#REF!</definedName>
    <definedName name="_36_301">#REF!</definedName>
    <definedName name="_36_303">#REF!</definedName>
    <definedName name="_37_303">#REF!</definedName>
    <definedName name="_37_304">#REF!</definedName>
    <definedName name="_38_304">#REF!</definedName>
    <definedName name="_38_305">#REF!</definedName>
    <definedName name="_39_305">#REF!</definedName>
    <definedName name="_39_306">#REF!</definedName>
    <definedName name="_390">#REF!</definedName>
    <definedName name="_4_1140">#REF!</definedName>
    <definedName name="_40_306">#REF!</definedName>
    <definedName name="_40_307">#REF!</definedName>
    <definedName name="_41_307">#REF!</definedName>
    <definedName name="_41_308">#REF!</definedName>
    <definedName name="_42_308">#REF!</definedName>
    <definedName name="_42_309">#REF!</definedName>
    <definedName name="_43_309">#REF!</definedName>
    <definedName name="_43_310">#REF!</definedName>
    <definedName name="_44_310">#REF!</definedName>
    <definedName name="_44_311">#REF!</definedName>
    <definedName name="_45_311">#REF!</definedName>
    <definedName name="_45_312">#REF!</definedName>
    <definedName name="_46_312">#REF!</definedName>
    <definedName name="_46_313">#REF!</definedName>
    <definedName name="_47_313">#REF!</definedName>
    <definedName name="_47_315">#REF!</definedName>
    <definedName name="_48_315">#REF!</definedName>
    <definedName name="_48_316">#REF!</definedName>
    <definedName name="_49_316">#REF!</definedName>
    <definedName name="_49_317">#REF!</definedName>
    <definedName name="_5_1150">#REF!</definedName>
    <definedName name="_50_317">#REF!</definedName>
    <definedName name="_50_318">#REF!</definedName>
    <definedName name="_500">#REF!</definedName>
    <definedName name="_51_318">#REF!</definedName>
    <definedName name="_51_319">#REF!</definedName>
    <definedName name="_52_319">#REF!</definedName>
    <definedName name="_52_320">#REF!</definedName>
    <definedName name="_53_320">#REF!</definedName>
    <definedName name="_53_323">#REF!</definedName>
    <definedName name="_54_323">#REF!</definedName>
    <definedName name="_54_324">#REF!</definedName>
    <definedName name="_55_324">#REF!</definedName>
    <definedName name="_55_332">#REF!</definedName>
    <definedName name="_56_332">#REF!</definedName>
    <definedName name="_56_340">#REF!</definedName>
    <definedName name="_57_340">#REF!</definedName>
    <definedName name="_57_390">#REF!</definedName>
    <definedName name="_58_390">#REF!</definedName>
    <definedName name="_58_500">#REF!</definedName>
    <definedName name="_59_500">#REF!</definedName>
    <definedName name="_59_600">#REF!</definedName>
    <definedName name="_6_1153">#REF!</definedName>
    <definedName name="_60_600">#REF!</definedName>
    <definedName name="_60_700">#REF!</definedName>
    <definedName name="_600">#REF!</definedName>
    <definedName name="_61_700">#REF!</definedName>
    <definedName name="_61_800">#REF!</definedName>
    <definedName name="_62_800">#REF!</definedName>
    <definedName name="_7_200">#REF!</definedName>
    <definedName name="_700">#REF!</definedName>
    <definedName name="_8_201">#REF!</definedName>
    <definedName name="_800">#REF!</definedName>
    <definedName name="_9_203">#REF!</definedName>
    <definedName name="_Order1" hidden="1">255</definedName>
    <definedName name="_Sort" hidden="1">[3]Sheet1!$G$40:$K$40</definedName>
    <definedName name="ABC">#REF!</definedName>
    <definedName name="account">'[4]B. Setup'!$B$513:$C$1305</definedName>
    <definedName name="Accrued">#REF!</definedName>
    <definedName name="AGBill">'[5]3b. 2012 - CS Inc Stmt'!#REF!</definedName>
    <definedName name="AGBillAndColl">'[5]3a. 2012 EDO - Inc Stmt'!#REF!</definedName>
    <definedName name="AGCapTax">'[5]3a. 2012 EDO - Inc Stmt'!#REF!</definedName>
    <definedName name="AGccCorpTax">'[5]3b. 2012 - CS Inc Stmt'!#REF!</definedName>
    <definedName name="AGccIntExpense">'[5]3b. 2012 - CS Inc Stmt'!#REF!</definedName>
    <definedName name="AGccIntIncome">'[5]3b. 2012 - CS Inc Stmt'!#REF!</definedName>
    <definedName name="AGCorpTax">'[5]3a. 2012 EDO - Inc Stmt'!#REF!</definedName>
    <definedName name="AGCredLoss">'[5]3a. 2012 EDO - Inc Stmt'!#REF!</definedName>
    <definedName name="AGcsCapTax">'[5]3b. 2012 - CS Inc Stmt'!#REF!</definedName>
    <definedName name="AGcsDepAndAmort">'[5]3b. 2012 - CS Inc Stmt'!#REF!</definedName>
    <definedName name="AGDandU">'[5]3a. 2012 EDO - Inc Stmt'!#REF!</definedName>
    <definedName name="AGDepAndAmort">'[5]3a. 2012 EDO - Inc Stmt'!#REF!</definedName>
    <definedName name="AGGandA">'[5]3a. 2012 EDO - Inc Stmt'!#REF!</definedName>
    <definedName name="AGIntExpense">'[5]3a. 2012 EDO - Inc Stmt'!#REF!</definedName>
    <definedName name="AGIntIncome">'[5]3a. 2012 EDO - Inc Stmt'!#REF!</definedName>
    <definedName name="AGOpCosts">'[5]3b. 2012 - CS Inc Stmt'!#REF!</definedName>
    <definedName name="AGOtherInc">'[5]3a. 2012 EDO - Inc Stmt'!#REF!</definedName>
    <definedName name="AGOtherRev">'[5]3b. 2012 - CS Inc Stmt'!#REF!</definedName>
    <definedName name="AGRevFixed">'[5]3a. 2012 EDO - Inc Stmt'!#REF!</definedName>
    <definedName name="AGRevVar">'[5]3a. 2012 EDO - Inc Stmt'!#REF!</definedName>
    <definedName name="AGSalAndBen">'[5]3b. 2012 - CS Inc Stmt'!#REF!</definedName>
    <definedName name="AGSaleOfAssets">'[5]3a. 2012 EDO - Inc Stmt'!#REF!</definedName>
    <definedName name="Answer">[6]CLD!$Y$1:$Y$3</definedName>
    <definedName name="AssetNum">'[7]CAP - data - current month'!$E$10:$E$1008</definedName>
    <definedName name="ASSETS">#REF!</definedName>
    <definedName name="BI_LDCLIST">'[8]3. Rate Class Selection'!$B$19:$B$21</definedName>
    <definedName name="Billed">'[9]Energy Revenue'!$A$5:$S$88</definedName>
    <definedName name="BizUnits">[10]Sheet1!$B$3:$B$16</definedName>
    <definedName name="BlankCells">#REF!,#REF!,#REF!</definedName>
    <definedName name="capcosttype">[11]Setup!$C$5:$C$10</definedName>
    <definedName name="CAPEX">'[12]D&amp;U_G&amp;A'!#REF!</definedName>
    <definedName name="capital">'[13]WorkPlan - Capital'!$B$7:$AO$500</definedName>
    <definedName name="CapitalOEBs">'[4]B. Setup'!$A$1591:$C$1645</definedName>
    <definedName name="CAPNOTE">[14]capex!#REF!</definedName>
    <definedName name="CapOEB">'[4]B. Setup'!$A$233:$F$245</definedName>
    <definedName name="capsupplier">[13]Setup!$A$225:$A$234</definedName>
    <definedName name="CAPX1">[14]capex!#REF!</definedName>
    <definedName name="CAPX10">[14]capex!#REF!</definedName>
    <definedName name="CAPX11">[14]capex!#REF!</definedName>
    <definedName name="CAPX12">[14]capex!#REF!</definedName>
    <definedName name="CAPX13">[14]capex!#REF!</definedName>
    <definedName name="CAPX14">[14]capex!#REF!</definedName>
    <definedName name="CAPX15">[14]capex!#REF!</definedName>
    <definedName name="CAPX16">[14]capex!#REF!</definedName>
    <definedName name="CAPX17">[14]capex!#REF!</definedName>
    <definedName name="CAPX18">[14]capex!#REF!</definedName>
    <definedName name="CAPX2">[14]capex!#REF!</definedName>
    <definedName name="CAPX20">[14]capex!#REF!</definedName>
    <definedName name="CAPX23">[14]capex!#REF!</definedName>
    <definedName name="CAPX3">[14]capex!#REF!</definedName>
    <definedName name="CAPX4">[14]capex!#REF!</definedName>
    <definedName name="CAPX5">[14]capex!#REF!</definedName>
    <definedName name="CAPX6">[14]capex!#REF!</definedName>
    <definedName name="CAPX7">[14]capex!#REF!</definedName>
    <definedName name="CAPX8">[14]capex!#REF!</definedName>
    <definedName name="CAPX9">[14]capex!#REF!</definedName>
    <definedName name="CAS_TB_DATA">#REF!</definedName>
    <definedName name="categories">'[15]Capital Summary'!$A$29:$A$61</definedName>
    <definedName name="CC_LIST">'[16]|'!$A$2:$A$1801</definedName>
    <definedName name="CC_MASTER_LIST">'[17]|'!$E$2:$E$301</definedName>
    <definedName name="CC_OEB_LIST">'[17]|'!$K$2:$K$301</definedName>
    <definedName name="CCBill">'[5]3b. 2012 - CS Inc Stmt'!#REF!</definedName>
    <definedName name="CCBillAndColl">'[5]3a. 2012 EDO - Inc Stmt'!#REF!</definedName>
    <definedName name="CCCapTax">'[5]3a. 2012 EDO - Inc Stmt'!#REF!</definedName>
    <definedName name="CCCorpTax">'[5]3a. 2012 EDO - Inc Stmt'!#REF!</definedName>
    <definedName name="CCCredLoss">'[5]3a. 2012 EDO - Inc Stmt'!#REF!</definedName>
    <definedName name="CCcsCapTax">'[5]3b. 2012 - CS Inc Stmt'!#REF!</definedName>
    <definedName name="CCcsCorpTax">'[5]3b. 2012 - CS Inc Stmt'!#REF!</definedName>
    <definedName name="CCcsDepAndAmort">'[5]3b. 2012 - CS Inc Stmt'!#REF!</definedName>
    <definedName name="CCcsIntExpense">'[5]3b. 2012 - CS Inc Stmt'!#REF!</definedName>
    <definedName name="CCcsIntIncome">'[5]3b. 2012 - CS Inc Stmt'!#REF!</definedName>
    <definedName name="CCDandU">'[5]3a. 2012 EDO - Inc Stmt'!#REF!</definedName>
    <definedName name="CCDepAndAmort">'[5]3a. 2012 EDO - Inc Stmt'!#REF!</definedName>
    <definedName name="CCGandA">'[5]3a. 2012 EDO - Inc Stmt'!#REF!</definedName>
    <definedName name="CCIntExpense">'[5]3a. 2012 EDO - Inc Stmt'!#REF!</definedName>
    <definedName name="CCIntIncome">'[5]3a. 2012 EDO - Inc Stmt'!#REF!</definedName>
    <definedName name="CCOpCosts">'[5]3b. 2012 - CS Inc Stmt'!#REF!</definedName>
    <definedName name="CCOtherInc">'[5]3a. 2012 EDO - Inc Stmt'!#REF!</definedName>
    <definedName name="CCOtherRev">'[5]3b. 2012 - CS Inc Stmt'!#REF!</definedName>
    <definedName name="CCRevFixed">'[5]3a. 2012 EDO - Inc Stmt'!#REF!</definedName>
    <definedName name="CCRevVar">'[5]3a. 2012 EDO - Inc Stmt'!#REF!</definedName>
    <definedName name="CCSalAndBen">'[5]3b. 2012 - CS Inc Stmt'!#REF!</definedName>
    <definedName name="CCSaleOfAssets">'[5]3a. 2012 EDO - Inc Stmt'!#REF!</definedName>
    <definedName name="CDM_TO_BS">'[18]|3-3_DRIVERS|'!$BC$2</definedName>
    <definedName name="CG_FLEET_BURDEN">'[17]|Index|'!$BB$3</definedName>
    <definedName name="CG_MAT_BURDEN">'[17]|Index|'!$BB$4</definedName>
    <definedName name="ClientName">[19]Main!$C$6</definedName>
    <definedName name="CLUSTER">'[16]|OPEX|'!$C$2</definedName>
    <definedName name="CLUSTER_LIST">'[16]|'!$A$2:$A$3000</definedName>
    <definedName name="CO_LIST">'[18]|3-2_INDEX|'!$G$3:$G$18</definedName>
    <definedName name="Companies">[20]Companies!$B$4:$B$20</definedName>
    <definedName name="Company10">[21]Setup!$A$29:$A$30</definedName>
    <definedName name="Company12">[21]Setup!$A$19:$A$24</definedName>
    <definedName name="contactf">#REF!</definedName>
    <definedName name="COP">'[9]Cost of Power'!$C$27:$N$33</definedName>
    <definedName name="CostCenter">[13]Setup!$B$134:$B$208</definedName>
    <definedName name="costtype">[13]Setup!$A$214:$A$219</definedName>
    <definedName name="CustomerAdministration">[22]lists!$Z$1:$Z$36</definedName>
    <definedName name="CustomerCount">#REF!</definedName>
    <definedName name="data">'[12]D&amp;U_G&amp;A'!#REF!</definedName>
    <definedName name="data3">#REF!</definedName>
    <definedName name="data303">#REF!</definedName>
    <definedName name="DATE_LIST">[16]INDEX!$BC$3:$BC$3000</definedName>
    <definedName name="DateCell">#REF!</definedName>
    <definedName name="DaysInPreviousYear">'[23]Distribution Revenue by Source'!$B$22</definedName>
    <definedName name="DaysInYear">'[23]Distribution Revenue by Source'!$B$21</definedName>
    <definedName name="DEPBYYR">#REF!</definedName>
    <definedName name="Details">#REF!</definedName>
    <definedName name="DISTRIB">[14]capex!#REF!</definedName>
    <definedName name="EBNUMBER">'[22]LDC Info'!$E$16</definedName>
    <definedName name="EDO">[14]capex!#REF!</definedName>
    <definedName name="EDOInput">#REF!,#REF!,#REF!,#REF!</definedName>
    <definedName name="EMP_LIST">[16]INDEX!$AY$3:$AY$1000</definedName>
    <definedName name="ERR_INDEX_ACCT">[16]INDEX!$Y$2</definedName>
    <definedName name="expense">[13]Setup!$D$1151:$D$1179</definedName>
    <definedName name="Explanation">#REF!</definedName>
    <definedName name="Fixed_Charges">[22]lists!$I$1:$I$185</definedName>
    <definedName name="forecast_wholesale_lineplus">'[24]14. RTSR - Forecast Wholesale'!$P$113</definedName>
    <definedName name="forecast_wholesale_network">'[24]14. RTSR - Forecast Wholesale'!$F$109</definedName>
    <definedName name="FS_LINES">'[18]|'!$G$1:$G$100</definedName>
    <definedName name="fsdfsdfsdfssd">#REF!</definedName>
    <definedName name="FULL">[14]capex!#REF!</definedName>
    <definedName name="FW">[14]capex!#REF!</definedName>
    <definedName name="GA">'[25]1e. Allocation Percents'!$B$80:$B$100</definedName>
    <definedName name="GLaccount">[13]Setup!$B$507:$C$1142</definedName>
    <definedName name="glcomp">#REF!</definedName>
    <definedName name="GLlookup">[13]Setup!$A$371:$B$499</definedName>
    <definedName name="GLname">[13]Setup!$B$507:$C$1142</definedName>
    <definedName name="HCE">[14]capex!#REF!</definedName>
    <definedName name="histdate">[26]Financials!$E$76</definedName>
    <definedName name="Holidays">'[4]B. Setup'!$A$1505:$A$1516</definedName>
    <definedName name="HOME">#REF!</definedName>
    <definedName name="HORIZON">'[18]|3-3_DRIVERS|'!$FV$2:$GD$2</definedName>
    <definedName name="HoursAvail">[13]Setup!$A$122:$B$124</definedName>
    <definedName name="HUCMULT">'[18]|3-3_DRIVERS|'!$AZ$2</definedName>
    <definedName name="IncludeProject">'[27]Proj Summ'!$B$13:$CE$48</definedName>
    <definedName name="Incr2000">#REF!</definedName>
    <definedName name="Input_FW">'[28]MgtRp - FW'!$K$13:$K$18,'[28]MgtRp - FW'!$K$21:$K$24,'[28]MgtRp - FW'!$K$29,'[28]MgtRp - FW'!$K$31</definedName>
    <definedName name="Input_HUC">'[28]MgtRp - HUC'!$K$15,'[28]MgtRp - HUC'!$K$17,'[28]MgtRp - HUC'!$K$18,'[28]MgtRp - HUC'!$K$19,'[28]MgtRp - HUC'!$K$20,'[28]MgtRp - HUC'!$K$24,'[28]MgtRp - HUC'!$K$25,'[28]MgtRp - HUC'!$K$27</definedName>
    <definedName name="InputCells">#REF!,#REF!</definedName>
    <definedName name="inputdata">#REF!</definedName>
    <definedName name="IS_CATEGORIES">[16]INDEX!$AA$3:$AA$78</definedName>
    <definedName name="JE">#REF!</definedName>
    <definedName name="LabourHours">#REF!</definedName>
    <definedName name="labourlist">[13]Setup!$C$1189:$I$1363</definedName>
    <definedName name="lastyrcap">'[13]2009 Capital Budget'!$B$3:$D$500</definedName>
    <definedName name="lastyrop">'[13]2009 Operating Budget'!$B$3:$D$500</definedName>
    <definedName name="LDC\NAME">'[29]LDC List'!$A$1:$A$65536</definedName>
    <definedName name="LDC_LIST">[30]lists!$AM$1:$AM$80</definedName>
    <definedName name="LDC_NAMES">'[31]LDC List'!$A$1:$A$65536</definedName>
    <definedName name="LDCNAME">#REF!</definedName>
    <definedName name="LDCNAME1">#REF!</definedName>
    <definedName name="LIMIT">#REF!</definedName>
    <definedName name="listdata">'[32]4. Billing Det. for Def-Var'!$A$17:$A$24</definedName>
    <definedName name="ListOfPrograms">'[33]OPA Use only'!$B$25:$B$30</definedName>
    <definedName name="LossFactors">[22]lists!$L$2:$L$15</definedName>
    <definedName name="MACRO">#REF!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 localSheetId="4">'[34]17. Regulatory Charges'!$D$24</definedName>
    <definedName name="MidPeak">'[1]17. Regulatory Charges'!$D$24</definedName>
    <definedName name="MissingEmployees">#REF!</definedName>
    <definedName name="MofF">#REF!</definedName>
    <definedName name="Month">#REF!</definedName>
    <definedName name="MULT">'[18]|3-2_INDEX|'!$B$5</definedName>
    <definedName name="NBV">#REF!</definedName>
    <definedName name="NonPayment">[22]lists!$AA$1:$AA$71</definedName>
    <definedName name="NorB">[13]Setup!$A$129:$A$130</definedName>
    <definedName name="NOTE">[14]capex!#REF!</definedName>
    <definedName name="NumOfPCs">'[25]1e. Allocation Percents'!$A$13:$N$66</definedName>
    <definedName name="OEB_LIST">'[17]|'!$G$2:$G$600</definedName>
    <definedName name="OEBcodes">'[35]OEB Codes'!$B$9:$Z$511</definedName>
    <definedName name="OffPeak" localSheetId="4">'[34]17. Regulatory Charges'!$D$23</definedName>
    <definedName name="OffPeak">'[1]17. Regulatory Charges'!$D$23</definedName>
    <definedName name="OnPeak" localSheetId="4">'[34]17. Regulatory Charges'!$D$25</definedName>
    <definedName name="OnPeak">'[1]17. Regulatory Charges'!$D$25</definedName>
    <definedName name="operating">'[36]WorkPlan - Operating'!$B$7:$AP$678</definedName>
    <definedName name="opsupplier">[13]Setup!$A$241:$A$317</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[37]Inputs!$CA$3:$CA$105</definedName>
    <definedName name="other_costs">#REF!</definedName>
    <definedName name="OTHERBUD">#REF!</definedName>
    <definedName name="othNYbud">#REF!</definedName>
    <definedName name="othPYACT">#REF!</definedName>
    <definedName name="OTHSTART">#REF!</definedName>
    <definedName name="payroll">'[38]1d. 2014 Payroll Budget'!$C$501+'[38]1d. 2014 Payroll Budget'!$C$501:$OV$506</definedName>
    <definedName name="pemployee">'[13]Labour Types'!$B$7:$H$106</definedName>
    <definedName name="PERIOD_CUTOFF">'[18]|3-2_INDEX|'!$B$3</definedName>
    <definedName name="PorW">[13]Setup!$C$129:$C$130</definedName>
    <definedName name="PreparedBy">#REF!</definedName>
    <definedName name="_xlnm.Print_Area" localSheetId="2">'Bill Impacts vs 2022'!$A$1:$O$971</definedName>
    <definedName name="_xlnm.Print_Area" localSheetId="3">'Bill Impacts vs 2023 Phase 1'!$A$1:$O$971</definedName>
    <definedName name="print_end">#REF!</definedName>
    <definedName name="_xlnm.Print_Titles" localSheetId="1">'Current Tariff'!$1:$7</definedName>
    <definedName name="_xlnm.Print_Titles" localSheetId="0">'Proposed Tariff'!$1:$7</definedName>
    <definedName name="Proj01">#REF!</definedName>
    <definedName name="Proj01_CopyOH1">#REF!</definedName>
    <definedName name="Proj01_CopyOH2">#REF!</definedName>
    <definedName name="Proj01_CopyOH3">#REF!</definedName>
    <definedName name="Proj01_CopyOH4">#REF!</definedName>
    <definedName name="Proj01_CopyOH5">#REF!</definedName>
    <definedName name="Proj01_CopyOH6">#REF!</definedName>
    <definedName name="Proj01_CopyRange1">#REF!</definedName>
    <definedName name="Proj01_CopyRange2">#REF!</definedName>
    <definedName name="Proj01_CopyRange3">#REF!</definedName>
    <definedName name="Proj01_CopyUG1">#REF!</definedName>
    <definedName name="Proj01_CopyUG2">#REF!</definedName>
    <definedName name="Proj01_CopyUG3">#REF!</definedName>
    <definedName name="Proj01_CopyUG4">#REF!</definedName>
    <definedName name="Proj01_CopyUG5">#REF!</definedName>
    <definedName name="Proj01_CopyUG6">#REF!</definedName>
    <definedName name="Proj01_CopyUG7">#REF!</definedName>
    <definedName name="projectemployee">'[13]Labour Types'!$U$7:$V$106</definedName>
    <definedName name="projectname">'[13]Labour Types'!$U$7:$U$106</definedName>
    <definedName name="PROXY_REV_REQ">'[18]|3-3_DRIVERS|'!$GX$4</definedName>
    <definedName name="Q_Exl_Payroll_W">#REF!</definedName>
    <definedName name="QUARTER">'[18]|3-2_INDEX|'!$B$8</definedName>
    <definedName name="Rate_Class">[22]lists!$A$1:$A$104</definedName>
    <definedName name="Ratebase">'[23]Distribution Revenue by Source'!$C$25</definedName>
    <definedName name="ratedescription">[39]hidden1!$D$1:$D$122</definedName>
    <definedName name="REASON_CODES">[16]INDEX!$BA$3:$BA$32</definedName>
    <definedName name="REG_SWITCH">'[18]|3-2_INDEX|'!$B$23</definedName>
    <definedName name="Renewal_Detail">#REF!</definedName>
    <definedName name="REV_REQ_MANUAL_ADJ">'[40]&lt;2-3_Reg_ADJ_Revenue_Req'!$S$7</definedName>
    <definedName name="Reversing">[20]Reversing!$B$4:$B$5</definedName>
    <definedName name="Role">[41]Sheet1!$E$3:$E$5</definedName>
    <definedName name="SALBENF">#REF!</definedName>
    <definedName name="salreg">#REF!</definedName>
    <definedName name="SALREGF">#REF!</definedName>
    <definedName name="Schedule">#REF!</definedName>
    <definedName name="Security_Detail">#REF!</definedName>
    <definedName name="SME" localSheetId="4">'[34]17. Regulatory Charges'!$D$33</definedName>
    <definedName name="SME">'[1]17. Regulatory Charges'!$D$33</definedName>
    <definedName name="SOLARMULT">'[18]|3-3_DRIVERS|'!$AZ$3</definedName>
    <definedName name="SortData">#REF!</definedName>
    <definedName name="SUBCLUSTER_LIST">'[16]|'!$I$1:$I$100</definedName>
    <definedName name="SUMMARY">#REF!</definedName>
    <definedName name="Surtax">#REF!</definedName>
    <definedName name="TaxYear">[42]Main!$C$8</definedName>
    <definedName name="TEMPA">#REF!</definedName>
    <definedName name="Test">#REF!</definedName>
    <definedName name="TestYear">'[22]LDC Info'!$E$24</definedName>
    <definedName name="TM1REBUILDOPTION">1</definedName>
    <definedName name="TorF">[13]Setup!$B$129:$B$130</definedName>
    <definedName name="Total_Current_Wholesale_Lineplus">'[24]13. RTSR - Current Wholesale'!$P$113</definedName>
    <definedName name="total_current_wholesale_network">'[24]13.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otalCapital">#REF!</definedName>
    <definedName name="TotImpl">#REF!</definedName>
    <definedName name="TotRenovation">#REF!</definedName>
    <definedName name="TotTestComp">#REF!</definedName>
    <definedName name="TotTestIntg">#REF!</definedName>
    <definedName name="TotTestPla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L01_FixedCopy">#REF!</definedName>
    <definedName name="UL01_FixedPaste">#REF!</definedName>
    <definedName name="UL01_PasteRange1">#REF!</definedName>
    <definedName name="UL01_PasteRange2">#REF!</definedName>
    <definedName name="UL01_PasteRange3">#REF!</definedName>
    <definedName name="UL01_PasteUG">#REF!</definedName>
    <definedName name="UL01_PasteUG1">#REF!</definedName>
    <definedName name="UL01_PasteUGOH">#REF!</definedName>
    <definedName name="UnionStaff">[13]Setup!$B$17:$G$114</definedName>
    <definedName name="UnionTitles">[13]Setup!$B$17:$B$114</definedName>
    <definedName name="Units">[22]lists!$N$2:$N$5</definedName>
    <definedName name="UsefulLife">'[21]Depreciation Summary'!$A$10:$C$40</definedName>
    <definedName name="USOA">'[4]B. Setup'!$A$1649:$B$2121</definedName>
    <definedName name="Utility">[26]Financials!$A$1</definedName>
    <definedName name="utitliy1">[43]Financials!$A$1</definedName>
    <definedName name="VarSum">'[9]monthly details by account'!$E$99:$AB$105</definedName>
    <definedName name="vehicle">[13]Setup!$A$326:$A$345</definedName>
    <definedName name="VehicleHours">#REF!</definedName>
    <definedName name="vehiclelookup">[13]Setup!$A$326:$E$345</definedName>
    <definedName name="WAGBENF">#REF!</definedName>
    <definedName name="wagdob">#REF!</definedName>
    <definedName name="wagdobf">#REF!</definedName>
    <definedName name="wagreg">#REF!</definedName>
    <definedName name="wagregf">#REF!</definedName>
    <definedName name="wemployee">'[13]Labour Types'!$A$7:$H$106</definedName>
    <definedName name="workemployee">'[13]Labour Types'!$S$7:$T$106</definedName>
    <definedName name="workname">'[13]Labour Types'!$S$7:$S$106</definedName>
    <definedName name="x">#REF!</definedName>
    <definedName name="YEAR">'[18]|3-2_INDEX|'!$B$2</definedName>
    <definedName name="YEAR_LIST">'[18]|3-2_INDEX|'!$B$9:$B$20</definedName>
    <definedName name="YEBal">#REF!</definedName>
    <definedName name="YTDvar">'[7]CAP - data - current month'!$O$10:$O$1008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24" i="3" l="1"/>
  <c r="I165" i="3"/>
  <c r="I881" i="3"/>
  <c r="I881" i="4"/>
  <c r="I882" i="4"/>
  <c r="I882" i="3"/>
  <c r="I899" i="3"/>
  <c r="I898" i="3"/>
  <c r="I897" i="3"/>
  <c r="I896" i="3"/>
  <c r="I895" i="3"/>
  <c r="I892" i="3"/>
  <c r="I891" i="3"/>
  <c r="I880" i="3"/>
  <c r="I152" i="3"/>
  <c r="I170" i="3"/>
  <c r="I169" i="3"/>
  <c r="I168" i="3"/>
  <c r="I167" i="3"/>
  <c r="I164" i="3"/>
  <c r="I163" i="3"/>
  <c r="I880" i="4"/>
  <c r="I824" i="4"/>
  <c r="I955" i="3"/>
  <c r="I954" i="3"/>
  <c r="I953" i="3"/>
  <c r="I952" i="3"/>
  <c r="I951" i="3"/>
  <c r="I949" i="3"/>
  <c r="I948" i="3"/>
  <c r="I947" i="3"/>
  <c r="I936" i="3"/>
  <c r="I936" i="4"/>
  <c r="I841" i="3"/>
  <c r="I840" i="3"/>
  <c r="I839" i="3"/>
  <c r="I837" i="3"/>
  <c r="I836" i="3"/>
  <c r="I835" i="3"/>
  <c r="I770" i="3"/>
  <c r="I769" i="3"/>
  <c r="I768" i="3"/>
  <c r="I770" i="4"/>
  <c r="I769" i="4"/>
  <c r="I768" i="4"/>
  <c r="I714" i="3"/>
  <c r="I713" i="3"/>
  <c r="I712" i="3"/>
  <c r="I714" i="4"/>
  <c r="I713" i="4"/>
  <c r="I712" i="4"/>
  <c r="I787" i="3"/>
  <c r="I786" i="3"/>
  <c r="I785" i="3"/>
  <c r="I784" i="3"/>
  <c r="I783" i="3"/>
  <c r="I781" i="3"/>
  <c r="I780" i="3"/>
  <c r="I779" i="3"/>
  <c r="I731" i="3"/>
  <c r="I730" i="3"/>
  <c r="I729" i="3"/>
  <c r="I728" i="3"/>
  <c r="I727" i="3"/>
  <c r="I725" i="3"/>
  <c r="I724" i="3"/>
  <c r="I723" i="3"/>
  <c r="I675" i="3"/>
  <c r="I674" i="3"/>
  <c r="I673" i="3"/>
  <c r="I672" i="3"/>
  <c r="I671" i="3"/>
  <c r="I669" i="3"/>
  <c r="I668" i="3"/>
  <c r="I667" i="3"/>
  <c r="I658" i="3"/>
  <c r="I657" i="3"/>
  <c r="I656" i="3"/>
  <c r="I619" i="3"/>
  <c r="I618" i="3"/>
  <c r="I617" i="3"/>
  <c r="I616" i="3"/>
  <c r="I615" i="3"/>
  <c r="I613" i="3"/>
  <c r="I612" i="3"/>
  <c r="I611" i="3"/>
  <c r="I600" i="3"/>
  <c r="I563" i="3"/>
  <c r="I562" i="3"/>
  <c r="I561" i="3"/>
  <c r="I560" i="3"/>
  <c r="I559" i="3"/>
  <c r="I557" i="3"/>
  <c r="I556" i="3"/>
  <c r="I555" i="3"/>
  <c r="I546" i="3"/>
  <c r="I545" i="3"/>
  <c r="I544" i="3"/>
  <c r="I507" i="3"/>
  <c r="I506" i="3"/>
  <c r="I505" i="3"/>
  <c r="I504" i="3"/>
  <c r="I503" i="3"/>
  <c r="I501" i="3"/>
  <c r="I500" i="3"/>
  <c r="I499" i="3"/>
  <c r="I489" i="3"/>
  <c r="I488" i="3"/>
  <c r="I451" i="3"/>
  <c r="I450" i="3"/>
  <c r="I449" i="3"/>
  <c r="I448" i="3"/>
  <c r="I447" i="3"/>
  <c r="I445" i="3"/>
  <c r="I444" i="3"/>
  <c r="I443" i="3"/>
  <c r="I434" i="3"/>
  <c r="I433" i="3"/>
  <c r="I432" i="3"/>
  <c r="I395" i="3"/>
  <c r="I394" i="3"/>
  <c r="I393" i="3"/>
  <c r="I392" i="3"/>
  <c r="I391" i="3"/>
  <c r="I389" i="3"/>
  <c r="I388" i="3"/>
  <c r="I387" i="3"/>
  <c r="I378" i="3"/>
  <c r="I377" i="3"/>
  <c r="I376" i="3"/>
  <c r="I339" i="3"/>
  <c r="I338" i="3"/>
  <c r="I337" i="3"/>
  <c r="I336" i="3"/>
  <c r="I335" i="3"/>
  <c r="I333" i="3"/>
  <c r="I332" i="3"/>
  <c r="I331" i="3"/>
  <c r="I320" i="3"/>
  <c r="I283" i="3"/>
  <c r="I282" i="3"/>
  <c r="I281" i="3"/>
  <c r="I280" i="3"/>
  <c r="I279" i="3"/>
  <c r="I277" i="3"/>
  <c r="I276" i="3"/>
  <c r="I275" i="3"/>
  <c r="I266" i="3"/>
  <c r="I265" i="3"/>
  <c r="I264" i="3"/>
  <c r="I227" i="3"/>
  <c r="I226" i="3"/>
  <c r="I225" i="3"/>
  <c r="I224" i="3"/>
  <c r="I223" i="3"/>
  <c r="I221" i="3"/>
  <c r="I220" i="3"/>
  <c r="I219" i="3"/>
  <c r="I210" i="3"/>
  <c r="I209" i="3"/>
  <c r="I208" i="3"/>
  <c r="I171" i="3"/>
  <c r="I88" i="3"/>
  <c r="I92" i="3"/>
  <c r="I96" i="3"/>
  <c r="I97" i="3"/>
  <c r="I107" i="3"/>
  <c r="I108" i="3"/>
  <c r="I109" i="3"/>
  <c r="I111" i="3"/>
  <c r="I112" i="3"/>
  <c r="I113" i="3"/>
  <c r="I114" i="3"/>
  <c r="I115" i="3"/>
  <c r="I92" i="4"/>
  <c r="I88" i="4"/>
  <c r="I658" i="4"/>
  <c r="I657" i="4"/>
  <c r="I656" i="4"/>
  <c r="I600" i="4"/>
  <c r="I546" i="4"/>
  <c r="I545" i="4"/>
  <c r="I544" i="4"/>
  <c r="I489" i="4"/>
  <c r="I488" i="4"/>
  <c r="I434" i="4"/>
  <c r="I433" i="4"/>
  <c r="I432" i="4"/>
  <c r="I376" i="4"/>
  <c r="I378" i="4"/>
  <c r="I377" i="4"/>
  <c r="I320" i="4"/>
  <c r="I264" i="4"/>
  <c r="I266" i="4"/>
  <c r="I265" i="4"/>
  <c r="I208" i="4"/>
  <c r="I210" i="4"/>
  <c r="I209" i="4"/>
  <c r="I152" i="4"/>
  <c r="I97" i="4"/>
  <c r="I96" i="4"/>
  <c r="F954" i="4" l="1"/>
  <c r="F953" i="4"/>
  <c r="F952" i="4"/>
  <c r="F951" i="4"/>
  <c r="F949" i="4"/>
  <c r="F948" i="4"/>
  <c r="F947" i="4"/>
  <c r="F940" i="4"/>
  <c r="F899" i="4"/>
  <c r="I898" i="4"/>
  <c r="F897" i="4"/>
  <c r="F896" i="4"/>
  <c r="F895" i="4"/>
  <c r="F892" i="4"/>
  <c r="F891" i="4"/>
  <c r="F843" i="4"/>
  <c r="F842" i="4"/>
  <c r="I842" i="4" s="1"/>
  <c r="F841" i="4"/>
  <c r="F840" i="4"/>
  <c r="F839" i="4"/>
  <c r="F837" i="4"/>
  <c r="H837" i="4" s="1"/>
  <c r="F836" i="4"/>
  <c r="F835" i="4"/>
  <c r="I787" i="4"/>
  <c r="F786" i="4"/>
  <c r="F785" i="4"/>
  <c r="F784" i="4"/>
  <c r="F783" i="4"/>
  <c r="F781" i="4"/>
  <c r="F780" i="4"/>
  <c r="F779" i="4"/>
  <c r="F772" i="4"/>
  <c r="F730" i="4"/>
  <c r="I730" i="4" s="1"/>
  <c r="F729" i="4"/>
  <c r="F728" i="4"/>
  <c r="F727" i="4"/>
  <c r="F725" i="4"/>
  <c r="F724" i="4"/>
  <c r="F723" i="4"/>
  <c r="F716" i="4"/>
  <c r="F674" i="4"/>
  <c r="F673" i="4"/>
  <c r="F672" i="4"/>
  <c r="F671" i="4"/>
  <c r="F669" i="4"/>
  <c r="H669" i="4" s="1"/>
  <c r="L669" i="4" s="1"/>
  <c r="M669" i="4" s="1"/>
  <c r="F668" i="4"/>
  <c r="F667" i="4"/>
  <c r="F660" i="4"/>
  <c r="F618" i="4"/>
  <c r="F617" i="4"/>
  <c r="F616" i="4"/>
  <c r="F615" i="4"/>
  <c r="F613" i="4"/>
  <c r="F612" i="4"/>
  <c r="F611" i="4"/>
  <c r="F604" i="4"/>
  <c r="H604" i="4" s="1"/>
  <c r="F599" i="4"/>
  <c r="F562" i="4"/>
  <c r="F561" i="4"/>
  <c r="F560" i="4"/>
  <c r="F559" i="4"/>
  <c r="F557" i="4"/>
  <c r="F556" i="4"/>
  <c r="F555" i="4"/>
  <c r="F548" i="4"/>
  <c r="H548" i="4" s="1"/>
  <c r="F507" i="4"/>
  <c r="F506" i="4"/>
  <c r="I506" i="4" s="1"/>
  <c r="F505" i="4"/>
  <c r="F504" i="4"/>
  <c r="F503" i="4"/>
  <c r="F501" i="4"/>
  <c r="F500" i="4"/>
  <c r="F499" i="4"/>
  <c r="F492" i="4"/>
  <c r="H492" i="4" s="1"/>
  <c r="F450" i="4"/>
  <c r="F449" i="4"/>
  <c r="F448" i="4"/>
  <c r="F447" i="4"/>
  <c r="F445" i="4"/>
  <c r="F444" i="4"/>
  <c r="F443" i="4"/>
  <c r="F436" i="4"/>
  <c r="F431" i="4"/>
  <c r="F395" i="4"/>
  <c r="F394" i="4"/>
  <c r="F393" i="4"/>
  <c r="F392" i="4"/>
  <c r="F391" i="4"/>
  <c r="F389" i="4"/>
  <c r="F388" i="4"/>
  <c r="F387" i="4"/>
  <c r="F380" i="4"/>
  <c r="F338" i="4"/>
  <c r="F337" i="4"/>
  <c r="F336" i="4"/>
  <c r="F335" i="4"/>
  <c r="F333" i="4"/>
  <c r="F332" i="4"/>
  <c r="F331" i="4"/>
  <c r="F324" i="4"/>
  <c r="H324" i="4" s="1"/>
  <c r="I283" i="4"/>
  <c r="F282" i="4"/>
  <c r="F281" i="4"/>
  <c r="F280" i="4"/>
  <c r="F279" i="4"/>
  <c r="F277" i="4"/>
  <c r="H277" i="4" s="1"/>
  <c r="F276" i="4"/>
  <c r="F275" i="4"/>
  <c r="F268" i="4"/>
  <c r="H268" i="4" s="1"/>
  <c r="F226" i="4"/>
  <c r="I226" i="4" s="1"/>
  <c r="F225" i="4"/>
  <c r="F224" i="4"/>
  <c r="F223" i="4"/>
  <c r="F221" i="4"/>
  <c r="F220" i="4"/>
  <c r="F219" i="4"/>
  <c r="F212" i="4"/>
  <c r="F169" i="4"/>
  <c r="F168" i="4"/>
  <c r="F167" i="4"/>
  <c r="F165" i="4"/>
  <c r="F164" i="4"/>
  <c r="F163" i="4"/>
  <c r="F113" i="4"/>
  <c r="F112" i="4"/>
  <c r="F111" i="4"/>
  <c r="F95" i="4" s="1"/>
  <c r="F109" i="4"/>
  <c r="F108" i="4"/>
  <c r="F107" i="4"/>
  <c r="C970" i="4"/>
  <c r="I955" i="4"/>
  <c r="I954" i="4"/>
  <c r="I953" i="4"/>
  <c r="I952" i="4"/>
  <c r="I951" i="4"/>
  <c r="I949" i="4"/>
  <c r="K949" i="4" s="1"/>
  <c r="H949" i="4"/>
  <c r="I948" i="4"/>
  <c r="I947" i="4"/>
  <c r="C946" i="4"/>
  <c r="C943" i="4"/>
  <c r="K941" i="4"/>
  <c r="H941" i="4"/>
  <c r="H940" i="4"/>
  <c r="J938" i="4"/>
  <c r="K938" i="4" s="1"/>
  <c r="C934" i="4"/>
  <c r="J932" i="4"/>
  <c r="K932" i="4" s="1"/>
  <c r="L932" i="4" s="1"/>
  <c r="M932" i="4" s="1"/>
  <c r="H932" i="4"/>
  <c r="L931" i="4"/>
  <c r="M931" i="4" s="1"/>
  <c r="J928" i="4"/>
  <c r="K928" i="4" s="1"/>
  <c r="H928" i="4"/>
  <c r="A928" i="4"/>
  <c r="A929" i="4" s="1"/>
  <c r="A930" i="4" s="1"/>
  <c r="A931" i="4" s="1"/>
  <c r="A932" i="4" s="1"/>
  <c r="A933" i="4" s="1"/>
  <c r="A934" i="4" s="1"/>
  <c r="A935" i="4" s="1"/>
  <c r="A936" i="4" s="1"/>
  <c r="A937" i="4" s="1"/>
  <c r="A938" i="4" s="1"/>
  <c r="A939" i="4" s="1"/>
  <c r="A940" i="4" s="1"/>
  <c r="A941" i="4" s="1"/>
  <c r="A942" i="4" s="1"/>
  <c r="A943" i="4" s="1"/>
  <c r="A944" i="4" s="1"/>
  <c r="A945" i="4" s="1"/>
  <c r="A946" i="4" s="1"/>
  <c r="A947" i="4" s="1"/>
  <c r="A948" i="4" s="1"/>
  <c r="A949" i="4" s="1"/>
  <c r="A950" i="4" s="1"/>
  <c r="A951" i="4" s="1"/>
  <c r="A952" i="4" s="1"/>
  <c r="A953" i="4" s="1"/>
  <c r="A954" i="4" s="1"/>
  <c r="A955" i="4" s="1"/>
  <c r="A956" i="4" s="1"/>
  <c r="A957" i="4" s="1"/>
  <c r="A958" i="4" s="1"/>
  <c r="A959" i="4" s="1"/>
  <c r="A960" i="4" s="1"/>
  <c r="A961" i="4" s="1"/>
  <c r="A962" i="4" s="1"/>
  <c r="A963" i="4" s="1"/>
  <c r="A964" i="4" s="1"/>
  <c r="A965" i="4" s="1"/>
  <c r="A966" i="4" s="1"/>
  <c r="A967" i="4" s="1"/>
  <c r="A968" i="4" s="1"/>
  <c r="A969" i="4" s="1"/>
  <c r="A970" i="4" s="1"/>
  <c r="A971" i="4" s="1"/>
  <c r="E922" i="4"/>
  <c r="G954" i="4" s="1"/>
  <c r="E921" i="4"/>
  <c r="J931" i="4" s="1"/>
  <c r="E920" i="4"/>
  <c r="F935" i="4" s="1"/>
  <c r="E919" i="4"/>
  <c r="K918" i="4"/>
  <c r="E918" i="4"/>
  <c r="K964" i="4" s="1"/>
  <c r="C909" i="4"/>
  <c r="I899" i="4"/>
  <c r="I897" i="4"/>
  <c r="I896" i="4"/>
  <c r="I895" i="4"/>
  <c r="I892" i="4"/>
  <c r="G892" i="4"/>
  <c r="H892" i="4" s="1"/>
  <c r="I891" i="4"/>
  <c r="C890" i="4"/>
  <c r="C887" i="4"/>
  <c r="K885" i="4"/>
  <c r="H885" i="4"/>
  <c r="L885" i="4" s="1"/>
  <c r="M885" i="4" s="1"/>
  <c r="I884" i="4"/>
  <c r="K884" i="4" s="1"/>
  <c r="C878" i="4"/>
  <c r="K876" i="4"/>
  <c r="J876" i="4"/>
  <c r="H876" i="4"/>
  <c r="M875" i="4"/>
  <c r="L875" i="4"/>
  <c r="J872" i="4"/>
  <c r="K872" i="4" s="1"/>
  <c r="H872" i="4"/>
  <c r="E866" i="4"/>
  <c r="E865" i="4"/>
  <c r="G889" i="4" s="1"/>
  <c r="H889" i="4" s="1"/>
  <c r="E864" i="4"/>
  <c r="F879" i="4" s="1"/>
  <c r="E863" i="4"/>
  <c r="K862" i="4"/>
  <c r="E862" i="4"/>
  <c r="A872" i="4" s="1"/>
  <c r="A873" i="4" s="1"/>
  <c r="A874" i="4" s="1"/>
  <c r="A875" i="4" s="1"/>
  <c r="A876" i="4" s="1"/>
  <c r="A877" i="4" s="1"/>
  <c r="A878" i="4" s="1"/>
  <c r="A879" i="4" s="1"/>
  <c r="A880" i="4" s="1"/>
  <c r="A881" i="4" s="1"/>
  <c r="A882" i="4" s="1"/>
  <c r="A883" i="4" s="1"/>
  <c r="A884" i="4" s="1"/>
  <c r="A885" i="4" s="1"/>
  <c r="A886" i="4" s="1"/>
  <c r="A887" i="4" s="1"/>
  <c r="A888" i="4" s="1"/>
  <c r="A889" i="4" s="1"/>
  <c r="A890" i="4" s="1"/>
  <c r="A891" i="4" s="1"/>
  <c r="A892" i="4" s="1"/>
  <c r="A893" i="4" s="1"/>
  <c r="A894" i="4" s="1"/>
  <c r="A895" i="4" s="1"/>
  <c r="A896" i="4" s="1"/>
  <c r="A897" i="4" s="1"/>
  <c r="A898" i="4" s="1"/>
  <c r="A899" i="4" s="1"/>
  <c r="A900" i="4" s="1"/>
  <c r="A901" i="4" s="1"/>
  <c r="A902" i="4" s="1"/>
  <c r="A903" i="4" s="1"/>
  <c r="A904" i="4" s="1"/>
  <c r="A905" i="4" s="1"/>
  <c r="A906" i="4" s="1"/>
  <c r="A907" i="4" s="1"/>
  <c r="A908" i="4" s="1"/>
  <c r="A909" i="4" s="1"/>
  <c r="A910" i="4" s="1"/>
  <c r="A911" i="4" s="1"/>
  <c r="A912" i="4" s="1"/>
  <c r="A913" i="4" s="1"/>
  <c r="A914" i="4" s="1"/>
  <c r="A915" i="4" s="1"/>
  <c r="C848" i="4"/>
  <c r="I843" i="4"/>
  <c r="J841" i="4"/>
  <c r="I841" i="4"/>
  <c r="I823" i="4" s="1"/>
  <c r="I840" i="4"/>
  <c r="I839" i="4"/>
  <c r="I837" i="4"/>
  <c r="K837" i="4" s="1"/>
  <c r="I836" i="4"/>
  <c r="I835" i="4"/>
  <c r="C834" i="4"/>
  <c r="C831" i="4"/>
  <c r="J830" i="4"/>
  <c r="K830" i="4" s="1"/>
  <c r="K829" i="4"/>
  <c r="H829" i="4"/>
  <c r="G826" i="4"/>
  <c r="H826" i="4" s="1"/>
  <c r="C822" i="4"/>
  <c r="J820" i="4"/>
  <c r="K820" i="4" s="1"/>
  <c r="H820" i="4"/>
  <c r="L819" i="4"/>
  <c r="M819" i="4" s="1"/>
  <c r="J816" i="4"/>
  <c r="K816" i="4" s="1"/>
  <c r="H816" i="4"/>
  <c r="E810" i="4"/>
  <c r="E809" i="4"/>
  <c r="J819" i="4" s="1"/>
  <c r="E808" i="4"/>
  <c r="G830" i="4" s="1"/>
  <c r="H830" i="4" s="1"/>
  <c r="E807" i="4"/>
  <c r="K806" i="4"/>
  <c r="E806" i="4"/>
  <c r="F828" i="4" s="1"/>
  <c r="C802" i="4"/>
  <c r="I786" i="4"/>
  <c r="I785" i="4"/>
  <c r="I784" i="4"/>
  <c r="I783" i="4"/>
  <c r="I781" i="4"/>
  <c r="K781" i="4" s="1"/>
  <c r="H781" i="4"/>
  <c r="I780" i="4"/>
  <c r="I779" i="4"/>
  <c r="C778" i="4"/>
  <c r="G777" i="4"/>
  <c r="H777" i="4" s="1"/>
  <c r="L777" i="4" s="1"/>
  <c r="M777" i="4" s="1"/>
  <c r="N777" i="4" s="1"/>
  <c r="C775" i="4"/>
  <c r="K773" i="4"/>
  <c r="H773" i="4"/>
  <c r="H772" i="4"/>
  <c r="G770" i="4"/>
  <c r="H770" i="4" s="1"/>
  <c r="G768" i="4"/>
  <c r="H768" i="4" s="1"/>
  <c r="C766" i="4"/>
  <c r="J765" i="4"/>
  <c r="K765" i="4" s="1"/>
  <c r="J764" i="4"/>
  <c r="K764" i="4" s="1"/>
  <c r="L764" i="4" s="1"/>
  <c r="M764" i="4" s="1"/>
  <c r="H764" i="4"/>
  <c r="L763" i="4"/>
  <c r="M763" i="4" s="1"/>
  <c r="J762" i="4"/>
  <c r="K760" i="4"/>
  <c r="J760" i="4"/>
  <c r="H760" i="4"/>
  <c r="A760" i="4"/>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E754" i="4"/>
  <c r="G787" i="4" s="1"/>
  <c r="E753" i="4"/>
  <c r="J777" i="4" s="1"/>
  <c r="K777" i="4" s="1"/>
  <c r="E752" i="4"/>
  <c r="F767" i="4" s="1"/>
  <c r="E751" i="4"/>
  <c r="K750" i="4"/>
  <c r="E750" i="4"/>
  <c r="K801" i="4" s="1"/>
  <c r="C746" i="4"/>
  <c r="I731" i="4"/>
  <c r="I729" i="4"/>
  <c r="I728" i="4"/>
  <c r="I727" i="4"/>
  <c r="I725" i="4"/>
  <c r="K725" i="4" s="1"/>
  <c r="H725" i="4"/>
  <c r="I724" i="4"/>
  <c r="I723" i="4"/>
  <c r="C722" i="4"/>
  <c r="J720" i="4"/>
  <c r="K720" i="4" s="1"/>
  <c r="C719" i="4"/>
  <c r="K717" i="4"/>
  <c r="H717" i="4"/>
  <c r="J712" i="4"/>
  <c r="K712" i="4" s="1"/>
  <c r="C710" i="4"/>
  <c r="G709" i="4"/>
  <c r="H709" i="4" s="1"/>
  <c r="J708" i="4"/>
  <c r="K708" i="4" s="1"/>
  <c r="L708" i="4" s="1"/>
  <c r="M708" i="4" s="1"/>
  <c r="H708" i="4"/>
  <c r="L707" i="4"/>
  <c r="M707" i="4" s="1"/>
  <c r="J704" i="4"/>
  <c r="K704" i="4" s="1"/>
  <c r="H704" i="4"/>
  <c r="E698" i="4"/>
  <c r="E697" i="4"/>
  <c r="G712" i="4" s="1"/>
  <c r="H712" i="4" s="1"/>
  <c r="E696" i="4"/>
  <c r="E695" i="4"/>
  <c r="K694" i="4"/>
  <c r="E694" i="4"/>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C690" i="4"/>
  <c r="I675" i="4"/>
  <c r="I674" i="4"/>
  <c r="I673" i="4"/>
  <c r="I672" i="4"/>
  <c r="I671" i="4"/>
  <c r="I669" i="4"/>
  <c r="K669" i="4" s="1"/>
  <c r="I668" i="4"/>
  <c r="I667" i="4"/>
  <c r="C666" i="4"/>
  <c r="G665" i="4"/>
  <c r="H665" i="4" s="1"/>
  <c r="C663" i="4"/>
  <c r="J662" i="4"/>
  <c r="K662" i="4" s="1"/>
  <c r="G662" i="4"/>
  <c r="H662" i="4" s="1"/>
  <c r="L662" i="4" s="1"/>
  <c r="M662" i="4" s="1"/>
  <c r="K661" i="4"/>
  <c r="H661" i="4"/>
  <c r="L661" i="4" s="1"/>
  <c r="M661" i="4" s="1"/>
  <c r="C654" i="4"/>
  <c r="J653" i="4"/>
  <c r="K653" i="4" s="1"/>
  <c r="G653" i="4"/>
  <c r="H653" i="4" s="1"/>
  <c r="J652" i="4"/>
  <c r="K652" i="4" s="1"/>
  <c r="H652" i="4"/>
  <c r="L651" i="4"/>
  <c r="M651" i="4" s="1"/>
  <c r="G649" i="4"/>
  <c r="H649" i="4" s="1"/>
  <c r="K648" i="4"/>
  <c r="L648" i="4" s="1"/>
  <c r="M648" i="4" s="1"/>
  <c r="J648" i="4"/>
  <c r="H648" i="4"/>
  <c r="E642" i="4"/>
  <c r="E641" i="4"/>
  <c r="J664" i="4" s="1"/>
  <c r="K664" i="4" s="1"/>
  <c r="E640" i="4"/>
  <c r="E639" i="4"/>
  <c r="K638" i="4"/>
  <c r="E638" i="4"/>
  <c r="I660" i="4" s="1"/>
  <c r="K660" i="4" s="1"/>
  <c r="C634" i="4"/>
  <c r="I619" i="4"/>
  <c r="I618" i="4"/>
  <c r="I617" i="4"/>
  <c r="I616" i="4"/>
  <c r="I615" i="4"/>
  <c r="I613" i="4"/>
  <c r="K613" i="4" s="1"/>
  <c r="H613" i="4"/>
  <c r="I612" i="4"/>
  <c r="I611" i="4"/>
  <c r="C610" i="4"/>
  <c r="C607" i="4"/>
  <c r="K605" i="4"/>
  <c r="H605" i="4"/>
  <c r="I604" i="4"/>
  <c r="K604" i="4" s="1"/>
  <c r="G602" i="4"/>
  <c r="H602" i="4" s="1"/>
  <c r="C598" i="4"/>
  <c r="J596" i="4"/>
  <c r="K596" i="4" s="1"/>
  <c r="H596" i="4"/>
  <c r="M595" i="4"/>
  <c r="L595" i="4"/>
  <c r="J592" i="4"/>
  <c r="K592" i="4" s="1"/>
  <c r="H592" i="4"/>
  <c r="E586" i="4"/>
  <c r="E585" i="4"/>
  <c r="J594" i="4" s="1"/>
  <c r="E584" i="4"/>
  <c r="G616" i="4" s="1"/>
  <c r="H616" i="4" s="1"/>
  <c r="E583" i="4"/>
  <c r="K582" i="4"/>
  <c r="E582" i="4"/>
  <c r="C578" i="4"/>
  <c r="K567" i="4"/>
  <c r="I563" i="4"/>
  <c r="I562" i="4"/>
  <c r="I561" i="4"/>
  <c r="I560" i="4"/>
  <c r="G560" i="4"/>
  <c r="H560" i="4" s="1"/>
  <c r="I559" i="4"/>
  <c r="I557" i="4"/>
  <c r="K557" i="4" s="1"/>
  <c r="H557" i="4"/>
  <c r="I556" i="4"/>
  <c r="I555" i="4"/>
  <c r="G555" i="4"/>
  <c r="H555" i="4" s="1"/>
  <c r="C554" i="4"/>
  <c r="C551" i="4"/>
  <c r="K549" i="4"/>
  <c r="H549" i="4"/>
  <c r="J546" i="4"/>
  <c r="K546" i="4" s="1"/>
  <c r="G546" i="4"/>
  <c r="H546" i="4" s="1"/>
  <c r="J544" i="4"/>
  <c r="K544" i="4" s="1"/>
  <c r="C542" i="4"/>
  <c r="J540" i="4"/>
  <c r="K540" i="4" s="1"/>
  <c r="H540" i="4"/>
  <c r="L540" i="4" s="1"/>
  <c r="M540" i="4" s="1"/>
  <c r="L539" i="4"/>
  <c r="M539" i="4" s="1"/>
  <c r="J536" i="4"/>
  <c r="K536" i="4" s="1"/>
  <c r="H536" i="4"/>
  <c r="E530" i="4"/>
  <c r="E529" i="4"/>
  <c r="E528" i="4"/>
  <c r="F543" i="4" s="1"/>
  <c r="G543" i="4" s="1"/>
  <c r="H543" i="4" s="1"/>
  <c r="E527" i="4"/>
  <c r="K526" i="4"/>
  <c r="E526" i="4"/>
  <c r="H567" i="4" s="1"/>
  <c r="C512" i="4"/>
  <c r="I507" i="4"/>
  <c r="I505" i="4"/>
  <c r="I504" i="4"/>
  <c r="I503" i="4"/>
  <c r="I501" i="4"/>
  <c r="K501" i="4" s="1"/>
  <c r="H501" i="4"/>
  <c r="L501" i="4" s="1"/>
  <c r="M501" i="4" s="1"/>
  <c r="I500" i="4"/>
  <c r="I499" i="4"/>
  <c r="C498" i="4"/>
  <c r="G497" i="4"/>
  <c r="H497" i="4" s="1"/>
  <c r="K496" i="4"/>
  <c r="C495" i="4"/>
  <c r="K493" i="4"/>
  <c r="H493" i="4"/>
  <c r="L493" i="4" s="1"/>
  <c r="M493" i="4" s="1"/>
  <c r="J490" i="4"/>
  <c r="K490" i="4" s="1"/>
  <c r="C486" i="4"/>
  <c r="K484" i="4"/>
  <c r="H484" i="4"/>
  <c r="L483" i="4"/>
  <c r="M483" i="4" s="1"/>
  <c r="G482" i="4"/>
  <c r="K480" i="4"/>
  <c r="H480" i="4"/>
  <c r="L480" i="4" s="1"/>
  <c r="M480" i="4" s="1"/>
  <c r="E474" i="4"/>
  <c r="E473" i="4"/>
  <c r="J496" i="4" s="1"/>
  <c r="E472" i="4"/>
  <c r="G504" i="4" s="1"/>
  <c r="H504" i="4" s="1"/>
  <c r="E471" i="4"/>
  <c r="K470" i="4"/>
  <c r="E470" i="4"/>
  <c r="I492" i="4" s="1"/>
  <c r="K492" i="4" s="1"/>
  <c r="C466" i="4"/>
  <c r="I451" i="4"/>
  <c r="I450" i="4"/>
  <c r="I449" i="4"/>
  <c r="I448" i="4"/>
  <c r="I447" i="4"/>
  <c r="K445" i="4"/>
  <c r="I445" i="4"/>
  <c r="H445" i="4"/>
  <c r="I444" i="4"/>
  <c r="I443" i="4"/>
  <c r="C442" i="4"/>
  <c r="G441" i="4"/>
  <c r="H441" i="4" s="1"/>
  <c r="G440" i="4"/>
  <c r="H440" i="4" s="1"/>
  <c r="C439" i="4"/>
  <c r="K437" i="4"/>
  <c r="H437" i="4"/>
  <c r="G433" i="4"/>
  <c r="H433" i="4" s="1"/>
  <c r="J432" i="4"/>
  <c r="K432" i="4" s="1"/>
  <c r="C430" i="4"/>
  <c r="G429" i="4"/>
  <c r="H429" i="4" s="1"/>
  <c r="K428" i="4"/>
  <c r="H428" i="4"/>
  <c r="M427" i="4"/>
  <c r="L427" i="4"/>
  <c r="G427" i="4"/>
  <c r="J426" i="4"/>
  <c r="K424" i="4"/>
  <c r="H424" i="4"/>
  <c r="L424" i="4" s="1"/>
  <c r="M424" i="4" s="1"/>
  <c r="E418" i="4"/>
  <c r="E417" i="4"/>
  <c r="G432" i="4" s="1"/>
  <c r="H432" i="4" s="1"/>
  <c r="E416" i="4"/>
  <c r="E415" i="4"/>
  <c r="K414" i="4"/>
  <c r="E414" i="4"/>
  <c r="H460" i="4" s="1"/>
  <c r="C400" i="4"/>
  <c r="I395" i="4"/>
  <c r="G395" i="4"/>
  <c r="H395" i="4" s="1"/>
  <c r="I394" i="4"/>
  <c r="I393" i="4"/>
  <c r="J392" i="4"/>
  <c r="I392" i="4"/>
  <c r="K392" i="4" s="1"/>
  <c r="I391" i="4"/>
  <c r="I389" i="4"/>
  <c r="K389" i="4" s="1"/>
  <c r="H389" i="4"/>
  <c r="I388" i="4"/>
  <c r="I387" i="4"/>
  <c r="C386" i="4"/>
  <c r="G385" i="4"/>
  <c r="H385" i="4" s="1"/>
  <c r="C383" i="4"/>
  <c r="K381" i="4"/>
  <c r="H381" i="4"/>
  <c r="G377" i="4"/>
  <c r="H377" i="4" s="1"/>
  <c r="C374" i="4"/>
  <c r="K372" i="4"/>
  <c r="H372" i="4"/>
  <c r="L371" i="4"/>
  <c r="M371" i="4" s="1"/>
  <c r="G369" i="4"/>
  <c r="H369" i="4" s="1"/>
  <c r="K368" i="4"/>
  <c r="H368" i="4"/>
  <c r="E362" i="4"/>
  <c r="E361" i="4"/>
  <c r="G371" i="4" s="1"/>
  <c r="E360" i="4"/>
  <c r="G391" i="4" s="1"/>
  <c r="E359" i="4"/>
  <c r="K358" i="4"/>
  <c r="E358" i="4"/>
  <c r="C354" i="4"/>
  <c r="I339" i="4"/>
  <c r="I338" i="4"/>
  <c r="I337" i="4"/>
  <c r="I336" i="4"/>
  <c r="I335" i="4"/>
  <c r="I333" i="4"/>
  <c r="K333" i="4" s="1"/>
  <c r="H333" i="4"/>
  <c r="I332" i="4"/>
  <c r="I331" i="4"/>
  <c r="C330" i="4"/>
  <c r="C327" i="4"/>
  <c r="K325" i="4"/>
  <c r="H325" i="4"/>
  <c r="C318" i="4"/>
  <c r="J316" i="4"/>
  <c r="K316" i="4" s="1"/>
  <c r="H316" i="4"/>
  <c r="L315" i="4"/>
  <c r="M315" i="4" s="1"/>
  <c r="J312" i="4"/>
  <c r="K312" i="4" s="1"/>
  <c r="H312" i="4"/>
  <c r="E306" i="4"/>
  <c r="E305" i="4"/>
  <c r="J314" i="4" s="1"/>
  <c r="E304" i="4"/>
  <c r="E303" i="4"/>
  <c r="K302" i="4"/>
  <c r="E302" i="4"/>
  <c r="I324" i="4" s="1"/>
  <c r="K324" i="4" s="1"/>
  <c r="C298" i="4"/>
  <c r="I282" i="4"/>
  <c r="G282" i="4"/>
  <c r="H282" i="4" s="1"/>
  <c r="I281" i="4"/>
  <c r="I280" i="4"/>
  <c r="I279" i="4"/>
  <c r="K277" i="4"/>
  <c r="I277" i="4"/>
  <c r="I276" i="4"/>
  <c r="I275" i="4"/>
  <c r="C274" i="4"/>
  <c r="C271" i="4"/>
  <c r="J270" i="4"/>
  <c r="K270" i="4" s="1"/>
  <c r="K269" i="4"/>
  <c r="H269" i="4"/>
  <c r="G267" i="4"/>
  <c r="H267" i="4" s="1"/>
  <c r="G266" i="4"/>
  <c r="H266" i="4" s="1"/>
  <c r="J265" i="4"/>
  <c r="K265" i="4" s="1"/>
  <c r="G264" i="4"/>
  <c r="H264" i="4" s="1"/>
  <c r="I263" i="4"/>
  <c r="J263" i="4" s="1"/>
  <c r="K263" i="4" s="1"/>
  <c r="C262" i="4"/>
  <c r="J260" i="4"/>
  <c r="K260" i="4" s="1"/>
  <c r="H260" i="4"/>
  <c r="L259" i="4"/>
  <c r="M259" i="4" s="1"/>
  <c r="J258" i="4"/>
  <c r="G258" i="4"/>
  <c r="J256" i="4"/>
  <c r="K256" i="4" s="1"/>
  <c r="H256" i="4"/>
  <c r="E250" i="4"/>
  <c r="G281" i="4" s="1"/>
  <c r="E249" i="4"/>
  <c r="J267" i="4" s="1"/>
  <c r="K267" i="4" s="1"/>
  <c r="E248" i="4"/>
  <c r="F263" i="4" s="1"/>
  <c r="E247" i="4"/>
  <c r="K246" i="4"/>
  <c r="E246" i="4"/>
  <c r="H287" i="4" s="1"/>
  <c r="C242" i="4"/>
  <c r="I227" i="4"/>
  <c r="I225" i="4"/>
  <c r="I224" i="4"/>
  <c r="I223" i="4"/>
  <c r="I221" i="4"/>
  <c r="K221" i="4" s="1"/>
  <c r="H221" i="4"/>
  <c r="I220" i="4"/>
  <c r="I219" i="4"/>
  <c r="C218" i="4"/>
  <c r="J217" i="4"/>
  <c r="K217" i="4" s="1"/>
  <c r="C215" i="4"/>
  <c r="J214" i="4"/>
  <c r="K214" i="4" s="1"/>
  <c r="G214" i="4"/>
  <c r="H214" i="4" s="1"/>
  <c r="K213" i="4"/>
  <c r="H213" i="4"/>
  <c r="G211" i="4"/>
  <c r="H211" i="4" s="1"/>
  <c r="J210" i="4"/>
  <c r="K210" i="4" s="1"/>
  <c r="J208" i="4"/>
  <c r="K208" i="4" s="1"/>
  <c r="G208" i="4"/>
  <c r="H208" i="4" s="1"/>
  <c r="I207" i="4"/>
  <c r="J207" i="4" s="1"/>
  <c r="K207" i="4" s="1"/>
  <c r="C206" i="4"/>
  <c r="J205" i="4"/>
  <c r="K205" i="4" s="1"/>
  <c r="G205" i="4"/>
  <c r="H205" i="4" s="1"/>
  <c r="K204" i="4"/>
  <c r="L204" i="4" s="1"/>
  <c r="M204" i="4" s="1"/>
  <c r="J204" i="4"/>
  <c r="H204" i="4"/>
  <c r="L203" i="4"/>
  <c r="M203" i="4" s="1"/>
  <c r="J203" i="4"/>
  <c r="G203" i="4"/>
  <c r="J202" i="4"/>
  <c r="G202" i="4"/>
  <c r="G201" i="4"/>
  <c r="H201" i="4" s="1"/>
  <c r="J200" i="4"/>
  <c r="K200" i="4" s="1"/>
  <c r="H200" i="4"/>
  <c r="E194" i="4"/>
  <c r="E193" i="4"/>
  <c r="J216" i="4" s="1"/>
  <c r="K216" i="4" s="1"/>
  <c r="E192" i="4"/>
  <c r="E191" i="4"/>
  <c r="K190" i="4"/>
  <c r="E190" i="4"/>
  <c r="H212" i="4" s="1"/>
  <c r="C176" i="4"/>
  <c r="I171" i="4"/>
  <c r="I170" i="4"/>
  <c r="I169" i="4"/>
  <c r="I168" i="4"/>
  <c r="I167" i="4"/>
  <c r="I165" i="4"/>
  <c r="K165" i="4" s="1"/>
  <c r="H165" i="4"/>
  <c r="I164" i="4"/>
  <c r="I163" i="4"/>
  <c r="C162" i="4"/>
  <c r="C159" i="4"/>
  <c r="K157" i="4"/>
  <c r="H157" i="4"/>
  <c r="C150" i="4"/>
  <c r="J148" i="4"/>
  <c r="K148" i="4" s="1"/>
  <c r="H148" i="4"/>
  <c r="L147" i="4"/>
  <c r="M147" i="4" s="1"/>
  <c r="J144" i="4"/>
  <c r="K144" i="4" s="1"/>
  <c r="H144" i="4"/>
  <c r="E138" i="4"/>
  <c r="E137" i="4"/>
  <c r="E136" i="4"/>
  <c r="G169" i="4" s="1"/>
  <c r="H169" i="4" s="1"/>
  <c r="E135" i="4"/>
  <c r="K134" i="4"/>
  <c r="E134" i="4"/>
  <c r="F156" i="4" s="1"/>
  <c r="H156" i="4" s="1"/>
  <c r="C120" i="4"/>
  <c r="I115" i="4"/>
  <c r="I114" i="4"/>
  <c r="I113" i="4"/>
  <c r="I112" i="4"/>
  <c r="I111" i="4"/>
  <c r="K109" i="4"/>
  <c r="I109" i="4"/>
  <c r="H109" i="4"/>
  <c r="I108" i="4"/>
  <c r="I107" i="4"/>
  <c r="C106" i="4"/>
  <c r="C103" i="4"/>
  <c r="K101" i="4"/>
  <c r="H101" i="4"/>
  <c r="L101" i="4" s="1"/>
  <c r="M101" i="4" s="1"/>
  <c r="G98" i="4"/>
  <c r="H98" i="4" s="1"/>
  <c r="G96" i="4"/>
  <c r="H96" i="4" s="1"/>
  <c r="C94" i="4"/>
  <c r="J92" i="4"/>
  <c r="K92" i="4" s="1"/>
  <c r="H92" i="4"/>
  <c r="L91" i="4"/>
  <c r="M91" i="4" s="1"/>
  <c r="J90" i="4"/>
  <c r="G90" i="4"/>
  <c r="J88" i="4"/>
  <c r="K88" i="4" s="1"/>
  <c r="H88" i="4"/>
  <c r="A88" i="4"/>
  <c r="A89" i="4" s="1"/>
  <c r="A90" i="4" s="1"/>
  <c r="E82" i="4"/>
  <c r="E81" i="4"/>
  <c r="G89" i="4" s="1"/>
  <c r="H89" i="4" s="1"/>
  <c r="E80" i="4"/>
  <c r="G114" i="4" s="1"/>
  <c r="H114" i="4" s="1"/>
  <c r="E79" i="4"/>
  <c r="K78" i="4"/>
  <c r="E78" i="4"/>
  <c r="I100" i="4" s="1"/>
  <c r="K100" i="4" s="1"/>
  <c r="D74" i="4"/>
  <c r="B74" i="4"/>
  <c r="D73" i="4"/>
  <c r="B73" i="4"/>
  <c r="D72" i="4"/>
  <c r="B72" i="4"/>
  <c r="D71" i="4"/>
  <c r="B71" i="4"/>
  <c r="D70" i="4"/>
  <c r="B70" i="4"/>
  <c r="D69" i="4"/>
  <c r="B69" i="4"/>
  <c r="D68" i="4"/>
  <c r="B68" i="4"/>
  <c r="D67" i="4"/>
  <c r="B67" i="4"/>
  <c r="D66" i="4"/>
  <c r="B66" i="4"/>
  <c r="D65" i="4"/>
  <c r="B65" i="4"/>
  <c r="D64" i="4"/>
  <c r="B64" i="4"/>
  <c r="D63" i="4"/>
  <c r="B63" i="4"/>
  <c r="D62" i="4"/>
  <c r="B62" i="4"/>
  <c r="D61" i="4"/>
  <c r="B61" i="4"/>
  <c r="D60" i="4"/>
  <c r="B60" i="4"/>
  <c r="G59" i="4"/>
  <c r="D59" i="4"/>
  <c r="B59" i="4"/>
  <c r="D58" i="4"/>
  <c r="B58" i="4"/>
  <c r="D57" i="4"/>
  <c r="B57" i="4"/>
  <c r="D56" i="4"/>
  <c r="B56" i="4"/>
  <c r="D55" i="4"/>
  <c r="B55" i="4"/>
  <c r="J49" i="4"/>
  <c r="G49" i="4"/>
  <c r="G74" i="4" s="1"/>
  <c r="C49" i="4"/>
  <c r="J48" i="4"/>
  <c r="G48" i="4"/>
  <c r="G73" i="4" s="1"/>
  <c r="C48" i="4"/>
  <c r="J47" i="4"/>
  <c r="G47" i="4"/>
  <c r="G72" i="4" s="1"/>
  <c r="C47" i="4"/>
  <c r="J46" i="4"/>
  <c r="G46" i="4"/>
  <c r="G71" i="4" s="1"/>
  <c r="C46" i="4"/>
  <c r="J45" i="4"/>
  <c r="E923" i="4" s="1"/>
  <c r="G45" i="4"/>
  <c r="G70" i="4" s="1"/>
  <c r="C45" i="4"/>
  <c r="J44" i="4"/>
  <c r="E867" i="4" s="1"/>
  <c r="G44" i="4"/>
  <c r="G69" i="4" s="1"/>
  <c r="C44" i="4"/>
  <c r="J43" i="4"/>
  <c r="G43" i="4"/>
  <c r="G68" i="4" s="1"/>
  <c r="C43" i="4"/>
  <c r="J42" i="4"/>
  <c r="G42" i="4"/>
  <c r="G67" i="4" s="1"/>
  <c r="J41" i="4"/>
  <c r="E699" i="4" s="1"/>
  <c r="G41" i="4"/>
  <c r="G66" i="4" s="1"/>
  <c r="J40" i="4"/>
  <c r="E643" i="4" s="1"/>
  <c r="G40" i="4"/>
  <c r="G65" i="4" s="1"/>
  <c r="J39" i="4"/>
  <c r="G39" i="4"/>
  <c r="G64" i="4" s="1"/>
  <c r="J38" i="4"/>
  <c r="E531" i="4" s="1"/>
  <c r="G38" i="4"/>
  <c r="G63" i="4" s="1"/>
  <c r="J37" i="4"/>
  <c r="E475" i="4" s="1"/>
  <c r="J499" i="4" s="1"/>
  <c r="K499" i="4" s="1"/>
  <c r="G37" i="4"/>
  <c r="G62" i="4" s="1"/>
  <c r="J36" i="4"/>
  <c r="G36" i="4"/>
  <c r="G61" i="4" s="1"/>
  <c r="J35" i="4"/>
  <c r="E363" i="4" s="1"/>
  <c r="G35" i="4"/>
  <c r="G60" i="4" s="1"/>
  <c r="J34" i="4"/>
  <c r="E307" i="4" s="1"/>
  <c r="G34" i="4"/>
  <c r="J33" i="4"/>
  <c r="G33" i="4"/>
  <c r="G58" i="4" s="1"/>
  <c r="J32" i="4"/>
  <c r="E195" i="4" s="1"/>
  <c r="G32" i="4"/>
  <c r="G57" i="4" s="1"/>
  <c r="J31" i="4"/>
  <c r="G31" i="4"/>
  <c r="G56" i="4" s="1"/>
  <c r="J30" i="4"/>
  <c r="E83" i="4" s="1"/>
  <c r="G30" i="4"/>
  <c r="G55" i="4" s="1"/>
  <c r="C970" i="3"/>
  <c r="F953" i="3"/>
  <c r="F952" i="3"/>
  <c r="F951" i="3"/>
  <c r="K949" i="3"/>
  <c r="F949" i="3"/>
  <c r="H949" i="3" s="1"/>
  <c r="F948" i="3"/>
  <c r="F947" i="3"/>
  <c r="C946" i="3"/>
  <c r="J945" i="3"/>
  <c r="K945" i="3" s="1"/>
  <c r="C943" i="3"/>
  <c r="K941" i="3"/>
  <c r="H941" i="3"/>
  <c r="J939" i="3"/>
  <c r="K939" i="3" s="1"/>
  <c r="G939" i="3"/>
  <c r="H939" i="3" s="1"/>
  <c r="G938" i="3"/>
  <c r="H938" i="3" s="1"/>
  <c r="J937" i="3"/>
  <c r="K937" i="3" s="1"/>
  <c r="C934" i="3"/>
  <c r="J932" i="3"/>
  <c r="K932" i="3" s="1"/>
  <c r="H932" i="3"/>
  <c r="L931" i="3"/>
  <c r="M931" i="3" s="1"/>
  <c r="G931" i="3"/>
  <c r="J930" i="3"/>
  <c r="G930" i="3"/>
  <c r="J928" i="3"/>
  <c r="K928" i="3" s="1"/>
  <c r="H928" i="3"/>
  <c r="E922" i="3"/>
  <c r="G948" i="3" s="1"/>
  <c r="E921" i="3"/>
  <c r="J944" i="3" s="1"/>
  <c r="K944" i="3" s="1"/>
  <c r="E920" i="3"/>
  <c r="I935" i="3" s="1"/>
  <c r="E919" i="3"/>
  <c r="K918" i="3"/>
  <c r="E918" i="3"/>
  <c r="I940" i="3" s="1"/>
  <c r="C909" i="3"/>
  <c r="F897" i="3"/>
  <c r="F896" i="3"/>
  <c r="F895" i="3"/>
  <c r="F892" i="3"/>
  <c r="F891" i="3"/>
  <c r="C890" i="3"/>
  <c r="G889" i="3"/>
  <c r="H889" i="3" s="1"/>
  <c r="G888" i="3"/>
  <c r="H888" i="3" s="1"/>
  <c r="C887" i="3"/>
  <c r="K885" i="3"/>
  <c r="L885" i="3" s="1"/>
  <c r="M885" i="3" s="1"/>
  <c r="H885" i="3"/>
  <c r="G882" i="3"/>
  <c r="H882" i="3" s="1"/>
  <c r="J880" i="3"/>
  <c r="K880" i="3" s="1"/>
  <c r="G880" i="3"/>
  <c r="H880" i="3" s="1"/>
  <c r="F879" i="3"/>
  <c r="G879" i="3" s="1"/>
  <c r="H879" i="3" s="1"/>
  <c r="C878" i="3"/>
  <c r="G877" i="3"/>
  <c r="H877" i="3" s="1"/>
  <c r="K876" i="3"/>
  <c r="L876" i="3" s="1"/>
  <c r="M876" i="3" s="1"/>
  <c r="J876" i="3"/>
  <c r="H876" i="3"/>
  <c r="L875" i="3"/>
  <c r="M875" i="3" s="1"/>
  <c r="G875" i="3"/>
  <c r="G874" i="3"/>
  <c r="G873" i="3"/>
  <c r="H873" i="3" s="1"/>
  <c r="J872" i="3"/>
  <c r="K872" i="3" s="1"/>
  <c r="H872" i="3"/>
  <c r="E866" i="3"/>
  <c r="G891" i="3" s="1"/>
  <c r="H891" i="3" s="1"/>
  <c r="E865" i="3"/>
  <c r="G883" i="3" s="1"/>
  <c r="H883" i="3" s="1"/>
  <c r="E864" i="3"/>
  <c r="I879" i="3" s="1"/>
  <c r="E863" i="3"/>
  <c r="K862" i="3"/>
  <c r="E862" i="3"/>
  <c r="I884" i="3" s="1"/>
  <c r="C848" i="3"/>
  <c r="I843" i="3"/>
  <c r="I842" i="3"/>
  <c r="G842" i="3"/>
  <c r="H842" i="3" s="1"/>
  <c r="F841" i="3"/>
  <c r="J840" i="3"/>
  <c r="K840" i="3" s="1"/>
  <c r="F840" i="3"/>
  <c r="F839" i="3"/>
  <c r="K837" i="3"/>
  <c r="F837" i="3"/>
  <c r="H837" i="3" s="1"/>
  <c r="F836" i="3"/>
  <c r="F835" i="3"/>
  <c r="C834" i="3"/>
  <c r="C831" i="3"/>
  <c r="J830" i="3"/>
  <c r="K830" i="3" s="1"/>
  <c r="K829" i="3"/>
  <c r="L829" i="3" s="1"/>
  <c r="M829" i="3" s="1"/>
  <c r="H829" i="3"/>
  <c r="C822" i="3"/>
  <c r="J820" i="3"/>
  <c r="K820" i="3" s="1"/>
  <c r="L820" i="3" s="1"/>
  <c r="M820" i="3" s="1"/>
  <c r="H820" i="3"/>
  <c r="M819" i="3"/>
  <c r="L819" i="3"/>
  <c r="J818" i="3"/>
  <c r="J816" i="3"/>
  <c r="K816" i="3" s="1"/>
  <c r="H816" i="3"/>
  <c r="E810" i="3"/>
  <c r="E809" i="3"/>
  <c r="J825" i="3" s="1"/>
  <c r="K825" i="3" s="1"/>
  <c r="E808" i="3"/>
  <c r="E807" i="3"/>
  <c r="K806" i="3"/>
  <c r="E806" i="3"/>
  <c r="I828" i="3" s="1"/>
  <c r="K828" i="3" s="1"/>
  <c r="C802" i="3"/>
  <c r="F785" i="3"/>
  <c r="F784" i="3"/>
  <c r="F783" i="3"/>
  <c r="K781" i="3"/>
  <c r="F781" i="3"/>
  <c r="H781" i="3" s="1"/>
  <c r="F780" i="3"/>
  <c r="F779" i="3"/>
  <c r="C778" i="3"/>
  <c r="J777" i="3"/>
  <c r="K777" i="3" s="1"/>
  <c r="C775" i="3"/>
  <c r="K773" i="3"/>
  <c r="H773" i="3"/>
  <c r="F767" i="3"/>
  <c r="G767" i="3" s="1"/>
  <c r="H767" i="3" s="1"/>
  <c r="C766" i="3"/>
  <c r="J764" i="3"/>
  <c r="K764" i="3" s="1"/>
  <c r="H764" i="3"/>
  <c r="M763" i="3"/>
  <c r="L763" i="3"/>
  <c r="G761" i="3"/>
  <c r="H761" i="3" s="1"/>
  <c r="J760" i="3"/>
  <c r="K760" i="3" s="1"/>
  <c r="L760" i="3" s="1"/>
  <c r="M760" i="3" s="1"/>
  <c r="H760" i="3"/>
  <c r="E754" i="3"/>
  <c r="E753" i="3"/>
  <c r="G763" i="3" s="1"/>
  <c r="E752" i="3"/>
  <c r="J770" i="3" s="1"/>
  <c r="K770" i="3" s="1"/>
  <c r="E751" i="3"/>
  <c r="K750" i="3"/>
  <c r="E750" i="3"/>
  <c r="C746" i="3"/>
  <c r="H740" i="3"/>
  <c r="F729" i="3"/>
  <c r="F728" i="3"/>
  <c r="F727" i="3"/>
  <c r="K725" i="3"/>
  <c r="H725" i="3"/>
  <c r="F725" i="3"/>
  <c r="F724" i="3"/>
  <c r="F723" i="3"/>
  <c r="C722" i="3"/>
  <c r="J721" i="3"/>
  <c r="K721" i="3" s="1"/>
  <c r="C719" i="3"/>
  <c r="J718" i="3"/>
  <c r="K718" i="3" s="1"/>
  <c r="G718" i="3"/>
  <c r="H718" i="3" s="1"/>
  <c r="K717" i="3"/>
  <c r="H717" i="3"/>
  <c r="F716" i="3"/>
  <c r="H716" i="3" s="1"/>
  <c r="H715" i="3"/>
  <c r="G715" i="3"/>
  <c r="J714" i="3"/>
  <c r="K714" i="3" s="1"/>
  <c r="J712" i="3"/>
  <c r="K712" i="3" s="1"/>
  <c r="C710" i="3"/>
  <c r="H709" i="3"/>
  <c r="G709" i="3"/>
  <c r="K708" i="3"/>
  <c r="L708" i="3" s="1"/>
  <c r="M708" i="3" s="1"/>
  <c r="J708" i="3"/>
  <c r="H708" i="3"/>
  <c r="L707" i="3"/>
  <c r="M707" i="3" s="1"/>
  <c r="J707" i="3"/>
  <c r="G707" i="3"/>
  <c r="G705" i="3"/>
  <c r="H705" i="3" s="1"/>
  <c r="J704" i="3"/>
  <c r="K704" i="3" s="1"/>
  <c r="L704" i="3" s="1"/>
  <c r="M704" i="3" s="1"/>
  <c r="H704" i="3"/>
  <c r="A704" i="3"/>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s="1"/>
  <c r="A730" i="3" s="1"/>
  <c r="A731" i="3" s="1"/>
  <c r="A732" i="3" s="1"/>
  <c r="A733" i="3" s="1"/>
  <c r="A734" i="3" s="1"/>
  <c r="A735" i="3" s="1"/>
  <c r="A736" i="3" s="1"/>
  <c r="A737" i="3" s="1"/>
  <c r="A738" i="3" s="1"/>
  <c r="A739" i="3" s="1"/>
  <c r="A740" i="3" s="1"/>
  <c r="A741" i="3" s="1"/>
  <c r="A742" i="3" s="1"/>
  <c r="A743" i="3" s="1"/>
  <c r="A744" i="3" s="1"/>
  <c r="A745" i="3" s="1"/>
  <c r="A746" i="3" s="1"/>
  <c r="A747" i="3" s="1"/>
  <c r="E698" i="3"/>
  <c r="E697" i="3"/>
  <c r="J720" i="3" s="1"/>
  <c r="K720" i="3" s="1"/>
  <c r="E696" i="3"/>
  <c r="G724" i="3" s="1"/>
  <c r="H724" i="3" s="1"/>
  <c r="E695" i="3"/>
  <c r="K694" i="3"/>
  <c r="E694" i="3"/>
  <c r="C690" i="3"/>
  <c r="F673" i="3"/>
  <c r="F672" i="3"/>
  <c r="F671" i="3"/>
  <c r="K669" i="3"/>
  <c r="F669" i="3"/>
  <c r="H669" i="3" s="1"/>
  <c r="F668" i="3"/>
  <c r="F667" i="3"/>
  <c r="C666" i="3"/>
  <c r="C663" i="3"/>
  <c r="K661" i="3"/>
  <c r="L661" i="3" s="1"/>
  <c r="M661" i="3" s="1"/>
  <c r="H661" i="3"/>
  <c r="G659" i="3"/>
  <c r="H659" i="3" s="1"/>
  <c r="C654" i="3"/>
  <c r="J652" i="3"/>
  <c r="K652" i="3" s="1"/>
  <c r="H652" i="3"/>
  <c r="M651" i="3"/>
  <c r="L651" i="3"/>
  <c r="G650" i="3"/>
  <c r="J648" i="3"/>
  <c r="K648" i="3" s="1"/>
  <c r="H648" i="3"/>
  <c r="E642" i="3"/>
  <c r="E641" i="3"/>
  <c r="J659" i="3" s="1"/>
  <c r="K659" i="3" s="1"/>
  <c r="L659" i="3" s="1"/>
  <c r="M659" i="3" s="1"/>
  <c r="E640" i="3"/>
  <c r="I655" i="3" s="1"/>
  <c r="J655" i="3" s="1"/>
  <c r="K655" i="3" s="1"/>
  <c r="E639" i="3"/>
  <c r="K638" i="3"/>
  <c r="E638" i="3"/>
  <c r="C634" i="3"/>
  <c r="G618" i="3"/>
  <c r="H618" i="3" s="1"/>
  <c r="J617" i="3"/>
  <c r="F617" i="3"/>
  <c r="F616" i="3"/>
  <c r="J615" i="3"/>
  <c r="F615" i="3"/>
  <c r="K613" i="3"/>
  <c r="F613" i="3"/>
  <c r="H613" i="3" s="1"/>
  <c r="F612" i="3"/>
  <c r="F611" i="3"/>
  <c r="C610" i="3"/>
  <c r="C607" i="3"/>
  <c r="K605" i="3"/>
  <c r="H605" i="3"/>
  <c r="C598" i="3"/>
  <c r="J596" i="3"/>
  <c r="K596" i="3" s="1"/>
  <c r="H596" i="3"/>
  <c r="L595" i="3"/>
  <c r="M595" i="3" s="1"/>
  <c r="K592" i="3"/>
  <c r="L592" i="3" s="1"/>
  <c r="M592" i="3" s="1"/>
  <c r="J592" i="3"/>
  <c r="H592" i="3"/>
  <c r="E586" i="3"/>
  <c r="G612" i="3" s="1"/>
  <c r="H612" i="3" s="1"/>
  <c r="E585" i="3"/>
  <c r="J593" i="3" s="1"/>
  <c r="K593" i="3" s="1"/>
  <c r="E584" i="3"/>
  <c r="E583" i="3"/>
  <c r="K582" i="3"/>
  <c r="E582" i="3"/>
  <c r="I604" i="3" s="1"/>
  <c r="C578" i="3"/>
  <c r="G563" i="3"/>
  <c r="H563" i="3" s="1"/>
  <c r="F561" i="3"/>
  <c r="G560" i="3"/>
  <c r="F560" i="3"/>
  <c r="F559" i="3"/>
  <c r="K557" i="3"/>
  <c r="H557" i="3"/>
  <c r="F557" i="3"/>
  <c r="F556" i="3"/>
  <c r="F555" i="3"/>
  <c r="C554" i="3"/>
  <c r="G553" i="3"/>
  <c r="H553" i="3" s="1"/>
  <c r="G552" i="3"/>
  <c r="H552" i="3" s="1"/>
  <c r="C551" i="3"/>
  <c r="K549" i="3"/>
  <c r="H549" i="3"/>
  <c r="J546" i="3"/>
  <c r="K546" i="3" s="1"/>
  <c r="G546" i="3"/>
  <c r="H546" i="3" s="1"/>
  <c r="F543" i="3"/>
  <c r="G543" i="3" s="1"/>
  <c r="H543" i="3" s="1"/>
  <c r="C542" i="3"/>
  <c r="J541" i="3"/>
  <c r="K541" i="3" s="1"/>
  <c r="J540" i="3"/>
  <c r="K540" i="3" s="1"/>
  <c r="L540" i="3" s="1"/>
  <c r="M540" i="3" s="1"/>
  <c r="H540" i="3"/>
  <c r="M539" i="3"/>
  <c r="L539" i="3"/>
  <c r="J539" i="3"/>
  <c r="J536" i="3"/>
  <c r="K536" i="3" s="1"/>
  <c r="H536" i="3"/>
  <c r="E530" i="3"/>
  <c r="E529" i="3"/>
  <c r="J552" i="3" s="1"/>
  <c r="K552" i="3" s="1"/>
  <c r="E528" i="3"/>
  <c r="I543" i="3" s="1"/>
  <c r="E527" i="3"/>
  <c r="K526" i="3"/>
  <c r="E526" i="3"/>
  <c r="I548" i="3" s="1"/>
  <c r="C512" i="3"/>
  <c r="J506" i="3"/>
  <c r="F505" i="3"/>
  <c r="F504" i="3"/>
  <c r="F503" i="3"/>
  <c r="K501" i="3"/>
  <c r="F501" i="3"/>
  <c r="H501" i="3" s="1"/>
  <c r="F500" i="3"/>
  <c r="F499" i="3"/>
  <c r="C498" i="3"/>
  <c r="J497" i="3"/>
  <c r="K497" i="3" s="1"/>
  <c r="H496" i="3"/>
  <c r="G496" i="3"/>
  <c r="C495" i="3"/>
  <c r="J494" i="3"/>
  <c r="K494" i="3" s="1"/>
  <c r="K493" i="3"/>
  <c r="H493" i="3"/>
  <c r="J491" i="3"/>
  <c r="K491" i="3" s="1"/>
  <c r="G489" i="3"/>
  <c r="H489" i="3" s="1"/>
  <c r="J488" i="3"/>
  <c r="K488" i="3" s="1"/>
  <c r="G488" i="3"/>
  <c r="H488" i="3" s="1"/>
  <c r="C486" i="3"/>
  <c r="J485" i="3"/>
  <c r="K485" i="3" s="1"/>
  <c r="L485" i="3" s="1"/>
  <c r="M485" i="3" s="1"/>
  <c r="G485" i="3"/>
  <c r="H485" i="3" s="1"/>
  <c r="K484" i="3"/>
  <c r="H484" i="3"/>
  <c r="L483" i="3"/>
  <c r="M483" i="3" s="1"/>
  <c r="J483" i="3"/>
  <c r="G483" i="3"/>
  <c r="J482" i="3"/>
  <c r="G482" i="3"/>
  <c r="G481" i="3"/>
  <c r="H481" i="3" s="1"/>
  <c r="K480" i="3"/>
  <c r="H480" i="3"/>
  <c r="E474" i="3"/>
  <c r="E473" i="3"/>
  <c r="G491" i="3" s="1"/>
  <c r="H491" i="3" s="1"/>
  <c r="E472" i="3"/>
  <c r="J507" i="3" s="1"/>
  <c r="E471" i="3"/>
  <c r="K470" i="3"/>
  <c r="E470" i="3"/>
  <c r="I492" i="3" s="1"/>
  <c r="K492" i="3" s="1"/>
  <c r="C466" i="3"/>
  <c r="H455" i="3"/>
  <c r="F449" i="3"/>
  <c r="F448" i="3"/>
  <c r="F447" i="3"/>
  <c r="K445" i="3"/>
  <c r="F445" i="3"/>
  <c r="H445" i="3" s="1"/>
  <c r="F444" i="3"/>
  <c r="F443" i="3"/>
  <c r="C442" i="3"/>
  <c r="G440" i="3"/>
  <c r="H440" i="3" s="1"/>
  <c r="C439" i="3"/>
  <c r="K437" i="3"/>
  <c r="L437" i="3" s="1"/>
  <c r="M437" i="3" s="1"/>
  <c r="H437" i="3"/>
  <c r="C430" i="3"/>
  <c r="K428" i="3"/>
  <c r="H428" i="3"/>
  <c r="L428" i="3" s="1"/>
  <c r="M428" i="3" s="1"/>
  <c r="L427" i="3"/>
  <c r="M427" i="3" s="1"/>
  <c r="K424" i="3"/>
  <c r="H424" i="3"/>
  <c r="A424" i="3"/>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E418" i="3"/>
  <c r="E417" i="3"/>
  <c r="J429" i="3" s="1"/>
  <c r="K429" i="3" s="1"/>
  <c r="E416" i="3"/>
  <c r="I431" i="3" s="1"/>
  <c r="E415" i="3"/>
  <c r="K414" i="3"/>
  <c r="E414" i="3"/>
  <c r="F436" i="3" s="1"/>
  <c r="H436" i="3" s="1"/>
  <c r="C400" i="3"/>
  <c r="F393" i="3"/>
  <c r="F392" i="3"/>
  <c r="F391" i="3"/>
  <c r="K389" i="3"/>
  <c r="H389" i="3"/>
  <c r="F389" i="3"/>
  <c r="F388" i="3"/>
  <c r="F387" i="3"/>
  <c r="C386" i="3"/>
  <c r="C383" i="3"/>
  <c r="K381" i="3"/>
  <c r="H381" i="3"/>
  <c r="C374" i="3"/>
  <c r="K372" i="3"/>
  <c r="L372" i="3" s="1"/>
  <c r="M372" i="3" s="1"/>
  <c r="H372" i="3"/>
  <c r="L371" i="3"/>
  <c r="M371" i="3" s="1"/>
  <c r="K368" i="3"/>
  <c r="H368" i="3"/>
  <c r="E362" i="3"/>
  <c r="E361" i="3"/>
  <c r="J370" i="3" s="1"/>
  <c r="E360" i="3"/>
  <c r="E359" i="3"/>
  <c r="K358" i="3"/>
  <c r="E358" i="3"/>
  <c r="I380" i="3" s="1"/>
  <c r="C354" i="3"/>
  <c r="F337" i="3"/>
  <c r="F336" i="3"/>
  <c r="F335" i="3"/>
  <c r="K333" i="3"/>
  <c r="F333" i="3"/>
  <c r="H333" i="3" s="1"/>
  <c r="F332" i="3"/>
  <c r="F331" i="3"/>
  <c r="C330" i="3"/>
  <c r="C327" i="3"/>
  <c r="K325" i="3"/>
  <c r="H325" i="3"/>
  <c r="F324" i="3"/>
  <c r="H324" i="3" s="1"/>
  <c r="J323" i="3"/>
  <c r="K323" i="3" s="1"/>
  <c r="C318" i="3"/>
  <c r="J317" i="3"/>
  <c r="K317" i="3" s="1"/>
  <c r="J316" i="3"/>
  <c r="K316" i="3" s="1"/>
  <c r="L316" i="3" s="1"/>
  <c r="M316" i="3" s="1"/>
  <c r="H316" i="3"/>
  <c r="L315" i="3"/>
  <c r="M315" i="3" s="1"/>
  <c r="J312" i="3"/>
  <c r="K312" i="3" s="1"/>
  <c r="H312" i="3"/>
  <c r="E306" i="3"/>
  <c r="E305" i="3"/>
  <c r="J328" i="3" s="1"/>
  <c r="K328" i="3" s="1"/>
  <c r="E304" i="3"/>
  <c r="I319" i="3" s="1"/>
  <c r="E303" i="3"/>
  <c r="K302" i="3"/>
  <c r="E302" i="3"/>
  <c r="I324" i="3" s="1"/>
  <c r="C298" i="3"/>
  <c r="K287" i="3"/>
  <c r="F281" i="3"/>
  <c r="F280" i="3"/>
  <c r="F279" i="3"/>
  <c r="K277" i="3"/>
  <c r="F277" i="3"/>
  <c r="H277" i="3" s="1"/>
  <c r="F276" i="3"/>
  <c r="F275" i="3"/>
  <c r="C274" i="3"/>
  <c r="C271" i="3"/>
  <c r="K269" i="3"/>
  <c r="L269" i="3" s="1"/>
  <c r="M269" i="3" s="1"/>
  <c r="H269" i="3"/>
  <c r="F268" i="3"/>
  <c r="H268" i="3" s="1"/>
  <c r="J266" i="3"/>
  <c r="K266" i="3" s="1"/>
  <c r="C262" i="3"/>
  <c r="K260" i="3"/>
  <c r="J260" i="3"/>
  <c r="H260" i="3"/>
  <c r="L259" i="3"/>
  <c r="M259" i="3" s="1"/>
  <c r="J256" i="3"/>
  <c r="K256" i="3" s="1"/>
  <c r="L256" i="3" s="1"/>
  <c r="M256" i="3" s="1"/>
  <c r="H256" i="3"/>
  <c r="A256" i="3"/>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E250" i="3"/>
  <c r="E249" i="3"/>
  <c r="G273" i="3" s="1"/>
  <c r="H273" i="3" s="1"/>
  <c r="E248" i="3"/>
  <c r="I263" i="3" s="1"/>
  <c r="E247" i="3"/>
  <c r="K246" i="3"/>
  <c r="E246" i="3"/>
  <c r="C242" i="3"/>
  <c r="F225" i="3"/>
  <c r="F224" i="3"/>
  <c r="G223" i="3"/>
  <c r="F223" i="3"/>
  <c r="K221" i="3"/>
  <c r="F221" i="3"/>
  <c r="H221" i="3" s="1"/>
  <c r="F220" i="3"/>
  <c r="F219" i="3"/>
  <c r="C218" i="3"/>
  <c r="G216" i="3"/>
  <c r="H216" i="3" s="1"/>
  <c r="C215" i="3"/>
  <c r="J214" i="3"/>
  <c r="K214" i="3" s="1"/>
  <c r="H214" i="3"/>
  <c r="K213" i="3"/>
  <c r="L213" i="3" s="1"/>
  <c r="M213" i="3" s="1"/>
  <c r="H213" i="3"/>
  <c r="G208" i="3"/>
  <c r="H208" i="3" s="1"/>
  <c r="J207" i="3"/>
  <c r="K207" i="3" s="1"/>
  <c r="C206" i="3"/>
  <c r="J204" i="3"/>
  <c r="K204" i="3" s="1"/>
  <c r="L204" i="3" s="1"/>
  <c r="M204" i="3" s="1"/>
  <c r="H204" i="3"/>
  <c r="L203" i="3"/>
  <c r="M203" i="3" s="1"/>
  <c r="G203" i="3"/>
  <c r="G202" i="3"/>
  <c r="J200" i="3"/>
  <c r="K200" i="3" s="1"/>
  <c r="H200" i="3"/>
  <c r="E194" i="3"/>
  <c r="E193" i="3"/>
  <c r="G214" i="3" s="1"/>
  <c r="E192" i="3"/>
  <c r="I207" i="3" s="1"/>
  <c r="E191" i="3"/>
  <c r="K190" i="3"/>
  <c r="E190" i="3"/>
  <c r="C176" i="3"/>
  <c r="F169" i="3"/>
  <c r="F168" i="3"/>
  <c r="F167" i="3"/>
  <c r="K165" i="3"/>
  <c r="H165" i="3"/>
  <c r="F165" i="3"/>
  <c r="F164" i="3"/>
  <c r="F163" i="3"/>
  <c r="C162" i="3"/>
  <c r="C159" i="3"/>
  <c r="J158" i="3"/>
  <c r="K158" i="3" s="1"/>
  <c r="K157" i="3"/>
  <c r="H157" i="3"/>
  <c r="G154" i="3"/>
  <c r="H154" i="3" s="1"/>
  <c r="C150" i="3"/>
  <c r="K148" i="3"/>
  <c r="L148" i="3" s="1"/>
  <c r="M148" i="3" s="1"/>
  <c r="J148" i="3"/>
  <c r="H148" i="3"/>
  <c r="L147" i="3"/>
  <c r="M147" i="3" s="1"/>
  <c r="K144" i="3"/>
  <c r="J144" i="3"/>
  <c r="H144" i="3"/>
  <c r="E138" i="3"/>
  <c r="E137" i="3"/>
  <c r="J146" i="3" s="1"/>
  <c r="E136" i="3"/>
  <c r="E135" i="3"/>
  <c r="K134" i="3"/>
  <c r="E134" i="3"/>
  <c r="I156" i="3" s="1"/>
  <c r="K156" i="3" s="1"/>
  <c r="C120" i="3"/>
  <c r="J114" i="3"/>
  <c r="K114" i="3" s="1"/>
  <c r="F113" i="3"/>
  <c r="F112" i="3"/>
  <c r="F111" i="3"/>
  <c r="K109" i="3"/>
  <c r="F109" i="3"/>
  <c r="H109" i="3" s="1"/>
  <c r="F108" i="3"/>
  <c r="F107" i="3"/>
  <c r="C106" i="3"/>
  <c r="C103" i="3"/>
  <c r="K101" i="3"/>
  <c r="L101" i="3" s="1"/>
  <c r="M101" i="3" s="1"/>
  <c r="H101" i="3"/>
  <c r="F100" i="3"/>
  <c r="H100" i="3" s="1"/>
  <c r="G98" i="3"/>
  <c r="H98" i="3" s="1"/>
  <c r="J96" i="3"/>
  <c r="K96" i="3" s="1"/>
  <c r="C94" i="3"/>
  <c r="J92" i="3"/>
  <c r="K92" i="3" s="1"/>
  <c r="H92" i="3"/>
  <c r="M91" i="3"/>
  <c r="L91" i="3"/>
  <c r="G91" i="3"/>
  <c r="K88" i="3"/>
  <c r="J88" i="3"/>
  <c r="H88" i="3"/>
  <c r="E82" i="3"/>
  <c r="E81" i="3"/>
  <c r="J90" i="3" s="1"/>
  <c r="E80" i="3"/>
  <c r="E79" i="3"/>
  <c r="K78" i="3"/>
  <c r="E78" i="3"/>
  <c r="I100" i="3" s="1"/>
  <c r="D74" i="3"/>
  <c r="B74" i="3"/>
  <c r="D73" i="3"/>
  <c r="B73" i="3"/>
  <c r="D72" i="3"/>
  <c r="B72" i="3"/>
  <c r="D71" i="3"/>
  <c r="B71" i="3"/>
  <c r="D70" i="3"/>
  <c r="B70" i="3"/>
  <c r="D69" i="3"/>
  <c r="B69" i="3"/>
  <c r="D68" i="3"/>
  <c r="B68" i="3"/>
  <c r="D67" i="3"/>
  <c r="B67" i="3"/>
  <c r="D66" i="3"/>
  <c r="B66" i="3"/>
  <c r="D65" i="3"/>
  <c r="B65" i="3"/>
  <c r="D64" i="3"/>
  <c r="B64" i="3"/>
  <c r="D63" i="3"/>
  <c r="B63" i="3"/>
  <c r="D62" i="3"/>
  <c r="B62" i="3"/>
  <c r="D61" i="3"/>
  <c r="B61" i="3"/>
  <c r="D60" i="3"/>
  <c r="B60" i="3"/>
  <c r="D59" i="3"/>
  <c r="B59" i="3"/>
  <c r="D58" i="3"/>
  <c r="B58" i="3"/>
  <c r="D57" i="3"/>
  <c r="B57" i="3"/>
  <c r="D56" i="3"/>
  <c r="B56" i="3"/>
  <c r="D55" i="3"/>
  <c r="B55" i="3"/>
  <c r="J49" i="3"/>
  <c r="G49" i="3"/>
  <c r="G74" i="3" s="1"/>
  <c r="C49" i="3"/>
  <c r="J48" i="3"/>
  <c r="G48" i="3"/>
  <c r="G73" i="3" s="1"/>
  <c r="C48" i="3"/>
  <c r="J47" i="3"/>
  <c r="G47" i="3"/>
  <c r="G72" i="3" s="1"/>
  <c r="C47" i="3"/>
  <c r="J46" i="3"/>
  <c r="G46" i="3"/>
  <c r="G71" i="3" s="1"/>
  <c r="C46" i="3"/>
  <c r="J45" i="3"/>
  <c r="E923" i="3" s="1"/>
  <c r="G45" i="3"/>
  <c r="G70" i="3" s="1"/>
  <c r="C45" i="3"/>
  <c r="J44" i="3"/>
  <c r="E867" i="3" s="1"/>
  <c r="G44" i="3"/>
  <c r="G69" i="3" s="1"/>
  <c r="C44" i="3"/>
  <c r="J43" i="3"/>
  <c r="E811" i="3" s="1"/>
  <c r="G43" i="3"/>
  <c r="G68" i="3" s="1"/>
  <c r="C43" i="3"/>
  <c r="J42" i="3"/>
  <c r="E755" i="3" s="1"/>
  <c r="G42" i="3"/>
  <c r="G67" i="3" s="1"/>
  <c r="J41" i="3"/>
  <c r="E699" i="3" s="1"/>
  <c r="G41" i="3"/>
  <c r="G66" i="3" s="1"/>
  <c r="J40" i="3"/>
  <c r="E643" i="3" s="1"/>
  <c r="G40" i="3"/>
  <c r="G65" i="3" s="1"/>
  <c r="J39" i="3"/>
  <c r="E587" i="3" s="1"/>
  <c r="J611" i="3" s="1"/>
  <c r="K611" i="3" s="1"/>
  <c r="G39" i="3"/>
  <c r="G64" i="3" s="1"/>
  <c r="J38" i="3"/>
  <c r="E531" i="3" s="1"/>
  <c r="G38" i="3"/>
  <c r="G63" i="3" s="1"/>
  <c r="J37" i="3"/>
  <c r="E475" i="3" s="1"/>
  <c r="J499" i="3" s="1"/>
  <c r="K499" i="3" s="1"/>
  <c r="G37" i="3"/>
  <c r="G62" i="3" s="1"/>
  <c r="J36" i="3"/>
  <c r="E419" i="3" s="1"/>
  <c r="G36" i="3"/>
  <c r="G61" i="3" s="1"/>
  <c r="J35" i="3"/>
  <c r="E363" i="3" s="1"/>
  <c r="G35" i="3"/>
  <c r="G60" i="3" s="1"/>
  <c r="J34" i="3"/>
  <c r="E307" i="3" s="1"/>
  <c r="G34" i="3"/>
  <c r="G59" i="3" s="1"/>
  <c r="J33" i="3"/>
  <c r="E251" i="3" s="1"/>
  <c r="G33" i="3"/>
  <c r="G58" i="3" s="1"/>
  <c r="J32" i="3"/>
  <c r="E195" i="3" s="1"/>
  <c r="J224" i="3" s="1"/>
  <c r="G32" i="3"/>
  <c r="G57" i="3" s="1"/>
  <c r="J31" i="3"/>
  <c r="E139" i="3" s="1"/>
  <c r="G31" i="3"/>
  <c r="G56" i="3" s="1"/>
  <c r="J30" i="3"/>
  <c r="G30" i="3"/>
  <c r="G55" i="3" s="1"/>
  <c r="L205" i="4" l="1"/>
  <c r="M205" i="4" s="1"/>
  <c r="L653" i="4"/>
  <c r="M653" i="4" s="1"/>
  <c r="G97" i="4"/>
  <c r="H97" i="4" s="1"/>
  <c r="G163" i="4"/>
  <c r="H163" i="4" s="1"/>
  <c r="J211" i="4"/>
  <c r="K211" i="4" s="1"/>
  <c r="G259" i="4"/>
  <c r="I268" i="4"/>
  <c r="K268" i="4" s="1"/>
  <c r="G283" i="4"/>
  <c r="A312" i="4"/>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J369" i="4"/>
  <c r="K369" i="4" s="1"/>
  <c r="G387" i="4"/>
  <c r="H387" i="4" s="1"/>
  <c r="G393" i="4"/>
  <c r="H393" i="4" s="1"/>
  <c r="J427" i="4"/>
  <c r="J433" i="4"/>
  <c r="K433" i="4" s="1"/>
  <c r="J497" i="4"/>
  <c r="K497" i="4" s="1"/>
  <c r="G507" i="4"/>
  <c r="H507" i="4" s="1"/>
  <c r="L596" i="4"/>
  <c r="M596" i="4" s="1"/>
  <c r="G659" i="4"/>
  <c r="H659" i="4" s="1"/>
  <c r="J665" i="4"/>
  <c r="K665" i="4" s="1"/>
  <c r="L665" i="4" s="1"/>
  <c r="M665" i="4" s="1"/>
  <c r="N665" i="4" s="1"/>
  <c r="J705" i="4"/>
  <c r="K705" i="4" s="1"/>
  <c r="I716" i="4"/>
  <c r="K716" i="4" s="1"/>
  <c r="L781" i="4"/>
  <c r="M781" i="4" s="1"/>
  <c r="G842" i="4"/>
  <c r="H842" i="4" s="1"/>
  <c r="G883" i="4"/>
  <c r="H883" i="4" s="1"/>
  <c r="J942" i="4"/>
  <c r="K942" i="4" s="1"/>
  <c r="J170" i="4"/>
  <c r="K170" i="4" s="1"/>
  <c r="G672" i="4"/>
  <c r="H672" i="4" s="1"/>
  <c r="F655" i="4"/>
  <c r="G655" i="4" s="1"/>
  <c r="H655" i="4" s="1"/>
  <c r="J149" i="4"/>
  <c r="K149" i="4" s="1"/>
  <c r="J171" i="4"/>
  <c r="K171" i="4" s="1"/>
  <c r="J259" i="4"/>
  <c r="J264" i="4"/>
  <c r="K264" i="4" s="1"/>
  <c r="L269" i="4"/>
  <c r="M269" i="4" s="1"/>
  <c r="G276" i="4"/>
  <c r="H276" i="4" s="1"/>
  <c r="K287" i="4"/>
  <c r="L287" i="4" s="1"/>
  <c r="G370" i="4"/>
  <c r="L381" i="4"/>
  <c r="M381" i="4" s="1"/>
  <c r="G444" i="4"/>
  <c r="H444" i="4" s="1"/>
  <c r="G435" i="4"/>
  <c r="H435" i="4" s="1"/>
  <c r="G489" i="4"/>
  <c r="H489" i="4" s="1"/>
  <c r="G706" i="4"/>
  <c r="G765" i="4"/>
  <c r="H765" i="4" s="1"/>
  <c r="G774" i="4"/>
  <c r="H774" i="4" s="1"/>
  <c r="J873" i="4"/>
  <c r="K873" i="4" s="1"/>
  <c r="G896" i="4"/>
  <c r="H896" i="4" s="1"/>
  <c r="F100" i="4"/>
  <c r="H100" i="4" s="1"/>
  <c r="F823" i="4"/>
  <c r="G823" i="4" s="1"/>
  <c r="H823" i="4" s="1"/>
  <c r="F884" i="4"/>
  <c r="G658" i="4"/>
  <c r="H658" i="4" s="1"/>
  <c r="A144" i="4"/>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L213" i="4"/>
  <c r="M213" i="4" s="1"/>
  <c r="H292" i="4"/>
  <c r="H380" i="4"/>
  <c r="G394" i="4"/>
  <c r="H394" i="4" s="1"/>
  <c r="J489" i="4"/>
  <c r="K489" i="4" s="1"/>
  <c r="L830" i="4"/>
  <c r="M830" i="4" s="1"/>
  <c r="G821" i="4"/>
  <c r="H821" i="4" s="1"/>
  <c r="G874" i="4"/>
  <c r="G944" i="4"/>
  <c r="H944" i="4" s="1"/>
  <c r="G154" i="4"/>
  <c r="H154" i="4" s="1"/>
  <c r="L267" i="4"/>
  <c r="M267" i="4" s="1"/>
  <c r="G265" i="4"/>
  <c r="H265" i="4" s="1"/>
  <c r="G270" i="4"/>
  <c r="H270" i="4" s="1"/>
  <c r="H297" i="4"/>
  <c r="J371" i="4"/>
  <c r="G382" i="4"/>
  <c r="H382" i="4" s="1"/>
  <c r="G388" i="4"/>
  <c r="H388" i="4" s="1"/>
  <c r="K740" i="4"/>
  <c r="G761" i="4"/>
  <c r="H761" i="4" s="1"/>
  <c r="G776" i="4"/>
  <c r="H776" i="4" s="1"/>
  <c r="G785" i="4"/>
  <c r="I935" i="4"/>
  <c r="J935" i="4" s="1"/>
  <c r="K935" i="4" s="1"/>
  <c r="H959" i="4"/>
  <c r="F375" i="4"/>
  <c r="G375" i="4" s="1"/>
  <c r="H375" i="4" s="1"/>
  <c r="L148" i="4"/>
  <c r="M148" i="4" s="1"/>
  <c r="J154" i="4"/>
  <c r="K154" i="4" s="1"/>
  <c r="L154" i="4" s="1"/>
  <c r="M154" i="4" s="1"/>
  <c r="K297" i="4"/>
  <c r="A424" i="4"/>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G929" i="4"/>
  <c r="H929" i="4" s="1"/>
  <c r="G937" i="4"/>
  <c r="H937" i="4" s="1"/>
  <c r="J944" i="4"/>
  <c r="K944" i="4" s="1"/>
  <c r="L944" i="4" s="1"/>
  <c r="M944" i="4" s="1"/>
  <c r="N944" i="4" s="1"/>
  <c r="H964" i="4"/>
  <c r="A256" i="4"/>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G279" i="4"/>
  <c r="J382" i="4"/>
  <c r="K382" i="4" s="1"/>
  <c r="L382" i="4" s="1"/>
  <c r="M382" i="4" s="1"/>
  <c r="K735" i="4"/>
  <c r="F711" i="4"/>
  <c r="G762" i="4"/>
  <c r="J768" i="4"/>
  <c r="K768" i="4" s="1"/>
  <c r="J825" i="4"/>
  <c r="K825" i="4" s="1"/>
  <c r="G839" i="4"/>
  <c r="J929" i="4"/>
  <c r="K929" i="4" s="1"/>
  <c r="F151" i="4"/>
  <c r="L432" i="4"/>
  <c r="M432" i="4" s="1"/>
  <c r="J155" i="4"/>
  <c r="K155" i="4" s="1"/>
  <c r="J167" i="4"/>
  <c r="G226" i="4"/>
  <c r="F207" i="4"/>
  <c r="G379" i="4"/>
  <c r="H379" i="4" s="1"/>
  <c r="L441" i="4"/>
  <c r="M441" i="4" s="1"/>
  <c r="N441" i="4" s="1"/>
  <c r="L592" i="4"/>
  <c r="M592" i="4" s="1"/>
  <c r="G779" i="4"/>
  <c r="H779" i="4" s="1"/>
  <c r="K969" i="4"/>
  <c r="G99" i="4"/>
  <c r="H99" i="4" s="1"/>
  <c r="J145" i="4"/>
  <c r="K145" i="4" s="1"/>
  <c r="I156" i="4"/>
  <c r="K156" i="4" s="1"/>
  <c r="J209" i="4"/>
  <c r="K209" i="4" s="1"/>
  <c r="G216" i="4"/>
  <c r="H216" i="4" s="1"/>
  <c r="G225" i="4"/>
  <c r="G261" i="4"/>
  <c r="H261" i="4" s="1"/>
  <c r="H262" i="4" s="1"/>
  <c r="G272" i="4"/>
  <c r="H272" i="4" s="1"/>
  <c r="G280" i="4"/>
  <c r="H280" i="4" s="1"/>
  <c r="J373" i="4"/>
  <c r="K373" i="4" s="1"/>
  <c r="J395" i="4"/>
  <c r="K395" i="4" s="1"/>
  <c r="J441" i="4"/>
  <c r="K441" i="4" s="1"/>
  <c r="K455" i="4"/>
  <c r="G483" i="4"/>
  <c r="G494" i="4"/>
  <c r="H494" i="4" s="1"/>
  <c r="G503" i="4"/>
  <c r="H503" i="4" s="1"/>
  <c r="L549" i="4"/>
  <c r="M549" i="4" s="1"/>
  <c r="J650" i="4"/>
  <c r="J656" i="4"/>
  <c r="K656" i="4" s="1"/>
  <c r="G664" i="4"/>
  <c r="H664" i="4" s="1"/>
  <c r="L664" i="4" s="1"/>
  <c r="M664" i="4" s="1"/>
  <c r="N664" i="4" s="1"/>
  <c r="G724" i="4"/>
  <c r="H724" i="4" s="1"/>
  <c r="J770" i="4"/>
  <c r="K770" i="4" s="1"/>
  <c r="L770" i="4" s="1"/>
  <c r="M770" i="4" s="1"/>
  <c r="H791" i="4"/>
  <c r="G817" i="4"/>
  <c r="H817" i="4" s="1"/>
  <c r="H822" i="4" s="1"/>
  <c r="J826" i="4"/>
  <c r="K826" i="4" s="1"/>
  <c r="J839" i="4"/>
  <c r="K839" i="4" s="1"/>
  <c r="G675" i="4"/>
  <c r="H675" i="4" s="1"/>
  <c r="G146" i="4"/>
  <c r="J168" i="4"/>
  <c r="G210" i="4"/>
  <c r="H210" i="4" s="1"/>
  <c r="J261" i="4"/>
  <c r="K261" i="4" s="1"/>
  <c r="L261" i="4" s="1"/>
  <c r="M261" i="4" s="1"/>
  <c r="J266" i="4"/>
  <c r="K266" i="4" s="1"/>
  <c r="L266" i="4" s="1"/>
  <c r="M266" i="4" s="1"/>
  <c r="J425" i="4"/>
  <c r="K425" i="4" s="1"/>
  <c r="J494" i="4"/>
  <c r="K494" i="4" s="1"/>
  <c r="G561" i="4"/>
  <c r="G651" i="4"/>
  <c r="G657" i="4"/>
  <c r="H657" i="4" s="1"/>
  <c r="I711" i="4"/>
  <c r="J711" i="4" s="1"/>
  <c r="K711" i="4" s="1"/>
  <c r="J763" i="4"/>
  <c r="K791" i="4"/>
  <c r="L791" i="4" s="1"/>
  <c r="G819" i="4"/>
  <c r="G840" i="4"/>
  <c r="H840" i="4" s="1"/>
  <c r="L277" i="4"/>
  <c r="M277" i="4" s="1"/>
  <c r="F487" i="4"/>
  <c r="L211" i="4"/>
  <c r="M211" i="4" s="1"/>
  <c r="G93" i="4"/>
  <c r="H93" i="4" s="1"/>
  <c r="A200" i="4"/>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G217" i="4"/>
  <c r="H217" i="4" s="1"/>
  <c r="L217" i="4" s="1"/>
  <c r="M217" i="4" s="1"/>
  <c r="N217" i="4" s="1"/>
  <c r="G257" i="4"/>
  <c r="H257" i="4" s="1"/>
  <c r="J273" i="4"/>
  <c r="K273" i="4" s="1"/>
  <c r="H353" i="4"/>
  <c r="F319" i="4"/>
  <c r="G319" i="4" s="1"/>
  <c r="H319" i="4" s="1"/>
  <c r="G376" i="4"/>
  <c r="H376" i="4" s="1"/>
  <c r="G384" i="4"/>
  <c r="H384" i="4" s="1"/>
  <c r="I375" i="4"/>
  <c r="G426" i="4"/>
  <c r="L536" i="4"/>
  <c r="M536" i="4" s="1"/>
  <c r="J651" i="4"/>
  <c r="J657" i="4"/>
  <c r="K657" i="4" s="1"/>
  <c r="L657" i="4" s="1"/>
  <c r="M657" i="4" s="1"/>
  <c r="J771" i="4"/>
  <c r="K771" i="4" s="1"/>
  <c r="G780" i="4"/>
  <c r="H780" i="4" s="1"/>
  <c r="H801" i="4"/>
  <c r="L829" i="4"/>
  <c r="M829" i="4" s="1"/>
  <c r="I940" i="4"/>
  <c r="K940" i="4" s="1"/>
  <c r="L940" i="4" s="1"/>
  <c r="M940" i="4" s="1"/>
  <c r="H486" i="3"/>
  <c r="J259" i="3"/>
  <c r="G270" i="3"/>
  <c r="H270" i="3" s="1"/>
  <c r="L312" i="3"/>
  <c r="M312" i="3" s="1"/>
  <c r="F319" i="3"/>
  <c r="G319" i="3" s="1"/>
  <c r="H319" i="3" s="1"/>
  <c r="G326" i="3"/>
  <c r="H326" i="3" s="1"/>
  <c r="L389" i="3"/>
  <c r="M389" i="3" s="1"/>
  <c r="J435" i="3"/>
  <c r="K435" i="3" s="1"/>
  <c r="L445" i="3"/>
  <c r="M445" i="3" s="1"/>
  <c r="J490" i="3"/>
  <c r="K490" i="3" s="1"/>
  <c r="J496" i="3"/>
  <c r="K496" i="3" s="1"/>
  <c r="G547" i="3"/>
  <c r="H547" i="3" s="1"/>
  <c r="F660" i="3"/>
  <c r="H660" i="3" s="1"/>
  <c r="I660" i="3"/>
  <c r="K660" i="3" s="1"/>
  <c r="L660" i="3" s="1"/>
  <c r="M660" i="3" s="1"/>
  <c r="J662" i="3"/>
  <c r="K662" i="3" s="1"/>
  <c r="G706" i="3"/>
  <c r="F711" i="3"/>
  <c r="G711" i="3" s="1"/>
  <c r="H711" i="3" s="1"/>
  <c r="K772" i="3"/>
  <c r="I772" i="3"/>
  <c r="J763" i="3"/>
  <c r="G827" i="3"/>
  <c r="H827" i="3" s="1"/>
  <c r="G898" i="3"/>
  <c r="H898" i="3" s="1"/>
  <c r="L88" i="3"/>
  <c r="M88" i="3" s="1"/>
  <c r="L144" i="3"/>
  <c r="M144" i="3" s="1"/>
  <c r="L328" i="3"/>
  <c r="M328" i="3" s="1"/>
  <c r="N328" i="3" s="1"/>
  <c r="G105" i="3"/>
  <c r="H105" i="3" s="1"/>
  <c r="J217" i="3"/>
  <c r="K217" i="3" s="1"/>
  <c r="I268" i="3"/>
  <c r="K268" i="3" s="1"/>
  <c r="L268" i="3" s="1"/>
  <c r="M268" i="3" s="1"/>
  <c r="G283" i="3"/>
  <c r="H283" i="3" s="1"/>
  <c r="G313" i="3"/>
  <c r="H313" i="3" s="1"/>
  <c r="G320" i="3"/>
  <c r="H320" i="3" s="1"/>
  <c r="G500" i="3"/>
  <c r="H500" i="3" s="1"/>
  <c r="L484" i="3"/>
  <c r="M484" i="3" s="1"/>
  <c r="G497" i="3"/>
  <c r="H497" i="3" s="1"/>
  <c r="G541" i="3"/>
  <c r="H541" i="3" s="1"/>
  <c r="F599" i="3"/>
  <c r="G599" i="3" s="1"/>
  <c r="H599" i="3" s="1"/>
  <c r="K740" i="3"/>
  <c r="I716" i="3"/>
  <c r="J706" i="3"/>
  <c r="G712" i="3"/>
  <c r="H712" i="3" s="1"/>
  <c r="L712" i="3" s="1"/>
  <c r="M712" i="3" s="1"/>
  <c r="L717" i="3"/>
  <c r="M717" i="3" s="1"/>
  <c r="L781" i="3"/>
  <c r="M781" i="3" s="1"/>
  <c r="G833" i="3"/>
  <c r="H833" i="3" s="1"/>
  <c r="A872" i="3"/>
  <c r="A873" i="3" s="1"/>
  <c r="A874" i="3" s="1"/>
  <c r="A875" i="3" s="1"/>
  <c r="A876" i="3" s="1"/>
  <c r="A877" i="3" s="1"/>
  <c r="A878" i="3" s="1"/>
  <c r="A879" i="3" s="1"/>
  <c r="A880" i="3" s="1"/>
  <c r="A881" i="3" s="1"/>
  <c r="A882" i="3" s="1"/>
  <c r="A883" i="3" s="1"/>
  <c r="A884" i="3" s="1"/>
  <c r="A885" i="3" s="1"/>
  <c r="A886" i="3" s="1"/>
  <c r="A887" i="3" s="1"/>
  <c r="A888" i="3" s="1"/>
  <c r="A889" i="3" s="1"/>
  <c r="A890" i="3" s="1"/>
  <c r="A891" i="3" s="1"/>
  <c r="A892" i="3" s="1"/>
  <c r="A893" i="3" s="1"/>
  <c r="A894" i="3" s="1"/>
  <c r="A895" i="3" s="1"/>
  <c r="A896" i="3" s="1"/>
  <c r="A897" i="3" s="1"/>
  <c r="A898" i="3" s="1"/>
  <c r="A899" i="3" s="1"/>
  <c r="A900" i="3" s="1"/>
  <c r="A901" i="3" s="1"/>
  <c r="A902" i="3" s="1"/>
  <c r="A903" i="3" s="1"/>
  <c r="A904" i="3" s="1"/>
  <c r="A905" i="3" s="1"/>
  <c r="A906" i="3" s="1"/>
  <c r="A907" i="3" s="1"/>
  <c r="A908" i="3" s="1"/>
  <c r="A909" i="3" s="1"/>
  <c r="A910" i="3" s="1"/>
  <c r="A911" i="3" s="1"/>
  <c r="A912" i="3" s="1"/>
  <c r="A913" i="3" s="1"/>
  <c r="A914" i="3" s="1"/>
  <c r="A915" i="3" s="1"/>
  <c r="G899" i="3"/>
  <c r="H899" i="3" s="1"/>
  <c r="J272" i="3"/>
  <c r="K272" i="3" s="1"/>
  <c r="H287" i="3"/>
  <c r="G314" i="3"/>
  <c r="J320" i="3"/>
  <c r="K320" i="3" s="1"/>
  <c r="L320" i="3" s="1"/>
  <c r="M320" i="3" s="1"/>
  <c r="A480" i="3"/>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G504" i="3"/>
  <c r="H504" i="3" s="1"/>
  <c r="J547" i="3"/>
  <c r="K547" i="3" s="1"/>
  <c r="L547" i="3" s="1"/>
  <c r="M547" i="3" s="1"/>
  <c r="G617" i="3"/>
  <c r="H617" i="3" s="1"/>
  <c r="I599" i="3"/>
  <c r="J771" i="3"/>
  <c r="K771" i="3" s="1"/>
  <c r="L287" i="3"/>
  <c r="G315" i="3"/>
  <c r="J321" i="3"/>
  <c r="K321" i="3" s="1"/>
  <c r="G328" i="3"/>
  <c r="H328" i="3" s="1"/>
  <c r="G426" i="3"/>
  <c r="L497" i="3"/>
  <c r="M497" i="3" s="1"/>
  <c r="N497" i="3" s="1"/>
  <c r="J504" i="3"/>
  <c r="L541" i="3"/>
  <c r="M541" i="3" s="1"/>
  <c r="G787" i="3"/>
  <c r="H787" i="3" s="1"/>
  <c r="I767" i="3"/>
  <c r="J767" i="3" s="1"/>
  <c r="K767" i="3" s="1"/>
  <c r="L767" i="3" s="1"/>
  <c r="M767" i="3" s="1"/>
  <c r="F212" i="3"/>
  <c r="H212" i="3" s="1"/>
  <c r="I212" i="3"/>
  <c r="K212" i="3" s="1"/>
  <c r="A200" i="3"/>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I95" i="3"/>
  <c r="G107" i="3"/>
  <c r="H107" i="3" s="1"/>
  <c r="I151" i="3"/>
  <c r="L165" i="3"/>
  <c r="M165" i="3" s="1"/>
  <c r="J315" i="3"/>
  <c r="G322" i="3"/>
  <c r="H322" i="3" s="1"/>
  <c r="J329" i="3"/>
  <c r="K329" i="3" s="1"/>
  <c r="G427" i="3"/>
  <c r="G438" i="3"/>
  <c r="H438" i="3" s="1"/>
  <c r="L480" i="3"/>
  <c r="M480" i="3" s="1"/>
  <c r="L549" i="3"/>
  <c r="M549" i="3" s="1"/>
  <c r="G601" i="3"/>
  <c r="H601" i="3" s="1"/>
  <c r="G656" i="3"/>
  <c r="H656" i="3" s="1"/>
  <c r="G730" i="3"/>
  <c r="H730" i="3" s="1"/>
  <c r="I711" i="3"/>
  <c r="L725" i="3"/>
  <c r="M725" i="3" s="1"/>
  <c r="L764" i="3"/>
  <c r="M764" i="3" s="1"/>
  <c r="G784" i="3"/>
  <c r="H784" i="3" s="1"/>
  <c r="G93" i="3"/>
  <c r="H93" i="3" s="1"/>
  <c r="J322" i="3"/>
  <c r="K322" i="3" s="1"/>
  <c r="K436" i="3"/>
  <c r="L436" i="3" s="1"/>
  <c r="M436" i="3" s="1"/>
  <c r="I436" i="3"/>
  <c r="J427" i="3"/>
  <c r="J438" i="3"/>
  <c r="K438" i="3" s="1"/>
  <c r="K455" i="3"/>
  <c r="G505" i="3"/>
  <c r="G550" i="3"/>
  <c r="H550" i="3" s="1"/>
  <c r="J601" i="3"/>
  <c r="K601" i="3" s="1"/>
  <c r="G657" i="3"/>
  <c r="H657" i="3" s="1"/>
  <c r="J713" i="3"/>
  <c r="K713" i="3" s="1"/>
  <c r="G720" i="3"/>
  <c r="H720" i="3" s="1"/>
  <c r="G765" i="3"/>
  <c r="H765" i="3" s="1"/>
  <c r="L932" i="3"/>
  <c r="M932" i="3" s="1"/>
  <c r="L949" i="3"/>
  <c r="M949" i="3" s="1"/>
  <c r="G201" i="3"/>
  <c r="H201" i="3" s="1"/>
  <c r="G282" i="3"/>
  <c r="H282" i="3" s="1"/>
  <c r="J261" i="3"/>
  <c r="K261" i="3" s="1"/>
  <c r="G276" i="3"/>
  <c r="H276" i="3" s="1"/>
  <c r="G323" i="3"/>
  <c r="H323" i="3" s="1"/>
  <c r="L323" i="3" s="1"/>
  <c r="M323" i="3" s="1"/>
  <c r="I375" i="3"/>
  <c r="K460" i="3"/>
  <c r="G494" i="3"/>
  <c r="H494" i="3" s="1"/>
  <c r="J505" i="3"/>
  <c r="K505" i="3" s="1"/>
  <c r="G539" i="3"/>
  <c r="J544" i="3"/>
  <c r="K544" i="3" s="1"/>
  <c r="G602" i="3"/>
  <c r="H602" i="3" s="1"/>
  <c r="G616" i="3"/>
  <c r="J657" i="3"/>
  <c r="K657" i="3" s="1"/>
  <c r="L669" i="3"/>
  <c r="M669" i="3" s="1"/>
  <c r="G721" i="3"/>
  <c r="H721" i="3" s="1"/>
  <c r="L721" i="3" s="1"/>
  <c r="M721" i="3" s="1"/>
  <c r="N721" i="3" s="1"/>
  <c r="G776" i="3"/>
  <c r="H776" i="3" s="1"/>
  <c r="H801" i="3"/>
  <c r="J874" i="3"/>
  <c r="J882" i="3"/>
  <c r="K882" i="3" s="1"/>
  <c r="L882" i="3" s="1"/>
  <c r="M882" i="3" s="1"/>
  <c r="G933" i="3"/>
  <c r="H933" i="3" s="1"/>
  <c r="L221" i="3"/>
  <c r="M221" i="3" s="1"/>
  <c r="G317" i="3"/>
  <c r="H317" i="3" s="1"/>
  <c r="J545" i="3"/>
  <c r="K545" i="3" s="1"/>
  <c r="L605" i="3"/>
  <c r="M605" i="3" s="1"/>
  <c r="J649" i="3"/>
  <c r="K649" i="3" s="1"/>
  <c r="G671" i="3"/>
  <c r="H710" i="3"/>
  <c r="G731" i="3"/>
  <c r="H731" i="3" s="1"/>
  <c r="G892" i="3"/>
  <c r="H892" i="3" s="1"/>
  <c r="H948" i="3"/>
  <c r="L941" i="3"/>
  <c r="M941" i="3" s="1"/>
  <c r="G952" i="3"/>
  <c r="J883" i="3"/>
  <c r="K883" i="3" s="1"/>
  <c r="L883" i="3" s="1"/>
  <c r="M883" i="3" s="1"/>
  <c r="F935" i="3"/>
  <c r="G935" i="3" s="1"/>
  <c r="H935" i="3" s="1"/>
  <c r="G337" i="3"/>
  <c r="L333" i="3"/>
  <c r="M333" i="3" s="1"/>
  <c r="L368" i="3"/>
  <c r="M368" i="3" s="1"/>
  <c r="J553" i="3"/>
  <c r="K553" i="3" s="1"/>
  <c r="G593" i="3"/>
  <c r="H593" i="3" s="1"/>
  <c r="L593" i="3" s="1"/>
  <c r="M593" i="3" s="1"/>
  <c r="J619" i="3"/>
  <c r="K619" i="3" s="1"/>
  <c r="J709" i="3"/>
  <c r="K709" i="3" s="1"/>
  <c r="L709" i="3" s="1"/>
  <c r="M709" i="3" s="1"/>
  <c r="J715" i="3"/>
  <c r="K715" i="3" s="1"/>
  <c r="L715" i="3" s="1"/>
  <c r="M715" i="3" s="1"/>
  <c r="H745" i="3"/>
  <c r="J761" i="3"/>
  <c r="K761" i="3" s="1"/>
  <c r="L761" i="3" s="1"/>
  <c r="M761" i="3" s="1"/>
  <c r="J769" i="3"/>
  <c r="K769" i="3" s="1"/>
  <c r="G779" i="3"/>
  <c r="H779" i="3" s="1"/>
  <c r="G936" i="3"/>
  <c r="H936" i="3" s="1"/>
  <c r="G944" i="3"/>
  <c r="H944" i="3" s="1"/>
  <c r="J369" i="3"/>
  <c r="K369" i="3" s="1"/>
  <c r="J503" i="3"/>
  <c r="K503" i="3" s="1"/>
  <c r="I487" i="3"/>
  <c r="G490" i="3"/>
  <c r="H490" i="3" s="1"/>
  <c r="L490" i="3" s="1"/>
  <c r="M490" i="3" s="1"/>
  <c r="G503" i="3"/>
  <c r="H503" i="3" s="1"/>
  <c r="L503" i="3" s="1"/>
  <c r="M503" i="3" s="1"/>
  <c r="G673" i="3"/>
  <c r="G723" i="3"/>
  <c r="H723" i="3" s="1"/>
  <c r="G770" i="3"/>
  <c r="H770" i="3" s="1"/>
  <c r="L770" i="3" s="1"/>
  <c r="M770" i="3" s="1"/>
  <c r="I823" i="3"/>
  <c r="G929" i="3"/>
  <c r="H929" i="3" s="1"/>
  <c r="J936" i="3"/>
  <c r="K936" i="3" s="1"/>
  <c r="G945" i="3"/>
  <c r="H945" i="3" s="1"/>
  <c r="L492" i="4"/>
  <c r="M492" i="4" s="1"/>
  <c r="H337" i="3"/>
  <c r="K167" i="4"/>
  <c r="K841" i="4"/>
  <c r="H223" i="3"/>
  <c r="F95" i="3"/>
  <c r="G95" i="3" s="1"/>
  <c r="H95" i="3" s="1"/>
  <c r="L324" i="4"/>
  <c r="M324" i="4" s="1"/>
  <c r="H391" i="4"/>
  <c r="H225" i="4"/>
  <c r="L837" i="3"/>
  <c r="M837" i="3" s="1"/>
  <c r="L768" i="4"/>
  <c r="M768" i="4" s="1"/>
  <c r="L381" i="3"/>
  <c r="M381" i="3" s="1"/>
  <c r="L277" i="3"/>
  <c r="M277" i="3" s="1"/>
  <c r="L157" i="3"/>
  <c r="M157" i="3" s="1"/>
  <c r="L92" i="3"/>
  <c r="M92" i="3" s="1"/>
  <c r="L949" i="4"/>
  <c r="M949" i="4" s="1"/>
  <c r="H954" i="4"/>
  <c r="L941" i="4"/>
  <c r="M941" i="4" s="1"/>
  <c r="L876" i="4"/>
  <c r="M876" i="4" s="1"/>
  <c r="H839" i="4"/>
  <c r="L826" i="4"/>
  <c r="M826" i="4" s="1"/>
  <c r="H828" i="4"/>
  <c r="L820" i="4"/>
  <c r="M820" i="4" s="1"/>
  <c r="G767" i="4"/>
  <c r="H767" i="4" s="1"/>
  <c r="H785" i="4"/>
  <c r="H787" i="4"/>
  <c r="L773" i="4"/>
  <c r="M773" i="4" s="1"/>
  <c r="L717" i="4"/>
  <c r="M717" i="4" s="1"/>
  <c r="L725" i="4"/>
  <c r="M725" i="4" s="1"/>
  <c r="H654" i="4"/>
  <c r="L652" i="4"/>
  <c r="M652" i="4" s="1"/>
  <c r="L604" i="4"/>
  <c r="M604" i="4" s="1"/>
  <c r="L605" i="4"/>
  <c r="M605" i="4" s="1"/>
  <c r="L489" i="4"/>
  <c r="M489" i="4" s="1"/>
  <c r="L497" i="4"/>
  <c r="M497" i="4" s="1"/>
  <c r="N497" i="4" s="1"/>
  <c r="L484" i="4"/>
  <c r="M484" i="4" s="1"/>
  <c r="L437" i="4"/>
  <c r="M437" i="4" s="1"/>
  <c r="L372" i="4"/>
  <c r="M372" i="4" s="1"/>
  <c r="L389" i="4"/>
  <c r="M389" i="4" s="1"/>
  <c r="L325" i="4"/>
  <c r="M325" i="4" s="1"/>
  <c r="L316" i="4"/>
  <c r="M316" i="4" s="1"/>
  <c r="L265" i="4"/>
  <c r="M265" i="4" s="1"/>
  <c r="G263" i="4"/>
  <c r="H263" i="4" s="1"/>
  <c r="L263" i="4" s="1"/>
  <c r="M263" i="4" s="1"/>
  <c r="H283" i="4"/>
  <c r="H279" i="4"/>
  <c r="H281" i="4"/>
  <c r="L260" i="4"/>
  <c r="M260" i="4" s="1"/>
  <c r="L264" i="4"/>
  <c r="M264" i="4" s="1"/>
  <c r="H226" i="4"/>
  <c r="L208" i="4"/>
  <c r="M208" i="4" s="1"/>
  <c r="H206" i="4"/>
  <c r="L156" i="4"/>
  <c r="M156" i="4" s="1"/>
  <c r="L157" i="4"/>
  <c r="M157" i="4" s="1"/>
  <c r="L109" i="4"/>
  <c r="M109" i="4" s="1"/>
  <c r="L100" i="4"/>
  <c r="M100" i="4" s="1"/>
  <c r="L92" i="4"/>
  <c r="M92" i="4" s="1"/>
  <c r="L88" i="4"/>
  <c r="M88" i="4" s="1"/>
  <c r="A91" i="4"/>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K74" i="4"/>
  <c r="H74" i="4"/>
  <c r="O74" i="4"/>
  <c r="N74" i="4"/>
  <c r="M74" i="4"/>
  <c r="L74" i="4"/>
  <c r="J74" i="4"/>
  <c r="I74" i="4"/>
  <c r="J225" i="4"/>
  <c r="K225" i="4" s="1"/>
  <c r="J226" i="4"/>
  <c r="K226" i="4" s="1"/>
  <c r="J223" i="4"/>
  <c r="K223" i="4" s="1"/>
  <c r="H71" i="4"/>
  <c r="M71" i="4"/>
  <c r="L71" i="4"/>
  <c r="K71" i="4"/>
  <c r="J71" i="4"/>
  <c r="I71" i="4"/>
  <c r="O71" i="4"/>
  <c r="N71" i="4"/>
  <c r="L312" i="4"/>
  <c r="M312" i="4" s="1"/>
  <c r="I72" i="4"/>
  <c r="N72" i="4"/>
  <c r="O72" i="4"/>
  <c r="M72" i="4"/>
  <c r="L72" i="4"/>
  <c r="K72" i="4"/>
  <c r="J72" i="4"/>
  <c r="H72" i="4"/>
  <c r="J146" i="4"/>
  <c r="J152" i="4"/>
  <c r="K152" i="4" s="1"/>
  <c r="G155" i="4"/>
  <c r="H155" i="4" s="1"/>
  <c r="J158" i="4"/>
  <c r="K158" i="4" s="1"/>
  <c r="L270" i="4"/>
  <c r="M270" i="4" s="1"/>
  <c r="G320" i="4"/>
  <c r="H320" i="4" s="1"/>
  <c r="J73" i="4"/>
  <c r="O73" i="4"/>
  <c r="E139" i="4"/>
  <c r="J163" i="4" s="1"/>
  <c r="K163" i="4" s="1"/>
  <c r="G317" i="4"/>
  <c r="H317" i="4" s="1"/>
  <c r="J339" i="4"/>
  <c r="K339" i="4" s="1"/>
  <c r="H73" i="4"/>
  <c r="H94" i="4"/>
  <c r="J93" i="4"/>
  <c r="K93" i="4" s="1"/>
  <c r="L93" i="4" s="1"/>
  <c r="M93" i="4" s="1"/>
  <c r="I95" i="4"/>
  <c r="J95" i="4" s="1"/>
  <c r="K95" i="4" s="1"/>
  <c r="J104" i="4"/>
  <c r="K104" i="4" s="1"/>
  <c r="J108" i="4"/>
  <c r="K108" i="4" s="1"/>
  <c r="G111" i="4"/>
  <c r="H111" i="4" s="1"/>
  <c r="G113" i="4"/>
  <c r="H113" i="4" s="1"/>
  <c r="G115" i="4"/>
  <c r="H115" i="4" s="1"/>
  <c r="J313" i="4"/>
  <c r="K313" i="4" s="1"/>
  <c r="J317" i="4"/>
  <c r="K317" i="4" s="1"/>
  <c r="L395" i="4"/>
  <c r="M395" i="4" s="1"/>
  <c r="E811" i="4"/>
  <c r="J823" i="4" s="1"/>
  <c r="K823" i="4" s="1"/>
  <c r="J667" i="4"/>
  <c r="K667" i="4" s="1"/>
  <c r="J672" i="4"/>
  <c r="K672" i="4" s="1"/>
  <c r="L672" i="4" s="1"/>
  <c r="M672" i="4" s="1"/>
  <c r="I73" i="4"/>
  <c r="J97" i="4"/>
  <c r="K97" i="4" s="1"/>
  <c r="L97" i="4" s="1"/>
  <c r="M97" i="4" s="1"/>
  <c r="L221" i="4"/>
  <c r="M221" i="4" s="1"/>
  <c r="E251" i="4"/>
  <c r="L268" i="4"/>
  <c r="M268" i="4" s="1"/>
  <c r="J336" i="4"/>
  <c r="K336" i="4" s="1"/>
  <c r="A368" i="4"/>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L455" i="3"/>
  <c r="H616" i="3"/>
  <c r="K73" i="4"/>
  <c r="J91" i="4"/>
  <c r="G102" i="4"/>
  <c r="H102" i="4" s="1"/>
  <c r="L200" i="4"/>
  <c r="M200" i="4" s="1"/>
  <c r="L368" i="4"/>
  <c r="M368" i="4" s="1"/>
  <c r="H671" i="3"/>
  <c r="K224" i="3"/>
  <c r="J728" i="4"/>
  <c r="K728" i="4" s="1"/>
  <c r="J731" i="4"/>
  <c r="K731" i="4" s="1"/>
  <c r="L73" i="4"/>
  <c r="G107" i="4"/>
  <c r="H107" i="4" s="1"/>
  <c r="J113" i="4"/>
  <c r="K113" i="4" s="1"/>
  <c r="L144" i="4"/>
  <c r="M144" i="4" s="1"/>
  <c r="K150" i="4"/>
  <c r="L216" i="4"/>
  <c r="M216" i="4" s="1"/>
  <c r="N216" i="4" s="1"/>
  <c r="J331" i="4"/>
  <c r="K331" i="4" s="1"/>
  <c r="L333" i="4"/>
  <c r="M333" i="4" s="1"/>
  <c r="G337" i="4"/>
  <c r="H337" i="4" s="1"/>
  <c r="M73" i="4"/>
  <c r="I212" i="4"/>
  <c r="K212" i="4" s="1"/>
  <c r="L212" i="4" s="1"/>
  <c r="M212" i="4" s="1"/>
  <c r="L256" i="4"/>
  <c r="M256" i="4" s="1"/>
  <c r="J337" i="4"/>
  <c r="K337" i="4" s="1"/>
  <c r="G336" i="4"/>
  <c r="H336" i="4" s="1"/>
  <c r="J335" i="4"/>
  <c r="K335" i="4" s="1"/>
  <c r="K348" i="4"/>
  <c r="J322" i="4"/>
  <c r="K322" i="4" s="1"/>
  <c r="K343" i="4"/>
  <c r="G322" i="4"/>
  <c r="H322" i="4" s="1"/>
  <c r="H343" i="4"/>
  <c r="G331" i="4"/>
  <c r="H331" i="4" s="1"/>
  <c r="G335" i="4"/>
  <c r="H335" i="4" s="1"/>
  <c r="J332" i="4"/>
  <c r="K332" i="4" s="1"/>
  <c r="J338" i="4"/>
  <c r="K338" i="4" s="1"/>
  <c r="I319" i="4"/>
  <c r="J319" i="4" s="1"/>
  <c r="K319" i="4" s="1"/>
  <c r="H348" i="4"/>
  <c r="G447" i="4"/>
  <c r="H447" i="4" s="1"/>
  <c r="I431" i="4"/>
  <c r="J431" i="4" s="1"/>
  <c r="K431" i="4" s="1"/>
  <c r="G450" i="4"/>
  <c r="H450" i="4" s="1"/>
  <c r="J449" i="4"/>
  <c r="K449" i="4" s="1"/>
  <c r="J443" i="4"/>
  <c r="K443" i="4" s="1"/>
  <c r="J444" i="4"/>
  <c r="K444" i="4" s="1"/>
  <c r="L444" i="4" s="1"/>
  <c r="M444" i="4" s="1"/>
  <c r="G448" i="4"/>
  <c r="H448" i="4" s="1"/>
  <c r="G431" i="4"/>
  <c r="H431" i="4" s="1"/>
  <c r="J451" i="4"/>
  <c r="K451" i="4" s="1"/>
  <c r="G449" i="4"/>
  <c r="H449" i="4" s="1"/>
  <c r="G443" i="4"/>
  <c r="H443" i="4" s="1"/>
  <c r="G451" i="4"/>
  <c r="H451" i="4" s="1"/>
  <c r="J434" i="4"/>
  <c r="K434" i="4" s="1"/>
  <c r="L434" i="4" s="1"/>
  <c r="M434" i="4" s="1"/>
  <c r="G434" i="4"/>
  <c r="H434" i="4" s="1"/>
  <c r="E419" i="4"/>
  <c r="J450" i="4" s="1"/>
  <c r="K450" i="4" s="1"/>
  <c r="N73" i="4"/>
  <c r="J329" i="4"/>
  <c r="K329" i="4" s="1"/>
  <c r="G315" i="4"/>
  <c r="G328" i="4"/>
  <c r="H328" i="4" s="1"/>
  <c r="J326" i="4"/>
  <c r="K326" i="4" s="1"/>
  <c r="J320" i="4"/>
  <c r="K320" i="4" s="1"/>
  <c r="J328" i="4"/>
  <c r="K328" i="4" s="1"/>
  <c r="J321" i="4"/>
  <c r="K321" i="4" s="1"/>
  <c r="G313" i="4"/>
  <c r="H313" i="4" s="1"/>
  <c r="G329" i="4"/>
  <c r="H329" i="4" s="1"/>
  <c r="G323" i="4"/>
  <c r="H323" i="4" s="1"/>
  <c r="G321" i="4"/>
  <c r="H321" i="4" s="1"/>
  <c r="J315" i="4"/>
  <c r="G314" i="4"/>
  <c r="H560" i="3"/>
  <c r="K617" i="3"/>
  <c r="H952" i="3"/>
  <c r="J105" i="4"/>
  <c r="K105" i="4" s="1"/>
  <c r="L105" i="4" s="1"/>
  <c r="M105" i="4" s="1"/>
  <c r="N105" i="4" s="1"/>
  <c r="K168" i="4"/>
  <c r="L210" i="4"/>
  <c r="M210" i="4" s="1"/>
  <c r="G338" i="4"/>
  <c r="H338" i="4" s="1"/>
  <c r="K374" i="4"/>
  <c r="L369" i="4"/>
  <c r="M369" i="4" s="1"/>
  <c r="L433" i="4"/>
  <c r="M433" i="4" s="1"/>
  <c r="J114" i="4"/>
  <c r="K114" i="4" s="1"/>
  <c r="J111" i="4"/>
  <c r="K111" i="4" s="1"/>
  <c r="J107" i="4"/>
  <c r="K107" i="4" s="1"/>
  <c r="J98" i="4"/>
  <c r="K98" i="4" s="1"/>
  <c r="L98" i="4" s="1"/>
  <c r="M98" i="4" s="1"/>
  <c r="G95" i="4"/>
  <c r="H95" i="4" s="1"/>
  <c r="J115" i="4"/>
  <c r="K115" i="4" s="1"/>
  <c r="J112" i="4"/>
  <c r="K112" i="4" s="1"/>
  <c r="J89" i="4"/>
  <c r="K89" i="4" s="1"/>
  <c r="L89" i="4" s="1"/>
  <c r="M89" i="4" s="1"/>
  <c r="J96" i="4"/>
  <c r="K96" i="4" s="1"/>
  <c r="L96" i="4" s="1"/>
  <c r="M96" i="4" s="1"/>
  <c r="G112" i="4"/>
  <c r="H112" i="4" s="1"/>
  <c r="J323" i="4"/>
  <c r="K323" i="4" s="1"/>
  <c r="L323" i="4" s="1"/>
  <c r="M323" i="4" s="1"/>
  <c r="G332" i="4"/>
  <c r="H332" i="4" s="1"/>
  <c r="J447" i="4"/>
  <c r="K447" i="4" s="1"/>
  <c r="J947" i="4"/>
  <c r="K947" i="4" s="1"/>
  <c r="J955" i="4"/>
  <c r="K955" i="4" s="1"/>
  <c r="J952" i="4"/>
  <c r="K952" i="4" s="1"/>
  <c r="J954" i="4"/>
  <c r="K954" i="4" s="1"/>
  <c r="J99" i="4"/>
  <c r="K99" i="4" s="1"/>
  <c r="L99" i="4" s="1"/>
  <c r="M99" i="4" s="1"/>
  <c r="G105" i="4"/>
  <c r="H105" i="4" s="1"/>
  <c r="J102" i="4"/>
  <c r="K102" i="4" s="1"/>
  <c r="G104" i="4"/>
  <c r="H104" i="4" s="1"/>
  <c r="G91" i="4"/>
  <c r="J169" i="4"/>
  <c r="K169" i="4" s="1"/>
  <c r="L169" i="4" s="1"/>
  <c r="M169" i="4" s="1"/>
  <c r="G168" i="4"/>
  <c r="H168" i="4" s="1"/>
  <c r="G151" i="4"/>
  <c r="H151" i="4" s="1"/>
  <c r="G164" i="4"/>
  <c r="H164" i="4" s="1"/>
  <c r="G171" i="4"/>
  <c r="H171" i="4" s="1"/>
  <c r="G153" i="4"/>
  <c r="H153" i="4" s="1"/>
  <c r="I151" i="4"/>
  <c r="J147" i="4"/>
  <c r="G160" i="4"/>
  <c r="H160" i="4" s="1"/>
  <c r="G158" i="4"/>
  <c r="H158" i="4" s="1"/>
  <c r="G152" i="4"/>
  <c r="H152" i="4" s="1"/>
  <c r="G170" i="4"/>
  <c r="H170" i="4" s="1"/>
  <c r="L170" i="4" s="1"/>
  <c r="M170" i="4" s="1"/>
  <c r="G167" i="4"/>
  <c r="H167" i="4" s="1"/>
  <c r="L167" i="4" s="1"/>
  <c r="M167" i="4" s="1"/>
  <c r="G161" i="4"/>
  <c r="H161" i="4" s="1"/>
  <c r="J153" i="4"/>
  <c r="K153" i="4" s="1"/>
  <c r="L153" i="4" s="1"/>
  <c r="M153" i="4" s="1"/>
  <c r="G145" i="4"/>
  <c r="H145" i="4" s="1"/>
  <c r="G149" i="4"/>
  <c r="H149" i="4" s="1"/>
  <c r="L149" i="4" s="1"/>
  <c r="M149" i="4" s="1"/>
  <c r="L165" i="4"/>
  <c r="M165" i="4" s="1"/>
  <c r="G326" i="4"/>
  <c r="H326" i="4" s="1"/>
  <c r="J375" i="4"/>
  <c r="K375" i="4" s="1"/>
  <c r="I380" i="4"/>
  <c r="K380" i="4" s="1"/>
  <c r="L380" i="4" s="1"/>
  <c r="M380" i="4" s="1"/>
  <c r="J562" i="4"/>
  <c r="K562" i="4" s="1"/>
  <c r="J556" i="4"/>
  <c r="K556" i="4" s="1"/>
  <c r="J559" i="4"/>
  <c r="K559" i="4" s="1"/>
  <c r="J563" i="4"/>
  <c r="K563" i="4" s="1"/>
  <c r="J555" i="4"/>
  <c r="K555" i="4" s="1"/>
  <c r="J561" i="4"/>
  <c r="K561" i="4" s="1"/>
  <c r="J387" i="4"/>
  <c r="K387" i="4" s="1"/>
  <c r="J388" i="4"/>
  <c r="K388" i="4" s="1"/>
  <c r="L388" i="4" s="1"/>
  <c r="M388" i="4" s="1"/>
  <c r="J384" i="4"/>
  <c r="K384" i="4" s="1"/>
  <c r="L384" i="4" s="1"/>
  <c r="M384" i="4" s="1"/>
  <c r="N384" i="4" s="1"/>
  <c r="E755" i="4"/>
  <c r="E587" i="4"/>
  <c r="J612" i="4" s="1"/>
  <c r="K612" i="4" s="1"/>
  <c r="G108" i="4"/>
  <c r="H108" i="4" s="1"/>
  <c r="G227" i="4"/>
  <c r="H227" i="4" s="1"/>
  <c r="G224" i="4"/>
  <c r="H224" i="4" s="1"/>
  <c r="G220" i="4"/>
  <c r="H220" i="4" s="1"/>
  <c r="L214" i="4"/>
  <c r="M214" i="4" s="1"/>
  <c r="G339" i="4"/>
  <c r="H339" i="4" s="1"/>
  <c r="J161" i="4"/>
  <c r="K161" i="4" s="1"/>
  <c r="G147" i="4"/>
  <c r="J220" i="4"/>
  <c r="K220" i="4" s="1"/>
  <c r="L220" i="4" s="1"/>
  <c r="M220" i="4" s="1"/>
  <c r="J224" i="4"/>
  <c r="K224" i="4" s="1"/>
  <c r="J282" i="4"/>
  <c r="K282" i="4" s="1"/>
  <c r="G273" i="4"/>
  <c r="H273" i="4" s="1"/>
  <c r="L273" i="4" s="1"/>
  <c r="M273" i="4" s="1"/>
  <c r="N273" i="4" s="1"/>
  <c r="K292" i="4"/>
  <c r="G487" i="4"/>
  <c r="H487" i="4" s="1"/>
  <c r="J500" i="4"/>
  <c r="K500" i="4" s="1"/>
  <c r="J227" i="4"/>
  <c r="K227" i="4" s="1"/>
  <c r="J219" i="4"/>
  <c r="K219" i="4" s="1"/>
  <c r="G219" i="4"/>
  <c r="H219" i="4" s="1"/>
  <c r="G223" i="4"/>
  <c r="H223" i="4" s="1"/>
  <c r="J257" i="4"/>
  <c r="K257" i="4" s="1"/>
  <c r="L257" i="4" s="1"/>
  <c r="M257" i="4" s="1"/>
  <c r="K353" i="4"/>
  <c r="G505" i="4"/>
  <c r="H505" i="4" s="1"/>
  <c r="G490" i="4"/>
  <c r="H490" i="4" s="1"/>
  <c r="L490" i="4" s="1"/>
  <c r="M490" i="4" s="1"/>
  <c r="J503" i="4"/>
  <c r="K503" i="4" s="1"/>
  <c r="G499" i="4"/>
  <c r="H499" i="4" s="1"/>
  <c r="J506" i="4"/>
  <c r="K506" i="4" s="1"/>
  <c r="G506" i="4"/>
  <c r="H506" i="4" s="1"/>
  <c r="J504" i="4"/>
  <c r="K504" i="4" s="1"/>
  <c r="L504" i="4" s="1"/>
  <c r="M504" i="4" s="1"/>
  <c r="G500" i="4"/>
  <c r="H500" i="4" s="1"/>
  <c r="I487" i="4"/>
  <c r="J487" i="4" s="1"/>
  <c r="K487" i="4" s="1"/>
  <c r="J507" i="4"/>
  <c r="K507" i="4" s="1"/>
  <c r="G275" i="4"/>
  <c r="H275" i="4" s="1"/>
  <c r="G553" i="4"/>
  <c r="H553" i="4" s="1"/>
  <c r="J538" i="4"/>
  <c r="J550" i="4"/>
  <c r="K550" i="4" s="1"/>
  <c r="G544" i="4"/>
  <c r="H544" i="4" s="1"/>
  <c r="L544" i="4" s="1"/>
  <c r="M544" i="4" s="1"/>
  <c r="G537" i="4"/>
  <c r="H537" i="4" s="1"/>
  <c r="G547" i="4"/>
  <c r="H547" i="4" s="1"/>
  <c r="G545" i="4"/>
  <c r="H545" i="4" s="1"/>
  <c r="G541" i="4"/>
  <c r="H541" i="4" s="1"/>
  <c r="J552" i="4"/>
  <c r="K552" i="4" s="1"/>
  <c r="J541" i="4"/>
  <c r="K541" i="4" s="1"/>
  <c r="G552" i="4"/>
  <c r="H552" i="4" s="1"/>
  <c r="J537" i="4"/>
  <c r="K537" i="4" s="1"/>
  <c r="K542" i="4" s="1"/>
  <c r="J545" i="4"/>
  <c r="K545" i="4" s="1"/>
  <c r="J553" i="4"/>
  <c r="K553" i="4" s="1"/>
  <c r="J539" i="4"/>
  <c r="G550" i="4"/>
  <c r="H550" i="4" s="1"/>
  <c r="J547" i="4"/>
  <c r="K547" i="4" s="1"/>
  <c r="G539" i="4"/>
  <c r="G538" i="4"/>
  <c r="L445" i="4"/>
  <c r="M445" i="4" s="1"/>
  <c r="G608" i="4"/>
  <c r="H608" i="4" s="1"/>
  <c r="G593" i="4"/>
  <c r="H593" i="4" s="1"/>
  <c r="J603" i="4"/>
  <c r="K603" i="4" s="1"/>
  <c r="G600" i="4"/>
  <c r="H600" i="4" s="1"/>
  <c r="J597" i="4"/>
  <c r="K597" i="4" s="1"/>
  <c r="J606" i="4"/>
  <c r="K606" i="4" s="1"/>
  <c r="G601" i="4"/>
  <c r="H601" i="4" s="1"/>
  <c r="G606" i="4"/>
  <c r="H606" i="4" s="1"/>
  <c r="J600" i="4"/>
  <c r="K600" i="4" s="1"/>
  <c r="J595" i="4"/>
  <c r="G603" i="4"/>
  <c r="H603" i="4" s="1"/>
  <c r="H633" i="4"/>
  <c r="G595" i="4"/>
  <c r="G594" i="4"/>
  <c r="G609" i="4"/>
  <c r="H609" i="4" s="1"/>
  <c r="J608" i="4"/>
  <c r="K608" i="4" s="1"/>
  <c r="J601" i="4"/>
  <c r="K601" i="4" s="1"/>
  <c r="J593" i="4"/>
  <c r="K593" i="4" s="1"/>
  <c r="K598" i="4" s="1"/>
  <c r="G597" i="4"/>
  <c r="H597" i="4" s="1"/>
  <c r="G207" i="4"/>
  <c r="H207" i="4" s="1"/>
  <c r="L207" i="4" s="1"/>
  <c r="M207" i="4" s="1"/>
  <c r="J272" i="4"/>
  <c r="K272" i="4" s="1"/>
  <c r="L272" i="4" s="1"/>
  <c r="M272" i="4" s="1"/>
  <c r="N272" i="4" s="1"/>
  <c r="J391" i="4"/>
  <c r="K391" i="4" s="1"/>
  <c r="L391" i="4" s="1"/>
  <c r="M391" i="4" s="1"/>
  <c r="J393" i="4"/>
  <c r="K393" i="4" s="1"/>
  <c r="L393" i="4" s="1"/>
  <c r="M393" i="4" s="1"/>
  <c r="G392" i="4"/>
  <c r="H392" i="4" s="1"/>
  <c r="L392" i="4" s="1"/>
  <c r="M392" i="4" s="1"/>
  <c r="J385" i="4"/>
  <c r="K385" i="4" s="1"/>
  <c r="L385" i="4" s="1"/>
  <c r="M385" i="4" s="1"/>
  <c r="N385" i="4" s="1"/>
  <c r="G378" i="4"/>
  <c r="H378" i="4" s="1"/>
  <c r="J376" i="4"/>
  <c r="K376" i="4" s="1"/>
  <c r="L376" i="4" s="1"/>
  <c r="M376" i="4" s="1"/>
  <c r="G373" i="4"/>
  <c r="H373" i="4" s="1"/>
  <c r="H374" i="4" s="1"/>
  <c r="J370" i="4"/>
  <c r="J394" i="4"/>
  <c r="K394" i="4" s="1"/>
  <c r="J379" i="4"/>
  <c r="K379" i="4" s="1"/>
  <c r="L379" i="4" s="1"/>
  <c r="M379" i="4" s="1"/>
  <c r="J378" i="4"/>
  <c r="K378" i="4" s="1"/>
  <c r="I436" i="4"/>
  <c r="K436" i="4" s="1"/>
  <c r="H455" i="4"/>
  <c r="L455" i="4" s="1"/>
  <c r="K460" i="4"/>
  <c r="K465" i="4"/>
  <c r="H436" i="4"/>
  <c r="H465" i="4"/>
  <c r="J505" i="4"/>
  <c r="K505" i="4" s="1"/>
  <c r="J609" i="4"/>
  <c r="K609" i="4" s="1"/>
  <c r="L567" i="4"/>
  <c r="J438" i="4"/>
  <c r="K438" i="4" s="1"/>
  <c r="G425" i="4"/>
  <c r="H425" i="4" s="1"/>
  <c r="H430" i="4" s="1"/>
  <c r="J435" i="4"/>
  <c r="K435" i="4" s="1"/>
  <c r="L435" i="4" s="1"/>
  <c r="M435" i="4" s="1"/>
  <c r="J481" i="4"/>
  <c r="K481" i="4" s="1"/>
  <c r="J491" i="4"/>
  <c r="K491" i="4" s="1"/>
  <c r="G562" i="4"/>
  <c r="H562" i="4" s="1"/>
  <c r="K577" i="4"/>
  <c r="G615" i="4"/>
  <c r="H615" i="4" s="1"/>
  <c r="J618" i="4"/>
  <c r="K618" i="4" s="1"/>
  <c r="L760" i="4"/>
  <c r="M760" i="4" s="1"/>
  <c r="H561" i="4"/>
  <c r="L765" i="4"/>
  <c r="M765" i="4" s="1"/>
  <c r="J429" i="4"/>
  <c r="K429" i="4" s="1"/>
  <c r="L429" i="4" s="1"/>
  <c r="M429" i="4" s="1"/>
  <c r="G438" i="4"/>
  <c r="H438" i="4" s="1"/>
  <c r="J440" i="4"/>
  <c r="K440" i="4" s="1"/>
  <c r="L440" i="4" s="1"/>
  <c r="M440" i="4" s="1"/>
  <c r="N440" i="4" s="1"/>
  <c r="G488" i="4"/>
  <c r="H488" i="4" s="1"/>
  <c r="G496" i="4"/>
  <c r="H496" i="4" s="1"/>
  <c r="L496" i="4" s="1"/>
  <c r="M496" i="4" s="1"/>
  <c r="N496" i="4" s="1"/>
  <c r="J483" i="4"/>
  <c r="J488" i="4"/>
  <c r="K488" i="4" s="1"/>
  <c r="G485" i="4"/>
  <c r="H485" i="4" s="1"/>
  <c r="J482" i="4"/>
  <c r="J485" i="4"/>
  <c r="K485" i="4" s="1"/>
  <c r="L485" i="4" s="1"/>
  <c r="M485" i="4" s="1"/>
  <c r="A536" i="4"/>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K572" i="4"/>
  <c r="J615" i="4"/>
  <c r="K615" i="4" s="1"/>
  <c r="G619" i="4"/>
  <c r="H619" i="4" s="1"/>
  <c r="G835" i="4"/>
  <c r="H835" i="4" s="1"/>
  <c r="G832" i="4"/>
  <c r="H832" i="4" s="1"/>
  <c r="L557" i="4"/>
  <c r="M557" i="4" s="1"/>
  <c r="G563" i="4"/>
  <c r="H563" i="4" s="1"/>
  <c r="K633" i="4"/>
  <c r="L704" i="4"/>
  <c r="M704" i="4" s="1"/>
  <c r="G618" i="4"/>
  <c r="H618" i="4" s="1"/>
  <c r="J619" i="4"/>
  <c r="K619" i="4" s="1"/>
  <c r="G612" i="4"/>
  <c r="H612" i="4" s="1"/>
  <c r="J617" i="4"/>
  <c r="K617" i="4" s="1"/>
  <c r="J602" i="4"/>
  <c r="K602" i="4" s="1"/>
  <c r="L602" i="4" s="1"/>
  <c r="M602" i="4" s="1"/>
  <c r="J616" i="4"/>
  <c r="K616" i="4" s="1"/>
  <c r="L616" i="4" s="1"/>
  <c r="M616" i="4" s="1"/>
  <c r="G611" i="4"/>
  <c r="H611" i="4" s="1"/>
  <c r="G599" i="4"/>
  <c r="H599" i="4" s="1"/>
  <c r="J785" i="4"/>
  <c r="K785" i="4" s="1"/>
  <c r="H572" i="4"/>
  <c r="I548" i="4"/>
  <c r="K548" i="4" s="1"/>
  <c r="L548" i="4" s="1"/>
  <c r="M548" i="4" s="1"/>
  <c r="H577" i="4"/>
  <c r="I599" i="4"/>
  <c r="J599" i="4" s="1"/>
  <c r="K599" i="4" s="1"/>
  <c r="J201" i="4"/>
  <c r="K201" i="4" s="1"/>
  <c r="G209" i="4"/>
  <c r="H209" i="4" s="1"/>
  <c r="J377" i="4"/>
  <c r="K377" i="4" s="1"/>
  <c r="L377" i="4" s="1"/>
  <c r="M377" i="4" s="1"/>
  <c r="L428" i="4"/>
  <c r="M428" i="4" s="1"/>
  <c r="G481" i="4"/>
  <c r="H481" i="4" s="1"/>
  <c r="G491" i="4"/>
  <c r="H491" i="4" s="1"/>
  <c r="L546" i="4"/>
  <c r="M546" i="4" s="1"/>
  <c r="G617" i="4"/>
  <c r="H617" i="4" s="1"/>
  <c r="L712" i="4"/>
  <c r="M712" i="4" s="1"/>
  <c r="A648" i="4"/>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H660" i="4"/>
  <c r="L660" i="4" s="1"/>
  <c r="M660" i="4" s="1"/>
  <c r="G556" i="4"/>
  <c r="H556" i="4" s="1"/>
  <c r="G718" i="4"/>
  <c r="H718" i="4" s="1"/>
  <c r="J709" i="4"/>
  <c r="K709" i="4" s="1"/>
  <c r="L709" i="4" s="1"/>
  <c r="M709" i="4" s="1"/>
  <c r="J707" i="4"/>
  <c r="J721" i="4"/>
  <c r="K721" i="4" s="1"/>
  <c r="G707" i="4"/>
  <c r="G715" i="4"/>
  <c r="H715" i="4" s="1"/>
  <c r="G713" i="4"/>
  <c r="H713" i="4" s="1"/>
  <c r="G705" i="4"/>
  <c r="H705" i="4" s="1"/>
  <c r="H710" i="4" s="1"/>
  <c r="J718" i="4"/>
  <c r="K718" i="4" s="1"/>
  <c r="G720" i="4"/>
  <c r="H720" i="4" s="1"/>
  <c r="L720" i="4" s="1"/>
  <c r="M720" i="4" s="1"/>
  <c r="N720" i="4" s="1"/>
  <c r="J715" i="4"/>
  <c r="K715" i="4" s="1"/>
  <c r="L715" i="4" s="1"/>
  <c r="M715" i="4" s="1"/>
  <c r="J713" i="4"/>
  <c r="K713" i="4" s="1"/>
  <c r="J706" i="4"/>
  <c r="G721" i="4"/>
  <c r="H721" i="4" s="1"/>
  <c r="H740" i="4"/>
  <c r="L872" i="4"/>
  <c r="M872" i="4" s="1"/>
  <c r="L928" i="4"/>
  <c r="M928" i="4" s="1"/>
  <c r="K934" i="4"/>
  <c r="G667" i="4"/>
  <c r="H667" i="4" s="1"/>
  <c r="K628" i="4"/>
  <c r="H628" i="4"/>
  <c r="K623" i="4"/>
  <c r="A592" i="4"/>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L613" i="4"/>
  <c r="M613" i="4" s="1"/>
  <c r="H623" i="4"/>
  <c r="G673" i="4"/>
  <c r="H673" i="4" s="1"/>
  <c r="J674" i="4"/>
  <c r="K674" i="4" s="1"/>
  <c r="J675" i="4"/>
  <c r="K675" i="4" s="1"/>
  <c r="G668" i="4"/>
  <c r="H668" i="4" s="1"/>
  <c r="I655" i="4"/>
  <c r="J655" i="4" s="1"/>
  <c r="K655" i="4" s="1"/>
  <c r="L655" i="4" s="1"/>
  <c r="M655" i="4" s="1"/>
  <c r="G674" i="4"/>
  <c r="H674" i="4" s="1"/>
  <c r="J668" i="4"/>
  <c r="K668" i="4" s="1"/>
  <c r="G671" i="4"/>
  <c r="H671" i="4" s="1"/>
  <c r="A480" i="4"/>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J658" i="4"/>
  <c r="K658" i="4" s="1"/>
  <c r="L658" i="4" s="1"/>
  <c r="M658" i="4" s="1"/>
  <c r="J673" i="4"/>
  <c r="K673" i="4" s="1"/>
  <c r="J723" i="4"/>
  <c r="K723" i="4" s="1"/>
  <c r="J671" i="4"/>
  <c r="K671" i="4" s="1"/>
  <c r="J730" i="4"/>
  <c r="K730" i="4" s="1"/>
  <c r="G731" i="4"/>
  <c r="H731" i="4" s="1"/>
  <c r="J724" i="4"/>
  <c r="K724" i="4" s="1"/>
  <c r="L724" i="4" s="1"/>
  <c r="M724" i="4" s="1"/>
  <c r="G723" i="4"/>
  <c r="H723" i="4" s="1"/>
  <c r="J714" i="4"/>
  <c r="K714" i="4" s="1"/>
  <c r="G711" i="4"/>
  <c r="H711" i="4" s="1"/>
  <c r="L711" i="4" s="1"/>
  <c r="M711" i="4" s="1"/>
  <c r="J727" i="4"/>
  <c r="K727" i="4" s="1"/>
  <c r="G730" i="4"/>
  <c r="H730" i="4" s="1"/>
  <c r="G728" i="4"/>
  <c r="H728" i="4" s="1"/>
  <c r="J729" i="4"/>
  <c r="K729" i="4" s="1"/>
  <c r="G729" i="4"/>
  <c r="H729" i="4" s="1"/>
  <c r="G714" i="4"/>
  <c r="H714" i="4" s="1"/>
  <c r="G727" i="4"/>
  <c r="H727" i="4" s="1"/>
  <c r="J896" i="4"/>
  <c r="K896" i="4" s="1"/>
  <c r="L896" i="4" s="1"/>
  <c r="M896" i="4" s="1"/>
  <c r="G895" i="4"/>
  <c r="H895" i="4" s="1"/>
  <c r="J898" i="4"/>
  <c r="K898" i="4" s="1"/>
  <c r="J892" i="4"/>
  <c r="K892" i="4" s="1"/>
  <c r="L892" i="4" s="1"/>
  <c r="M892" i="4" s="1"/>
  <c r="G891" i="4"/>
  <c r="H891" i="4" s="1"/>
  <c r="J882" i="4"/>
  <c r="K882" i="4" s="1"/>
  <c r="J895" i="4"/>
  <c r="K895" i="4" s="1"/>
  <c r="G879" i="4"/>
  <c r="H879" i="4" s="1"/>
  <c r="G898" i="4"/>
  <c r="H898" i="4" s="1"/>
  <c r="G882" i="4"/>
  <c r="H882" i="4" s="1"/>
  <c r="J897" i="4"/>
  <c r="K897" i="4" s="1"/>
  <c r="I879" i="4"/>
  <c r="J879" i="4" s="1"/>
  <c r="K879" i="4" s="1"/>
  <c r="J899" i="4"/>
  <c r="K899" i="4" s="1"/>
  <c r="J891" i="4"/>
  <c r="K891" i="4" s="1"/>
  <c r="G897" i="4"/>
  <c r="H897" i="4" s="1"/>
  <c r="G899" i="4"/>
  <c r="H899" i="4" s="1"/>
  <c r="G880" i="4"/>
  <c r="H880" i="4" s="1"/>
  <c r="J883" i="4"/>
  <c r="K883" i="4" s="1"/>
  <c r="L883" i="4" s="1"/>
  <c r="M883" i="4" s="1"/>
  <c r="G888" i="4"/>
  <c r="H888" i="4" s="1"/>
  <c r="G873" i="4"/>
  <c r="H873" i="4" s="1"/>
  <c r="G886" i="4"/>
  <c r="H886" i="4" s="1"/>
  <c r="J877" i="4"/>
  <c r="K877" i="4" s="1"/>
  <c r="J875" i="4"/>
  <c r="J889" i="4"/>
  <c r="K889" i="4" s="1"/>
  <c r="L889" i="4" s="1"/>
  <c r="M889" i="4" s="1"/>
  <c r="N889" i="4" s="1"/>
  <c r="G875" i="4"/>
  <c r="J880" i="4"/>
  <c r="K880" i="4" s="1"/>
  <c r="G877" i="4"/>
  <c r="H877" i="4" s="1"/>
  <c r="J888" i="4"/>
  <c r="K888" i="4" s="1"/>
  <c r="J881" i="4"/>
  <c r="K881" i="4" s="1"/>
  <c r="J874" i="4"/>
  <c r="A816" i="4"/>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s="1"/>
  <c r="A853" i="4" s="1"/>
  <c r="A854" i="4" s="1"/>
  <c r="A855" i="4" s="1"/>
  <c r="A856" i="4" s="1"/>
  <c r="A857" i="4" s="1"/>
  <c r="A858" i="4" s="1"/>
  <c r="A859" i="4" s="1"/>
  <c r="I828" i="4"/>
  <c r="K828" i="4" s="1"/>
  <c r="L828" i="4" s="1"/>
  <c r="M828" i="4" s="1"/>
  <c r="I543" i="4"/>
  <c r="J543" i="4" s="1"/>
  <c r="K543" i="4" s="1"/>
  <c r="L543" i="4" s="1"/>
  <c r="M543" i="4" s="1"/>
  <c r="G559" i="4"/>
  <c r="H559" i="4" s="1"/>
  <c r="J560" i="4"/>
  <c r="K560" i="4" s="1"/>
  <c r="L560" i="4" s="1"/>
  <c r="M560" i="4" s="1"/>
  <c r="H766" i="4"/>
  <c r="G881" i="4"/>
  <c r="H881" i="4" s="1"/>
  <c r="J886" i="4"/>
  <c r="K886" i="4" s="1"/>
  <c r="G656" i="4"/>
  <c r="H656" i="4" s="1"/>
  <c r="G650" i="4"/>
  <c r="J659" i="4"/>
  <c r="K659" i="4" s="1"/>
  <c r="L659" i="4" s="1"/>
  <c r="M659" i="4" s="1"/>
  <c r="J649" i="4"/>
  <c r="K649" i="4" s="1"/>
  <c r="L649" i="4" s="1"/>
  <c r="M649" i="4" s="1"/>
  <c r="L816" i="4"/>
  <c r="M816" i="4" s="1"/>
  <c r="L929" i="4"/>
  <c r="M929" i="4" s="1"/>
  <c r="L839" i="4"/>
  <c r="M839" i="4" s="1"/>
  <c r="H735" i="4"/>
  <c r="L735" i="4" s="1"/>
  <c r="K745" i="4"/>
  <c r="H745" i="4"/>
  <c r="J821" i="4"/>
  <c r="K821" i="4" s="1"/>
  <c r="L821" i="4" s="1"/>
  <c r="M821" i="4" s="1"/>
  <c r="J824" i="4"/>
  <c r="K824" i="4" s="1"/>
  <c r="L837" i="4"/>
  <c r="M837" i="4" s="1"/>
  <c r="J840" i="4"/>
  <c r="K840" i="4" s="1"/>
  <c r="L840" i="4" s="1"/>
  <c r="M840" i="4" s="1"/>
  <c r="J951" i="4"/>
  <c r="K951" i="4" s="1"/>
  <c r="G955" i="4"/>
  <c r="H955" i="4" s="1"/>
  <c r="J948" i="4"/>
  <c r="K948" i="4" s="1"/>
  <c r="G947" i="4"/>
  <c r="H947" i="4" s="1"/>
  <c r="J953" i="4"/>
  <c r="K953" i="4" s="1"/>
  <c r="G952" i="4"/>
  <c r="H952" i="4" s="1"/>
  <c r="G935" i="4"/>
  <c r="H935" i="4" s="1"/>
  <c r="L935" i="4" s="1"/>
  <c r="M935" i="4" s="1"/>
  <c r="G938" i="4"/>
  <c r="H938" i="4" s="1"/>
  <c r="L938" i="4" s="1"/>
  <c r="M938" i="4" s="1"/>
  <c r="G948" i="4"/>
  <c r="H948" i="4" s="1"/>
  <c r="G953" i="4"/>
  <c r="H953" i="4" s="1"/>
  <c r="G951" i="4"/>
  <c r="H951" i="4" s="1"/>
  <c r="H716" i="4"/>
  <c r="L716" i="4" s="1"/>
  <c r="M716" i="4" s="1"/>
  <c r="G827" i="4"/>
  <c r="H827" i="4" s="1"/>
  <c r="G939" i="4"/>
  <c r="H939" i="4" s="1"/>
  <c r="J937" i="4"/>
  <c r="K937" i="4" s="1"/>
  <c r="L937" i="4" s="1"/>
  <c r="M937" i="4" s="1"/>
  <c r="G942" i="4"/>
  <c r="H942" i="4" s="1"/>
  <c r="L942" i="4" s="1"/>
  <c r="M942" i="4" s="1"/>
  <c r="J945" i="4"/>
  <c r="K945" i="4" s="1"/>
  <c r="G931" i="4"/>
  <c r="J936" i="4"/>
  <c r="K936" i="4" s="1"/>
  <c r="G933" i="4"/>
  <c r="H933" i="4" s="1"/>
  <c r="H934" i="4" s="1"/>
  <c r="G945" i="4"/>
  <c r="H945" i="4" s="1"/>
  <c r="J930" i="4"/>
  <c r="G936" i="4"/>
  <c r="H936" i="4" s="1"/>
  <c r="G930" i="4"/>
  <c r="J843" i="4"/>
  <c r="K843" i="4" s="1"/>
  <c r="G836" i="4"/>
  <c r="H836" i="4" s="1"/>
  <c r="G841" i="4"/>
  <c r="H841" i="4" s="1"/>
  <c r="G824" i="4"/>
  <c r="H824" i="4" s="1"/>
  <c r="G818" i="4"/>
  <c r="J842" i="4"/>
  <c r="K842" i="4" s="1"/>
  <c r="J827" i="4"/>
  <c r="K827" i="4" s="1"/>
  <c r="G843" i="4"/>
  <c r="H843" i="4" s="1"/>
  <c r="J832" i="4"/>
  <c r="K832" i="4" s="1"/>
  <c r="L832" i="4" s="1"/>
  <c r="M832" i="4" s="1"/>
  <c r="N832" i="4" s="1"/>
  <c r="J933" i="4"/>
  <c r="K933" i="4" s="1"/>
  <c r="J939" i="4"/>
  <c r="K939" i="4" s="1"/>
  <c r="I767" i="4"/>
  <c r="J767" i="4" s="1"/>
  <c r="K767" i="4" s="1"/>
  <c r="L767" i="4" s="1"/>
  <c r="M767" i="4" s="1"/>
  <c r="I772" i="4"/>
  <c r="K772" i="4" s="1"/>
  <c r="L772" i="4" s="1"/>
  <c r="M772" i="4" s="1"/>
  <c r="J774" i="4"/>
  <c r="K774" i="4" s="1"/>
  <c r="L774" i="4" s="1"/>
  <c r="M774" i="4" s="1"/>
  <c r="G783" i="4"/>
  <c r="H783" i="4" s="1"/>
  <c r="J784" i="4"/>
  <c r="K784" i="4" s="1"/>
  <c r="K959" i="4"/>
  <c r="L959" i="4" s="1"/>
  <c r="J761" i="4"/>
  <c r="K761" i="4" s="1"/>
  <c r="L761" i="4" s="1"/>
  <c r="M761" i="4" s="1"/>
  <c r="G769" i="4"/>
  <c r="H769" i="4" s="1"/>
  <c r="J776" i="4"/>
  <c r="K776" i="4" s="1"/>
  <c r="L776" i="4" s="1"/>
  <c r="M776" i="4" s="1"/>
  <c r="N776" i="4" s="1"/>
  <c r="J787" i="4"/>
  <c r="K787" i="4" s="1"/>
  <c r="H796" i="4"/>
  <c r="G786" i="4"/>
  <c r="H786" i="4" s="1"/>
  <c r="K796" i="4"/>
  <c r="H884" i="4"/>
  <c r="L884" i="4" s="1"/>
  <c r="M884" i="4" s="1"/>
  <c r="H969" i="4"/>
  <c r="J769" i="4"/>
  <c r="K769" i="4" s="1"/>
  <c r="G771" i="4"/>
  <c r="H771" i="4" s="1"/>
  <c r="L771" i="4" s="1"/>
  <c r="M771" i="4" s="1"/>
  <c r="J783" i="4"/>
  <c r="K783" i="4" s="1"/>
  <c r="J818" i="4"/>
  <c r="G833" i="4"/>
  <c r="H833" i="4" s="1"/>
  <c r="G763" i="4"/>
  <c r="G784" i="4"/>
  <c r="H784" i="4" s="1"/>
  <c r="J817" i="4"/>
  <c r="K817" i="4" s="1"/>
  <c r="L817" i="4" s="1"/>
  <c r="M817" i="4" s="1"/>
  <c r="G825" i="4"/>
  <c r="H825" i="4" s="1"/>
  <c r="L825" i="4" s="1"/>
  <c r="M825" i="4" s="1"/>
  <c r="N74" i="3"/>
  <c r="M74" i="3"/>
  <c r="L74" i="3"/>
  <c r="O74" i="3"/>
  <c r="K74" i="3"/>
  <c r="J74" i="3"/>
  <c r="I74" i="3"/>
  <c r="H74" i="3"/>
  <c r="K71" i="3"/>
  <c r="J71" i="3"/>
  <c r="L71" i="3"/>
  <c r="I71" i="3"/>
  <c r="H71" i="3"/>
  <c r="O71" i="3"/>
  <c r="N71" i="3"/>
  <c r="M71" i="3"/>
  <c r="M73" i="3"/>
  <c r="L73" i="3"/>
  <c r="K73" i="3"/>
  <c r="J73" i="3"/>
  <c r="I73" i="3"/>
  <c r="H73" i="3"/>
  <c r="N73" i="3"/>
  <c r="O73" i="3"/>
  <c r="L72" i="3"/>
  <c r="K72" i="3"/>
  <c r="J72" i="3"/>
  <c r="I72" i="3"/>
  <c r="H72" i="3"/>
  <c r="M72" i="3"/>
  <c r="O72" i="3"/>
  <c r="N72" i="3"/>
  <c r="K100" i="3"/>
  <c r="L100" i="3" s="1"/>
  <c r="M100" i="3" s="1"/>
  <c r="G169" i="3"/>
  <c r="H169" i="3" s="1"/>
  <c r="G152" i="3"/>
  <c r="H152" i="3" s="1"/>
  <c r="G146" i="3"/>
  <c r="J170" i="3"/>
  <c r="K170" i="3" s="1"/>
  <c r="J167" i="3"/>
  <c r="K167" i="3" s="1"/>
  <c r="G170" i="3"/>
  <c r="H170" i="3" s="1"/>
  <c r="J171" i="3"/>
  <c r="K171" i="3" s="1"/>
  <c r="J163" i="3"/>
  <c r="K163" i="3" s="1"/>
  <c r="G145" i="3"/>
  <c r="H145" i="3" s="1"/>
  <c r="G171" i="3"/>
  <c r="H171" i="3" s="1"/>
  <c r="J164" i="3"/>
  <c r="K164" i="3" s="1"/>
  <c r="G163" i="3"/>
  <c r="H163" i="3" s="1"/>
  <c r="J154" i="3"/>
  <c r="K154" i="3" s="1"/>
  <c r="L154" i="3" s="1"/>
  <c r="M154" i="3" s="1"/>
  <c r="J149" i="3"/>
  <c r="K149" i="3" s="1"/>
  <c r="L149" i="3" s="1"/>
  <c r="M149" i="3" s="1"/>
  <c r="J147" i="3"/>
  <c r="J169" i="3"/>
  <c r="K169" i="3" s="1"/>
  <c r="G168" i="3"/>
  <c r="H168" i="3" s="1"/>
  <c r="J161" i="3"/>
  <c r="K161" i="3" s="1"/>
  <c r="F151" i="3"/>
  <c r="G151" i="3" s="1"/>
  <c r="H151" i="3" s="1"/>
  <c r="G147" i="3"/>
  <c r="J91" i="3"/>
  <c r="J93" i="3"/>
  <c r="K93" i="3" s="1"/>
  <c r="L93" i="3" s="1"/>
  <c r="M93" i="3" s="1"/>
  <c r="J98" i="3"/>
  <c r="K98" i="3" s="1"/>
  <c r="L98" i="3" s="1"/>
  <c r="M98" i="3" s="1"/>
  <c r="G115" i="3"/>
  <c r="H115" i="3" s="1"/>
  <c r="G155" i="3"/>
  <c r="H155" i="3" s="1"/>
  <c r="G227" i="3"/>
  <c r="H227" i="3" s="1"/>
  <c r="J220" i="3"/>
  <c r="K220" i="3" s="1"/>
  <c r="L220" i="3" s="1"/>
  <c r="M220" i="3" s="1"/>
  <c r="G219" i="3"/>
  <c r="H219" i="3" s="1"/>
  <c r="J210" i="3"/>
  <c r="K210" i="3" s="1"/>
  <c r="L210" i="3" s="1"/>
  <c r="M210" i="3" s="1"/>
  <c r="J225" i="3"/>
  <c r="K225" i="3" s="1"/>
  <c r="G224" i="3"/>
  <c r="H224" i="3" s="1"/>
  <c r="F207" i="3"/>
  <c r="G207" i="3" s="1"/>
  <c r="H207" i="3" s="1"/>
  <c r="L207" i="3" s="1"/>
  <c r="M207" i="3" s="1"/>
  <c r="G210" i="3"/>
  <c r="H210" i="3" s="1"/>
  <c r="G220" i="3"/>
  <c r="H220" i="3" s="1"/>
  <c r="G225" i="3"/>
  <c r="H225" i="3" s="1"/>
  <c r="J226" i="3"/>
  <c r="K226" i="3" s="1"/>
  <c r="J223" i="3"/>
  <c r="K223" i="3" s="1"/>
  <c r="L223" i="3" s="1"/>
  <c r="M223" i="3" s="1"/>
  <c r="G226" i="3"/>
  <c r="H226" i="3" s="1"/>
  <c r="J227" i="3"/>
  <c r="K227" i="3" s="1"/>
  <c r="J219" i="3"/>
  <c r="K219" i="3" s="1"/>
  <c r="L214" i="3"/>
  <c r="M214" i="3" s="1"/>
  <c r="L260" i="3"/>
  <c r="M260" i="3" s="1"/>
  <c r="J727" i="3"/>
  <c r="K727" i="3" s="1"/>
  <c r="J730" i="3"/>
  <c r="K730" i="3" s="1"/>
  <c r="J724" i="3"/>
  <c r="K724" i="3" s="1"/>
  <c r="L724" i="3" s="1"/>
  <c r="M724" i="3" s="1"/>
  <c r="G89" i="3"/>
  <c r="H89" i="3" s="1"/>
  <c r="H94" i="3" s="1"/>
  <c r="L109" i="3"/>
  <c r="M109" i="3" s="1"/>
  <c r="J151" i="3"/>
  <c r="K151" i="3" s="1"/>
  <c r="J155" i="3"/>
  <c r="K155" i="3" s="1"/>
  <c r="L155" i="3" s="1"/>
  <c r="M155" i="3" s="1"/>
  <c r="G114" i="3"/>
  <c r="H114" i="3" s="1"/>
  <c r="J112" i="3"/>
  <c r="K112" i="3" s="1"/>
  <c r="G111" i="3"/>
  <c r="H111" i="3" s="1"/>
  <c r="J113" i="3"/>
  <c r="K113" i="3" s="1"/>
  <c r="G112" i="3"/>
  <c r="H112" i="3" s="1"/>
  <c r="G113" i="3"/>
  <c r="H113" i="3" s="1"/>
  <c r="J115" i="3"/>
  <c r="K115" i="3" s="1"/>
  <c r="J891" i="3"/>
  <c r="K891" i="3" s="1"/>
  <c r="J892" i="3"/>
  <c r="K892" i="3" s="1"/>
  <c r="J895" i="3"/>
  <c r="K895" i="3" s="1"/>
  <c r="J899" i="3"/>
  <c r="K899" i="3" s="1"/>
  <c r="J898" i="3"/>
  <c r="K898" i="3" s="1"/>
  <c r="J102" i="3"/>
  <c r="K102" i="3" s="1"/>
  <c r="G104" i="3"/>
  <c r="H104" i="3" s="1"/>
  <c r="J89" i="3"/>
  <c r="K89" i="3" s="1"/>
  <c r="G97" i="3"/>
  <c r="H97" i="3" s="1"/>
  <c r="G99" i="3"/>
  <c r="H99" i="3" s="1"/>
  <c r="G167" i="3"/>
  <c r="H167" i="3" s="1"/>
  <c r="J449" i="3"/>
  <c r="K449" i="3" s="1"/>
  <c r="G448" i="3"/>
  <c r="H448" i="3" s="1"/>
  <c r="F431" i="3"/>
  <c r="G431" i="3" s="1"/>
  <c r="H431" i="3" s="1"/>
  <c r="G434" i="3"/>
  <c r="H434" i="3" s="1"/>
  <c r="J447" i="3"/>
  <c r="K447" i="3" s="1"/>
  <c r="J451" i="3"/>
  <c r="K451" i="3" s="1"/>
  <c r="J443" i="3"/>
  <c r="K443" i="3" s="1"/>
  <c r="G450" i="3"/>
  <c r="H450" i="3" s="1"/>
  <c r="J434" i="3"/>
  <c r="K434" i="3" s="1"/>
  <c r="J431" i="3"/>
  <c r="K431" i="3" s="1"/>
  <c r="J444" i="3"/>
  <c r="K444" i="3" s="1"/>
  <c r="G447" i="3"/>
  <c r="H447" i="3" s="1"/>
  <c r="G444" i="3"/>
  <c r="H444" i="3" s="1"/>
  <c r="G449" i="3"/>
  <c r="H449" i="3" s="1"/>
  <c r="G451" i="3"/>
  <c r="H451" i="3" s="1"/>
  <c r="J448" i="3"/>
  <c r="K448" i="3" s="1"/>
  <c r="L448" i="3" s="1"/>
  <c r="M448" i="3" s="1"/>
  <c r="G443" i="3"/>
  <c r="H443" i="3" s="1"/>
  <c r="J450" i="3"/>
  <c r="K450" i="3" s="1"/>
  <c r="J282" i="3"/>
  <c r="K282" i="3" s="1"/>
  <c r="J275" i="3"/>
  <c r="K275" i="3" s="1"/>
  <c r="J276" i="3"/>
  <c r="K276" i="3" s="1"/>
  <c r="L276" i="3" s="1"/>
  <c r="M276" i="3" s="1"/>
  <c r="J283" i="3"/>
  <c r="K283" i="3" s="1"/>
  <c r="J780" i="3"/>
  <c r="K780" i="3" s="1"/>
  <c r="J786" i="3"/>
  <c r="K786" i="3" s="1"/>
  <c r="J785" i="3"/>
  <c r="K785" i="3" s="1"/>
  <c r="E83" i="3"/>
  <c r="J108" i="3" s="1"/>
  <c r="K108" i="3" s="1"/>
  <c r="L108" i="3" s="1"/>
  <c r="M108" i="3" s="1"/>
  <c r="J97" i="3"/>
  <c r="K97" i="3" s="1"/>
  <c r="J99" i="3"/>
  <c r="K99" i="3" s="1"/>
  <c r="L99" i="3" s="1"/>
  <c r="M99" i="3" s="1"/>
  <c r="J152" i="3"/>
  <c r="K152" i="3" s="1"/>
  <c r="G164" i="3"/>
  <c r="H164" i="3" s="1"/>
  <c r="L200" i="3"/>
  <c r="M200" i="3" s="1"/>
  <c r="A88" i="3"/>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G108" i="3"/>
  <c r="H108" i="3" s="1"/>
  <c r="G149" i="3"/>
  <c r="H149" i="3" s="1"/>
  <c r="H150" i="3" s="1"/>
  <c r="G161" i="3"/>
  <c r="H161" i="3" s="1"/>
  <c r="J111" i="3"/>
  <c r="K111" i="3" s="1"/>
  <c r="L111" i="3" s="1"/>
  <c r="M111" i="3" s="1"/>
  <c r="L212" i="3"/>
  <c r="M212" i="3" s="1"/>
  <c r="L322" i="3"/>
  <c r="M322" i="3" s="1"/>
  <c r="J953" i="3"/>
  <c r="K953" i="3" s="1"/>
  <c r="J954" i="3"/>
  <c r="K954" i="3" s="1"/>
  <c r="G90" i="3"/>
  <c r="G96" i="3"/>
  <c r="H96" i="3" s="1"/>
  <c r="L96" i="3" s="1"/>
  <c r="M96" i="3" s="1"/>
  <c r="G102" i="3"/>
  <c r="H102" i="3" s="1"/>
  <c r="J168" i="3"/>
  <c r="K168" i="3" s="1"/>
  <c r="J337" i="3"/>
  <c r="K337" i="3" s="1"/>
  <c r="J338" i="3"/>
  <c r="K338" i="3" s="1"/>
  <c r="J332" i="3"/>
  <c r="K332" i="3" s="1"/>
  <c r="J675" i="3"/>
  <c r="K675" i="3" s="1"/>
  <c r="J672" i="3"/>
  <c r="K672" i="3" s="1"/>
  <c r="J674" i="3"/>
  <c r="K674" i="3" s="1"/>
  <c r="J671" i="3"/>
  <c r="K671" i="3" s="1"/>
  <c r="L671" i="3" s="1"/>
  <c r="M671" i="3" s="1"/>
  <c r="J201" i="3"/>
  <c r="K201" i="3" s="1"/>
  <c r="L201" i="3" s="1"/>
  <c r="M201" i="3" s="1"/>
  <c r="G209" i="3"/>
  <c r="H209" i="3" s="1"/>
  <c r="J216" i="3"/>
  <c r="K216" i="3" s="1"/>
  <c r="L216" i="3" s="1"/>
  <c r="M216" i="3" s="1"/>
  <c r="N216" i="3" s="1"/>
  <c r="G281" i="3"/>
  <c r="H281" i="3" s="1"/>
  <c r="G338" i="3"/>
  <c r="H338" i="3" s="1"/>
  <c r="J391" i="3"/>
  <c r="K391" i="3" s="1"/>
  <c r="G394" i="3"/>
  <c r="H394" i="3" s="1"/>
  <c r="G395" i="3"/>
  <c r="H395" i="3" s="1"/>
  <c r="J388" i="3"/>
  <c r="K388" i="3" s="1"/>
  <c r="L388" i="3" s="1"/>
  <c r="M388" i="3" s="1"/>
  <c r="G393" i="3"/>
  <c r="H393" i="3" s="1"/>
  <c r="G387" i="3"/>
  <c r="H387" i="3" s="1"/>
  <c r="J378" i="3"/>
  <c r="K378" i="3" s="1"/>
  <c r="F375" i="3"/>
  <c r="G375" i="3" s="1"/>
  <c r="H375" i="3" s="1"/>
  <c r="J394" i="3"/>
  <c r="K394" i="3" s="1"/>
  <c r="J392" i="3"/>
  <c r="K392" i="3" s="1"/>
  <c r="G388" i="3"/>
  <c r="H388" i="3" s="1"/>
  <c r="G392" i="3"/>
  <c r="H392" i="3" s="1"/>
  <c r="J395" i="3"/>
  <c r="K395" i="3" s="1"/>
  <c r="J393" i="3"/>
  <c r="K393" i="3" s="1"/>
  <c r="J387" i="3"/>
  <c r="K387" i="3" s="1"/>
  <c r="F156" i="3"/>
  <c r="H156" i="3" s="1"/>
  <c r="L156" i="3" s="1"/>
  <c r="M156" i="3" s="1"/>
  <c r="G158" i="3"/>
  <c r="H158" i="3" s="1"/>
  <c r="L158" i="3" s="1"/>
  <c r="M158" i="3" s="1"/>
  <c r="G382" i="3"/>
  <c r="H382" i="3" s="1"/>
  <c r="J373" i="3"/>
  <c r="K373" i="3" s="1"/>
  <c r="K374" i="3" s="1"/>
  <c r="G371" i="3"/>
  <c r="J385" i="3"/>
  <c r="K385" i="3" s="1"/>
  <c r="L385" i="3" s="1"/>
  <c r="M385" i="3" s="1"/>
  <c r="N385" i="3" s="1"/>
  <c r="G385" i="3"/>
  <c r="H385" i="3" s="1"/>
  <c r="G370" i="3"/>
  <c r="G376" i="3"/>
  <c r="H376" i="3" s="1"/>
  <c r="G379" i="3"/>
  <c r="H379" i="3" s="1"/>
  <c r="J377" i="3"/>
  <c r="K377" i="3" s="1"/>
  <c r="J384" i="3"/>
  <c r="K384" i="3" s="1"/>
  <c r="G377" i="3"/>
  <c r="H377" i="3" s="1"/>
  <c r="J371" i="3"/>
  <c r="G160" i="3"/>
  <c r="H160" i="3" s="1"/>
  <c r="J209" i="3"/>
  <c r="K209" i="3" s="1"/>
  <c r="L209" i="3" s="1"/>
  <c r="M209" i="3" s="1"/>
  <c r="G211" i="3"/>
  <c r="H211" i="3" s="1"/>
  <c r="J257" i="3"/>
  <c r="K257" i="3" s="1"/>
  <c r="L257" i="3" s="1"/>
  <c r="M257" i="3" s="1"/>
  <c r="G336" i="3"/>
  <c r="H336" i="3" s="1"/>
  <c r="G378" i="3"/>
  <c r="H378" i="3" s="1"/>
  <c r="A312" i="3"/>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H348" i="3"/>
  <c r="K324" i="3"/>
  <c r="L324" i="3" s="1"/>
  <c r="M324" i="3" s="1"/>
  <c r="L325" i="3"/>
  <c r="M325" i="3" s="1"/>
  <c r="J487" i="3"/>
  <c r="K487" i="3" s="1"/>
  <c r="J145" i="3"/>
  <c r="K145" i="3" s="1"/>
  <c r="G153" i="3"/>
  <c r="H153" i="3" s="1"/>
  <c r="J160" i="3"/>
  <c r="K160" i="3" s="1"/>
  <c r="L160" i="3" s="1"/>
  <c r="M160" i="3" s="1"/>
  <c r="N160" i="3" s="1"/>
  <c r="J211" i="3"/>
  <c r="K211" i="3" s="1"/>
  <c r="G275" i="3"/>
  <c r="H275" i="3" s="1"/>
  <c r="G331" i="3"/>
  <c r="H331" i="3" s="1"/>
  <c r="H353" i="3"/>
  <c r="J375" i="3"/>
  <c r="K375" i="3" s="1"/>
  <c r="L496" i="3"/>
  <c r="M496" i="3" s="1"/>
  <c r="N496" i="3" s="1"/>
  <c r="L317" i="3"/>
  <c r="M317" i="3" s="1"/>
  <c r="H343" i="3"/>
  <c r="K353" i="3"/>
  <c r="J382" i="3"/>
  <c r="K382" i="3" s="1"/>
  <c r="L382" i="3" s="1"/>
  <c r="M382" i="3" s="1"/>
  <c r="L491" i="3"/>
  <c r="M491" i="3" s="1"/>
  <c r="J153" i="3"/>
  <c r="K153" i="3" s="1"/>
  <c r="J202" i="3"/>
  <c r="G217" i="3"/>
  <c r="H217" i="3" s="1"/>
  <c r="L217" i="3" s="1"/>
  <c r="M217" i="3" s="1"/>
  <c r="N217" i="3" s="1"/>
  <c r="J280" i="3"/>
  <c r="K280" i="3" s="1"/>
  <c r="G258" i="3"/>
  <c r="G264" i="3"/>
  <c r="H264" i="3" s="1"/>
  <c r="J335" i="3"/>
  <c r="K335" i="3" s="1"/>
  <c r="G339" i="3"/>
  <c r="H339" i="3" s="1"/>
  <c r="K343" i="3"/>
  <c r="L343" i="3" s="1"/>
  <c r="K348" i="3"/>
  <c r="H505" i="3"/>
  <c r="A144" i="3"/>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G205" i="3"/>
  <c r="H205" i="3" s="1"/>
  <c r="H206" i="3" s="1"/>
  <c r="J208" i="3"/>
  <c r="K208" i="3" s="1"/>
  <c r="L208" i="3" s="1"/>
  <c r="M208" i="3" s="1"/>
  <c r="J270" i="3"/>
  <c r="K270" i="3" s="1"/>
  <c r="L270" i="3" s="1"/>
  <c r="M270" i="3" s="1"/>
  <c r="G272" i="3"/>
  <c r="H272" i="3" s="1"/>
  <c r="L272" i="3" s="1"/>
  <c r="M272" i="3" s="1"/>
  <c r="N272" i="3" s="1"/>
  <c r="G257" i="3"/>
  <c r="H257" i="3" s="1"/>
  <c r="H262" i="3" s="1"/>
  <c r="J273" i="3"/>
  <c r="K273" i="3" s="1"/>
  <c r="L273" i="3" s="1"/>
  <c r="M273" i="3" s="1"/>
  <c r="N273" i="3" s="1"/>
  <c r="G259" i="3"/>
  <c r="J264" i="3"/>
  <c r="K264" i="3" s="1"/>
  <c r="L264" i="3" s="1"/>
  <c r="M264" i="3" s="1"/>
  <c r="G261" i="3"/>
  <c r="H261" i="3" s="1"/>
  <c r="L261" i="3" s="1"/>
  <c r="M261" i="3" s="1"/>
  <c r="G267" i="3"/>
  <c r="H267" i="3" s="1"/>
  <c r="J265" i="3"/>
  <c r="K265" i="3" s="1"/>
  <c r="J258" i="3"/>
  <c r="J267" i="3"/>
  <c r="K267" i="3" s="1"/>
  <c r="L267" i="3" s="1"/>
  <c r="M267" i="3" s="1"/>
  <c r="G369" i="3"/>
  <c r="H369" i="3" s="1"/>
  <c r="L369" i="3" s="1"/>
  <c r="M369" i="3" s="1"/>
  <c r="G373" i="3"/>
  <c r="H373" i="3" s="1"/>
  <c r="J379" i="3"/>
  <c r="K379" i="3" s="1"/>
  <c r="K572" i="3"/>
  <c r="H572" i="3"/>
  <c r="H577" i="3"/>
  <c r="K567" i="3"/>
  <c r="K577" i="3"/>
  <c r="K548" i="3"/>
  <c r="F548" i="3"/>
  <c r="H548" i="3" s="1"/>
  <c r="H567" i="3"/>
  <c r="A536" i="3"/>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K623" i="3"/>
  <c r="H623" i="3"/>
  <c r="A592" i="3"/>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6" i="3" s="1"/>
  <c r="A617" i="3" s="1"/>
  <c r="A618" i="3" s="1"/>
  <c r="A619" i="3" s="1"/>
  <c r="A620" i="3" s="1"/>
  <c r="A621" i="3" s="1"/>
  <c r="A622" i="3" s="1"/>
  <c r="A623" i="3" s="1"/>
  <c r="A624" i="3" s="1"/>
  <c r="A625" i="3" s="1"/>
  <c r="A626" i="3" s="1"/>
  <c r="A627" i="3" s="1"/>
  <c r="A628" i="3" s="1"/>
  <c r="A629" i="3" s="1"/>
  <c r="A630" i="3" s="1"/>
  <c r="A631" i="3" s="1"/>
  <c r="A632" i="3" s="1"/>
  <c r="A633" i="3" s="1"/>
  <c r="A634" i="3" s="1"/>
  <c r="A635" i="3" s="1"/>
  <c r="K604" i="3"/>
  <c r="F604" i="3"/>
  <c r="H604" i="3" s="1"/>
  <c r="K628" i="3"/>
  <c r="H628" i="3"/>
  <c r="K633" i="3"/>
  <c r="H633" i="3"/>
  <c r="J376" i="3"/>
  <c r="K376" i="3" s="1"/>
  <c r="L376" i="3" s="1"/>
  <c r="M376" i="3" s="1"/>
  <c r="L501" i="3"/>
  <c r="M501" i="3" s="1"/>
  <c r="J203" i="3"/>
  <c r="J205" i="3"/>
  <c r="K205" i="3" s="1"/>
  <c r="G265" i="3"/>
  <c r="H265" i="3" s="1"/>
  <c r="H292" i="3"/>
  <c r="H318" i="3"/>
  <c r="F380" i="3"/>
  <c r="H380" i="3" s="1"/>
  <c r="A368" i="3"/>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G391" i="3"/>
  <c r="H391" i="3" s="1"/>
  <c r="L652" i="3"/>
  <c r="M652" i="3" s="1"/>
  <c r="K292" i="3"/>
  <c r="K380" i="3"/>
  <c r="L380" i="3" s="1"/>
  <c r="M380" i="3" s="1"/>
  <c r="G384" i="3"/>
  <c r="H384" i="3" s="1"/>
  <c r="J559" i="3"/>
  <c r="K559" i="3" s="1"/>
  <c r="J279" i="3"/>
  <c r="K279" i="3" s="1"/>
  <c r="J314" i="3"/>
  <c r="G329" i="3"/>
  <c r="H329" i="3" s="1"/>
  <c r="L329" i="3" s="1"/>
  <c r="M329" i="3" s="1"/>
  <c r="N329" i="3" s="1"/>
  <c r="G332" i="3"/>
  <c r="H332" i="3" s="1"/>
  <c r="J441" i="3"/>
  <c r="K441" i="3" s="1"/>
  <c r="L441" i="3" s="1"/>
  <c r="M441" i="3" s="1"/>
  <c r="N441" i="3" s="1"/>
  <c r="J432" i="3"/>
  <c r="K432" i="3" s="1"/>
  <c r="G429" i="3"/>
  <c r="H429" i="3" s="1"/>
  <c r="L429" i="3" s="1"/>
  <c r="M429" i="3" s="1"/>
  <c r="J426" i="3"/>
  <c r="G435" i="3"/>
  <c r="H435" i="3" s="1"/>
  <c r="L435" i="3" s="1"/>
  <c r="M435" i="3" s="1"/>
  <c r="J433" i="3"/>
  <c r="K433" i="3" s="1"/>
  <c r="L433" i="3" s="1"/>
  <c r="M433" i="3" s="1"/>
  <c r="J440" i="3"/>
  <c r="K440" i="3" s="1"/>
  <c r="L440" i="3" s="1"/>
  <c r="M440" i="3" s="1"/>
  <c r="N440" i="3" s="1"/>
  <c r="G433" i="3"/>
  <c r="H433" i="3" s="1"/>
  <c r="G432" i="3"/>
  <c r="H432" i="3" s="1"/>
  <c r="G441" i="3"/>
  <c r="H441" i="3" s="1"/>
  <c r="L552" i="3"/>
  <c r="M552" i="3" s="1"/>
  <c r="N552" i="3" s="1"/>
  <c r="L557" i="3"/>
  <c r="M557" i="3" s="1"/>
  <c r="L493" i="3"/>
  <c r="M493" i="3" s="1"/>
  <c r="L553" i="3"/>
  <c r="M553" i="3" s="1"/>
  <c r="N553" i="3" s="1"/>
  <c r="L619" i="3"/>
  <c r="M619" i="3" s="1"/>
  <c r="F492" i="3"/>
  <c r="H492" i="3" s="1"/>
  <c r="L492" i="3" s="1"/>
  <c r="M492" i="3" s="1"/>
  <c r="G266" i="3"/>
  <c r="H266" i="3" s="1"/>
  <c r="L266" i="3" s="1"/>
  <c r="M266" i="3" s="1"/>
  <c r="H297" i="3"/>
  <c r="J319" i="3"/>
  <c r="K319" i="3" s="1"/>
  <c r="L319" i="3" s="1"/>
  <c r="M319" i="3" s="1"/>
  <c r="J326" i="3"/>
  <c r="K326" i="3" s="1"/>
  <c r="G335" i="3"/>
  <c r="H335" i="3" s="1"/>
  <c r="J336" i="3"/>
  <c r="K336" i="3" s="1"/>
  <c r="L336" i="3" s="1"/>
  <c r="M336" i="3" s="1"/>
  <c r="L424" i="3"/>
  <c r="M424" i="3" s="1"/>
  <c r="F487" i="3"/>
  <c r="G487" i="3" s="1"/>
  <c r="H487" i="3" s="1"/>
  <c r="L494" i="3"/>
  <c r="M494" i="3" s="1"/>
  <c r="K506" i="3"/>
  <c r="L536" i="3"/>
  <c r="M536" i="3" s="1"/>
  <c r="F263" i="3"/>
  <c r="G263" i="3" s="1"/>
  <c r="H263" i="3" s="1"/>
  <c r="G280" i="3"/>
  <c r="H280" i="3" s="1"/>
  <c r="J281" i="3"/>
  <c r="K281" i="3" s="1"/>
  <c r="K297" i="3"/>
  <c r="J313" i="3"/>
  <c r="K313" i="3" s="1"/>
  <c r="G321" i="3"/>
  <c r="H321" i="3" s="1"/>
  <c r="L321" i="3" s="1"/>
  <c r="M321" i="3" s="1"/>
  <c r="J331" i="3"/>
  <c r="K331" i="3" s="1"/>
  <c r="J339" i="3"/>
  <c r="K339" i="3" s="1"/>
  <c r="K465" i="3"/>
  <c r="H465" i="3"/>
  <c r="H460" i="3"/>
  <c r="G425" i="3"/>
  <c r="H425" i="3" s="1"/>
  <c r="L488" i="3"/>
  <c r="M488" i="3" s="1"/>
  <c r="K504" i="3"/>
  <c r="K507" i="3"/>
  <c r="L546" i="3"/>
  <c r="M546" i="3" s="1"/>
  <c r="J263" i="3"/>
  <c r="K263" i="3" s="1"/>
  <c r="G279" i="3"/>
  <c r="H279" i="3" s="1"/>
  <c r="J425" i="3"/>
  <c r="K425" i="3" s="1"/>
  <c r="G556" i="3"/>
  <c r="H556" i="3" s="1"/>
  <c r="L718" i="3"/>
  <c r="M718" i="3" s="1"/>
  <c r="G537" i="3"/>
  <c r="H537" i="3" s="1"/>
  <c r="H542" i="3" s="1"/>
  <c r="J550" i="3"/>
  <c r="K550" i="3" s="1"/>
  <c r="L550" i="3" s="1"/>
  <c r="M550" i="3" s="1"/>
  <c r="L648" i="3"/>
  <c r="M648" i="3" s="1"/>
  <c r="H766" i="3"/>
  <c r="G562" i="3"/>
  <c r="H562" i="3" s="1"/>
  <c r="J563" i="3"/>
  <c r="K563" i="3" s="1"/>
  <c r="J555" i="3"/>
  <c r="K555" i="3" s="1"/>
  <c r="J560" i="3"/>
  <c r="K560" i="3" s="1"/>
  <c r="L560" i="3" s="1"/>
  <c r="M560" i="3" s="1"/>
  <c r="G559" i="3"/>
  <c r="H559" i="3" s="1"/>
  <c r="G561" i="3"/>
  <c r="H561" i="3" s="1"/>
  <c r="J543" i="3"/>
  <c r="K543" i="3" s="1"/>
  <c r="L543" i="3" s="1"/>
  <c r="M543" i="3" s="1"/>
  <c r="J556" i="3"/>
  <c r="K556" i="3" s="1"/>
  <c r="J561" i="3"/>
  <c r="K561" i="3" s="1"/>
  <c r="L601" i="3"/>
  <c r="M601" i="3" s="1"/>
  <c r="H878" i="3"/>
  <c r="L936" i="3"/>
  <c r="M936" i="3" s="1"/>
  <c r="J537" i="3"/>
  <c r="K537" i="3" s="1"/>
  <c r="G545" i="3"/>
  <c r="H545" i="3" s="1"/>
  <c r="L545" i="3" s="1"/>
  <c r="M545" i="3" s="1"/>
  <c r="G609" i="3"/>
  <c r="H609" i="3" s="1"/>
  <c r="J594" i="3"/>
  <c r="G600" i="3"/>
  <c r="H600" i="3" s="1"/>
  <c r="G594" i="3"/>
  <c r="J603" i="3"/>
  <c r="K603" i="3" s="1"/>
  <c r="J606" i="3"/>
  <c r="K606" i="3" s="1"/>
  <c r="G606" i="3"/>
  <c r="H606" i="3" s="1"/>
  <c r="J597" i="3"/>
  <c r="K597" i="3" s="1"/>
  <c r="J595" i="3"/>
  <c r="G608" i="3"/>
  <c r="H608" i="3" s="1"/>
  <c r="L613" i="3"/>
  <c r="M613" i="3" s="1"/>
  <c r="G499" i="3"/>
  <c r="H499" i="3" s="1"/>
  <c r="J500" i="3"/>
  <c r="K500" i="3" s="1"/>
  <c r="L500" i="3" s="1"/>
  <c r="M500" i="3" s="1"/>
  <c r="G507" i="3"/>
  <c r="H507" i="3" s="1"/>
  <c r="G555" i="3"/>
  <c r="H555" i="3" s="1"/>
  <c r="G595" i="3"/>
  <c r="J608" i="3"/>
  <c r="K608" i="3" s="1"/>
  <c r="J562" i="3"/>
  <c r="K562" i="3" s="1"/>
  <c r="H673" i="3"/>
  <c r="J481" i="3"/>
  <c r="K481" i="3" s="1"/>
  <c r="G506" i="3"/>
  <c r="H506" i="3" s="1"/>
  <c r="G538" i="3"/>
  <c r="G544" i="3"/>
  <c r="H544" i="3" s="1"/>
  <c r="L596" i="3"/>
  <c r="M596" i="3" s="1"/>
  <c r="G603" i="3"/>
  <c r="H603" i="3" s="1"/>
  <c r="J609" i="3"/>
  <c r="K609" i="3" s="1"/>
  <c r="G675" i="3"/>
  <c r="H675" i="3" s="1"/>
  <c r="J668" i="3"/>
  <c r="K668" i="3" s="1"/>
  <c r="L668" i="3" s="1"/>
  <c r="M668" i="3" s="1"/>
  <c r="G667" i="3"/>
  <c r="H667" i="3" s="1"/>
  <c r="J658" i="3"/>
  <c r="K658" i="3" s="1"/>
  <c r="L658" i="3" s="1"/>
  <c r="M658" i="3" s="1"/>
  <c r="J673" i="3"/>
  <c r="K673" i="3" s="1"/>
  <c r="L673" i="3" s="1"/>
  <c r="M673" i="3" s="1"/>
  <c r="G672" i="3"/>
  <c r="H672" i="3" s="1"/>
  <c r="F655" i="3"/>
  <c r="G655" i="3" s="1"/>
  <c r="H655" i="3" s="1"/>
  <c r="L655" i="3" s="1"/>
  <c r="M655" i="3" s="1"/>
  <c r="G658" i="3"/>
  <c r="H658" i="3" s="1"/>
  <c r="G668" i="3"/>
  <c r="H668" i="3" s="1"/>
  <c r="G674" i="3"/>
  <c r="H674" i="3" s="1"/>
  <c r="J667" i="3"/>
  <c r="K667" i="3" s="1"/>
  <c r="J489" i="3"/>
  <c r="K489" i="3" s="1"/>
  <c r="L489" i="3" s="1"/>
  <c r="M489" i="3" s="1"/>
  <c r="J538" i="3"/>
  <c r="G597" i="3"/>
  <c r="H597" i="3" s="1"/>
  <c r="H598" i="3" s="1"/>
  <c r="J600" i="3"/>
  <c r="K600" i="3" s="1"/>
  <c r="L600" i="3" s="1"/>
  <c r="M600" i="3" s="1"/>
  <c r="K615" i="3"/>
  <c r="G664" i="3"/>
  <c r="H664" i="3" s="1"/>
  <c r="G649" i="3"/>
  <c r="H649" i="3" s="1"/>
  <c r="L649" i="3" s="1"/>
  <c r="M649" i="3" s="1"/>
  <c r="G662" i="3"/>
  <c r="H662" i="3" s="1"/>
  <c r="L662" i="3" s="1"/>
  <c r="M662" i="3" s="1"/>
  <c r="J653" i="3"/>
  <c r="K653" i="3" s="1"/>
  <c r="K654" i="3" s="1"/>
  <c r="J651" i="3"/>
  <c r="J665" i="3"/>
  <c r="K665" i="3" s="1"/>
  <c r="G651" i="3"/>
  <c r="J656" i="3"/>
  <c r="K656" i="3" s="1"/>
  <c r="L656" i="3" s="1"/>
  <c r="M656" i="3" s="1"/>
  <c r="G653" i="3"/>
  <c r="H653" i="3" s="1"/>
  <c r="G665" i="3"/>
  <c r="H665" i="3" s="1"/>
  <c r="J650" i="3"/>
  <c r="J664" i="3"/>
  <c r="K664" i="3" s="1"/>
  <c r="L720" i="3"/>
  <c r="M720" i="3" s="1"/>
  <c r="N720" i="3" s="1"/>
  <c r="J602" i="3"/>
  <c r="K602" i="3" s="1"/>
  <c r="L602" i="3" s="1"/>
  <c r="M602" i="3" s="1"/>
  <c r="G611" i="3"/>
  <c r="H611" i="3" s="1"/>
  <c r="L611" i="3" s="1"/>
  <c r="M611" i="3" s="1"/>
  <c r="J612" i="3"/>
  <c r="K612" i="3" s="1"/>
  <c r="L612" i="3" s="1"/>
  <c r="M612" i="3" s="1"/>
  <c r="G619" i="3"/>
  <c r="H619" i="3" s="1"/>
  <c r="G729" i="3"/>
  <c r="H729" i="3" s="1"/>
  <c r="K745" i="3"/>
  <c r="F772" i="3"/>
  <c r="H772" i="3" s="1"/>
  <c r="G836" i="3"/>
  <c r="H836" i="3" s="1"/>
  <c r="L872" i="3"/>
  <c r="M872" i="3" s="1"/>
  <c r="J599" i="3"/>
  <c r="K599" i="3" s="1"/>
  <c r="L599" i="3" s="1"/>
  <c r="M599" i="3" s="1"/>
  <c r="G615" i="3"/>
  <c r="H615" i="3" s="1"/>
  <c r="J616" i="3"/>
  <c r="K616" i="3" s="1"/>
  <c r="L616" i="3" s="1"/>
  <c r="M616" i="3" s="1"/>
  <c r="A648" i="3"/>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G714" i="3"/>
  <c r="H714" i="3" s="1"/>
  <c r="L714" i="3" s="1"/>
  <c r="M714" i="3" s="1"/>
  <c r="L816" i="3"/>
  <c r="M816" i="3" s="1"/>
  <c r="G728" i="3"/>
  <c r="H728" i="3" s="1"/>
  <c r="J729" i="3"/>
  <c r="K729" i="3" s="1"/>
  <c r="L729" i="3" s="1"/>
  <c r="M729" i="3" s="1"/>
  <c r="A928" i="3"/>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K964" i="3"/>
  <c r="H964" i="3"/>
  <c r="K940" i="3"/>
  <c r="F940" i="3"/>
  <c r="H940" i="3" s="1"/>
  <c r="K969" i="3"/>
  <c r="H969" i="3"/>
  <c r="K959" i="3"/>
  <c r="H959" i="3"/>
  <c r="K801" i="3"/>
  <c r="K791" i="3"/>
  <c r="A760" i="3"/>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s="1"/>
  <c r="A782" i="3" s="1"/>
  <c r="A783" i="3" s="1"/>
  <c r="A784" i="3" s="1"/>
  <c r="A785" i="3" s="1"/>
  <c r="A786" i="3" s="1"/>
  <c r="A787" i="3" s="1"/>
  <c r="A788" i="3" s="1"/>
  <c r="A789" i="3" s="1"/>
  <c r="A790" i="3" s="1"/>
  <c r="A791" i="3" s="1"/>
  <c r="A792" i="3" s="1"/>
  <c r="A793" i="3" s="1"/>
  <c r="A794" i="3" s="1"/>
  <c r="A795" i="3" s="1"/>
  <c r="A796" i="3" s="1"/>
  <c r="A797" i="3" s="1"/>
  <c r="A798" i="3" s="1"/>
  <c r="A799" i="3" s="1"/>
  <c r="A800" i="3" s="1"/>
  <c r="A801" i="3" s="1"/>
  <c r="A802" i="3" s="1"/>
  <c r="A803" i="3" s="1"/>
  <c r="K796" i="3"/>
  <c r="H796" i="3"/>
  <c r="J823" i="3"/>
  <c r="K823" i="3" s="1"/>
  <c r="L945" i="3"/>
  <c r="M945" i="3" s="1"/>
  <c r="N945" i="3" s="1"/>
  <c r="L773" i="3"/>
  <c r="M773" i="3" s="1"/>
  <c r="J711" i="3"/>
  <c r="K711" i="3" s="1"/>
  <c r="L711" i="3" s="1"/>
  <c r="M711" i="3" s="1"/>
  <c r="K716" i="3"/>
  <c r="L716" i="3" s="1"/>
  <c r="M716" i="3" s="1"/>
  <c r="G727" i="3"/>
  <c r="H727" i="3" s="1"/>
  <c r="J728" i="3"/>
  <c r="K728" i="3" s="1"/>
  <c r="J951" i="3"/>
  <c r="K951" i="3" s="1"/>
  <c r="J618" i="3"/>
  <c r="K618" i="3" s="1"/>
  <c r="J705" i="3"/>
  <c r="K705" i="3" s="1"/>
  <c r="G713" i="3"/>
  <c r="H713" i="3" s="1"/>
  <c r="L713" i="3" s="1"/>
  <c r="M713" i="3" s="1"/>
  <c r="J723" i="3"/>
  <c r="K723" i="3" s="1"/>
  <c r="J731" i="3"/>
  <c r="K731" i="3" s="1"/>
  <c r="G780" i="3"/>
  <c r="H780" i="3" s="1"/>
  <c r="G785" i="3"/>
  <c r="H785" i="3" s="1"/>
  <c r="G786" i="3"/>
  <c r="H786" i="3" s="1"/>
  <c r="J787" i="3"/>
  <c r="K787" i="3" s="1"/>
  <c r="J779" i="3"/>
  <c r="K779" i="3" s="1"/>
  <c r="J784" i="3"/>
  <c r="K784" i="3" s="1"/>
  <c r="L784" i="3" s="1"/>
  <c r="M784" i="3" s="1"/>
  <c r="G783" i="3"/>
  <c r="H783" i="3" s="1"/>
  <c r="J783" i="3"/>
  <c r="K783" i="3" s="1"/>
  <c r="L783" i="3" s="1"/>
  <c r="M783" i="3" s="1"/>
  <c r="J896" i="3"/>
  <c r="K896" i="3" s="1"/>
  <c r="L944" i="3"/>
  <c r="M944" i="3" s="1"/>
  <c r="N944" i="3" s="1"/>
  <c r="L939" i="3"/>
  <c r="M939" i="3" s="1"/>
  <c r="H735" i="3"/>
  <c r="G777" i="3"/>
  <c r="H777" i="3" s="1"/>
  <c r="L777" i="3" s="1"/>
  <c r="M777" i="3" s="1"/>
  <c r="N777" i="3" s="1"/>
  <c r="J762" i="3"/>
  <c r="G768" i="3"/>
  <c r="H768" i="3" s="1"/>
  <c r="G762" i="3"/>
  <c r="J776" i="3"/>
  <c r="K776" i="3" s="1"/>
  <c r="L776" i="3" s="1"/>
  <c r="M776" i="3" s="1"/>
  <c r="N776" i="3" s="1"/>
  <c r="G769" i="3"/>
  <c r="H769" i="3" s="1"/>
  <c r="L769" i="3" s="1"/>
  <c r="M769" i="3" s="1"/>
  <c r="J774" i="3"/>
  <c r="K774" i="3" s="1"/>
  <c r="J765" i="3"/>
  <c r="K765" i="3" s="1"/>
  <c r="L765" i="3" s="1"/>
  <c r="M765" i="3" s="1"/>
  <c r="J768" i="3"/>
  <c r="K768" i="3" s="1"/>
  <c r="L768" i="3" s="1"/>
  <c r="M768" i="3" s="1"/>
  <c r="G771" i="3"/>
  <c r="H771" i="3" s="1"/>
  <c r="L771" i="3" s="1"/>
  <c r="M771" i="3" s="1"/>
  <c r="G774" i="3"/>
  <c r="H774" i="3" s="1"/>
  <c r="J843" i="3"/>
  <c r="K843" i="3" s="1"/>
  <c r="J835" i="3"/>
  <c r="K835" i="3" s="1"/>
  <c r="G843" i="3"/>
  <c r="H843" i="3" s="1"/>
  <c r="J836" i="3"/>
  <c r="K836" i="3" s="1"/>
  <c r="G835" i="3"/>
  <c r="H835" i="3" s="1"/>
  <c r="J826" i="3"/>
  <c r="K826" i="3" s="1"/>
  <c r="J841" i="3"/>
  <c r="K841" i="3" s="1"/>
  <c r="G840" i="3"/>
  <c r="H840" i="3" s="1"/>
  <c r="L840" i="3" s="1"/>
  <c r="M840" i="3" s="1"/>
  <c r="F823" i="3"/>
  <c r="G823" i="3" s="1"/>
  <c r="H823" i="3" s="1"/>
  <c r="G826" i="3"/>
  <c r="H826" i="3" s="1"/>
  <c r="G841" i="3"/>
  <c r="H841" i="3" s="1"/>
  <c r="J842" i="3"/>
  <c r="K842" i="3" s="1"/>
  <c r="J839" i="3"/>
  <c r="K839" i="3" s="1"/>
  <c r="L839" i="3" s="1"/>
  <c r="M839" i="3" s="1"/>
  <c r="G839" i="3"/>
  <c r="H839" i="3" s="1"/>
  <c r="L880" i="3"/>
  <c r="M880" i="3" s="1"/>
  <c r="K735" i="3"/>
  <c r="J832" i="3"/>
  <c r="K832" i="3" s="1"/>
  <c r="H934" i="3"/>
  <c r="H791" i="3"/>
  <c r="L928" i="3"/>
  <c r="M928" i="3" s="1"/>
  <c r="A816" i="3"/>
  <c r="A817" i="3" s="1"/>
  <c r="A818" i="3" s="1"/>
  <c r="A819" i="3" s="1"/>
  <c r="A820" i="3" s="1"/>
  <c r="A821" i="3" s="1"/>
  <c r="A822" i="3" s="1"/>
  <c r="A823" i="3" s="1"/>
  <c r="A824" i="3" s="1"/>
  <c r="A825" i="3" s="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6" i="3" s="1"/>
  <c r="A857" i="3" s="1"/>
  <c r="A858" i="3" s="1"/>
  <c r="A859" i="3" s="1"/>
  <c r="G953" i="3"/>
  <c r="H953" i="3" s="1"/>
  <c r="J827" i="3"/>
  <c r="K827" i="3" s="1"/>
  <c r="L827" i="3" s="1"/>
  <c r="M827" i="3" s="1"/>
  <c r="J889" i="3"/>
  <c r="K889" i="3" s="1"/>
  <c r="L889" i="3" s="1"/>
  <c r="M889" i="3" s="1"/>
  <c r="N889" i="3" s="1"/>
  <c r="G818" i="3"/>
  <c r="G824" i="3"/>
  <c r="H824" i="3" s="1"/>
  <c r="J875" i="3"/>
  <c r="J877" i="3"/>
  <c r="K877" i="3" s="1"/>
  <c r="L877" i="3" s="1"/>
  <c r="M877" i="3" s="1"/>
  <c r="F884" i="3"/>
  <c r="H884" i="3" s="1"/>
  <c r="G886" i="3"/>
  <c r="H886" i="3" s="1"/>
  <c r="G821" i="3"/>
  <c r="H821" i="3" s="1"/>
  <c r="J824" i="3"/>
  <c r="K824" i="3" s="1"/>
  <c r="J879" i="3"/>
  <c r="K879" i="3" s="1"/>
  <c r="L879" i="3" s="1"/>
  <c r="M879" i="3" s="1"/>
  <c r="K884" i="3"/>
  <c r="J886" i="3"/>
  <c r="K886" i="3" s="1"/>
  <c r="G897" i="3"/>
  <c r="H897" i="3" s="1"/>
  <c r="J931" i="3"/>
  <c r="J933" i="3"/>
  <c r="K933" i="3" s="1"/>
  <c r="L933" i="3" s="1"/>
  <c r="M933" i="3" s="1"/>
  <c r="J938" i="3"/>
  <c r="K938" i="3" s="1"/>
  <c r="L938" i="3" s="1"/>
  <c r="M938" i="3" s="1"/>
  <c r="G942" i="3"/>
  <c r="H942" i="3" s="1"/>
  <c r="G947" i="3"/>
  <c r="H947" i="3" s="1"/>
  <c r="J948" i="3"/>
  <c r="K948" i="3" s="1"/>
  <c r="L948" i="3" s="1"/>
  <c r="M948" i="3" s="1"/>
  <c r="G955" i="3"/>
  <c r="H955" i="3" s="1"/>
  <c r="G819" i="3"/>
  <c r="J833" i="3"/>
  <c r="K833" i="3" s="1"/>
  <c r="L833" i="3" s="1"/>
  <c r="M833" i="3" s="1"/>
  <c r="N833" i="3" s="1"/>
  <c r="J873" i="3"/>
  <c r="K873" i="3" s="1"/>
  <c r="L873" i="3" s="1"/>
  <c r="M873" i="3" s="1"/>
  <c r="G881" i="3"/>
  <c r="H881" i="3" s="1"/>
  <c r="J888" i="3"/>
  <c r="K888" i="3" s="1"/>
  <c r="L888" i="3" s="1"/>
  <c r="M888" i="3" s="1"/>
  <c r="N888" i="3" s="1"/>
  <c r="J819" i="3"/>
  <c r="J821" i="3"/>
  <c r="K821" i="3" s="1"/>
  <c r="L821" i="3" s="1"/>
  <c r="M821" i="3" s="1"/>
  <c r="F828" i="3"/>
  <c r="H828" i="3" s="1"/>
  <c r="L828" i="3" s="1"/>
  <c r="M828" i="3" s="1"/>
  <c r="G830" i="3"/>
  <c r="H830" i="3" s="1"/>
  <c r="L830" i="3" s="1"/>
  <c r="M830" i="3" s="1"/>
  <c r="J935" i="3"/>
  <c r="K935" i="3" s="1"/>
  <c r="L935" i="3" s="1"/>
  <c r="M935" i="3" s="1"/>
  <c r="J942" i="3"/>
  <c r="K942" i="3" s="1"/>
  <c r="G951" i="3"/>
  <c r="H951" i="3" s="1"/>
  <c r="J952" i="3"/>
  <c r="K952" i="3" s="1"/>
  <c r="L952" i="3" s="1"/>
  <c r="M952" i="3" s="1"/>
  <c r="G817" i="3"/>
  <c r="H817" i="3" s="1"/>
  <c r="H822" i="3" s="1"/>
  <c r="G832" i="3"/>
  <c r="H832" i="3" s="1"/>
  <c r="J881" i="3"/>
  <c r="K881" i="3" s="1"/>
  <c r="L881" i="3" s="1"/>
  <c r="M881" i="3" s="1"/>
  <c r="G896" i="3"/>
  <c r="H896" i="3" s="1"/>
  <c r="J897" i="3"/>
  <c r="K897" i="3" s="1"/>
  <c r="J929" i="3"/>
  <c r="K929" i="3" s="1"/>
  <c r="L929" i="3" s="1"/>
  <c r="M929" i="3" s="1"/>
  <c r="G937" i="3"/>
  <c r="H937" i="3" s="1"/>
  <c r="L937" i="3" s="1"/>
  <c r="M937" i="3" s="1"/>
  <c r="J947" i="3"/>
  <c r="K947" i="3" s="1"/>
  <c r="J955" i="3"/>
  <c r="K955" i="3" s="1"/>
  <c r="G954" i="3"/>
  <c r="H954" i="3" s="1"/>
  <c r="J817" i="3"/>
  <c r="K817" i="3" s="1"/>
  <c r="G825" i="3"/>
  <c r="H825" i="3" s="1"/>
  <c r="L825" i="3" s="1"/>
  <c r="M825" i="3" s="1"/>
  <c r="G895" i="3"/>
  <c r="H895" i="3" s="1"/>
  <c r="K710" i="4" l="1"/>
  <c r="H150" i="4"/>
  <c r="L329" i="4"/>
  <c r="M329" i="4" s="1"/>
  <c r="N329" i="4" s="1"/>
  <c r="H663" i="4"/>
  <c r="K654" i="4"/>
  <c r="L654" i="4" s="1"/>
  <c r="M654" i="4" s="1"/>
  <c r="L785" i="4"/>
  <c r="M785" i="4" s="1"/>
  <c r="L155" i="4"/>
  <c r="M155" i="4" s="1"/>
  <c r="L827" i="4"/>
  <c r="M827" i="4" s="1"/>
  <c r="H486" i="4"/>
  <c r="L491" i="4"/>
  <c r="M491" i="4" s="1"/>
  <c r="L500" i="4"/>
  <c r="M500" i="4" s="1"/>
  <c r="J448" i="4"/>
  <c r="K448" i="4" s="1"/>
  <c r="L494" i="4"/>
  <c r="M494" i="4" s="1"/>
  <c r="L783" i="4"/>
  <c r="M783" i="4" s="1"/>
  <c r="H542" i="4"/>
  <c r="L542" i="4" s="1"/>
  <c r="M542" i="4" s="1"/>
  <c r="L841" i="4"/>
  <c r="M841" i="4" s="1"/>
  <c r="L209" i="4"/>
  <c r="M209" i="4" s="1"/>
  <c r="L503" i="4"/>
  <c r="M503" i="4" s="1"/>
  <c r="L425" i="4"/>
  <c r="M425" i="4" s="1"/>
  <c r="L550" i="4"/>
  <c r="M550" i="4" s="1"/>
  <c r="L332" i="4"/>
  <c r="M332" i="4" s="1"/>
  <c r="L553" i="4"/>
  <c r="M553" i="4" s="1"/>
  <c r="N553" i="4" s="1"/>
  <c r="L544" i="3"/>
  <c r="M544" i="3" s="1"/>
  <c r="K206" i="3"/>
  <c r="L89" i="3"/>
  <c r="M89" i="3" s="1"/>
  <c r="L772" i="3"/>
  <c r="M772" i="3" s="1"/>
  <c r="L826" i="3"/>
  <c r="M826" i="3" s="1"/>
  <c r="L537" i="3"/>
  <c r="M537" i="3" s="1"/>
  <c r="L211" i="3"/>
  <c r="M211" i="3" s="1"/>
  <c r="L597" i="3"/>
  <c r="M597" i="3" s="1"/>
  <c r="H430" i="3"/>
  <c r="H719" i="3"/>
  <c r="L97" i="3"/>
  <c r="M97" i="3" s="1"/>
  <c r="L892" i="3"/>
  <c r="M892" i="3" s="1"/>
  <c r="L164" i="3"/>
  <c r="M164" i="3" s="1"/>
  <c r="H495" i="3"/>
  <c r="H654" i="3"/>
  <c r="L335" i="3"/>
  <c r="M335" i="3" s="1"/>
  <c r="L377" i="3"/>
  <c r="M377" i="3" s="1"/>
  <c r="L375" i="3"/>
  <c r="M375" i="3" s="1"/>
  <c r="L337" i="3"/>
  <c r="M337" i="3" s="1"/>
  <c r="L434" i="3"/>
  <c r="M434" i="3" s="1"/>
  <c r="L224" i="3"/>
  <c r="M224" i="3" s="1"/>
  <c r="L824" i="3"/>
  <c r="M824" i="3" s="1"/>
  <c r="L326" i="3"/>
  <c r="M326" i="3" s="1"/>
  <c r="L161" i="3"/>
  <c r="M161" i="3" s="1"/>
  <c r="N161" i="3" s="1"/>
  <c r="L657" i="3"/>
  <c r="M657" i="3" s="1"/>
  <c r="L438" i="3"/>
  <c r="M438" i="3" s="1"/>
  <c r="L727" i="3"/>
  <c r="M727" i="3" s="1"/>
  <c r="L505" i="3"/>
  <c r="M505" i="3" s="1"/>
  <c r="L615" i="4"/>
  <c r="M615" i="4" s="1"/>
  <c r="L567" i="3"/>
  <c r="L895" i="4"/>
  <c r="M895" i="4" s="1"/>
  <c r="L391" i="3"/>
  <c r="M391" i="3" s="1"/>
  <c r="L791" i="3"/>
  <c r="L280" i="3"/>
  <c r="M280" i="3" s="1"/>
  <c r="L225" i="4"/>
  <c r="M225" i="4" s="1"/>
  <c r="L319" i="4"/>
  <c r="M319" i="4" s="1"/>
  <c r="K766" i="3"/>
  <c r="H271" i="4"/>
  <c r="H274" i="4" s="1"/>
  <c r="H290" i="4" s="1"/>
  <c r="K262" i="3"/>
  <c r="L936" i="4"/>
  <c r="M936" i="4" s="1"/>
  <c r="L952" i="4"/>
  <c r="M952" i="4" s="1"/>
  <c r="L945" i="4"/>
  <c r="M945" i="4" s="1"/>
  <c r="N945" i="4" s="1"/>
  <c r="L953" i="4"/>
  <c r="M953" i="4" s="1"/>
  <c r="L951" i="4"/>
  <c r="M951" i="4" s="1"/>
  <c r="L897" i="4"/>
  <c r="M897" i="4" s="1"/>
  <c r="L877" i="4"/>
  <c r="M877" i="4" s="1"/>
  <c r="H878" i="4"/>
  <c r="L823" i="4"/>
  <c r="M823" i="4" s="1"/>
  <c r="H831" i="4"/>
  <c r="H834" i="4" s="1"/>
  <c r="H845" i="4" s="1"/>
  <c r="L784" i="4"/>
  <c r="M784" i="4" s="1"/>
  <c r="L769" i="4"/>
  <c r="M769" i="4" s="1"/>
  <c r="L721" i="4"/>
  <c r="M721" i="4" s="1"/>
  <c r="N721" i="4" s="1"/>
  <c r="L713" i="4"/>
  <c r="M713" i="4" s="1"/>
  <c r="L718" i="4"/>
  <c r="M718" i="4" s="1"/>
  <c r="L671" i="4"/>
  <c r="M671" i="4" s="1"/>
  <c r="L612" i="4"/>
  <c r="M612" i="4" s="1"/>
  <c r="L601" i="4"/>
  <c r="M601" i="4" s="1"/>
  <c r="L597" i="4"/>
  <c r="M597" i="4" s="1"/>
  <c r="H598" i="4"/>
  <c r="L617" i="4"/>
  <c r="M617" i="4" s="1"/>
  <c r="L547" i="4"/>
  <c r="M547" i="4" s="1"/>
  <c r="L545" i="4"/>
  <c r="M545" i="4" s="1"/>
  <c r="L541" i="4"/>
  <c r="M541" i="4" s="1"/>
  <c r="L505" i="4"/>
  <c r="M505" i="4" s="1"/>
  <c r="L436" i="4"/>
  <c r="M436" i="4" s="1"/>
  <c r="L373" i="4"/>
  <c r="M373" i="4" s="1"/>
  <c r="L375" i="4"/>
  <c r="M375" i="4" s="1"/>
  <c r="L313" i="4"/>
  <c r="M313" i="4" s="1"/>
  <c r="L320" i="4"/>
  <c r="M320" i="4" s="1"/>
  <c r="L224" i="4"/>
  <c r="M224" i="4" s="1"/>
  <c r="L145" i="4"/>
  <c r="M145" i="4" s="1"/>
  <c r="L102" i="4"/>
  <c r="M102" i="4" s="1"/>
  <c r="L111" i="4"/>
  <c r="M111" i="4" s="1"/>
  <c r="L113" i="4"/>
  <c r="M113" i="4" s="1"/>
  <c r="L95" i="4"/>
  <c r="M95" i="4" s="1"/>
  <c r="H666" i="4"/>
  <c r="H677" i="4" s="1"/>
  <c r="H551" i="4"/>
  <c r="H687" i="4"/>
  <c r="H383" i="4"/>
  <c r="K551" i="4"/>
  <c r="H607" i="4"/>
  <c r="L450" i="4"/>
  <c r="M450" i="4" s="1"/>
  <c r="L163" i="4"/>
  <c r="M163" i="4" s="1"/>
  <c r="H159" i="4"/>
  <c r="H775" i="4"/>
  <c r="L201" i="4"/>
  <c r="M201" i="4" s="1"/>
  <c r="K206" i="4"/>
  <c r="L948" i="4"/>
  <c r="M948" i="4" s="1"/>
  <c r="L882" i="4"/>
  <c r="M882" i="4" s="1"/>
  <c r="L727" i="4"/>
  <c r="M727" i="4" s="1"/>
  <c r="L599" i="4"/>
  <c r="M599" i="4" s="1"/>
  <c r="L873" i="4"/>
  <c r="M873" i="4" s="1"/>
  <c r="H439" i="4"/>
  <c r="L378" i="4"/>
  <c r="M378" i="4" s="1"/>
  <c r="L561" i="4"/>
  <c r="M561" i="4" s="1"/>
  <c r="L112" i="4"/>
  <c r="M112" i="4" s="1"/>
  <c r="L728" i="4"/>
  <c r="M728" i="4" s="1"/>
  <c r="L281" i="3"/>
  <c r="M281" i="3" s="1"/>
  <c r="L504" i="3"/>
  <c r="M504" i="3" s="1"/>
  <c r="L843" i="4"/>
  <c r="M843" i="4" s="1"/>
  <c r="L714" i="4"/>
  <c r="M714" i="4" s="1"/>
  <c r="K878" i="4"/>
  <c r="L488" i="4"/>
  <c r="M488" i="4" s="1"/>
  <c r="L394" i="4"/>
  <c r="M394" i="4" s="1"/>
  <c r="L656" i="4"/>
  <c r="M656" i="4" s="1"/>
  <c r="L552" i="4"/>
  <c r="M552" i="4" s="1"/>
  <c r="N552" i="4" s="1"/>
  <c r="L487" i="4"/>
  <c r="M487" i="4" s="1"/>
  <c r="L563" i="4"/>
  <c r="M563" i="4" s="1"/>
  <c r="L499" i="4"/>
  <c r="M499" i="4" s="1"/>
  <c r="J283" i="4"/>
  <c r="K283" i="4" s="1"/>
  <c r="J280" i="4"/>
  <c r="K280" i="4" s="1"/>
  <c r="L280" i="4" s="1"/>
  <c r="M280" i="4" s="1"/>
  <c r="J276" i="4"/>
  <c r="K276" i="4" s="1"/>
  <c r="L276" i="4" s="1"/>
  <c r="M276" i="4" s="1"/>
  <c r="J275" i="4"/>
  <c r="K275" i="4" s="1"/>
  <c r="J279" i="4"/>
  <c r="K279" i="4" s="1"/>
  <c r="L279" i="4" s="1"/>
  <c r="M279" i="4" s="1"/>
  <c r="J281" i="4"/>
  <c r="K281" i="4" s="1"/>
  <c r="L281" i="4" s="1"/>
  <c r="M281" i="4" s="1"/>
  <c r="L152" i="4"/>
  <c r="M152" i="4" s="1"/>
  <c r="L443" i="4"/>
  <c r="M443" i="4" s="1"/>
  <c r="L939" i="4"/>
  <c r="M939" i="4" s="1"/>
  <c r="L880" i="4"/>
  <c r="M880" i="4" s="1"/>
  <c r="L891" i="4"/>
  <c r="M891" i="4" s="1"/>
  <c r="L898" i="4"/>
  <c r="M898" i="4" s="1"/>
  <c r="L668" i="4"/>
  <c r="M668" i="4" s="1"/>
  <c r="J611" i="4"/>
  <c r="K611" i="4" s="1"/>
  <c r="K430" i="4"/>
  <c r="L618" i="4"/>
  <c r="M618" i="4" s="1"/>
  <c r="L282" i="4"/>
  <c r="M282" i="4" s="1"/>
  <c r="J779" i="4"/>
  <c r="K779" i="4" s="1"/>
  <c r="J780" i="4"/>
  <c r="K780" i="4" s="1"/>
  <c r="L780" i="4" s="1"/>
  <c r="M780" i="4" s="1"/>
  <c r="J786" i="4"/>
  <c r="K786" i="4" s="1"/>
  <c r="L559" i="4"/>
  <c r="M559" i="4" s="1"/>
  <c r="J151" i="4"/>
  <c r="K151" i="4" s="1"/>
  <c r="L151" i="4" s="1"/>
  <c r="M151" i="4" s="1"/>
  <c r="K383" i="4"/>
  <c r="L374" i="4"/>
  <c r="M374" i="4" s="1"/>
  <c r="H318" i="4"/>
  <c r="L343" i="4"/>
  <c r="L150" i="4"/>
  <c r="M150" i="4" s="1"/>
  <c r="K318" i="4"/>
  <c r="L555" i="4"/>
  <c r="M555" i="4" s="1"/>
  <c r="L447" i="4"/>
  <c r="M447" i="4" s="1"/>
  <c r="L115" i="4"/>
  <c r="M115" i="4" s="1"/>
  <c r="L449" i="4"/>
  <c r="M449" i="4" s="1"/>
  <c r="L331" i="4"/>
  <c r="M331" i="4" s="1"/>
  <c r="L787" i="4"/>
  <c r="M787" i="4" s="1"/>
  <c r="L933" i="4"/>
  <c r="M933" i="4" s="1"/>
  <c r="L899" i="4"/>
  <c r="M899" i="4" s="1"/>
  <c r="H682" i="4"/>
  <c r="L623" i="4"/>
  <c r="L619" i="4"/>
  <c r="M619" i="4" s="1"/>
  <c r="L609" i="4"/>
  <c r="M609" i="4" s="1"/>
  <c r="N609" i="4" s="1"/>
  <c r="L593" i="4"/>
  <c r="M593" i="4" s="1"/>
  <c r="L606" i="4"/>
  <c r="M606" i="4" s="1"/>
  <c r="L556" i="4"/>
  <c r="M556" i="4" s="1"/>
  <c r="L107" i="4"/>
  <c r="M107" i="4" s="1"/>
  <c r="L321" i="4"/>
  <c r="M321" i="4" s="1"/>
  <c r="L431" i="4"/>
  <c r="M431" i="4" s="1"/>
  <c r="L322" i="4"/>
  <c r="M322" i="4" s="1"/>
  <c r="L339" i="4"/>
  <c r="M339" i="4" s="1"/>
  <c r="L731" i="4"/>
  <c r="M731" i="4" s="1"/>
  <c r="L561" i="3"/>
  <c r="M561" i="3" s="1"/>
  <c r="L953" i="3"/>
  <c r="M953" i="3" s="1"/>
  <c r="L824" i="4"/>
  <c r="M824" i="4" s="1"/>
  <c r="L879" i="4"/>
  <c r="M879" i="4" s="1"/>
  <c r="L562" i="4"/>
  <c r="M562" i="4" s="1"/>
  <c r="L617" i="3"/>
  <c r="M617" i="3" s="1"/>
  <c r="L328" i="4"/>
  <c r="M328" i="4" s="1"/>
  <c r="N328" i="4" s="1"/>
  <c r="L667" i="4"/>
  <c r="M667" i="4" s="1"/>
  <c r="L108" i="4"/>
  <c r="M108" i="4" s="1"/>
  <c r="L227" i="4"/>
  <c r="M227" i="4" s="1"/>
  <c r="L823" i="3"/>
  <c r="M823" i="3" s="1"/>
  <c r="H943" i="4"/>
  <c r="L730" i="4"/>
  <c r="M730" i="4" s="1"/>
  <c r="K719" i="4"/>
  <c r="L710" i="4"/>
  <c r="L387" i="4"/>
  <c r="M387" i="4" s="1"/>
  <c r="L104" i="4"/>
  <c r="M104" i="4" s="1"/>
  <c r="N104" i="4" s="1"/>
  <c r="J160" i="4"/>
  <c r="K160" i="4" s="1"/>
  <c r="L160" i="4" s="1"/>
  <c r="M160" i="4" s="1"/>
  <c r="N160" i="4" s="1"/>
  <c r="J164" i="4"/>
  <c r="K164" i="4" s="1"/>
  <c r="L164" i="4" s="1"/>
  <c r="M164" i="4" s="1"/>
  <c r="L506" i="4"/>
  <c r="M506" i="4" s="1"/>
  <c r="L219" i="4"/>
  <c r="M219" i="4" s="1"/>
  <c r="L451" i="4"/>
  <c r="M451" i="4" s="1"/>
  <c r="L729" i="4"/>
  <c r="M729" i="4" s="1"/>
  <c r="K607" i="4"/>
  <c r="L598" i="4"/>
  <c r="M598" i="4" s="1"/>
  <c r="L608" i="4"/>
  <c r="M608" i="4" s="1"/>
  <c r="N608" i="4" s="1"/>
  <c r="L448" i="4"/>
  <c r="M448" i="4" s="1"/>
  <c r="L335" i="4"/>
  <c r="M335" i="4" s="1"/>
  <c r="L675" i="4"/>
  <c r="M675" i="4" s="1"/>
  <c r="H495" i="4"/>
  <c r="L603" i="4"/>
  <c r="M603" i="4" s="1"/>
  <c r="L161" i="4"/>
  <c r="M161" i="4" s="1"/>
  <c r="N161" i="4" s="1"/>
  <c r="L954" i="4"/>
  <c r="M954" i="4" s="1"/>
  <c r="L168" i="4"/>
  <c r="M168" i="4" s="1"/>
  <c r="L326" i="4"/>
  <c r="M326" i="4" s="1"/>
  <c r="L223" i="4"/>
  <c r="M223" i="4" s="1"/>
  <c r="L842" i="4"/>
  <c r="M842" i="4" s="1"/>
  <c r="J833" i="4"/>
  <c r="K833" i="4" s="1"/>
  <c r="L833" i="4" s="1"/>
  <c r="M833" i="4" s="1"/>
  <c r="N833" i="4" s="1"/>
  <c r="J836" i="4"/>
  <c r="K836" i="4" s="1"/>
  <c r="L836" i="4" s="1"/>
  <c r="M836" i="4" s="1"/>
  <c r="L226" i="4"/>
  <c r="M226" i="4" s="1"/>
  <c r="L674" i="4"/>
  <c r="M674" i="4" s="1"/>
  <c r="L955" i="4"/>
  <c r="M955" i="4" s="1"/>
  <c r="L338" i="4"/>
  <c r="M338" i="4" s="1"/>
  <c r="L337" i="4"/>
  <c r="M337" i="4" s="1"/>
  <c r="H103" i="4"/>
  <c r="L723" i="4"/>
  <c r="M723" i="4" s="1"/>
  <c r="K943" i="4"/>
  <c r="L934" i="4"/>
  <c r="M934" i="4" s="1"/>
  <c r="M710" i="4"/>
  <c r="H719" i="4"/>
  <c r="L537" i="4"/>
  <c r="M537" i="4" s="1"/>
  <c r="L705" i="4"/>
  <c r="M705" i="4" s="1"/>
  <c r="L881" i="4"/>
  <c r="M881" i="4" s="1"/>
  <c r="L336" i="4"/>
  <c r="M336" i="4" s="1"/>
  <c r="L317" i="4"/>
  <c r="M317" i="4" s="1"/>
  <c r="L158" i="4"/>
  <c r="M158" i="4" s="1"/>
  <c r="K94" i="4"/>
  <c r="L114" i="4"/>
  <c r="M114" i="4" s="1"/>
  <c r="L886" i="4"/>
  <c r="M886" i="4" s="1"/>
  <c r="H887" i="4"/>
  <c r="L673" i="4"/>
  <c r="M673" i="4" s="1"/>
  <c r="L481" i="4"/>
  <c r="M481" i="4" s="1"/>
  <c r="K486" i="4"/>
  <c r="L947" i="4"/>
  <c r="M947" i="4" s="1"/>
  <c r="K262" i="4"/>
  <c r="L392" i="3"/>
  <c r="M392" i="3" s="1"/>
  <c r="J835" i="4"/>
  <c r="K835" i="4" s="1"/>
  <c r="K822" i="4"/>
  <c r="L888" i="4"/>
  <c r="M888" i="4" s="1"/>
  <c r="N888" i="4" s="1"/>
  <c r="K766" i="4"/>
  <c r="L438" i="4"/>
  <c r="M438" i="4" s="1"/>
  <c r="H215" i="4"/>
  <c r="L600" i="4"/>
  <c r="M600" i="4" s="1"/>
  <c r="L507" i="4"/>
  <c r="M507" i="4" s="1"/>
  <c r="L171" i="4"/>
  <c r="M171" i="4" s="1"/>
  <c r="H439" i="3"/>
  <c r="K383" i="3"/>
  <c r="H103" i="3"/>
  <c r="H607" i="3"/>
  <c r="H663" i="3"/>
  <c r="H498" i="3"/>
  <c r="H509" i="3" s="1"/>
  <c r="K663" i="3"/>
  <c r="L654" i="3"/>
  <c r="M654" i="3" s="1"/>
  <c r="H831" i="3"/>
  <c r="H943" i="3"/>
  <c r="L841" i="3"/>
  <c r="M841" i="3" s="1"/>
  <c r="L955" i="3"/>
  <c r="M955" i="3" s="1"/>
  <c r="L942" i="3"/>
  <c r="M942" i="3" s="1"/>
  <c r="L735" i="3"/>
  <c r="L836" i="3"/>
  <c r="M836" i="3" s="1"/>
  <c r="L779" i="3"/>
  <c r="M779" i="3" s="1"/>
  <c r="L728" i="3"/>
  <c r="M728" i="3" s="1"/>
  <c r="L664" i="3"/>
  <c r="M664" i="3" s="1"/>
  <c r="N664" i="3" s="1"/>
  <c r="L615" i="3"/>
  <c r="M615" i="3" s="1"/>
  <c r="K598" i="3"/>
  <c r="K542" i="3"/>
  <c r="L205" i="3"/>
  <c r="M205" i="3" s="1"/>
  <c r="L548" i="3"/>
  <c r="M548" i="3" s="1"/>
  <c r="L265" i="3"/>
  <c r="M265" i="3" s="1"/>
  <c r="L153" i="3"/>
  <c r="M153" i="3" s="1"/>
  <c r="L378" i="3"/>
  <c r="M378" i="3" s="1"/>
  <c r="L898" i="3"/>
  <c r="M898" i="3" s="1"/>
  <c r="L112" i="3"/>
  <c r="M112" i="3" s="1"/>
  <c r="L947" i="3"/>
  <c r="M947" i="3" s="1"/>
  <c r="L787" i="3"/>
  <c r="M787" i="3" s="1"/>
  <c r="K878" i="3"/>
  <c r="L432" i="3"/>
  <c r="M432" i="3" s="1"/>
  <c r="L168" i="3"/>
  <c r="M168" i="3" s="1"/>
  <c r="L152" i="3"/>
  <c r="M152" i="3" s="1"/>
  <c r="L275" i="3"/>
  <c r="M275" i="3" s="1"/>
  <c r="L444" i="3"/>
  <c r="M444" i="3" s="1"/>
  <c r="L899" i="3"/>
  <c r="M899" i="3" s="1"/>
  <c r="L114" i="3"/>
  <c r="M114" i="3" s="1"/>
  <c r="J105" i="3"/>
  <c r="K105" i="3" s="1"/>
  <c r="L105" i="3" s="1"/>
  <c r="M105" i="3" s="1"/>
  <c r="N105" i="3" s="1"/>
  <c r="L339" i="3"/>
  <c r="M339" i="3" s="1"/>
  <c r="L835" i="3"/>
  <c r="M835" i="3" s="1"/>
  <c r="H519" i="3"/>
  <c r="L506" i="3"/>
  <c r="M506" i="3" s="1"/>
  <c r="L384" i="3"/>
  <c r="M384" i="3" s="1"/>
  <c r="N384" i="3" s="1"/>
  <c r="L282" i="3"/>
  <c r="M282" i="3" s="1"/>
  <c r="L431" i="3"/>
  <c r="M431" i="3" s="1"/>
  <c r="L895" i="3"/>
  <c r="M895" i="3" s="1"/>
  <c r="L225" i="3"/>
  <c r="M225" i="3" s="1"/>
  <c r="L163" i="3"/>
  <c r="M163" i="3" s="1"/>
  <c r="J107" i="3"/>
  <c r="K107" i="3" s="1"/>
  <c r="H514" i="3"/>
  <c r="J104" i="3"/>
  <c r="K104" i="3" s="1"/>
  <c r="L104" i="3" s="1"/>
  <c r="M104" i="3" s="1"/>
  <c r="N104" i="3" s="1"/>
  <c r="L262" i="3"/>
  <c r="K271" i="3"/>
  <c r="L171" i="3"/>
  <c r="M171" i="3" s="1"/>
  <c r="L897" i="3"/>
  <c r="M897" i="3" s="1"/>
  <c r="K934" i="3"/>
  <c r="L731" i="3"/>
  <c r="M731" i="3" s="1"/>
  <c r="H271" i="3"/>
  <c r="M262" i="3"/>
  <c r="L891" i="3"/>
  <c r="M891" i="3" s="1"/>
  <c r="L219" i="3"/>
  <c r="M219" i="3" s="1"/>
  <c r="K822" i="3"/>
  <c r="L563" i="3"/>
  <c r="M563" i="3" s="1"/>
  <c r="L393" i="3"/>
  <c r="M393" i="3" s="1"/>
  <c r="L672" i="3"/>
  <c r="M672" i="3" s="1"/>
  <c r="L443" i="3"/>
  <c r="M443" i="3" s="1"/>
  <c r="H159" i="3"/>
  <c r="L151" i="3"/>
  <c r="M151" i="3" s="1"/>
  <c r="L227" i="3"/>
  <c r="M227" i="3" s="1"/>
  <c r="L167" i="3"/>
  <c r="M167" i="3" s="1"/>
  <c r="L723" i="3"/>
  <c r="M723" i="3" s="1"/>
  <c r="L959" i="3"/>
  <c r="L665" i="3"/>
  <c r="M665" i="3" s="1"/>
  <c r="N665" i="3" s="1"/>
  <c r="L263" i="3"/>
  <c r="M263" i="3" s="1"/>
  <c r="L313" i="3"/>
  <c r="M313" i="3" s="1"/>
  <c r="K318" i="3"/>
  <c r="L279" i="3"/>
  <c r="M279" i="3" s="1"/>
  <c r="L395" i="3"/>
  <c r="M395" i="3" s="1"/>
  <c r="L675" i="3"/>
  <c r="M675" i="3" s="1"/>
  <c r="L785" i="3"/>
  <c r="M785" i="3" s="1"/>
  <c r="L450" i="3"/>
  <c r="M450" i="3" s="1"/>
  <c r="L451" i="3"/>
  <c r="M451" i="3" s="1"/>
  <c r="L115" i="3"/>
  <c r="M115" i="3" s="1"/>
  <c r="L169" i="3"/>
  <c r="M169" i="3" s="1"/>
  <c r="L170" i="3"/>
  <c r="M170" i="3" s="1"/>
  <c r="H215" i="3"/>
  <c r="L896" i="3"/>
  <c r="M896" i="3" s="1"/>
  <c r="L562" i="3"/>
  <c r="M562" i="3" s="1"/>
  <c r="H887" i="3"/>
  <c r="H775" i="3"/>
  <c r="L559" i="3"/>
  <c r="M559" i="3" s="1"/>
  <c r="L623" i="3"/>
  <c r="L379" i="3"/>
  <c r="M379" i="3" s="1"/>
  <c r="L145" i="3"/>
  <c r="M145" i="3" s="1"/>
  <c r="K150" i="3"/>
  <c r="L954" i="3"/>
  <c r="M954" i="3" s="1"/>
  <c r="L786" i="3"/>
  <c r="M786" i="3" s="1"/>
  <c r="L447" i="3"/>
  <c r="M447" i="3" s="1"/>
  <c r="J95" i="3"/>
  <c r="K95" i="3" s="1"/>
  <c r="L95" i="3" s="1"/>
  <c r="M95" i="3" s="1"/>
  <c r="L842" i="3"/>
  <c r="M842" i="3" s="1"/>
  <c r="L886" i="3"/>
  <c r="M886" i="3" s="1"/>
  <c r="L332" i="3"/>
  <c r="M332" i="3" s="1"/>
  <c r="L555" i="3"/>
  <c r="M555" i="3" s="1"/>
  <c r="L425" i="3"/>
  <c r="M425" i="3" s="1"/>
  <c r="K430" i="3"/>
  <c r="L331" i="3"/>
  <c r="M331" i="3" s="1"/>
  <c r="L674" i="3"/>
  <c r="M674" i="3" s="1"/>
  <c r="L653" i="3"/>
  <c r="M653" i="3" s="1"/>
  <c r="K775" i="3"/>
  <c r="L766" i="3"/>
  <c r="M766" i="3" s="1"/>
  <c r="L609" i="3"/>
  <c r="M609" i="3" s="1"/>
  <c r="N609" i="3" s="1"/>
  <c r="H374" i="3"/>
  <c r="L884" i="3"/>
  <c r="M884" i="3" s="1"/>
  <c r="L832" i="3"/>
  <c r="M832" i="3" s="1"/>
  <c r="N832" i="3" s="1"/>
  <c r="L940" i="3"/>
  <c r="M940" i="3" s="1"/>
  <c r="L606" i="3"/>
  <c r="M606" i="3" s="1"/>
  <c r="L373" i="3"/>
  <c r="M373" i="3" s="1"/>
  <c r="L394" i="3"/>
  <c r="M394" i="3" s="1"/>
  <c r="L338" i="3"/>
  <c r="M338" i="3" s="1"/>
  <c r="K215" i="3"/>
  <c r="L206" i="3"/>
  <c r="M206" i="3" s="1"/>
  <c r="L102" i="3"/>
  <c r="M102" i="3" s="1"/>
  <c r="L113" i="3"/>
  <c r="M113" i="3" s="1"/>
  <c r="L730" i="3"/>
  <c r="M730" i="3" s="1"/>
  <c r="L604" i="3"/>
  <c r="M604" i="3" s="1"/>
  <c r="L387" i="3"/>
  <c r="M387" i="3" s="1"/>
  <c r="L951" i="3"/>
  <c r="M951" i="3" s="1"/>
  <c r="L608" i="3"/>
  <c r="M608" i="3" s="1"/>
  <c r="N608" i="3" s="1"/>
  <c r="L603" i="3"/>
  <c r="M603" i="3" s="1"/>
  <c r="L556" i="3"/>
  <c r="M556" i="3" s="1"/>
  <c r="H551" i="3"/>
  <c r="L283" i="3"/>
  <c r="M283" i="3" s="1"/>
  <c r="L449" i="3"/>
  <c r="M449" i="3" s="1"/>
  <c r="K94" i="3"/>
  <c r="L843" i="3"/>
  <c r="M843" i="3" s="1"/>
  <c r="L481" i="3"/>
  <c r="M481" i="3" s="1"/>
  <c r="K486" i="3"/>
  <c r="L774" i="3"/>
  <c r="M774" i="3" s="1"/>
  <c r="L705" i="3"/>
  <c r="M705" i="3" s="1"/>
  <c r="K710" i="3"/>
  <c r="L507" i="3"/>
  <c r="M507" i="3" s="1"/>
  <c r="L499" i="3"/>
  <c r="M499" i="3" s="1"/>
  <c r="L780" i="3"/>
  <c r="M780" i="3" s="1"/>
  <c r="L226" i="3"/>
  <c r="M226" i="3" s="1"/>
  <c r="L667" i="3"/>
  <c r="M667" i="3" s="1"/>
  <c r="H722" i="3"/>
  <c r="H327" i="3"/>
  <c r="L487" i="3"/>
  <c r="M487" i="3" s="1"/>
  <c r="L817" i="3"/>
  <c r="M817" i="3" s="1"/>
  <c r="L618" i="3"/>
  <c r="M618" i="3" s="1"/>
  <c r="K663" i="4" l="1"/>
  <c r="K159" i="4"/>
  <c r="H846" i="4"/>
  <c r="H847" i="4"/>
  <c r="H848" i="4" s="1"/>
  <c r="H291" i="4"/>
  <c r="K162" i="4"/>
  <c r="L159" i="4"/>
  <c r="M159" i="4" s="1"/>
  <c r="H683" i="4"/>
  <c r="H684" i="4"/>
  <c r="L551" i="4"/>
  <c r="M551" i="4" s="1"/>
  <c r="K554" i="4"/>
  <c r="H327" i="4"/>
  <c r="K439" i="4"/>
  <c r="L430" i="4"/>
  <c r="M430" i="4" s="1"/>
  <c r="H162" i="4"/>
  <c r="H386" i="4"/>
  <c r="H218" i="4"/>
  <c r="K103" i="4"/>
  <c r="L94" i="4"/>
  <c r="H722" i="4"/>
  <c r="H498" i="4"/>
  <c r="K610" i="4"/>
  <c r="L607" i="4"/>
  <c r="M607" i="4" s="1"/>
  <c r="L383" i="4"/>
  <c r="M383" i="4" s="1"/>
  <c r="K386" i="4"/>
  <c r="L611" i="4"/>
  <c r="M611" i="4" s="1"/>
  <c r="H688" i="4"/>
  <c r="H690" i="4" s="1"/>
  <c r="E34" i="5" s="1"/>
  <c r="H689" i="4"/>
  <c r="K271" i="4"/>
  <c r="L262" i="4"/>
  <c r="M262" i="4" s="1"/>
  <c r="H850" i="4"/>
  <c r="L275" i="4"/>
  <c r="M275" i="4" s="1"/>
  <c r="K183" i="4"/>
  <c r="H554" i="4"/>
  <c r="K722" i="4"/>
  <c r="L719" i="4"/>
  <c r="M719" i="4" s="1"/>
  <c r="L318" i="4"/>
  <c r="M318" i="4" s="1"/>
  <c r="K327" i="4"/>
  <c r="L943" i="4"/>
  <c r="M943" i="4" s="1"/>
  <c r="K946" i="4"/>
  <c r="K666" i="4"/>
  <c r="L663" i="4"/>
  <c r="M663" i="4" s="1"/>
  <c r="K215" i="4"/>
  <c r="L206" i="4"/>
  <c r="M206" i="4" s="1"/>
  <c r="K775" i="4"/>
  <c r="L766" i="4"/>
  <c r="M766" i="4" s="1"/>
  <c r="L486" i="4"/>
  <c r="M486" i="4" s="1"/>
  <c r="K495" i="4"/>
  <c r="H678" i="4"/>
  <c r="H679" i="4"/>
  <c r="H680" i="4" s="1"/>
  <c r="H295" i="4"/>
  <c r="L786" i="4"/>
  <c r="M786" i="4" s="1"/>
  <c r="L283" i="4"/>
  <c r="M283" i="4" s="1"/>
  <c r="L878" i="4"/>
  <c r="M878" i="4" s="1"/>
  <c r="K887" i="4"/>
  <c r="H285" i="4"/>
  <c r="H106" i="4"/>
  <c r="H946" i="4"/>
  <c r="L779" i="4"/>
  <c r="M779" i="4" s="1"/>
  <c r="H442" i="4"/>
  <c r="H778" i="4"/>
  <c r="H610" i="4"/>
  <c r="K831" i="4"/>
  <c r="L822" i="4"/>
  <c r="M822" i="4" s="1"/>
  <c r="L835" i="4"/>
  <c r="M835" i="4" s="1"/>
  <c r="H890" i="4"/>
  <c r="H855" i="4"/>
  <c r="L215" i="3"/>
  <c r="M215" i="3" s="1"/>
  <c r="K218" i="3"/>
  <c r="H383" i="3"/>
  <c r="L383" i="3" s="1"/>
  <c r="L150" i="3"/>
  <c r="M150" i="3" s="1"/>
  <c r="K159" i="3"/>
  <c r="H515" i="3"/>
  <c r="H517" i="3" s="1"/>
  <c r="H516" i="3"/>
  <c r="H946" i="3"/>
  <c r="H666" i="3"/>
  <c r="H330" i="3"/>
  <c r="L94" i="3"/>
  <c r="K103" i="3"/>
  <c r="H743" i="3"/>
  <c r="H738" i="3"/>
  <c r="H510" i="3"/>
  <c r="H511" i="3"/>
  <c r="L107" i="3"/>
  <c r="M107" i="3" s="1"/>
  <c r="K495" i="3"/>
  <c r="L486" i="3"/>
  <c r="M486" i="3" s="1"/>
  <c r="H610" i="3"/>
  <c r="L775" i="3"/>
  <c r="M775" i="3" s="1"/>
  <c r="K778" i="3"/>
  <c r="H218" i="3"/>
  <c r="H834" i="3"/>
  <c r="H274" i="3"/>
  <c r="H106" i="3"/>
  <c r="H778" i="3"/>
  <c r="K887" i="3"/>
  <c r="L878" i="3"/>
  <c r="M878" i="3" s="1"/>
  <c r="L663" i="3"/>
  <c r="M663" i="3" s="1"/>
  <c r="K666" i="3"/>
  <c r="L374" i="3"/>
  <c r="M374" i="3" s="1"/>
  <c r="H554" i="3"/>
  <c r="H890" i="3"/>
  <c r="K943" i="3"/>
  <c r="L934" i="3"/>
  <c r="M934" i="3" s="1"/>
  <c r="H733" i="3"/>
  <c r="K386" i="3"/>
  <c r="L822" i="3"/>
  <c r="M822" i="3" s="1"/>
  <c r="K831" i="3"/>
  <c r="H442" i="3"/>
  <c r="K439" i="3"/>
  <c r="L430" i="3"/>
  <c r="M430" i="3" s="1"/>
  <c r="L271" i="3"/>
  <c r="M271" i="3" s="1"/>
  <c r="K274" i="3"/>
  <c r="K551" i="3"/>
  <c r="L542" i="3"/>
  <c r="M542" i="3" s="1"/>
  <c r="K327" i="3"/>
  <c r="L318" i="3"/>
  <c r="M318" i="3" s="1"/>
  <c r="K607" i="3"/>
  <c r="L598" i="3"/>
  <c r="M598" i="3" s="1"/>
  <c r="L710" i="3"/>
  <c r="M710" i="3" s="1"/>
  <c r="K719" i="3"/>
  <c r="H162" i="3"/>
  <c r="H520" i="3"/>
  <c r="H521" i="3"/>
  <c r="H962" i="4" l="1"/>
  <c r="H957" i="4"/>
  <c r="H967" i="4"/>
  <c r="H407" i="4"/>
  <c r="H402" i="4"/>
  <c r="H397" i="4"/>
  <c r="L666" i="4"/>
  <c r="M666" i="4" s="1"/>
  <c r="K682" i="4"/>
  <c r="K687" i="4"/>
  <c r="K677" i="4"/>
  <c r="H851" i="4"/>
  <c r="H853" i="4" s="1"/>
  <c r="H852" i="4"/>
  <c r="K834" i="4"/>
  <c r="L831" i="4"/>
  <c r="M831" i="4" s="1"/>
  <c r="H122" i="4"/>
  <c r="H117" i="4"/>
  <c r="H127" i="4"/>
  <c r="L946" i="4"/>
  <c r="M946" i="4" s="1"/>
  <c r="K962" i="4"/>
  <c r="K967" i="4"/>
  <c r="K957" i="4"/>
  <c r="H183" i="4"/>
  <c r="L183" i="4" s="1"/>
  <c r="H178" i="4"/>
  <c r="H173" i="4"/>
  <c r="L386" i="4"/>
  <c r="M386" i="4" s="1"/>
  <c r="K402" i="4"/>
  <c r="K397" i="4"/>
  <c r="K407" i="4"/>
  <c r="L610" i="4"/>
  <c r="M610" i="4" s="1"/>
  <c r="K631" i="4"/>
  <c r="K626" i="4"/>
  <c r="L162" i="4"/>
  <c r="M162" i="4" s="1"/>
  <c r="K330" i="4"/>
  <c r="L327" i="4"/>
  <c r="M327" i="4" s="1"/>
  <c r="K890" i="4"/>
  <c r="L887" i="4"/>
  <c r="M887" i="4" s="1"/>
  <c r="H519" i="4"/>
  <c r="H509" i="4"/>
  <c r="H514" i="4"/>
  <c r="K442" i="4"/>
  <c r="L439" i="4"/>
  <c r="M439" i="4" s="1"/>
  <c r="H286" i="4"/>
  <c r="K274" i="4"/>
  <c r="L271" i="4"/>
  <c r="M271" i="4" s="1"/>
  <c r="L495" i="4"/>
  <c r="M495" i="4" s="1"/>
  <c r="K498" i="4"/>
  <c r="H738" i="4"/>
  <c r="H733" i="4"/>
  <c r="H743" i="4"/>
  <c r="H330" i="4"/>
  <c r="H293" i="4"/>
  <c r="H626" i="4"/>
  <c r="H621" i="4"/>
  <c r="H631" i="4"/>
  <c r="H799" i="4"/>
  <c r="H789" i="4"/>
  <c r="H794" i="4"/>
  <c r="H458" i="4"/>
  <c r="H463" i="4"/>
  <c r="H453" i="4"/>
  <c r="L722" i="4"/>
  <c r="M722" i="4" s="1"/>
  <c r="K743" i="4"/>
  <c r="K733" i="4"/>
  <c r="K738" i="4"/>
  <c r="H856" i="4"/>
  <c r="H858" i="4" s="1"/>
  <c r="H857" i="4"/>
  <c r="K778" i="4"/>
  <c r="L775" i="4"/>
  <c r="M775" i="4" s="1"/>
  <c r="M94" i="4"/>
  <c r="L554" i="4"/>
  <c r="M554" i="4" s="1"/>
  <c r="K570" i="4"/>
  <c r="K565" i="4"/>
  <c r="K575" i="4"/>
  <c r="H906" i="4"/>
  <c r="H911" i="4"/>
  <c r="H901" i="4"/>
  <c r="K173" i="4"/>
  <c r="H565" i="4"/>
  <c r="H575" i="4"/>
  <c r="H570" i="4"/>
  <c r="K178" i="4"/>
  <c r="K106" i="4"/>
  <c r="L103" i="4"/>
  <c r="M103" i="4" s="1"/>
  <c r="K185" i="4"/>
  <c r="K184" i="4"/>
  <c r="K186" i="4" s="1"/>
  <c r="H296" i="4"/>
  <c r="K218" i="4"/>
  <c r="L215" i="4"/>
  <c r="M215" i="4" s="1"/>
  <c r="K621" i="4"/>
  <c r="H239" i="4"/>
  <c r="H234" i="4"/>
  <c r="H229" i="4"/>
  <c r="H685" i="4"/>
  <c r="H734" i="3"/>
  <c r="H736" i="3" s="1"/>
  <c r="H744" i="3"/>
  <c r="H746" i="3" s="1"/>
  <c r="E17" i="5" s="1"/>
  <c r="K610" i="3"/>
  <c r="L607" i="3"/>
  <c r="M607" i="3" s="1"/>
  <c r="H967" i="3"/>
  <c r="H962" i="3"/>
  <c r="H957" i="3"/>
  <c r="K330" i="3"/>
  <c r="L327" i="3"/>
  <c r="M327" i="3" s="1"/>
  <c r="H522" i="3"/>
  <c r="L551" i="3"/>
  <c r="M551" i="3" s="1"/>
  <c r="K554" i="3"/>
  <c r="H799" i="3"/>
  <c r="H789" i="3"/>
  <c r="H794" i="3"/>
  <c r="H626" i="3"/>
  <c r="H621" i="3"/>
  <c r="H631" i="3"/>
  <c r="K890" i="3"/>
  <c r="L887" i="3"/>
  <c r="M887" i="3" s="1"/>
  <c r="L274" i="3"/>
  <c r="M274" i="3" s="1"/>
  <c r="K285" i="3"/>
  <c r="K295" i="3"/>
  <c r="K290" i="3"/>
  <c r="L943" i="3"/>
  <c r="M943" i="3" s="1"/>
  <c r="K946" i="3"/>
  <c r="K106" i="3"/>
  <c r="L103" i="3"/>
  <c r="M103" i="3" s="1"/>
  <c r="L159" i="3"/>
  <c r="M159" i="3" s="1"/>
  <c r="K162" i="3"/>
  <c r="H512" i="3"/>
  <c r="E13" i="5" s="1"/>
  <c r="H911" i="3"/>
  <c r="H906" i="3"/>
  <c r="H901" i="3"/>
  <c r="H117" i="3"/>
  <c r="H122" i="3"/>
  <c r="H127" i="3"/>
  <c r="L495" i="3"/>
  <c r="M495" i="3" s="1"/>
  <c r="K498" i="3"/>
  <c r="M94" i="3"/>
  <c r="L831" i="3"/>
  <c r="M831" i="3" s="1"/>
  <c r="K834" i="3"/>
  <c r="K407" i="3"/>
  <c r="K397" i="3"/>
  <c r="K402" i="3"/>
  <c r="L778" i="3"/>
  <c r="M778" i="3" s="1"/>
  <c r="K799" i="3"/>
  <c r="K794" i="3"/>
  <c r="K789" i="3"/>
  <c r="H739" i="3"/>
  <c r="H741" i="3" s="1"/>
  <c r="H178" i="3"/>
  <c r="H173" i="3"/>
  <c r="H183" i="3"/>
  <c r="H290" i="3"/>
  <c r="H295" i="3"/>
  <c r="H285" i="3"/>
  <c r="M383" i="3"/>
  <c r="H386" i="3"/>
  <c r="H229" i="3"/>
  <c r="H234" i="3"/>
  <c r="H239" i="3"/>
  <c r="L719" i="3"/>
  <c r="M719" i="3" s="1"/>
  <c r="K722" i="3"/>
  <c r="L439" i="3"/>
  <c r="M439" i="3" s="1"/>
  <c r="K442" i="3"/>
  <c r="H575" i="3"/>
  <c r="H565" i="3"/>
  <c r="H570" i="3"/>
  <c r="H346" i="3"/>
  <c r="H351" i="3"/>
  <c r="H341" i="3"/>
  <c r="H463" i="3"/>
  <c r="H458" i="3"/>
  <c r="H453" i="3"/>
  <c r="H850" i="3"/>
  <c r="H855" i="3"/>
  <c r="H845" i="3"/>
  <c r="H687" i="3"/>
  <c r="H682" i="3"/>
  <c r="H677" i="3"/>
  <c r="L218" i="3"/>
  <c r="M218" i="3" s="1"/>
  <c r="K239" i="3"/>
  <c r="K234" i="3"/>
  <c r="K229" i="3"/>
  <c r="L666" i="3"/>
  <c r="M666" i="3" s="1"/>
  <c r="K687" i="3"/>
  <c r="K682" i="3"/>
  <c r="K677" i="3"/>
  <c r="L738" i="4" l="1"/>
  <c r="K739" i="4"/>
  <c r="K741" i="4" s="1"/>
  <c r="H632" i="4"/>
  <c r="H123" i="4"/>
  <c r="H125" i="4" s="1"/>
  <c r="H124" i="4"/>
  <c r="L733" i="4"/>
  <c r="K734" i="4"/>
  <c r="H622" i="4"/>
  <c r="H174" i="4"/>
  <c r="H175" i="4"/>
  <c r="H176" i="4" s="1"/>
  <c r="E25" i="5" s="1"/>
  <c r="H398" i="4"/>
  <c r="H399" i="4"/>
  <c r="L743" i="4"/>
  <c r="K744" i="4"/>
  <c r="K746" i="4" s="1"/>
  <c r="F35" i="5" s="1"/>
  <c r="H627" i="4"/>
  <c r="H629" i="4" s="1"/>
  <c r="L274" i="4"/>
  <c r="M274" i="4" s="1"/>
  <c r="K290" i="4"/>
  <c r="K295" i="4"/>
  <c r="K285" i="4"/>
  <c r="L890" i="4"/>
  <c r="M890" i="4" s="1"/>
  <c r="K901" i="4"/>
  <c r="K906" i="4"/>
  <c r="K911" i="4"/>
  <c r="H179" i="4"/>
  <c r="H181" i="4" s="1"/>
  <c r="H180" i="4"/>
  <c r="H403" i="4"/>
  <c r="H405" i="4" s="1"/>
  <c r="H404" i="4"/>
  <c r="M183" i="4"/>
  <c r="H184" i="4"/>
  <c r="L184" i="4" s="1"/>
  <c r="H185" i="4"/>
  <c r="L834" i="4"/>
  <c r="M834" i="4" s="1"/>
  <c r="K845" i="4"/>
  <c r="K850" i="4"/>
  <c r="K855" i="4"/>
  <c r="H408" i="4"/>
  <c r="H409" i="4"/>
  <c r="H454" i="4"/>
  <c r="H456" i="4" s="1"/>
  <c r="L330" i="4"/>
  <c r="M330" i="4" s="1"/>
  <c r="K341" i="4"/>
  <c r="K351" i="4"/>
  <c r="K346" i="4"/>
  <c r="H464" i="4"/>
  <c r="H466" i="4" s="1"/>
  <c r="E30" i="5" s="1"/>
  <c r="H351" i="4"/>
  <c r="H341" i="4"/>
  <c r="H346" i="4"/>
  <c r="H288" i="4"/>
  <c r="L957" i="4"/>
  <c r="M957" i="4" s="1"/>
  <c r="K958" i="4"/>
  <c r="H968" i="4"/>
  <c r="H912" i="4"/>
  <c r="H913" i="4"/>
  <c r="H230" i="4"/>
  <c r="H231" i="4"/>
  <c r="H232" i="4" s="1"/>
  <c r="H907" i="4"/>
  <c r="H909" i="4" s="1"/>
  <c r="H908" i="4"/>
  <c r="H459" i="4"/>
  <c r="H461" i="4" s="1"/>
  <c r="K627" i="4"/>
  <c r="L626" i="4"/>
  <c r="M626" i="4" s="1"/>
  <c r="K968" i="4"/>
  <c r="L967" i="4"/>
  <c r="M967" i="4" s="1"/>
  <c r="H958" i="4"/>
  <c r="L778" i="4"/>
  <c r="M778" i="4" s="1"/>
  <c r="K799" i="4"/>
  <c r="K794" i="4"/>
  <c r="K789" i="4"/>
  <c r="M743" i="4"/>
  <c r="H744" i="4"/>
  <c r="H746" i="4" s="1"/>
  <c r="E35" i="5" s="1"/>
  <c r="K632" i="4"/>
  <c r="L631" i="4"/>
  <c r="M631" i="4" s="1"/>
  <c r="K963" i="4"/>
  <c r="L962" i="4"/>
  <c r="M962" i="4" s="1"/>
  <c r="H963" i="4"/>
  <c r="H965" i="4" s="1"/>
  <c r="L218" i="4"/>
  <c r="M218" i="4" s="1"/>
  <c r="K229" i="4"/>
  <c r="K234" i="4"/>
  <c r="K239" i="4"/>
  <c r="H576" i="4"/>
  <c r="H578" i="4" s="1"/>
  <c r="E32" i="5" s="1"/>
  <c r="H795" i="4"/>
  <c r="M733" i="4"/>
  <c r="H734" i="4"/>
  <c r="H736" i="4" s="1"/>
  <c r="L442" i="4"/>
  <c r="M442" i="4" s="1"/>
  <c r="K458" i="4"/>
  <c r="K463" i="4"/>
  <c r="K453" i="4"/>
  <c r="H235" i="4"/>
  <c r="H236" i="4"/>
  <c r="H240" i="4"/>
  <c r="H241" i="4"/>
  <c r="L575" i="4"/>
  <c r="M575" i="4" s="1"/>
  <c r="K576" i="4"/>
  <c r="L106" i="4"/>
  <c r="K127" i="4"/>
  <c r="K122" i="4"/>
  <c r="K117" i="4"/>
  <c r="K566" i="4"/>
  <c r="K568" i="4" s="1"/>
  <c r="L565" i="4"/>
  <c r="M565" i="4" s="1"/>
  <c r="H790" i="4"/>
  <c r="H792" i="4" s="1"/>
  <c r="H739" i="4"/>
  <c r="H741" i="4" s="1"/>
  <c r="M738" i="4"/>
  <c r="H515" i="4"/>
  <c r="H517" i="4" s="1"/>
  <c r="H516" i="4"/>
  <c r="K408" i="4"/>
  <c r="L408" i="4" s="1"/>
  <c r="L407" i="4"/>
  <c r="M407" i="4" s="1"/>
  <c r="K409" i="4"/>
  <c r="L677" i="4"/>
  <c r="M677" i="4" s="1"/>
  <c r="K678" i="4"/>
  <c r="L678" i="4" s="1"/>
  <c r="M678" i="4" s="1"/>
  <c r="K679" i="4"/>
  <c r="L679" i="4" s="1"/>
  <c r="H566" i="4"/>
  <c r="H568" i="4" s="1"/>
  <c r="H298" i="4"/>
  <c r="E27" i="5" s="1"/>
  <c r="L173" i="4"/>
  <c r="M173" i="4" s="1"/>
  <c r="K174" i="4"/>
  <c r="K175" i="4"/>
  <c r="H902" i="4"/>
  <c r="H903" i="4"/>
  <c r="K622" i="4"/>
  <c r="L621" i="4"/>
  <c r="M621" i="4" s="1"/>
  <c r="L178" i="4"/>
  <c r="M178" i="4" s="1"/>
  <c r="K180" i="4"/>
  <c r="K179" i="4"/>
  <c r="K181" i="4" s="1"/>
  <c r="L570" i="4"/>
  <c r="M570" i="4" s="1"/>
  <c r="K571" i="4"/>
  <c r="K573" i="4" s="1"/>
  <c r="H800" i="4"/>
  <c r="H802" i="4" s="1"/>
  <c r="E36" i="5" s="1"/>
  <c r="H510" i="4"/>
  <c r="H511" i="4"/>
  <c r="L397" i="4"/>
  <c r="M397" i="4" s="1"/>
  <c r="K398" i="4"/>
  <c r="K399" i="4"/>
  <c r="H128" i="4"/>
  <c r="H130" i="4" s="1"/>
  <c r="H129" i="4"/>
  <c r="L687" i="4"/>
  <c r="M687" i="4" s="1"/>
  <c r="K688" i="4"/>
  <c r="L688" i="4" s="1"/>
  <c r="M688" i="4" s="1"/>
  <c r="K689" i="4"/>
  <c r="H571" i="4"/>
  <c r="L498" i="4"/>
  <c r="M498" i="4" s="1"/>
  <c r="K509" i="4"/>
  <c r="K514" i="4"/>
  <c r="K519" i="4"/>
  <c r="H520" i="4"/>
  <c r="H522" i="4" s="1"/>
  <c r="H521" i="4"/>
  <c r="K403" i="4"/>
  <c r="L403" i="4" s="1"/>
  <c r="L402" i="4"/>
  <c r="M402" i="4" s="1"/>
  <c r="K404" i="4"/>
  <c r="H118" i="4"/>
  <c r="H119" i="4"/>
  <c r="L682" i="4"/>
  <c r="M682" i="4" s="1"/>
  <c r="K683" i="4"/>
  <c r="L683" i="4" s="1"/>
  <c r="M683" i="4" s="1"/>
  <c r="K684" i="4"/>
  <c r="H123" i="3"/>
  <c r="H125" i="3"/>
  <c r="H124" i="3"/>
  <c r="L946" i="3"/>
  <c r="M946" i="3" s="1"/>
  <c r="K957" i="3"/>
  <c r="K962" i="3"/>
  <c r="K967" i="3"/>
  <c r="H627" i="3"/>
  <c r="H958" i="3"/>
  <c r="H960" i="3" s="1"/>
  <c r="H846" i="3"/>
  <c r="H847" i="3"/>
  <c r="K683" i="3"/>
  <c r="K685" i="3" s="1"/>
  <c r="L682" i="3"/>
  <c r="M682" i="3" s="1"/>
  <c r="K684" i="3"/>
  <c r="H566" i="3"/>
  <c r="H407" i="3"/>
  <c r="L407" i="3" s="1"/>
  <c r="H397" i="3"/>
  <c r="L397" i="3" s="1"/>
  <c r="H402" i="3"/>
  <c r="L402" i="3" s="1"/>
  <c r="H683" i="3"/>
  <c r="H685" i="3" s="1"/>
  <c r="H684" i="3"/>
  <c r="H352" i="3"/>
  <c r="H354" i="3" s="1"/>
  <c r="E10" i="5" s="1"/>
  <c r="H240" i="3"/>
  <c r="H242" i="3" s="1"/>
  <c r="E8" i="5" s="1"/>
  <c r="H241" i="3"/>
  <c r="H179" i="3"/>
  <c r="H180" i="3"/>
  <c r="L386" i="3"/>
  <c r="M386" i="3" s="1"/>
  <c r="H118" i="3"/>
  <c r="H119" i="3"/>
  <c r="H120" i="3" s="1"/>
  <c r="E6" i="5" s="1"/>
  <c r="H963" i="3"/>
  <c r="H965" i="3" s="1"/>
  <c r="K291" i="3"/>
  <c r="K293" i="3" s="1"/>
  <c r="L290" i="3"/>
  <c r="M290" i="3" s="1"/>
  <c r="H795" i="3"/>
  <c r="H797" i="3" s="1"/>
  <c r="H968" i="3"/>
  <c r="H970" i="3" s="1"/>
  <c r="K688" i="3"/>
  <c r="L687" i="3"/>
  <c r="M687" i="3" s="1"/>
  <c r="K689" i="3"/>
  <c r="H851" i="3"/>
  <c r="H853" i="3" s="1"/>
  <c r="H852" i="3"/>
  <c r="H576" i="3"/>
  <c r="H578" i="3"/>
  <c r="E14" i="5" s="1"/>
  <c r="K790" i="3"/>
  <c r="L790" i="3" s="1"/>
  <c r="L789" i="3"/>
  <c r="M789" i="3" s="1"/>
  <c r="H184" i="3"/>
  <c r="H186" i="3" s="1"/>
  <c r="H185" i="3"/>
  <c r="K398" i="3"/>
  <c r="K399" i="3"/>
  <c r="H678" i="3"/>
  <c r="H679" i="3"/>
  <c r="H342" i="3"/>
  <c r="H344" i="3" s="1"/>
  <c r="H174" i="3"/>
  <c r="H175" i="3"/>
  <c r="K408" i="3"/>
  <c r="K409" i="3"/>
  <c r="H688" i="3"/>
  <c r="H689" i="3"/>
  <c r="H347" i="3"/>
  <c r="H235" i="3"/>
  <c r="H237" i="3" s="1"/>
  <c r="H236" i="3"/>
  <c r="L834" i="3"/>
  <c r="M834" i="3" s="1"/>
  <c r="K850" i="3"/>
  <c r="K855" i="3"/>
  <c r="K845" i="3"/>
  <c r="H230" i="3"/>
  <c r="H231" i="3"/>
  <c r="H902" i="3"/>
  <c r="H903" i="3"/>
  <c r="H904" i="3" s="1"/>
  <c r="L295" i="3"/>
  <c r="M295" i="3" s="1"/>
  <c r="K296" i="3"/>
  <c r="K298" i="3" s="1"/>
  <c r="F9" i="5" s="1"/>
  <c r="H790" i="3"/>
  <c r="H792" i="3" s="1"/>
  <c r="H907" i="3"/>
  <c r="H908" i="3"/>
  <c r="L285" i="3"/>
  <c r="M285" i="3" s="1"/>
  <c r="K286" i="3"/>
  <c r="L286" i="3" s="1"/>
  <c r="H800" i="3"/>
  <c r="H912" i="3"/>
  <c r="H913" i="3"/>
  <c r="L610" i="3"/>
  <c r="M610" i="3" s="1"/>
  <c r="K626" i="3"/>
  <c r="K631" i="3"/>
  <c r="K621" i="3"/>
  <c r="L677" i="3"/>
  <c r="M677" i="3" s="1"/>
  <c r="K678" i="3"/>
  <c r="K679" i="3"/>
  <c r="H571" i="3"/>
  <c r="H573" i="3"/>
  <c r="H856" i="3"/>
  <c r="H857" i="3"/>
  <c r="L554" i="3"/>
  <c r="M554" i="3" s="1"/>
  <c r="K570" i="3"/>
  <c r="K575" i="3"/>
  <c r="K565" i="3"/>
  <c r="L890" i="3"/>
  <c r="M890" i="3" s="1"/>
  <c r="K911" i="3"/>
  <c r="K906" i="3"/>
  <c r="K901" i="3"/>
  <c r="H286" i="3"/>
  <c r="H288" i="3"/>
  <c r="L794" i="3"/>
  <c r="M794" i="3" s="1"/>
  <c r="K795" i="3"/>
  <c r="L795" i="3" s="1"/>
  <c r="L162" i="3"/>
  <c r="M162" i="3" s="1"/>
  <c r="K173" i="3"/>
  <c r="K183" i="3"/>
  <c r="K178" i="3"/>
  <c r="K235" i="3"/>
  <c r="K237" i="3" s="1"/>
  <c r="L234" i="3"/>
  <c r="M234" i="3" s="1"/>
  <c r="K236" i="3"/>
  <c r="H459" i="3"/>
  <c r="H461" i="3"/>
  <c r="H291" i="3"/>
  <c r="H293" i="3" s="1"/>
  <c r="L498" i="3"/>
  <c r="M498" i="3" s="1"/>
  <c r="K509" i="3"/>
  <c r="K514" i="3"/>
  <c r="K519" i="3"/>
  <c r="L229" i="3"/>
  <c r="M229" i="3" s="1"/>
  <c r="K230" i="3"/>
  <c r="K231" i="3"/>
  <c r="H454" i="3"/>
  <c r="L442" i="3"/>
  <c r="M442" i="3" s="1"/>
  <c r="K458" i="3"/>
  <c r="K453" i="3"/>
  <c r="K463" i="3"/>
  <c r="H296" i="3"/>
  <c r="H298" i="3" s="1"/>
  <c r="E9" i="5" s="1"/>
  <c r="K800" i="3"/>
  <c r="K802" i="3" s="1"/>
  <c r="F18" i="5" s="1"/>
  <c r="L799" i="3"/>
  <c r="M799" i="3" s="1"/>
  <c r="K240" i="3"/>
  <c r="K242" i="3"/>
  <c r="F8" i="5" s="1"/>
  <c r="G8" i="5" s="1"/>
  <c r="H8" i="5" s="1"/>
  <c r="L239" i="3"/>
  <c r="M239" i="3" s="1"/>
  <c r="K241" i="3"/>
  <c r="H464" i="3"/>
  <c r="H466" i="3" s="1"/>
  <c r="E12" i="5" s="1"/>
  <c r="L722" i="3"/>
  <c r="M722" i="3" s="1"/>
  <c r="K738" i="3"/>
  <c r="K743" i="3"/>
  <c r="K733" i="3"/>
  <c r="K403" i="3"/>
  <c r="K405" i="3" s="1"/>
  <c r="K404" i="3"/>
  <c r="H632" i="3"/>
  <c r="H634" i="3" s="1"/>
  <c r="E15" i="5" s="1"/>
  <c r="H128" i="3"/>
  <c r="H129" i="3"/>
  <c r="L106" i="3"/>
  <c r="K127" i="3"/>
  <c r="K117" i="3"/>
  <c r="K122" i="3"/>
  <c r="H622" i="3"/>
  <c r="H624" i="3"/>
  <c r="L330" i="3"/>
  <c r="M330" i="3" s="1"/>
  <c r="K341" i="3"/>
  <c r="K346" i="3"/>
  <c r="K351" i="3"/>
  <c r="L632" i="4" l="1"/>
  <c r="G35" i="5"/>
  <c r="H35" i="5" s="1"/>
  <c r="G9" i="5"/>
  <c r="H9" i="5" s="1"/>
  <c r="L576" i="4"/>
  <c r="H680" i="3"/>
  <c r="H904" i="4"/>
  <c r="L963" i="4"/>
  <c r="L622" i="4"/>
  <c r="K690" i="4"/>
  <c r="K410" i="4"/>
  <c r="K176" i="4"/>
  <c r="L968" i="4"/>
  <c r="M968" i="4" s="1"/>
  <c r="L627" i="4"/>
  <c r="M627" i="4" s="1"/>
  <c r="K629" i="4"/>
  <c r="K624" i="4"/>
  <c r="H512" i="4"/>
  <c r="E31" i="5" s="1"/>
  <c r="H400" i="4"/>
  <c r="E29" i="5" s="1"/>
  <c r="L399" i="4"/>
  <c r="L398" i="4"/>
  <c r="M398" i="4" s="1"/>
  <c r="L179" i="4"/>
  <c r="M179" i="4" s="1"/>
  <c r="H186" i="4"/>
  <c r="L186" i="4" s="1"/>
  <c r="M186" i="4" s="1"/>
  <c r="L175" i="4"/>
  <c r="L174" i="4"/>
  <c r="M174" i="4" s="1"/>
  <c r="H120" i="4"/>
  <c r="E24" i="5" s="1"/>
  <c r="K240" i="4"/>
  <c r="L240" i="4" s="1"/>
  <c r="M240" i="4" s="1"/>
  <c r="L239" i="4"/>
  <c r="M239" i="4" s="1"/>
  <c r="K241" i="4"/>
  <c r="L855" i="4"/>
  <c r="M855" i="4" s="1"/>
  <c r="K856" i="4"/>
  <c r="L856" i="4" s="1"/>
  <c r="M856" i="4" s="1"/>
  <c r="K857" i="4"/>
  <c r="K286" i="4"/>
  <c r="L286" i="4" s="1"/>
  <c r="M286" i="4" s="1"/>
  <c r="K288" i="4"/>
  <c r="L288" i="4" s="1"/>
  <c r="M288" i="4" s="1"/>
  <c r="L285" i="4"/>
  <c r="M285" i="4" s="1"/>
  <c r="M622" i="4"/>
  <c r="L850" i="4"/>
  <c r="M850" i="4" s="1"/>
  <c r="K851" i="4"/>
  <c r="L851" i="4" s="1"/>
  <c r="M851" i="4" s="1"/>
  <c r="K852" i="4"/>
  <c r="K296" i="4"/>
  <c r="L296" i="4" s="1"/>
  <c r="M296" i="4" s="1"/>
  <c r="L295" i="4"/>
  <c r="M295" i="4" s="1"/>
  <c r="H624" i="4"/>
  <c r="M632" i="4"/>
  <c r="L568" i="4"/>
  <c r="M568" i="4" s="1"/>
  <c r="L234" i="4"/>
  <c r="M234" i="4" s="1"/>
  <c r="K235" i="4"/>
  <c r="L235" i="4" s="1"/>
  <c r="M235" i="4" s="1"/>
  <c r="K236" i="4"/>
  <c r="K634" i="4"/>
  <c r="L958" i="4"/>
  <c r="M958" i="4" s="1"/>
  <c r="K846" i="4"/>
  <c r="L846" i="4" s="1"/>
  <c r="M846" i="4" s="1"/>
  <c r="L845" i="4"/>
  <c r="M845" i="4" s="1"/>
  <c r="K847" i="4"/>
  <c r="L847" i="4" s="1"/>
  <c r="M405" i="4"/>
  <c r="L290" i="4"/>
  <c r="M290" i="4" s="1"/>
  <c r="K291" i="4"/>
  <c r="L291" i="4" s="1"/>
  <c r="M291" i="4" s="1"/>
  <c r="L734" i="4"/>
  <c r="H634" i="4"/>
  <c r="E33" i="5" s="1"/>
  <c r="L799" i="4"/>
  <c r="M799" i="4" s="1"/>
  <c r="K800" i="4"/>
  <c r="L800" i="4" s="1"/>
  <c r="M800" i="4" s="1"/>
  <c r="K405" i="4"/>
  <c r="L405" i="4" s="1"/>
  <c r="H232" i="3"/>
  <c r="L679" i="3"/>
  <c r="L566" i="4"/>
  <c r="M566" i="4" s="1"/>
  <c r="L514" i="4"/>
  <c r="M514" i="4" s="1"/>
  <c r="K515" i="4"/>
  <c r="L515" i="4" s="1"/>
  <c r="M515" i="4" s="1"/>
  <c r="K516" i="4"/>
  <c r="L571" i="4"/>
  <c r="M571" i="4" s="1"/>
  <c r="K680" i="4"/>
  <c r="L680" i="4" s="1"/>
  <c r="M680" i="4" s="1"/>
  <c r="K118" i="4"/>
  <c r="L118" i="4" s="1"/>
  <c r="M118" i="4" s="1"/>
  <c r="L117" i="4"/>
  <c r="K119" i="4"/>
  <c r="L119" i="4" s="1"/>
  <c r="M403" i="4"/>
  <c r="L242" i="3"/>
  <c r="M242" i="3" s="1"/>
  <c r="L235" i="3"/>
  <c r="M235" i="3" s="1"/>
  <c r="L688" i="3"/>
  <c r="M688" i="3" s="1"/>
  <c r="K520" i="4"/>
  <c r="L520" i="4" s="1"/>
  <c r="M520" i="4" s="1"/>
  <c r="L519" i="4"/>
  <c r="M519" i="4" s="1"/>
  <c r="K521" i="4"/>
  <c r="K230" i="4"/>
  <c r="L230" i="4" s="1"/>
  <c r="M230" i="4" s="1"/>
  <c r="L229" i="4"/>
  <c r="M229" i="4" s="1"/>
  <c r="K231" i="4"/>
  <c r="L231" i="4" s="1"/>
  <c r="H960" i="4"/>
  <c r="L800" i="3"/>
  <c r="M800" i="3" s="1"/>
  <c r="H176" i="3"/>
  <c r="E7" i="5" s="1"/>
  <c r="K510" i="4"/>
  <c r="L510" i="4" s="1"/>
  <c r="M510" i="4" s="1"/>
  <c r="L509" i="4"/>
  <c r="M509" i="4" s="1"/>
  <c r="K511" i="4"/>
  <c r="L511" i="4" s="1"/>
  <c r="K123" i="4"/>
  <c r="L123" i="4" s="1"/>
  <c r="M123" i="4" s="1"/>
  <c r="L122" i="4"/>
  <c r="M122" i="4" s="1"/>
  <c r="K124" i="4"/>
  <c r="H237" i="4"/>
  <c r="H797" i="4"/>
  <c r="K960" i="4"/>
  <c r="K736" i="4"/>
  <c r="L736" i="4" s="1"/>
  <c r="M736" i="4" s="1"/>
  <c r="L739" i="4"/>
  <c r="M739" i="4" s="1"/>
  <c r="L240" i="3"/>
  <c r="M240" i="3" s="1"/>
  <c r="L237" i="3"/>
  <c r="M237" i="3" s="1"/>
  <c r="K685" i="4"/>
  <c r="L685" i="4" s="1"/>
  <c r="M685" i="4" s="1"/>
  <c r="H573" i="4"/>
  <c r="L573" i="4" s="1"/>
  <c r="K400" i="4"/>
  <c r="K128" i="4"/>
  <c r="L128" i="4" s="1"/>
  <c r="M128" i="4" s="1"/>
  <c r="L127" i="4"/>
  <c r="M127" i="4" s="1"/>
  <c r="K129" i="4"/>
  <c r="M963" i="4"/>
  <c r="L789" i="4"/>
  <c r="M789" i="4" s="1"/>
  <c r="K790" i="4"/>
  <c r="L790" i="4" s="1"/>
  <c r="M790" i="4" s="1"/>
  <c r="K347" i="4"/>
  <c r="L346" i="4"/>
  <c r="M346" i="4" s="1"/>
  <c r="M184" i="4"/>
  <c r="M106" i="4"/>
  <c r="K795" i="4"/>
  <c r="L795" i="4" s="1"/>
  <c r="M795" i="4" s="1"/>
  <c r="L794" i="4"/>
  <c r="M794" i="4" s="1"/>
  <c r="K970" i="4"/>
  <c r="H347" i="4"/>
  <c r="H349" i="4" s="1"/>
  <c r="K352" i="4"/>
  <c r="K354" i="4" s="1"/>
  <c r="F28" i="5" s="1"/>
  <c r="G28" i="5" s="1"/>
  <c r="H28" i="5" s="1"/>
  <c r="L351" i="4"/>
  <c r="M351" i="4" s="1"/>
  <c r="L741" i="4"/>
  <c r="M741" i="4" s="1"/>
  <c r="H342" i="4"/>
  <c r="L341" i="4"/>
  <c r="M341" i="4" s="1"/>
  <c r="K342" i="4"/>
  <c r="L746" i="4"/>
  <c r="M746" i="4" s="1"/>
  <c r="L181" i="4"/>
  <c r="M181" i="4" s="1"/>
  <c r="L463" i="4"/>
  <c r="M463" i="4" s="1"/>
  <c r="K464" i="4"/>
  <c r="L464" i="4" s="1"/>
  <c r="M464" i="4" s="1"/>
  <c r="H352" i="4"/>
  <c r="H354" i="4" s="1"/>
  <c r="E28" i="5" s="1"/>
  <c r="K912" i="4"/>
  <c r="L912" i="4" s="1"/>
  <c r="M912" i="4" s="1"/>
  <c r="L911" i="4"/>
  <c r="M911" i="4" s="1"/>
  <c r="K913" i="4"/>
  <c r="L744" i="4"/>
  <c r="M744" i="4" s="1"/>
  <c r="K578" i="4"/>
  <c r="L458" i="4"/>
  <c r="M458" i="4" s="1"/>
  <c r="K459" i="4"/>
  <c r="L459" i="4" s="1"/>
  <c r="M459" i="4" s="1"/>
  <c r="M576" i="4"/>
  <c r="K965" i="4"/>
  <c r="L965" i="4" s="1"/>
  <c r="M965" i="4" s="1"/>
  <c r="H914" i="4"/>
  <c r="L906" i="4"/>
  <c r="M906" i="4" s="1"/>
  <c r="K907" i="4"/>
  <c r="L907" i="4" s="1"/>
  <c r="M907" i="4" s="1"/>
  <c r="K908" i="4"/>
  <c r="L453" i="4"/>
  <c r="M453" i="4" s="1"/>
  <c r="K454" i="4"/>
  <c r="L454" i="4" s="1"/>
  <c r="M454" i="4" s="1"/>
  <c r="L629" i="4"/>
  <c r="M629" i="4" s="1"/>
  <c r="M408" i="4"/>
  <c r="K902" i="4"/>
  <c r="L902" i="4" s="1"/>
  <c r="M902" i="4" s="1"/>
  <c r="L901" i="4"/>
  <c r="M901" i="4" s="1"/>
  <c r="K903" i="4"/>
  <c r="L903" i="4" s="1"/>
  <c r="H242" i="4"/>
  <c r="E26" i="5" s="1"/>
  <c r="M734" i="4"/>
  <c r="H970" i="4"/>
  <c r="H410" i="4"/>
  <c r="L410" i="4" s="1"/>
  <c r="K734" i="3"/>
  <c r="L734" i="3" s="1"/>
  <c r="M734" i="3" s="1"/>
  <c r="L733" i="3"/>
  <c r="M733" i="3" s="1"/>
  <c r="H629" i="3"/>
  <c r="M106" i="3"/>
  <c r="L802" i="3"/>
  <c r="M790" i="3"/>
  <c r="K846" i="3"/>
  <c r="L846" i="3" s="1"/>
  <c r="M846" i="3" s="1"/>
  <c r="L845" i="3"/>
  <c r="M845" i="3" s="1"/>
  <c r="K847" i="3"/>
  <c r="L847" i="3" s="1"/>
  <c r="K739" i="3"/>
  <c r="L739" i="3" s="1"/>
  <c r="M739" i="3" s="1"/>
  <c r="L738" i="3"/>
  <c r="M738" i="3" s="1"/>
  <c r="H802" i="3"/>
  <c r="E18" i="5" s="1"/>
  <c r="G18" i="5" s="1"/>
  <c r="H18" i="5" s="1"/>
  <c r="L855" i="3"/>
  <c r="M855" i="3" s="1"/>
  <c r="K856" i="3"/>
  <c r="L856" i="3" s="1"/>
  <c r="M856" i="3" s="1"/>
  <c r="K857" i="3"/>
  <c r="L685" i="3"/>
  <c r="M685" i="3" s="1"/>
  <c r="K968" i="3"/>
  <c r="L968" i="3" s="1"/>
  <c r="M968" i="3" s="1"/>
  <c r="L967" i="3"/>
  <c r="M967" i="3" s="1"/>
  <c r="L743" i="3"/>
  <c r="M743" i="3" s="1"/>
  <c r="K744" i="3"/>
  <c r="L744" i="3" s="1"/>
  <c r="M744" i="3" s="1"/>
  <c r="L230" i="3"/>
  <c r="M230" i="3" s="1"/>
  <c r="K566" i="3"/>
  <c r="L566" i="3" s="1"/>
  <c r="M566" i="3" s="1"/>
  <c r="L565" i="3"/>
  <c r="M565" i="3" s="1"/>
  <c r="L291" i="3"/>
  <c r="M291" i="3" s="1"/>
  <c r="K352" i="3"/>
  <c r="L352" i="3" s="1"/>
  <c r="M352" i="3" s="1"/>
  <c r="L351" i="3"/>
  <c r="M351" i="3" s="1"/>
  <c r="L575" i="3"/>
  <c r="M575" i="3" s="1"/>
  <c r="K576" i="3"/>
  <c r="L576" i="3" s="1"/>
  <c r="M576" i="3" s="1"/>
  <c r="L678" i="3"/>
  <c r="M678" i="3" s="1"/>
  <c r="L298" i="3"/>
  <c r="M298" i="3" s="1"/>
  <c r="K690" i="3"/>
  <c r="F16" i="5" s="1"/>
  <c r="K347" i="3"/>
  <c r="L347" i="3" s="1"/>
  <c r="M347" i="3" s="1"/>
  <c r="L346" i="3"/>
  <c r="M346" i="3" s="1"/>
  <c r="H130" i="3"/>
  <c r="K232" i="3"/>
  <c r="K797" i="3"/>
  <c r="L797" i="3" s="1"/>
  <c r="M797" i="3" s="1"/>
  <c r="K571" i="3"/>
  <c r="L571" i="3" s="1"/>
  <c r="M571" i="3" s="1"/>
  <c r="L570" i="3"/>
  <c r="M570" i="3" s="1"/>
  <c r="L296" i="3"/>
  <c r="M296" i="3" s="1"/>
  <c r="K851" i="3"/>
  <c r="L851" i="3" s="1"/>
  <c r="M851" i="3" s="1"/>
  <c r="L850" i="3"/>
  <c r="M850" i="3" s="1"/>
  <c r="K852" i="3"/>
  <c r="H690" i="3"/>
  <c r="E16" i="5" s="1"/>
  <c r="K792" i="3"/>
  <c r="L792" i="3" s="1"/>
  <c r="M792" i="3" s="1"/>
  <c r="L683" i="3"/>
  <c r="M683" i="3" s="1"/>
  <c r="K963" i="3"/>
  <c r="L963" i="3" s="1"/>
  <c r="M963" i="3" s="1"/>
  <c r="L962" i="3"/>
  <c r="M962" i="3" s="1"/>
  <c r="L178" i="3"/>
  <c r="M178" i="3" s="1"/>
  <c r="K179" i="3"/>
  <c r="L179" i="3" s="1"/>
  <c r="M179" i="3" s="1"/>
  <c r="K180" i="3"/>
  <c r="K184" i="3"/>
  <c r="L184" i="3" s="1"/>
  <c r="M184" i="3" s="1"/>
  <c r="L183" i="3"/>
  <c r="M183" i="3" s="1"/>
  <c r="K185" i="3"/>
  <c r="K128" i="3"/>
  <c r="L128" i="3" s="1"/>
  <c r="M128" i="3" s="1"/>
  <c r="L127" i="3"/>
  <c r="M127" i="3" s="1"/>
  <c r="K129" i="3"/>
  <c r="K174" i="3"/>
  <c r="L174" i="3" s="1"/>
  <c r="M174" i="3" s="1"/>
  <c r="L173" i="3"/>
  <c r="M173" i="3" s="1"/>
  <c r="K175" i="3"/>
  <c r="L175" i="3" s="1"/>
  <c r="H349" i="3"/>
  <c r="L293" i="3"/>
  <c r="M293" i="3" s="1"/>
  <c r="L231" i="3"/>
  <c r="H914" i="3"/>
  <c r="K342" i="3"/>
  <c r="L342" i="3" s="1"/>
  <c r="M342" i="3" s="1"/>
  <c r="L341" i="3"/>
  <c r="M341" i="3" s="1"/>
  <c r="K680" i="3"/>
  <c r="K288" i="3"/>
  <c r="L288" i="3" s="1"/>
  <c r="M288" i="3" s="1"/>
  <c r="K958" i="3"/>
  <c r="L958" i="3" s="1"/>
  <c r="M958" i="3" s="1"/>
  <c r="K960" i="3"/>
  <c r="L960" i="3" s="1"/>
  <c r="M960" i="3" s="1"/>
  <c r="L957" i="3"/>
  <c r="M957" i="3" s="1"/>
  <c r="H181" i="3"/>
  <c r="M402" i="3"/>
  <c r="H403" i="3"/>
  <c r="L403" i="3" s="1"/>
  <c r="H404" i="3"/>
  <c r="L122" i="3"/>
  <c r="M122" i="3" s="1"/>
  <c r="K123" i="3"/>
  <c r="L123" i="3" s="1"/>
  <c r="M123" i="3" s="1"/>
  <c r="K124" i="3"/>
  <c r="K907" i="3"/>
  <c r="L907" i="3" s="1"/>
  <c r="M907" i="3" s="1"/>
  <c r="L906" i="3"/>
  <c r="M906" i="3" s="1"/>
  <c r="K908" i="3"/>
  <c r="L117" i="3"/>
  <c r="M117" i="3" s="1"/>
  <c r="K118" i="3"/>
  <c r="L118" i="3" s="1"/>
  <c r="M118" i="3" s="1"/>
  <c r="K119" i="3"/>
  <c r="L119" i="3" s="1"/>
  <c r="L911" i="3"/>
  <c r="M911" i="3" s="1"/>
  <c r="K912" i="3"/>
  <c r="L912" i="3" s="1"/>
  <c r="M912" i="3" s="1"/>
  <c r="K913" i="3"/>
  <c r="K464" i="3"/>
  <c r="L464" i="3" s="1"/>
  <c r="M464" i="3" s="1"/>
  <c r="L463" i="3"/>
  <c r="M463" i="3" s="1"/>
  <c r="L519" i="3"/>
  <c r="M519" i="3" s="1"/>
  <c r="K520" i="3"/>
  <c r="L520" i="3" s="1"/>
  <c r="M520" i="3" s="1"/>
  <c r="K521" i="3"/>
  <c r="K622" i="3"/>
  <c r="L622" i="3" s="1"/>
  <c r="M622" i="3" s="1"/>
  <c r="L621" i="3"/>
  <c r="M621" i="3" s="1"/>
  <c r="L453" i="3"/>
  <c r="M453" i="3" s="1"/>
  <c r="K454" i="3"/>
  <c r="L454" i="3" s="1"/>
  <c r="M454" i="3" s="1"/>
  <c r="M286" i="3"/>
  <c r="K632" i="3"/>
  <c r="L632" i="3" s="1"/>
  <c r="M632" i="3" s="1"/>
  <c r="L631" i="3"/>
  <c r="M631" i="3" s="1"/>
  <c r="M397" i="3"/>
  <c r="H398" i="3"/>
  <c r="L398" i="3" s="1"/>
  <c r="H399" i="3"/>
  <c r="L399" i="3" s="1"/>
  <c r="H456" i="3"/>
  <c r="K459" i="3"/>
  <c r="L459" i="3" s="1"/>
  <c r="M459" i="3" s="1"/>
  <c r="L458" i="3"/>
  <c r="M458" i="3" s="1"/>
  <c r="K510" i="3"/>
  <c r="L510" i="3" s="1"/>
  <c r="M510" i="3" s="1"/>
  <c r="L509" i="3"/>
  <c r="M509" i="3" s="1"/>
  <c r="K511" i="3"/>
  <c r="L511" i="3" s="1"/>
  <c r="L626" i="3"/>
  <c r="M626" i="3" s="1"/>
  <c r="K627" i="3"/>
  <c r="L627" i="3" s="1"/>
  <c r="M627" i="3" s="1"/>
  <c r="K410" i="3"/>
  <c r="M407" i="3"/>
  <c r="H408" i="3"/>
  <c r="H409" i="3"/>
  <c r="H848" i="3"/>
  <c r="K515" i="3"/>
  <c r="L515" i="3" s="1"/>
  <c r="M515" i="3" s="1"/>
  <c r="L514" i="3"/>
  <c r="M514" i="3" s="1"/>
  <c r="K516" i="3"/>
  <c r="L901" i="3"/>
  <c r="M901" i="3" s="1"/>
  <c r="K902" i="3"/>
  <c r="L902" i="3" s="1"/>
  <c r="M902" i="3" s="1"/>
  <c r="K903" i="3"/>
  <c r="L903" i="3" s="1"/>
  <c r="H858" i="3"/>
  <c r="H909" i="3"/>
  <c r="K400" i="3"/>
  <c r="F11" i="5" s="1"/>
  <c r="M795" i="3"/>
  <c r="H568" i="3"/>
  <c r="G16" i="5" l="1"/>
  <c r="H16" i="5" s="1"/>
  <c r="K461" i="3"/>
  <c r="L461" i="3" s="1"/>
  <c r="M461" i="3" s="1"/>
  <c r="K568" i="3"/>
  <c r="L400" i="4"/>
  <c r="M400" i="4" s="1"/>
  <c r="F29" i="5"/>
  <c r="G29" i="5" s="1"/>
  <c r="H29" i="5" s="1"/>
  <c r="L176" i="4"/>
  <c r="M176" i="4" s="1"/>
  <c r="F25" i="5"/>
  <c r="G25" i="5" s="1"/>
  <c r="H25" i="5" s="1"/>
  <c r="L634" i="4"/>
  <c r="F33" i="5"/>
  <c r="G33" i="5" s="1"/>
  <c r="H33" i="5" s="1"/>
  <c r="L690" i="4"/>
  <c r="M690" i="4" s="1"/>
  <c r="F34" i="5"/>
  <c r="G34" i="5" s="1"/>
  <c r="H34" i="5" s="1"/>
  <c r="L578" i="4"/>
  <c r="M578" i="4" s="1"/>
  <c r="F32" i="5"/>
  <c r="G32" i="5" s="1"/>
  <c r="H32" i="5" s="1"/>
  <c r="K517" i="3"/>
  <c r="L517" i="3" s="1"/>
  <c r="M517" i="3" s="1"/>
  <c r="L342" i="4"/>
  <c r="L232" i="3"/>
  <c r="M232" i="3" s="1"/>
  <c r="K914" i="4"/>
  <c r="L914" i="4" s="1"/>
  <c r="M914" i="4" s="1"/>
  <c r="K634" i="3"/>
  <c r="K466" i="3"/>
  <c r="L680" i="3"/>
  <c r="M680" i="3" s="1"/>
  <c r="K125" i="4"/>
  <c r="L125" i="4" s="1"/>
  <c r="M125" i="4" s="1"/>
  <c r="L624" i="4"/>
  <c r="M624" i="4" s="1"/>
  <c r="L347" i="4"/>
  <c r="M347" i="4" s="1"/>
  <c r="K853" i="4"/>
  <c r="L853" i="4" s="1"/>
  <c r="M853" i="4" s="1"/>
  <c r="K736" i="3"/>
  <c r="L736" i="3" s="1"/>
  <c r="M736" i="3" s="1"/>
  <c r="K456" i="3"/>
  <c r="L456" i="3" s="1"/>
  <c r="M456" i="3" s="1"/>
  <c r="K237" i="4"/>
  <c r="L237" i="4" s="1"/>
  <c r="K120" i="4"/>
  <c r="K848" i="4"/>
  <c r="L848" i="4" s="1"/>
  <c r="M848" i="4" s="1"/>
  <c r="K858" i="4"/>
  <c r="L858" i="4" s="1"/>
  <c r="M858" i="4" s="1"/>
  <c r="K802" i="4"/>
  <c r="K517" i="4"/>
  <c r="L517" i="4" s="1"/>
  <c r="M517" i="4" s="1"/>
  <c r="K456" i="4"/>
  <c r="L456" i="4" s="1"/>
  <c r="M456" i="4" s="1"/>
  <c r="K293" i="4"/>
  <c r="L293" i="4" s="1"/>
  <c r="M293" i="4" s="1"/>
  <c r="K232" i="4"/>
  <c r="L232" i="4" s="1"/>
  <c r="M232" i="4" s="1"/>
  <c r="L354" i="4"/>
  <c r="M354" i="4" s="1"/>
  <c r="M573" i="4"/>
  <c r="K904" i="4"/>
  <c r="L904" i="4" s="1"/>
  <c r="M904" i="4" s="1"/>
  <c r="K466" i="4"/>
  <c r="M342" i="4"/>
  <c r="H344" i="4"/>
  <c r="M237" i="4"/>
  <c r="L352" i="4"/>
  <c r="M352" i="4" s="1"/>
  <c r="M634" i="4"/>
  <c r="M410" i="4"/>
  <c r="K858" i="3"/>
  <c r="L858" i="3" s="1"/>
  <c r="M858" i="3" s="1"/>
  <c r="K741" i="3"/>
  <c r="L741" i="3" s="1"/>
  <c r="M741" i="3" s="1"/>
  <c r="K130" i="4"/>
  <c r="L130" i="4" s="1"/>
  <c r="K573" i="3"/>
  <c r="L573" i="3" s="1"/>
  <c r="M573" i="3" s="1"/>
  <c r="L970" i="4"/>
  <c r="K349" i="4"/>
  <c r="L349" i="4" s="1"/>
  <c r="M349" i="4" s="1"/>
  <c r="K461" i="4"/>
  <c r="L461" i="4" s="1"/>
  <c r="M461" i="4" s="1"/>
  <c r="K797" i="4"/>
  <c r="L797" i="4" s="1"/>
  <c r="M797" i="4" s="1"/>
  <c r="H400" i="3"/>
  <c r="E11" i="5" s="1"/>
  <c r="G11" i="5" s="1"/>
  <c r="H11" i="5" s="1"/>
  <c r="K914" i="3"/>
  <c r="L914" i="3" s="1"/>
  <c r="M914" i="3" s="1"/>
  <c r="K578" i="3"/>
  <c r="K344" i="4"/>
  <c r="K522" i="4"/>
  <c r="L522" i="4" s="1"/>
  <c r="M522" i="4" s="1"/>
  <c r="M117" i="4"/>
  <c r="K909" i="4"/>
  <c r="L909" i="4" s="1"/>
  <c r="M909" i="4" s="1"/>
  <c r="K792" i="4"/>
  <c r="L792" i="4" s="1"/>
  <c r="M792" i="4" s="1"/>
  <c r="L960" i="4"/>
  <c r="M960" i="4" s="1"/>
  <c r="K512" i="4"/>
  <c r="K298" i="4"/>
  <c r="K242" i="4"/>
  <c r="L690" i="3"/>
  <c r="K120" i="3"/>
  <c r="K904" i="3"/>
  <c r="L904" i="3" s="1"/>
  <c r="M904" i="3" s="1"/>
  <c r="K512" i="3"/>
  <c r="K909" i="3"/>
  <c r="L909" i="3" s="1"/>
  <c r="M909" i="3" s="1"/>
  <c r="K344" i="3"/>
  <c r="L344" i="3" s="1"/>
  <c r="M344" i="3" s="1"/>
  <c r="K176" i="3"/>
  <c r="K186" i="3"/>
  <c r="L186" i="3" s="1"/>
  <c r="M186" i="3" s="1"/>
  <c r="H410" i="3"/>
  <c r="L408" i="3"/>
  <c r="M408" i="3" s="1"/>
  <c r="K624" i="3"/>
  <c r="L624" i="3" s="1"/>
  <c r="M624" i="3" s="1"/>
  <c r="K746" i="3"/>
  <c r="M802" i="3"/>
  <c r="M690" i="3"/>
  <c r="K125" i="3"/>
  <c r="L125" i="3" s="1"/>
  <c r="M125" i="3" s="1"/>
  <c r="K130" i="3"/>
  <c r="L130" i="3" s="1"/>
  <c r="M130" i="3" s="1"/>
  <c r="K181" i="3"/>
  <c r="L181" i="3" s="1"/>
  <c r="M181" i="3" s="1"/>
  <c r="K853" i="3"/>
  <c r="L853" i="3" s="1"/>
  <c r="M853" i="3" s="1"/>
  <c r="K349" i="3"/>
  <c r="L349" i="3" s="1"/>
  <c r="M349" i="3" s="1"/>
  <c r="K354" i="3"/>
  <c r="K970" i="3"/>
  <c r="L970" i="3" s="1"/>
  <c r="M970" i="3" s="1"/>
  <c r="K522" i="3"/>
  <c r="L522" i="3" s="1"/>
  <c r="M522" i="3" s="1"/>
  <c r="M403" i="3"/>
  <c r="L568" i="3"/>
  <c r="M568" i="3" s="1"/>
  <c r="K848" i="3"/>
  <c r="L848" i="3" s="1"/>
  <c r="K629" i="3"/>
  <c r="L629" i="3" s="1"/>
  <c r="M629" i="3" s="1"/>
  <c r="M398" i="3"/>
  <c r="H405" i="3"/>
  <c r="K965" i="3"/>
  <c r="L965" i="3" s="1"/>
  <c r="M965" i="3" s="1"/>
  <c r="L400" i="3" l="1"/>
  <c r="M400" i="3" s="1"/>
  <c r="L578" i="3"/>
  <c r="M578" i="3" s="1"/>
  <c r="F14" i="5"/>
  <c r="G14" i="5" s="1"/>
  <c r="H14" i="5" s="1"/>
  <c r="L512" i="3"/>
  <c r="M512" i="3" s="1"/>
  <c r="F13" i="5"/>
  <c r="G13" i="5" s="1"/>
  <c r="H13" i="5" s="1"/>
  <c r="L802" i="4"/>
  <c r="M802" i="4" s="1"/>
  <c r="F36" i="5"/>
  <c r="G36" i="5" s="1"/>
  <c r="H36" i="5" s="1"/>
  <c r="L466" i="3"/>
  <c r="M466" i="3" s="1"/>
  <c r="F12" i="5"/>
  <c r="G12" i="5" s="1"/>
  <c r="H12" i="5" s="1"/>
  <c r="L242" i="4"/>
  <c r="M242" i="4" s="1"/>
  <c r="F26" i="5"/>
  <c r="G26" i="5" s="1"/>
  <c r="H26" i="5" s="1"/>
  <c r="L298" i="4"/>
  <c r="M298" i="4" s="1"/>
  <c r="F27" i="5"/>
  <c r="G27" i="5" s="1"/>
  <c r="H27" i="5" s="1"/>
  <c r="L512" i="4"/>
  <c r="M512" i="4" s="1"/>
  <c r="F31" i="5"/>
  <c r="G31" i="5" s="1"/>
  <c r="H31" i="5" s="1"/>
  <c r="L634" i="3"/>
  <c r="M634" i="3" s="1"/>
  <c r="F15" i="5"/>
  <c r="G15" i="5" s="1"/>
  <c r="H15" i="5" s="1"/>
  <c r="L746" i="3"/>
  <c r="M746" i="3" s="1"/>
  <c r="F17" i="5"/>
  <c r="G17" i="5" s="1"/>
  <c r="H17" i="5" s="1"/>
  <c r="L120" i="3"/>
  <c r="F6" i="5"/>
  <c r="G6" i="5" s="1"/>
  <c r="H6" i="5" s="1"/>
  <c r="L466" i="4"/>
  <c r="M466" i="4" s="1"/>
  <c r="F30" i="5"/>
  <c r="G30" i="5" s="1"/>
  <c r="H30" i="5" s="1"/>
  <c r="L120" i="4"/>
  <c r="M120" i="4" s="1"/>
  <c r="F24" i="5"/>
  <c r="G24" i="5" s="1"/>
  <c r="H24" i="5" s="1"/>
  <c r="L354" i="3"/>
  <c r="M354" i="3" s="1"/>
  <c r="F10" i="5"/>
  <c r="G10" i="5" s="1"/>
  <c r="H10" i="5" s="1"/>
  <c r="L176" i="3"/>
  <c r="M176" i="3" s="1"/>
  <c r="F7" i="5"/>
  <c r="G7" i="5" s="1"/>
  <c r="H7" i="5" s="1"/>
  <c r="L344" i="4"/>
  <c r="H56" i="4"/>
  <c r="J70" i="4"/>
  <c r="H70" i="4"/>
  <c r="L67" i="4"/>
  <c r="M130" i="4"/>
  <c r="M970" i="4"/>
  <c r="L60" i="4"/>
  <c r="H67" i="4"/>
  <c r="J66" i="4"/>
  <c r="J58" i="4"/>
  <c r="O68" i="4"/>
  <c r="M344" i="4"/>
  <c r="N67" i="4"/>
  <c r="O60" i="4"/>
  <c r="L62" i="4"/>
  <c r="L59" i="4"/>
  <c r="N66" i="4"/>
  <c r="M848" i="3"/>
  <c r="J62" i="3"/>
  <c r="L405" i="3"/>
  <c r="H69" i="3" s="1"/>
  <c r="N69" i="3"/>
  <c r="M120" i="3"/>
  <c r="L62" i="3"/>
  <c r="L410" i="3"/>
  <c r="L67" i="3" s="1"/>
  <c r="H61" i="3"/>
  <c r="J61" i="3"/>
  <c r="L64" i="4" l="1"/>
  <c r="J63" i="4"/>
  <c r="N61" i="4"/>
  <c r="L68" i="4"/>
  <c r="L69" i="4"/>
  <c r="J62" i="4"/>
  <c r="J67" i="4"/>
  <c r="L61" i="4"/>
  <c r="L58" i="4"/>
  <c r="H58" i="4"/>
  <c r="K63" i="4"/>
  <c r="N60" i="4"/>
  <c r="J68" i="4"/>
  <c r="N65" i="4"/>
  <c r="H59" i="4"/>
  <c r="K68" i="4"/>
  <c r="L56" i="4"/>
  <c r="N58" i="4"/>
  <c r="L70" i="4"/>
  <c r="J57" i="4"/>
  <c r="H64" i="4"/>
  <c r="L66" i="4"/>
  <c r="N56" i="4"/>
  <c r="J65" i="4"/>
  <c r="H65" i="4"/>
  <c r="L55" i="4"/>
  <c r="H62" i="4"/>
  <c r="H57" i="4"/>
  <c r="L57" i="4"/>
  <c r="J59" i="4"/>
  <c r="J69" i="4"/>
  <c r="N62" i="4"/>
  <c r="J55" i="4"/>
  <c r="H61" i="4"/>
  <c r="N57" i="4"/>
  <c r="N55" i="4"/>
  <c r="N68" i="4"/>
  <c r="N64" i="4"/>
  <c r="J60" i="4"/>
  <c r="H66" i="4"/>
  <c r="N70" i="4"/>
  <c r="J64" i="4"/>
  <c r="H68" i="4"/>
  <c r="H55" i="4"/>
  <c r="L65" i="4"/>
  <c r="J56" i="4"/>
  <c r="H60" i="4"/>
  <c r="J61" i="4"/>
  <c r="H63" i="4"/>
  <c r="H69" i="4"/>
  <c r="N69" i="4"/>
  <c r="L63" i="4"/>
  <c r="N63" i="4"/>
  <c r="N59" i="4"/>
  <c r="O59" i="4"/>
  <c r="M59" i="4"/>
  <c r="I66" i="4"/>
  <c r="I60" i="4"/>
  <c r="I58" i="4"/>
  <c r="M57" i="4"/>
  <c r="M69" i="4"/>
  <c r="O61" i="4"/>
  <c r="M64" i="4"/>
  <c r="I70" i="4"/>
  <c r="O56" i="4"/>
  <c r="I68" i="4"/>
  <c r="M56" i="4"/>
  <c r="K57" i="4"/>
  <c r="M63" i="4"/>
  <c r="O65" i="4"/>
  <c r="O58" i="4"/>
  <c r="I61" i="4"/>
  <c r="K69" i="4"/>
  <c r="K61" i="4"/>
  <c r="M67" i="4"/>
  <c r="K62" i="4"/>
  <c r="K60" i="4"/>
  <c r="I57" i="4"/>
  <c r="O64" i="4"/>
  <c r="M60" i="4"/>
  <c r="I64" i="4"/>
  <c r="M62" i="4"/>
  <c r="K67" i="4"/>
  <c r="I56" i="4"/>
  <c r="I55" i="4"/>
  <c r="I65" i="4"/>
  <c r="N70" i="3"/>
  <c r="K56" i="4"/>
  <c r="O62" i="4"/>
  <c r="K66" i="4"/>
  <c r="O70" i="4"/>
  <c r="M66" i="4"/>
  <c r="M58" i="4"/>
  <c r="O67" i="4"/>
  <c r="K58" i="4"/>
  <c r="O55" i="4"/>
  <c r="M70" i="4"/>
  <c r="M65" i="4"/>
  <c r="I69" i="4"/>
  <c r="K65" i="4"/>
  <c r="K55" i="4"/>
  <c r="M68" i="4"/>
  <c r="O66" i="4"/>
  <c r="K70" i="4"/>
  <c r="O69" i="4"/>
  <c r="K64" i="4"/>
  <c r="I67" i="4"/>
  <c r="I63" i="4"/>
  <c r="I62" i="4"/>
  <c r="O57" i="4"/>
  <c r="K59" i="4"/>
  <c r="O63" i="4"/>
  <c r="M61" i="4"/>
  <c r="I59" i="4"/>
  <c r="M55" i="4"/>
  <c r="N57" i="3"/>
  <c r="H60" i="3"/>
  <c r="J64" i="3"/>
  <c r="H67" i="3"/>
  <c r="N64" i="3"/>
  <c r="L61" i="3"/>
  <c r="M405" i="3"/>
  <c r="L56" i="3"/>
  <c r="J55" i="3"/>
  <c r="N68" i="3"/>
  <c r="J69" i="3"/>
  <c r="L63" i="3"/>
  <c r="J70" i="3"/>
  <c r="L68" i="3"/>
  <c r="H65" i="3"/>
  <c r="J63" i="3"/>
  <c r="M410" i="3"/>
  <c r="N67" i="3"/>
  <c r="H55" i="3"/>
  <c r="N55" i="3"/>
  <c r="J58" i="3"/>
  <c r="N59" i="3"/>
  <c r="N63" i="3"/>
  <c r="H63" i="3"/>
  <c r="N56" i="3"/>
  <c r="J67" i="3"/>
  <c r="L65" i="3"/>
  <c r="H64" i="3"/>
  <c r="L70" i="3"/>
  <c r="L64" i="3"/>
  <c r="L57" i="3"/>
  <c r="L66" i="3"/>
  <c r="H66" i="3"/>
  <c r="J68" i="3"/>
  <c r="K55" i="3"/>
  <c r="K69" i="3"/>
  <c r="M65" i="3"/>
  <c r="M57" i="3"/>
  <c r="I61" i="3"/>
  <c r="O60" i="3"/>
  <c r="K63" i="3"/>
  <c r="M70" i="3"/>
  <c r="K64" i="3"/>
  <c r="K67" i="3"/>
  <c r="I68" i="3"/>
  <c r="M67" i="3"/>
  <c r="M55" i="3"/>
  <c r="M61" i="3"/>
  <c r="K57" i="3"/>
  <c r="I67" i="3"/>
  <c r="I64" i="3"/>
  <c r="M56" i="3"/>
  <c r="M68" i="3"/>
  <c r="M60" i="3"/>
  <c r="O69" i="3"/>
  <c r="I60" i="3"/>
  <c r="K56" i="3"/>
  <c r="M66" i="3"/>
  <c r="K58" i="3"/>
  <c r="I69" i="3"/>
  <c r="I66" i="3"/>
  <c r="O62" i="3"/>
  <c r="O67" i="3"/>
  <c r="K61" i="3"/>
  <c r="O57" i="3"/>
  <c r="K60" i="3"/>
  <c r="O65" i="3"/>
  <c r="K62" i="3"/>
  <c r="I57" i="3"/>
  <c r="O61" i="3"/>
  <c r="M58" i="3"/>
  <c r="K59" i="3"/>
  <c r="I62" i="3"/>
  <c r="K70" i="3"/>
  <c r="M69" i="3"/>
  <c r="I70" i="3"/>
  <c r="K65" i="3"/>
  <c r="O63" i="3"/>
  <c r="O56" i="3"/>
  <c r="M62" i="3"/>
  <c r="M59" i="3"/>
  <c r="O64" i="3"/>
  <c r="O58" i="3"/>
  <c r="K66" i="3"/>
  <c r="N61" i="3"/>
  <c r="H58" i="3"/>
  <c r="J59" i="3"/>
  <c r="N65" i="3"/>
  <c r="L58" i="3"/>
  <c r="L59" i="3"/>
  <c r="N62" i="3"/>
  <c r="J56" i="3"/>
  <c r="N66" i="3"/>
  <c r="H68" i="3"/>
  <c r="J66" i="3"/>
  <c r="H56" i="3"/>
  <c r="N60" i="3"/>
  <c r="L69" i="3"/>
  <c r="L55" i="3"/>
  <c r="H59" i="3"/>
  <c r="H57" i="3"/>
  <c r="J60" i="3"/>
  <c r="N58" i="3"/>
  <c r="J57" i="3"/>
  <c r="L60" i="3"/>
  <c r="H62" i="3"/>
  <c r="H70" i="3"/>
  <c r="J65" i="3"/>
  <c r="O66" i="3"/>
  <c r="O59" i="3" l="1"/>
  <c r="K68" i="3"/>
  <c r="I59" i="3"/>
  <c r="I58" i="3"/>
  <c r="I56" i="3"/>
  <c r="O55" i="3"/>
  <c r="M63" i="3"/>
  <c r="M64" i="3"/>
  <c r="I65" i="3"/>
  <c r="O68" i="3"/>
  <c r="O70" i="3"/>
  <c r="I63" i="3"/>
  <c r="I55" i="3"/>
</calcChain>
</file>

<file path=xl/sharedStrings.xml><?xml version="1.0" encoding="utf-8"?>
<sst xmlns="http://schemas.openxmlformats.org/spreadsheetml/2006/main" count="4078" uniqueCount="228">
  <si>
    <t>TARIFF OF RATES AND CHARGES</t>
  </si>
  <si>
    <t>Effective and Implementation Date January 1, 2023</t>
  </si>
  <si>
    <t>This schedule supersedes and replaces all previously</t>
  </si>
  <si>
    <t>approved schedules of Rates, Charges and Loss Factors</t>
  </si>
  <si>
    <t>EB-2022-0017</t>
  </si>
  <si>
    <t>RESIDENTIAL SERVICE CLASSIFICATION</t>
  </si>
  <si>
    <t>Residential refers to the supply of electrical energy to detached, semi-detached and row-housing units (freehold or condominium).  This classification typically refers to an account taking electricity at 750 volts or less where electricity is used exclusively in a separate metered living accommodation.  Customers shall be residing in single-dwelling units that consist of a detached house or one unit of a semi-detached, duplex, triplex, or quadruplex house, with a residential zoning.  Separate metered dwellings within a town house complex, condominium, or apartment building also qualify as residential customers.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</si>
  <si>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</si>
  <si>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</si>
  <si>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</si>
  <si>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</si>
  <si>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</si>
  <si>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</si>
  <si>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t>
  </si>
  <si>
    <t>$</t>
  </si>
  <si>
    <t>Rate Rider for Recovery of Advanced Capital Module - effective until the date of the next
cost of service-based rate order</t>
  </si>
  <si>
    <t>Rate Rider for Recovery of Incremental Capital - effective until the effective date of the next cost of
     service based rate order</t>
  </si>
  <si>
    <t>Smart Metering Entity Charge - effective until December 31, 2027</t>
  </si>
  <si>
    <t>Low Voltage Service Rate</t>
  </si>
  <si>
    <t>$/kWh</t>
  </si>
  <si>
    <t>Rate Rider for Disposition of Deferral/Variance Accounts (2023) - effective until December 31, 2023</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</si>
  <si>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</si>
  <si>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</si>
  <si>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</si>
  <si>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</si>
  <si>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</si>
  <si>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</si>
  <si>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</si>
  <si>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</si>
  <si>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taking electricity at 750 volts or less whose average monthly peak demand is less than, or is forecast to be less than, 50 kW. Class B consumers are defined in accordance with O. Reg. 429/04. Further servicing details are available in the distributor's Conditions of Service.</t>
  </si>
  <si>
    <t>Distribution Volumetric Rate</t>
  </si>
  <si>
    <t>GENERAL SERVICE 50 TO 999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</si>
  <si>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50 kW but less than 1,000 kW.  Class B consumers are defined in accordance with O.Reg. 429/04. Further servicing details are available in the distributor's Conditions of Service.</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</si>
  <si>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</si>
  <si>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</si>
  <si>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Rate Rider for Recovery of Incremental Capital - effective until the effective date of the next cost of
    service based rate order</t>
  </si>
  <si>
    <t>$/kW</t>
  </si>
  <si>
    <t>Rate Rider for Disposition of Deferral/Variance Accounts (2023) - effective until December 31, 2023
      Applicable only for Non-Wholesale Market Participants</t>
  </si>
  <si>
    <t>Retail Transmission Rate - Line and Transformation Connection Service Rate
      (see Gross Load Billing Note)</t>
  </si>
  <si>
    <t>Retail Transmission Rate - Network Service Rate - Interval Metered &lt;1000 kW</t>
  </si>
  <si>
    <t>Retail Transmission Rate - Line and Transformation Connection Service Rate  
    - Interval Metered &lt;1000 kW (see Gross Load Billing Note)</t>
  </si>
  <si>
    <t>GENERAL SERVICE 1,000 TO 4,999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</si>
  <si>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1,000 kW but less than 5,000 kW.  Class A and Class B consumers are defined in accordance with O. Reg. 429/04. Further servicing details are available in the distributor's Conditions of Service.</t>
  </si>
  <si>
    <t>LARGE USE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</si>
  <si>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an account whose average monthly peak demand is equal to or greater than, or is forecast to be equal to or greater than, 5,000 kW.  Class A and Class B consumers are defined in accordance with O. Reg. 429/04.  Further servicing details are available in the distributor's Conditions of Service.</t>
  </si>
  <si>
    <t>Rate Rider for Recovery of Advanced Capital Module 
      - effective until the date of the next cost of service-based rate order</t>
  </si>
  <si>
    <t xml:space="preserve">Rate Rider for Recovery of Incremental Capital 
      - effective until the effective date of the next cost of service based rate order </t>
  </si>
  <si>
    <t>Retail Transmission Rate - Line and Transformation Connection Service Rate (see Gross Load Billing Note)</t>
  </si>
  <si>
    <t>UNMETERED SCATTERED LOAD SERVICE CLASSIFICATION</t>
  </si>
  <si>
    <t>This classification refers to an account taking electricity at 750 volts or less whose average monthly peak demand is less than, or is forecast to be less than, 50kW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</si>
  <si>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Service Charge (per connection)</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</si>
  <si>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</si>
  <si>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</si>
  <si>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SENTINEL LIGHTING SERVICE CLASSIFICATION</t>
  </si>
  <si>
    <t>This classification applies to safety/security lighting with a Residential, General Service or Large Use customer. This is typically exterior lighting, and unmetered. Consumption is estimated based on the equipment rating and estimated hours of use.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</si>
  <si>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prices, as applicable.  In addition, the charges in the MONTHLY RATES AND CHARGES - Regulatory Component of this schedule do not apply to a customer that is an embedded wholesale market participant.</t>
  </si>
  <si>
    <t>EMBEDDED DISTRIBUTOR SERVICE CLASSIFICATION - HYDRO ONE CND</t>
  </si>
  <si>
    <t>This classification applies to an electricity distributor licenced by the Ontario Energy Board, that is provided electricity by means of this distributor's facilities. Further servicing details are available in the distributor's Conditions of Service.</t>
  </si>
  <si>
    <t>EMBEDDED DISTRIBUTOR SERVICE CLASSIFICATION - WATERLOO</t>
  </si>
  <si>
    <t>EMBEDDED DISTRIBUTOR SERVICE CLASSIFICATION - BRANTFORD</t>
  </si>
  <si>
    <t>EMBEDDED DISTRIBUTOR SERVICE CLASSIFICATION - HYDRO ONE #1</t>
  </si>
  <si>
    <t>EMBEDDED DISTRIBUTOR SERVICE CLASSIFICATION - HYDRO ONE #2</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</si>
  <si>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</si>
  <si>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</si>
  <si>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</si>
  <si>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</si>
  <si>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</si>
  <si>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</si>
  <si>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</si>
  <si>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</si>
  <si>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</si>
  <si>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</si>
  <si>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</si>
  <si>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</si>
  <si>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</si>
  <si>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</si>
  <si>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</si>
  <si>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</si>
  <si>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</si>
  <si>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</si>
  <si>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</si>
  <si>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</si>
  <si>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</si>
  <si>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</si>
  <si>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</si>
  <si>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</si>
  <si>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</si>
  <si>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Credit reference/credit check (plus credit agency costs)</t>
  </si>
  <si>
    <t>Non-Payment of Account</t>
  </si>
  <si>
    <t>Late payment - per month
(effective annual rate 19.56% per annum or 0.04896% compounded daily rate)</t>
  </si>
  <si>
    <t>Reconnection at meter - during regular hours</t>
  </si>
  <si>
    <t>Reconnection at meter - after regular hours</t>
  </si>
  <si>
    <t>Reconnection at pole - during regular hours</t>
  </si>
  <si>
    <t>Reconnection at pole - after regular hours</t>
  </si>
  <si>
    <t>Other</t>
  </si>
  <si>
    <t xml:space="preserve">Specific charge for access to the power poles - $/pole/year (with the exception of wireless attachments)
   </t>
  </si>
  <si>
    <t>Service call - customer owned equipment</t>
  </si>
  <si>
    <t>Service call - customer-owned equipment - after regular hours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</si>
  <si>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</si>
  <si>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</si>
  <si>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</si>
  <si>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</si>
  <si>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</si>
  <si>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</si>
  <si>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</si>
  <si>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</si>
  <si>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</si>
  <si>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</si>
  <si>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</si>
  <si>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</si>
  <si>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</si>
  <si>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</si>
  <si>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</si>
  <si>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</si>
  <si>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</si>
  <si>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</si>
  <si>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</si>
  <si>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</si>
  <si>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</si>
  <si>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</si>
  <si>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</si>
  <si>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</si>
  <si>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Effective and Implementation Date July 1, 2023</t>
  </si>
  <si>
    <t>Rate Rider for Disposition of Global Adjustment Account (2023) - effective until July 1, 2024
      Applicable only for Non-RPP Customers</t>
  </si>
  <si>
    <t>Rate Rider for Disposition of Deferral/Variance Accounts (2023) - effective until July 1, 2024</t>
  </si>
  <si>
    <t>Rate Rider for Disposition of Deferral/Variance Accounts (2023) - effective until July 1, 2024
      Applicable only for Non-Wholesale Market Participants</t>
  </si>
  <si>
    <t>Rate Rider for Disposition of Capacity Based Recovery Account (2023) - effective until July 1, 2024 
      Applicable only for Class B Customers</t>
  </si>
  <si>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To assess the combined effects of the shift to fixed rates and other bill impacts associated with changes in the cost of distribution service, applicants are to include a total bill impact for a residential customer at the distributor’s 10th consumption percentile (In other words, 10% of a distributor’s residential customers consume at or less than this level of consumption on a monthly basis). Refer to section 3.2.3 of the Chapter 3 Filing Requirements For Electricity Distribution Rate Applications.</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through end of June 2022 of </t>
    </r>
    <r>
      <rPr>
        <sz val="9.3000000000000007"/>
        <color theme="9" tint="-0.249977111117893"/>
        <rFont val="Arial"/>
        <family val="2"/>
      </rPr>
      <t>$0.0967/kWh (IESO's Monthly Market Report for April 2022)</t>
    </r>
    <r>
      <rPr>
        <sz val="9.3000000000000007"/>
        <rFont val="Arial"/>
        <family val="2"/>
      </rPr>
      <t xml:space="preserve">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</si>
  <si>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</si>
  <si>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</si>
  <si>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</si>
  <si>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</si>
  <si>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</si>
  <si>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</si>
  <si>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</si>
  <si>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</si>
  <si>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</si>
  <si>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</si>
  <si>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</si>
  <si>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RPP</t>
  </si>
  <si>
    <t>Non-RPP (Other)</t>
  </si>
  <si>
    <t>Non-RPP (Retailer)</t>
  </si>
  <si>
    <t>Add additional scenarios if required</t>
  </si>
  <si>
    <t>Table 2</t>
  </si>
  <si>
    <t>Sub-Total</t>
  </si>
  <si>
    <t>Total</t>
  </si>
  <si>
    <t>A</t>
  </si>
  <si>
    <t>B</t>
  </si>
  <si>
    <t>C</t>
  </si>
  <si>
    <t>Total Bill</t>
  </si>
  <si>
    <t>Customer Class:</t>
  </si>
  <si>
    <t>RPP / Non-RPP:</t>
  </si>
  <si>
    <t>Consumption</t>
  </si>
  <si>
    <t>kWh</t>
  </si>
  <si>
    <t>Demand</t>
  </si>
  <si>
    <t>kW</t>
  </si>
  <si>
    <t>Current Loss Factor</t>
  </si>
  <si>
    <t>Proposed/Approved Loss Factor</t>
  </si>
  <si>
    <t>Impact</t>
  </si>
  <si>
    <t>Rate</t>
  </si>
  <si>
    <t>Volume</t>
  </si>
  <si>
    <t>Charge</t>
  </si>
  <si>
    <t>$ Change</t>
  </si>
  <si>
    <t>% Change</t>
  </si>
  <si>
    <t>($)</t>
  </si>
  <si>
    <t>Monthly Service Charge</t>
  </si>
  <si>
    <t>RRRP Credit</t>
  </si>
  <si>
    <t>DRP Adjustment</t>
  </si>
  <si>
    <t>Fixed Rate Riders</t>
  </si>
  <si>
    <t>Volumetric Rate Riders</t>
  </si>
  <si>
    <t>ST_A</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</si>
  <si>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</si>
  <si>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</si>
  <si>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</si>
  <si>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</si>
  <si>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</si>
  <si>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</si>
  <si>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</si>
  <si>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</si>
  <si>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</si>
  <si>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ST_B</t>
  </si>
  <si>
    <t>Sub-Total B - Distribution (includes Sub-Total A)</t>
  </si>
  <si>
    <t>RTSR - Network</t>
  </si>
  <si>
    <t>RTSR - Connection and/or Line and Transformation Connection</t>
  </si>
  <si>
    <t>ST_C</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</si>
  <si>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</si>
  <si>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</si>
  <si>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</si>
  <si>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</si>
  <si>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</si>
  <si>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</si>
  <si>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</si>
  <si>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</si>
  <si>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</si>
  <si>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</si>
  <si>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</si>
  <si>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</si>
  <si>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</si>
  <si>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RPP_TOTAL</t>
  </si>
  <si>
    <t>Total Bill on TOU</t>
  </si>
  <si>
    <t>Total Bill on Non-RPP Avg. Price</t>
  </si>
  <si>
    <t>Non-RPP (Retailer)_TOTAL</t>
  </si>
  <si>
    <t>Total Bill on Average IESO Wholesale Market Price</t>
  </si>
  <si>
    <t>Non-RPP (Other)_TOTAL</t>
  </si>
  <si>
    <t>2022 OEB-Approved</t>
  </si>
  <si>
    <t>2023 Proposed</t>
  </si>
  <si>
    <t>GBE(E+) Rate Zone - Rate Class</t>
  </si>
  <si>
    <t>2022 Approved</t>
  </si>
  <si>
    <t>% Impact</t>
  </si>
  <si>
    <t>Residential</t>
  </si>
  <si>
    <t>GS&lt;50 kW</t>
  </si>
  <si>
    <t>GS&gt; 50 to 999 kW</t>
  </si>
  <si>
    <t>GS&gt; 1,000 to 4,999 kW</t>
  </si>
  <si>
    <t>Large Use</t>
  </si>
  <si>
    <t>Unmetered Scattered Load</t>
  </si>
  <si>
    <t>Street Lighting</t>
  </si>
  <si>
    <t>Sentinel Lighting</t>
  </si>
  <si>
    <t>Embedded Distributor - Hydro One CND</t>
  </si>
  <si>
    <t>Embedded Distributor - Waterloo North Hydro</t>
  </si>
  <si>
    <t>Embedded Distributor - Brantford</t>
  </si>
  <si>
    <t>Embedded Distributor - Hydro One #1</t>
  </si>
  <si>
    <t>Embedded Distributor - Hydro One #2</t>
  </si>
  <si>
    <t>2023 Approved 
(Phase 1)</t>
  </si>
  <si>
    <t>2023 Proposed 
(Phase 2)</t>
  </si>
  <si>
    <t>Energy+ Rate Zone</t>
  </si>
  <si>
    <t>GrandBridge Energy Inc.</t>
  </si>
  <si>
    <t>2023 Current OEB-Approved</t>
  </si>
  <si>
    <t>EB-2022-0305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</si>
</sst>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0;[Red]\(#,##0.00\)"/>
    <numFmt numFmtId="165" formatCode="#,##0.0000;[Red]\(#,##0.0000\)"/>
    <numFmt numFmtId="166" formatCode="_-* #,##0_-;\-* #,##0_-;_-* &quot;-&quot;??_-;_-@_-"/>
    <numFmt numFmtId="167" formatCode="0.0%"/>
    <numFmt numFmtId="168" formatCode="0.0000"/>
    <numFmt numFmtId="169" formatCode="_-&quot;$&quot;* #,##0.0000_-;\-&quot;$&quot;* #,##0.0000_-;_-&quot;$&quot;* &quot;-&quot;??_-;_-@_-"/>
    <numFmt numFmtId="170" formatCode="_-&quot;$&quot;* #,##0.00_-;\-&quot;$&quot;* #,##0.00_-;_-&quot;$&quot;* &quot;-&quot;??_-;_-@_-"/>
    <numFmt numFmtId="171" formatCode="[$-409]mmmm\ d\,\ yyyy;@"/>
    <numFmt numFmtId="172" formatCode="_-* #,##0.00_-;\-* #,##0.00_-;_-* &quot;-&quot;??_-;_-@_-"/>
  </numFmts>
  <fonts count="36" x14ac:knownFonts="1">
    <font>
      <sz val="11"/>
      <color theme="1"/>
      <name val="Calibri"/>
      <family val="2"/>
      <scheme val="minor"/>
    </font>
    <font>
      <b/>
      <sz val="12"/>
      <color theme="1"/>
      <name val="Arial"/>
      <family val="2"/>
    </font>
    <font>
      <b/>
      <sz val="18"/>
      <color theme="1"/>
      <name val="Arial"/>
      <family val="2"/>
    </font>
    <font>
      <b/>
      <sz val="14"/>
      <color theme="1"/>
      <name val="Arial"/>
      <family val="2"/>
    </font>
    <font>
      <sz val="14"/>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
      <sz val="8"/>
      <name val="Arial"/>
      <family val="2"/>
    </font>
    <font>
      <sz val="11"/>
      <color theme="1"/>
      <name val="Calibri"/>
      <family val="2"/>
      <scheme val="minor"/>
    </font>
    <font>
      <sz val="10"/>
      <name val="Arial"/>
      <family val="2"/>
    </font>
    <font>
      <sz val="16"/>
      <color theme="0"/>
      <name val="Algerian"/>
      <family val="5"/>
    </font>
    <font>
      <sz val="16"/>
      <color indexed="12"/>
      <name val="Algerian"/>
      <family val="5"/>
    </font>
    <font>
      <b/>
      <sz val="10"/>
      <name val="Arial"/>
      <family val="2"/>
    </font>
    <font>
      <sz val="14"/>
      <color theme="0"/>
      <name val="Arial"/>
      <family val="2"/>
    </font>
    <font>
      <sz val="14"/>
      <name val="Arial"/>
      <family val="2"/>
    </font>
    <font>
      <sz val="10"/>
      <color theme="0"/>
      <name val="Arial"/>
      <family val="2"/>
    </font>
    <font>
      <b/>
      <sz val="12"/>
      <name val="Arial"/>
      <family val="2"/>
    </font>
    <font>
      <b/>
      <sz val="14"/>
      <name val="Arial"/>
      <family val="2"/>
    </font>
    <font>
      <sz val="9.3000000000000007"/>
      <name val="Arial"/>
      <family val="2"/>
    </font>
    <font>
      <b/>
      <sz val="9.3000000000000007"/>
      <name val="Arial"/>
      <family val="2"/>
    </font>
    <font>
      <sz val="9.3000000000000007"/>
      <color theme="9" tint="-0.249977111117893"/>
      <name val="Arial"/>
      <family val="2"/>
    </font>
    <font>
      <b/>
      <i/>
      <sz val="9"/>
      <name val="Arial"/>
      <family val="2"/>
    </font>
    <font>
      <b/>
      <sz val="8"/>
      <name val="Arial"/>
      <family val="2"/>
    </font>
    <font>
      <b/>
      <sz val="10"/>
      <name val="Arial Black"/>
      <family val="2"/>
    </font>
    <font>
      <i/>
      <sz val="10"/>
      <name val="Arial"/>
      <family val="2"/>
    </font>
    <font>
      <b/>
      <sz val="10"/>
      <color rgb="FFFF0000"/>
      <name val="Arial"/>
      <family val="2"/>
    </font>
    <font>
      <b/>
      <sz val="9"/>
      <name val="Arial"/>
      <family val="2"/>
    </font>
    <font>
      <b/>
      <sz val="10"/>
      <color rgb="FF002060"/>
      <name val="Arial"/>
      <family val="2"/>
    </font>
    <font>
      <b/>
      <sz val="10"/>
      <color theme="3"/>
      <name val="Arial"/>
      <family val="2"/>
    </font>
    <font>
      <i/>
      <sz val="10"/>
      <color rgb="FFFF0000"/>
      <name val="Arial"/>
      <family val="2"/>
    </font>
    <font>
      <sz val="11"/>
      <color theme="1"/>
      <name val="Arial"/>
      <family val="2"/>
    </font>
    <font>
      <b/>
      <sz val="16"/>
      <color theme="1"/>
      <name val="Arial"/>
      <family val="2"/>
    </font>
  </fonts>
  <fills count="1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99"/>
        <bgColor indexed="64"/>
      </patternFill>
    </fill>
    <fill>
      <patternFill patternType="solid">
        <fgColor rgb="FFFFFF00"/>
        <bgColor indexed="64"/>
      </patternFill>
    </fill>
    <fill>
      <patternFill patternType="solid">
        <fgColor theme="4" tint="0.79998168889431442"/>
        <bgColor indexed="64"/>
      </patternFill>
    </fill>
    <fill>
      <patternFill patternType="solid">
        <fgColor rgb="FFEBF1DE"/>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6795556505021"/>
        <bgColor indexed="64"/>
      </patternFill>
    </fill>
    <fill>
      <patternFill patternType="solid">
        <fgColor rgb="FFD4D4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0">
    <xf numFmtId="0" fontId="0"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13" fillId="0" borderId="0"/>
    <xf numFmtId="172" fontId="13" fillId="0" borderId="0" applyFont="0" applyFill="0" applyBorder="0" applyAlignment="0" applyProtection="0"/>
    <xf numFmtId="0" fontId="12" fillId="0" borderId="0"/>
    <xf numFmtId="44" fontId="12" fillId="0" borderId="0" applyFont="0" applyFill="0" applyBorder="0" applyAlignment="0" applyProtection="0"/>
    <xf numFmtId="9" fontId="12" fillId="0" borderId="0" applyFont="0" applyFill="0" applyBorder="0" applyAlignment="0" applyProtection="0"/>
  </cellStyleXfs>
  <cellXfs count="229">
    <xf numFmtId="0" fontId="0" fillId="0" borderId="0" xfId="0"/>
    <xf numFmtId="0" fontId="9" fillId="2" borderId="0" xfId="0" applyFont="1" applyFill="1" applyAlignment="1">
      <alignment horizontal="left" vertical="top" wrapText="1"/>
    </xf>
    <xf numFmtId="0" fontId="5" fillId="2" borderId="0" xfId="0" applyFont="1" applyFill="1" applyAlignment="1">
      <alignment horizontal="left" vertical="top" wrapText="1"/>
    </xf>
    <xf numFmtId="0" fontId="8" fillId="2" borderId="0" xfId="0" applyFont="1" applyFill="1" applyAlignment="1">
      <alignment horizontal="left" vertical="top" wrapText="1"/>
    </xf>
    <xf numFmtId="0" fontId="0" fillId="0" borderId="0" xfId="0" applyAlignment="1">
      <alignment vertical="top"/>
    </xf>
    <xf numFmtId="0" fontId="8" fillId="2" borderId="0" xfId="0" applyFont="1" applyFill="1" applyAlignment="1">
      <alignment horizontal="left" vertical="top"/>
    </xf>
    <xf numFmtId="164" fontId="8" fillId="2" borderId="0" xfId="0" applyNumberFormat="1" applyFont="1" applyFill="1" applyAlignment="1">
      <alignment horizontal="right" vertical="top"/>
    </xf>
    <xf numFmtId="165" fontId="8" fillId="2" borderId="0" xfId="0" applyNumberFormat="1" applyFont="1" applyFill="1" applyAlignment="1">
      <alignment horizontal="right" vertical="top"/>
    </xf>
    <xf numFmtId="0" fontId="10" fillId="0" borderId="0" xfId="0" applyFont="1" applyAlignment="1">
      <alignment vertical="top"/>
    </xf>
    <xf numFmtId="0" fontId="6" fillId="2" borderId="0" xfId="0" applyFont="1" applyFill="1" applyAlignment="1">
      <alignment horizontal="left" vertical="top" wrapText="1"/>
    </xf>
    <xf numFmtId="0" fontId="3" fillId="2" borderId="0" xfId="0" applyFont="1" applyFill="1" applyAlignment="1">
      <alignment horizontal="left" vertical="top" wrapText="1"/>
    </xf>
    <xf numFmtId="0" fontId="10" fillId="2" borderId="0" xfId="0" applyFont="1" applyFill="1" applyAlignment="1">
      <alignment horizontal="left" vertical="top"/>
    </xf>
    <xf numFmtId="164" fontId="11" fillId="2" borderId="0" xfId="0" applyNumberFormat="1" applyFont="1" applyFill="1" applyAlignment="1" applyProtection="1">
      <alignment horizontal="right" vertical="top"/>
      <protection locked="0"/>
    </xf>
    <xf numFmtId="0" fontId="0" fillId="2" borderId="0" xfId="0" applyFill="1" applyAlignment="1">
      <alignment horizontal="left" vertical="top"/>
    </xf>
    <xf numFmtId="0" fontId="8" fillId="2" borderId="0" xfId="0" applyFont="1" applyFill="1" applyAlignment="1">
      <alignment horizontal="right" vertical="top"/>
    </xf>
    <xf numFmtId="0" fontId="8" fillId="2" borderId="0" xfId="0" applyFont="1" applyFill="1" applyAlignment="1">
      <alignment horizontal="right" vertical="top" wrapText="1"/>
    </xf>
    <xf numFmtId="0" fontId="8" fillId="2" borderId="0" xfId="0" applyFont="1" applyFill="1" applyAlignment="1">
      <alignment horizontal="left" vertical="top" wrapText="1"/>
    </xf>
    <xf numFmtId="0" fontId="9" fillId="2" borderId="0" xfId="0" applyFont="1" applyFill="1" applyAlignment="1">
      <alignment horizontal="left" vertical="top" wrapText="1"/>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3" fillId="2" borderId="0" xfId="0" applyFont="1" applyFill="1" applyAlignment="1">
      <alignment horizontal="center" vertical="top" wrapText="1"/>
    </xf>
    <xf numFmtId="0" fontId="1" fillId="2" borderId="0" xfId="0" applyFont="1" applyFill="1" applyAlignment="1">
      <alignment horizontal="center" vertical="top" wrapText="1"/>
    </xf>
    <xf numFmtId="0" fontId="5" fillId="2" borderId="0" xfId="0" applyFont="1" applyFill="1" applyAlignment="1">
      <alignment horizontal="center" vertical="top" wrapText="1"/>
    </xf>
    <xf numFmtId="0" fontId="7" fillId="2" borderId="0" xfId="0" applyFont="1" applyFill="1" applyAlignment="1">
      <alignment horizontal="right" vertical="top" wrapText="1"/>
    </xf>
    <xf numFmtId="0" fontId="3" fillId="2" borderId="0" xfId="0" applyFont="1" applyFill="1" applyAlignment="1">
      <alignment horizontal="left" vertical="top" wrapText="1"/>
    </xf>
    <xf numFmtId="0" fontId="9" fillId="2" borderId="0" xfId="0" applyFont="1" applyFill="1" applyAlignment="1">
      <alignment horizontal="left" vertical="top" wrapText="1"/>
    </xf>
    <xf numFmtId="0" fontId="2" fillId="2" borderId="0" xfId="0" applyFont="1" applyFill="1" applyAlignment="1">
      <alignment horizontal="center" vertical="top" wrapText="1"/>
    </xf>
    <xf numFmtId="0" fontId="5" fillId="2" borderId="0" xfId="0" applyFont="1" applyFill="1" applyAlignment="1">
      <alignment horizontal="left" vertical="top" wrapText="1"/>
    </xf>
    <xf numFmtId="0" fontId="8" fillId="2" borderId="0" xfId="0" applyFont="1" applyFill="1" applyAlignment="1">
      <alignment horizontal="left" vertical="top" wrapText="1"/>
    </xf>
    <xf numFmtId="0" fontId="4" fillId="2" borderId="0" xfId="0" applyFont="1" applyFill="1" applyAlignment="1">
      <alignment horizontal="left" vertical="top" wrapText="1"/>
    </xf>
    <xf numFmtId="0" fontId="14" fillId="3" borderId="0" xfId="1" applyFont="1" applyFill="1" applyAlignment="1">
      <alignment vertical="top" wrapText="1"/>
    </xf>
    <xf numFmtId="0" fontId="15" fillId="3" borderId="0" xfId="1" applyFont="1" applyFill="1" applyAlignment="1">
      <alignment vertical="top" wrapText="1"/>
    </xf>
    <xf numFmtId="0" fontId="16" fillId="0" borderId="0" xfId="1" applyFont="1"/>
    <xf numFmtId="0" fontId="11" fillId="0" borderId="0" xfId="1" applyFont="1" applyAlignment="1">
      <alignment horizontal="right" vertical="top"/>
    </xf>
    <xf numFmtId="0" fontId="13" fillId="3" borderId="0" xfId="1" applyFill="1"/>
    <xf numFmtId="0" fontId="13" fillId="0" borderId="0" xfId="1"/>
    <xf numFmtId="0" fontId="17" fillId="3" borderId="0" xfId="1" applyFont="1" applyFill="1"/>
    <xf numFmtId="0" fontId="18" fillId="3" borderId="0" xfId="1" applyFont="1" applyFill="1"/>
    <xf numFmtId="0" fontId="18" fillId="3" borderId="0" xfId="1" applyFont="1" applyFill="1" applyAlignment="1">
      <alignment horizontal="left" indent="7"/>
    </xf>
    <xf numFmtId="0" fontId="13" fillId="3" borderId="0" xfId="1" applyFill="1" applyAlignment="1">
      <alignment horizontal="left" indent="1"/>
    </xf>
    <xf numFmtId="0" fontId="19" fillId="3" borderId="0" xfId="1" applyFont="1" applyFill="1"/>
    <xf numFmtId="0" fontId="20" fillId="3" borderId="0" xfId="1" applyFont="1" applyFill="1"/>
    <xf numFmtId="0" fontId="19" fillId="0" borderId="0" xfId="1" applyFont="1"/>
    <xf numFmtId="0" fontId="21" fillId="0" borderId="0" xfId="1" applyFont="1" applyAlignment="1">
      <alignment horizontal="center"/>
    </xf>
    <xf numFmtId="0" fontId="21" fillId="0" borderId="0" xfId="1" applyFont="1"/>
    <xf numFmtId="0" fontId="22" fillId="0" borderId="0" xfId="1" applyFont="1" applyAlignment="1">
      <alignment horizontal="left" vertical="top" wrapText="1"/>
    </xf>
    <xf numFmtId="0" fontId="13" fillId="0" borderId="0" xfId="1" applyProtection="1">
      <protection locked="0"/>
    </xf>
    <xf numFmtId="0" fontId="19" fillId="4" borderId="1" xfId="1" applyFont="1" applyFill="1" applyBorder="1"/>
    <xf numFmtId="0" fontId="20" fillId="0" borderId="0" xfId="1" applyFont="1"/>
    <xf numFmtId="0" fontId="16" fillId="0" borderId="2" xfId="1" applyFont="1" applyBorder="1" applyAlignment="1">
      <alignment horizontal="left" vertical="center" wrapText="1"/>
    </xf>
    <xf numFmtId="0" fontId="16" fillId="0" borderId="3" xfId="1" applyFont="1" applyBorder="1" applyAlignment="1">
      <alignment horizontal="left" vertical="center"/>
    </xf>
    <xf numFmtId="0" fontId="16" fillId="0" borderId="4" xfId="1" applyFont="1" applyBorder="1" applyAlignment="1">
      <alignment horizontal="left" vertical="center"/>
    </xf>
    <xf numFmtId="0" fontId="16" fillId="0" borderId="1" xfId="1" applyFont="1" applyBorder="1" applyAlignment="1">
      <alignment horizontal="center" vertical="center"/>
    </xf>
    <xf numFmtId="0" fontId="16" fillId="0" borderId="1" xfId="1" applyFont="1" applyBorder="1" applyAlignment="1">
      <alignment horizontal="center" vertical="center" wrapText="1"/>
    </xf>
    <xf numFmtId="0" fontId="16" fillId="5" borderId="1" xfId="1" applyFont="1" applyFill="1" applyBorder="1" applyAlignment="1">
      <alignment horizontal="center" vertical="center" wrapText="1"/>
    </xf>
    <xf numFmtId="0" fontId="16" fillId="0" borderId="1" xfId="1" applyFont="1" applyBorder="1" applyAlignment="1">
      <alignment horizontal="center" wrapText="1"/>
    </xf>
    <xf numFmtId="0" fontId="19" fillId="2" borderId="0" xfId="1" applyFont="1" applyFill="1"/>
    <xf numFmtId="0" fontId="28" fillId="2" borderId="2" xfId="1" applyFont="1" applyFill="1" applyBorder="1" applyAlignment="1" applyProtection="1">
      <alignment vertical="top"/>
      <protection locked="0"/>
    </xf>
    <xf numFmtId="0" fontId="13" fillId="2" borderId="3" xfId="1" applyFill="1" applyBorder="1" applyAlignment="1" applyProtection="1">
      <alignment vertical="top"/>
      <protection locked="0"/>
    </xf>
    <xf numFmtId="0" fontId="13" fillId="2" borderId="4" xfId="1" applyFill="1" applyBorder="1" applyAlignment="1" applyProtection="1">
      <alignment vertical="top"/>
      <protection locked="0"/>
    </xf>
    <xf numFmtId="0" fontId="16" fillId="2" borderId="1" xfId="1" applyFont="1" applyFill="1" applyBorder="1" applyAlignment="1" applyProtection="1">
      <alignment horizontal="center" vertical="center"/>
      <protection locked="0"/>
    </xf>
    <xf numFmtId="0" fontId="13" fillId="6" borderId="1" xfId="1" applyFill="1" applyBorder="1" applyAlignment="1" applyProtection="1">
      <alignment horizontal="center" vertical="center"/>
      <protection locked="0"/>
    </xf>
    <xf numFmtId="0" fontId="13" fillId="7" borderId="1" xfId="1" applyFill="1" applyBorder="1" applyAlignment="1" applyProtection="1">
      <alignment horizontal="center" vertical="center"/>
      <protection locked="0"/>
    </xf>
    <xf numFmtId="0" fontId="13" fillId="2" borderId="1" xfId="1" applyFill="1" applyBorder="1" applyAlignment="1">
      <alignment horizontal="center" vertical="center"/>
    </xf>
    <xf numFmtId="166" fontId="0" fillId="0" borderId="1" xfId="2" applyNumberFormat="1" applyFont="1" applyBorder="1" applyAlignment="1" applyProtection="1">
      <alignment horizontal="center" vertical="center"/>
      <protection locked="0"/>
    </xf>
    <xf numFmtId="3" fontId="0" fillId="0" borderId="1" xfId="0" applyNumberFormat="1" applyBorder="1" applyProtection="1">
      <protection locked="0"/>
    </xf>
    <xf numFmtId="0" fontId="19" fillId="0" borderId="0" xfId="1" applyFont="1" applyProtection="1">
      <protection locked="0"/>
    </xf>
    <xf numFmtId="3" fontId="0" fillId="8" borderId="1" xfId="0" applyNumberFormat="1" applyFill="1" applyBorder="1" applyProtection="1">
      <protection locked="0"/>
    </xf>
    <xf numFmtId="0" fontId="28" fillId="9" borderId="2" xfId="1" applyFont="1" applyFill="1" applyBorder="1" applyAlignment="1" applyProtection="1">
      <alignment vertical="top"/>
      <protection locked="0"/>
    </xf>
    <xf numFmtId="0" fontId="13" fillId="9" borderId="3" xfId="1" applyFill="1" applyBorder="1" applyAlignment="1" applyProtection="1">
      <alignment vertical="top"/>
      <protection locked="0"/>
    </xf>
    <xf numFmtId="0" fontId="13" fillId="9" borderId="4" xfId="1" applyFill="1" applyBorder="1" applyAlignment="1" applyProtection="1">
      <alignment vertical="top"/>
      <protection locked="0"/>
    </xf>
    <xf numFmtId="0" fontId="16" fillId="0" borderId="5" xfId="1" applyFont="1" applyBorder="1" applyAlignment="1">
      <alignment horizontal="left" vertical="center" wrapText="1"/>
    </xf>
    <xf numFmtId="0" fontId="16" fillId="0" borderId="6" xfId="1" applyFont="1" applyBorder="1" applyAlignment="1">
      <alignment horizontal="left" vertical="center"/>
    </xf>
    <xf numFmtId="0" fontId="16" fillId="0" borderId="7" xfId="1" applyFont="1" applyBorder="1" applyAlignment="1">
      <alignment horizontal="left" vertical="center"/>
    </xf>
    <xf numFmtId="0" fontId="16" fillId="0" borderId="1" xfId="1" applyFont="1" applyBorder="1" applyAlignment="1">
      <alignment horizontal="center" vertical="center"/>
    </xf>
    <xf numFmtId="0" fontId="16" fillId="10" borderId="1" xfId="1" applyFont="1" applyFill="1" applyBorder="1" applyAlignment="1">
      <alignment horizontal="center" vertical="center"/>
    </xf>
    <xf numFmtId="0" fontId="16" fillId="0" borderId="8" xfId="1" applyFont="1" applyBorder="1" applyAlignment="1">
      <alignment horizontal="left" vertical="center"/>
    </xf>
    <xf numFmtId="0" fontId="16" fillId="0" borderId="0" xfId="1" applyFont="1" applyAlignment="1">
      <alignment horizontal="left" vertical="center"/>
    </xf>
    <xf numFmtId="0" fontId="16" fillId="0" borderId="9" xfId="1" applyFont="1" applyBorder="1" applyAlignment="1">
      <alignment horizontal="left" vertical="center"/>
    </xf>
    <xf numFmtId="0" fontId="16" fillId="11" borderId="1" xfId="1" applyFont="1" applyFill="1" applyBorder="1" applyAlignment="1">
      <alignment horizontal="center" vertical="center"/>
    </xf>
    <xf numFmtId="0" fontId="16" fillId="0" borderId="10" xfId="1" applyFont="1" applyBorder="1" applyAlignment="1">
      <alignment horizontal="left" vertical="center"/>
    </xf>
    <xf numFmtId="0" fontId="16" fillId="0" borderId="11" xfId="1" applyFont="1" applyBorder="1" applyAlignment="1">
      <alignment horizontal="left" vertical="center"/>
    </xf>
    <xf numFmtId="0" fontId="16" fillId="0" borderId="12" xfId="1" applyFont="1" applyBorder="1" applyAlignment="1">
      <alignment horizontal="left" vertical="center"/>
    </xf>
    <xf numFmtId="0" fontId="16" fillId="12" borderId="1" xfId="1" applyFont="1" applyFill="1" applyBorder="1" applyAlignment="1">
      <alignment horizontal="center" vertical="center"/>
    </xf>
    <xf numFmtId="0" fontId="13" fillId="2" borderId="1" xfId="1" applyFill="1" applyBorder="1" applyAlignment="1">
      <alignment horizontal="left" vertical="top"/>
    </xf>
    <xf numFmtId="0" fontId="13" fillId="0" borderId="1" xfId="1" applyBorder="1" applyAlignment="1">
      <alignment horizontal="center" vertical="center"/>
    </xf>
    <xf numFmtId="44" fontId="0" fillId="0" borderId="1" xfId="3" applyFont="1" applyBorder="1" applyAlignment="1" applyProtection="1">
      <alignment horizontal="center" vertical="center"/>
    </xf>
    <xf numFmtId="167" fontId="0" fillId="0" borderId="1" xfId="4" applyNumberFormat="1" applyFont="1" applyBorder="1" applyAlignment="1" applyProtection="1">
      <alignment horizontal="center" vertical="center"/>
    </xf>
    <xf numFmtId="0" fontId="13" fillId="13" borderId="0" xfId="1" applyFill="1" applyProtection="1">
      <protection locked="0"/>
    </xf>
    <xf numFmtId="0" fontId="19" fillId="13" borderId="0" xfId="1" applyFont="1" applyFill="1" applyProtection="1">
      <protection locked="0"/>
    </xf>
    <xf numFmtId="0" fontId="16" fillId="0" borderId="0" xfId="1" applyFont="1" applyAlignment="1" applyProtection="1">
      <alignment horizontal="right" vertical="center"/>
      <protection locked="0"/>
    </xf>
    <xf numFmtId="0" fontId="29" fillId="2" borderId="1" xfId="1" applyFont="1" applyFill="1" applyBorder="1" applyAlignment="1" applyProtection="1">
      <alignment horizontal="left" vertical="top"/>
      <protection locked="0"/>
    </xf>
    <xf numFmtId="0" fontId="16" fillId="2" borderId="13" xfId="1" applyFont="1" applyFill="1" applyBorder="1" applyAlignment="1" applyProtection="1">
      <alignment horizontal="left" vertical="top"/>
      <protection locked="0"/>
    </xf>
    <xf numFmtId="0" fontId="30" fillId="2" borderId="0" xfId="1" applyFont="1" applyFill="1" applyAlignment="1" applyProtection="1">
      <alignment vertical="top"/>
      <protection locked="0"/>
    </xf>
    <xf numFmtId="166" fontId="16" fillId="2" borderId="1" xfId="2" applyNumberFormat="1" applyFont="1" applyFill="1" applyBorder="1" applyAlignment="1" applyProtection="1">
      <alignment horizontal="center" vertical="center"/>
      <protection locked="0"/>
    </xf>
    <xf numFmtId="0" fontId="16" fillId="0" borderId="0" xfId="1" applyFont="1" applyProtection="1">
      <protection locked="0"/>
    </xf>
    <xf numFmtId="0" fontId="20" fillId="2" borderId="0" xfId="1" applyFont="1" applyFill="1" applyAlignment="1" applyProtection="1">
      <alignment vertical="center"/>
      <protection locked="0"/>
    </xf>
    <xf numFmtId="0" fontId="16" fillId="0" borderId="0" xfId="1" applyFont="1" applyAlignment="1" applyProtection="1">
      <alignment horizontal="left"/>
      <protection locked="0"/>
    </xf>
    <xf numFmtId="0" fontId="16" fillId="0" borderId="0" xfId="1" applyFont="1" applyAlignment="1" applyProtection="1">
      <alignment horizontal="center"/>
      <protection locked="0"/>
    </xf>
    <xf numFmtId="0" fontId="20" fillId="0" borderId="0" xfId="1" applyFont="1" applyAlignment="1" applyProtection="1">
      <alignment horizontal="center"/>
      <protection locked="0"/>
    </xf>
    <xf numFmtId="168" fontId="16" fillId="2" borderId="1" xfId="4" applyNumberFormat="1" applyFont="1" applyFill="1" applyBorder="1" applyProtection="1">
      <protection locked="0"/>
    </xf>
    <xf numFmtId="0" fontId="16" fillId="0" borderId="2" xfId="1" applyFont="1" applyBorder="1" applyAlignment="1" applyProtection="1">
      <alignment horizontal="center"/>
      <protection locked="0"/>
    </xf>
    <xf numFmtId="0" fontId="16" fillId="0" borderId="3" xfId="1" applyFont="1" applyBorder="1" applyAlignment="1" applyProtection="1">
      <alignment horizontal="center"/>
      <protection locked="0"/>
    </xf>
    <xf numFmtId="0" fontId="16" fillId="0" borderId="4" xfId="1" applyFont="1" applyBorder="1" applyAlignment="1" applyProtection="1">
      <alignment horizontal="center"/>
      <protection locked="0"/>
    </xf>
    <xf numFmtId="0" fontId="16" fillId="2" borderId="0" xfId="1" applyFont="1" applyFill="1" applyAlignment="1" applyProtection="1">
      <alignment horizontal="center" wrapText="1"/>
      <protection locked="0"/>
    </xf>
    <xf numFmtId="0" fontId="16" fillId="0" borderId="14" xfId="1" applyFont="1" applyBorder="1" applyAlignment="1" applyProtection="1">
      <alignment horizontal="center"/>
      <protection locked="0"/>
    </xf>
    <xf numFmtId="0" fontId="16" fillId="0" borderId="9" xfId="1" applyFont="1" applyBorder="1" applyAlignment="1" applyProtection="1">
      <alignment horizontal="center"/>
      <protection locked="0"/>
    </xf>
    <xf numFmtId="0" fontId="16" fillId="0" borderId="7" xfId="1" applyFont="1" applyBorder="1" applyAlignment="1" applyProtection="1">
      <alignment horizontal="center"/>
      <protection locked="0"/>
    </xf>
    <xf numFmtId="0" fontId="16" fillId="0" borderId="15" xfId="1" applyFont="1" applyBorder="1" applyAlignment="1" applyProtection="1">
      <alignment horizontal="center" wrapText="1"/>
      <protection locked="0"/>
    </xf>
    <xf numFmtId="0" fontId="16" fillId="0" borderId="9" xfId="1" applyFont="1" applyBorder="1" applyAlignment="1" applyProtection="1">
      <alignment horizontal="center" wrapText="1"/>
      <protection locked="0"/>
    </xf>
    <xf numFmtId="0" fontId="13" fillId="2" borderId="0" xfId="1" applyFill="1" applyAlignment="1" applyProtection="1">
      <alignment horizontal="center" wrapText="1"/>
      <protection locked="0"/>
    </xf>
    <xf numFmtId="0" fontId="16" fillId="0" borderId="13" xfId="1" quotePrefix="1" applyFont="1" applyBorder="1" applyAlignment="1" applyProtection="1">
      <alignment horizontal="center"/>
      <protection locked="0"/>
    </xf>
    <xf numFmtId="0" fontId="16" fillId="0" borderId="12" xfId="1" quotePrefix="1" applyFont="1" applyBorder="1" applyAlignment="1" applyProtection="1">
      <alignment horizontal="center"/>
      <protection locked="0"/>
    </xf>
    <xf numFmtId="0" fontId="13" fillId="0" borderId="13" xfId="1" applyBorder="1" applyAlignment="1" applyProtection="1">
      <alignment wrapText="1"/>
      <protection locked="0"/>
    </xf>
    <xf numFmtId="0" fontId="13" fillId="0" borderId="12" xfId="1" applyBorder="1" applyAlignment="1" applyProtection="1">
      <alignment wrapText="1"/>
      <protection locked="0"/>
    </xf>
    <xf numFmtId="0" fontId="19" fillId="2" borderId="0" xfId="1" applyFont="1" applyFill="1" applyProtection="1">
      <protection locked="0"/>
    </xf>
    <xf numFmtId="0" fontId="13" fillId="0" borderId="0" xfId="1" applyAlignment="1">
      <alignment vertical="top"/>
    </xf>
    <xf numFmtId="0" fontId="13" fillId="2" borderId="0" xfId="1" applyFill="1" applyAlignment="1" applyProtection="1">
      <alignment vertical="top"/>
      <protection locked="0"/>
    </xf>
    <xf numFmtId="44" fontId="16" fillId="2" borderId="15" xfId="3" applyFont="1" applyFill="1" applyBorder="1" applyAlignment="1" applyProtection="1">
      <alignment horizontal="left" vertical="center"/>
      <protection locked="0"/>
    </xf>
    <xf numFmtId="0" fontId="13" fillId="0" borderId="15" xfId="1" applyBorder="1" applyAlignment="1" applyProtection="1">
      <alignment vertical="center"/>
      <protection locked="0"/>
    </xf>
    <xf numFmtId="44" fontId="6" fillId="0" borderId="9" xfId="3" applyFont="1" applyBorder="1" applyAlignment="1" applyProtection="1">
      <alignment vertical="center"/>
      <protection locked="0"/>
    </xf>
    <xf numFmtId="44" fontId="31" fillId="2" borderId="15" xfId="3" applyFont="1" applyFill="1" applyBorder="1" applyAlignment="1" applyProtection="1">
      <alignment horizontal="left" vertical="center"/>
      <protection locked="0"/>
    </xf>
    <xf numFmtId="0" fontId="31" fillId="0" borderId="9" xfId="1" applyFont="1" applyBorder="1" applyAlignment="1" applyProtection="1">
      <alignment vertical="center"/>
      <protection locked="0"/>
    </xf>
    <xf numFmtId="44" fontId="31" fillId="0" borderId="9" xfId="3" applyFont="1" applyBorder="1" applyAlignment="1" applyProtection="1">
      <alignment vertical="center"/>
      <protection locked="0"/>
    </xf>
    <xf numFmtId="44" fontId="13" fillId="0" borderId="15" xfId="1" applyNumberFormat="1" applyBorder="1" applyAlignment="1" applyProtection="1">
      <alignment vertical="center"/>
      <protection locked="0"/>
    </xf>
    <xf numFmtId="10" fontId="6" fillId="0" borderId="9" xfId="4" applyNumberFormat="1" applyFont="1" applyBorder="1" applyAlignment="1" applyProtection="1">
      <alignment vertical="center"/>
      <protection locked="0"/>
    </xf>
    <xf numFmtId="169" fontId="16" fillId="2" borderId="15" xfId="3" applyNumberFormat="1" applyFont="1" applyFill="1" applyBorder="1" applyAlignment="1" applyProtection="1">
      <alignment horizontal="left" vertical="center"/>
      <protection locked="0"/>
    </xf>
    <xf numFmtId="169" fontId="31" fillId="2" borderId="15" xfId="3" applyNumberFormat="1" applyFont="1" applyFill="1" applyBorder="1" applyAlignment="1" applyProtection="1">
      <alignment horizontal="left" vertical="center"/>
      <protection locked="0"/>
    </xf>
    <xf numFmtId="0" fontId="31" fillId="0" borderId="15" xfId="1" applyFont="1" applyBorder="1" applyAlignment="1" applyProtection="1">
      <alignment vertical="center"/>
      <protection locked="0"/>
    </xf>
    <xf numFmtId="0" fontId="16" fillId="12" borderId="2" xfId="1" applyFont="1" applyFill="1" applyBorder="1" applyAlignment="1" applyProtection="1">
      <alignment vertical="top"/>
      <protection locked="0"/>
    </xf>
    <xf numFmtId="0" fontId="13" fillId="12" borderId="3" xfId="1" applyFill="1" applyBorder="1" applyAlignment="1" applyProtection="1">
      <alignment vertical="top"/>
      <protection locked="0"/>
    </xf>
    <xf numFmtId="169" fontId="16" fillId="12" borderId="1" xfId="3" applyNumberFormat="1" applyFont="1" applyFill="1" applyBorder="1" applyAlignment="1" applyProtection="1">
      <alignment horizontal="left" vertical="center"/>
      <protection locked="0"/>
    </xf>
    <xf numFmtId="0" fontId="16" fillId="12" borderId="1" xfId="1" applyFont="1" applyFill="1" applyBorder="1" applyAlignment="1" applyProtection="1">
      <alignment vertical="center"/>
      <protection locked="0"/>
    </xf>
    <xf numFmtId="44" fontId="5" fillId="12" borderId="4" xfId="3" applyFont="1" applyFill="1" applyBorder="1" applyAlignment="1" applyProtection="1">
      <alignment vertical="center"/>
      <protection locked="0"/>
    </xf>
    <xf numFmtId="169" fontId="32" fillId="12" borderId="1" xfId="3" applyNumberFormat="1" applyFont="1" applyFill="1" applyBorder="1" applyAlignment="1" applyProtection="1">
      <alignment horizontal="left" vertical="center"/>
      <protection locked="0"/>
    </xf>
    <xf numFmtId="0" fontId="16" fillId="12" borderId="4" xfId="1" applyFont="1" applyFill="1" applyBorder="1" applyAlignment="1" applyProtection="1">
      <alignment vertical="center"/>
      <protection locked="0"/>
    </xf>
    <xf numFmtId="44" fontId="16" fillId="12" borderId="1" xfId="1" applyNumberFormat="1" applyFont="1" applyFill="1" applyBorder="1" applyAlignment="1" applyProtection="1">
      <alignment vertical="center"/>
      <protection locked="0"/>
    </xf>
    <xf numFmtId="10" fontId="16" fillId="12" borderId="4" xfId="4" applyNumberFormat="1" applyFont="1" applyFill="1" applyBorder="1" applyAlignment="1" applyProtection="1">
      <alignment vertical="center"/>
      <protection locked="0"/>
    </xf>
    <xf numFmtId="0" fontId="13" fillId="0" borderId="0" xfId="1" applyAlignment="1">
      <alignment vertical="top" wrapText="1"/>
    </xf>
    <xf numFmtId="166" fontId="13" fillId="4" borderId="15" xfId="2" applyNumberFormat="1" applyFont="1" applyFill="1" applyBorder="1" applyAlignment="1" applyProtection="1">
      <alignment vertical="center"/>
      <protection locked="0"/>
    </xf>
    <xf numFmtId="166" fontId="31" fillId="4" borderId="15" xfId="2" applyNumberFormat="1" applyFont="1" applyFill="1" applyBorder="1" applyAlignment="1" applyProtection="1">
      <alignment vertical="center"/>
      <protection locked="0"/>
    </xf>
    <xf numFmtId="166" fontId="13" fillId="0" borderId="15" xfId="2" applyNumberFormat="1" applyFont="1" applyFill="1" applyBorder="1" applyAlignment="1" applyProtection="1">
      <alignment vertical="center"/>
      <protection locked="0"/>
    </xf>
    <xf numFmtId="166" fontId="31" fillId="0" borderId="15" xfId="2" applyNumberFormat="1" applyFont="1" applyFill="1" applyBorder="1" applyAlignment="1" applyProtection="1">
      <alignment vertical="center"/>
      <protection locked="0"/>
    </xf>
    <xf numFmtId="170" fontId="16" fillId="2" borderId="15" xfId="3" applyNumberFormat="1" applyFont="1" applyFill="1" applyBorder="1" applyAlignment="1" applyProtection="1">
      <alignment horizontal="left" vertical="center"/>
      <protection locked="0"/>
    </xf>
    <xf numFmtId="170" fontId="31" fillId="2" borderId="15" xfId="3" applyNumberFormat="1" applyFont="1" applyFill="1" applyBorder="1" applyAlignment="1" applyProtection="1">
      <alignment horizontal="left" vertical="center"/>
      <protection locked="0"/>
    </xf>
    <xf numFmtId="0" fontId="16" fillId="12" borderId="2" xfId="1" applyFont="1" applyFill="1" applyBorder="1" applyAlignment="1" applyProtection="1">
      <alignment vertical="top" wrapText="1"/>
      <protection locked="0"/>
    </xf>
    <xf numFmtId="0" fontId="13" fillId="12" borderId="3" xfId="1" applyFill="1" applyBorder="1" applyProtection="1">
      <protection locked="0"/>
    </xf>
    <xf numFmtId="0" fontId="16" fillId="12" borderId="1" xfId="1" applyFont="1" applyFill="1" applyBorder="1" applyAlignment="1" applyProtection="1">
      <alignment horizontal="left" vertical="center"/>
      <protection locked="0"/>
    </xf>
    <xf numFmtId="0" fontId="13" fillId="12" borderId="1" xfId="1" applyFill="1" applyBorder="1" applyAlignment="1" applyProtection="1">
      <alignment vertical="center"/>
      <protection locked="0"/>
    </xf>
    <xf numFmtId="44" fontId="16" fillId="12" borderId="4" xfId="1" applyNumberFormat="1" applyFont="1" applyFill="1" applyBorder="1" applyAlignment="1" applyProtection="1">
      <alignment vertical="center"/>
      <protection locked="0"/>
    </xf>
    <xf numFmtId="0" fontId="32" fillId="12" borderId="1" xfId="1" applyFont="1" applyFill="1" applyBorder="1" applyAlignment="1" applyProtection="1">
      <alignment horizontal="left" vertical="center"/>
      <protection locked="0"/>
    </xf>
    <xf numFmtId="0" fontId="13" fillId="12" borderId="4" xfId="1" applyFill="1" applyBorder="1" applyAlignment="1" applyProtection="1">
      <alignment vertical="center"/>
      <protection locked="0"/>
    </xf>
    <xf numFmtId="0" fontId="13" fillId="0" borderId="0" xfId="1" applyAlignment="1">
      <alignment vertical="center"/>
    </xf>
    <xf numFmtId="169" fontId="32" fillId="2" borderId="15" xfId="3" applyNumberFormat="1" applyFont="1" applyFill="1" applyBorder="1" applyAlignment="1" applyProtection="1">
      <alignment horizontal="left" vertical="center"/>
      <protection locked="0"/>
    </xf>
    <xf numFmtId="0" fontId="33" fillId="0" borderId="0" xfId="1" applyFont="1" applyProtection="1">
      <protection locked="0"/>
    </xf>
    <xf numFmtId="0" fontId="13" fillId="0" borderId="11" xfId="1" applyBorder="1" applyAlignment="1">
      <alignment vertical="center" wrapText="1"/>
    </xf>
    <xf numFmtId="0" fontId="13" fillId="0" borderId="0" xfId="1" applyAlignment="1" applyProtection="1">
      <alignment vertical="top" wrapText="1"/>
      <protection locked="0"/>
    </xf>
    <xf numFmtId="44" fontId="13" fillId="0" borderId="9" xfId="3" applyFont="1" applyBorder="1" applyAlignment="1" applyProtection="1">
      <alignment vertical="center"/>
      <protection locked="0"/>
    </xf>
    <xf numFmtId="0" fontId="13" fillId="0" borderId="0" xfId="1" applyAlignment="1" applyProtection="1">
      <alignment vertical="top"/>
      <protection locked="0"/>
    </xf>
    <xf numFmtId="169" fontId="16" fillId="0" borderId="15" xfId="3" applyNumberFormat="1" applyFont="1" applyFill="1" applyBorder="1" applyAlignment="1" applyProtection="1">
      <alignment horizontal="left" vertical="center"/>
      <protection locked="0"/>
    </xf>
    <xf numFmtId="166" fontId="13" fillId="2" borderId="15" xfId="2" applyNumberFormat="1" applyFont="1" applyFill="1" applyBorder="1" applyAlignment="1" applyProtection="1">
      <alignment vertical="center"/>
      <protection locked="0"/>
    </xf>
    <xf numFmtId="169" fontId="31" fillId="0" borderId="15" xfId="3" applyNumberFormat="1" applyFont="1" applyFill="1" applyBorder="1" applyAlignment="1" applyProtection="1">
      <alignment horizontal="left" vertical="center"/>
      <protection locked="0"/>
    </xf>
    <xf numFmtId="166" fontId="31" fillId="2" borderId="15" xfId="2" applyNumberFormat="1" applyFont="1" applyFill="1" applyBorder="1" applyAlignment="1" applyProtection="1">
      <alignment vertical="center"/>
      <protection locked="0"/>
    </xf>
    <xf numFmtId="169" fontId="16" fillId="14" borderId="15" xfId="3" applyNumberFormat="1" applyFont="1" applyFill="1" applyBorder="1" applyAlignment="1" applyProtection="1">
      <alignment horizontal="left" vertical="center"/>
      <protection locked="0"/>
    </xf>
    <xf numFmtId="169" fontId="31" fillId="14" borderId="15" xfId="3" applyNumberFormat="1" applyFont="1" applyFill="1" applyBorder="1" applyAlignment="1" applyProtection="1">
      <alignment horizontal="left" vertical="center"/>
      <protection locked="0"/>
    </xf>
    <xf numFmtId="0" fontId="13" fillId="15" borderId="16" xfId="1" applyFill="1" applyBorder="1" applyProtection="1">
      <protection locked="0"/>
    </xf>
    <xf numFmtId="0" fontId="13" fillId="15" borderId="17" xfId="1" applyFill="1" applyBorder="1" applyAlignment="1" applyProtection="1">
      <alignment vertical="top"/>
      <protection locked="0"/>
    </xf>
    <xf numFmtId="169" fontId="13" fillId="15" borderId="18" xfId="3" applyNumberFormat="1" applyFont="1" applyFill="1" applyBorder="1" applyAlignment="1" applyProtection="1">
      <alignment vertical="top"/>
      <protection locked="0"/>
    </xf>
    <xf numFmtId="0" fontId="13" fillId="15" borderId="19" xfId="1" applyFill="1" applyBorder="1" applyAlignment="1" applyProtection="1">
      <alignment vertical="center"/>
      <protection locked="0"/>
    </xf>
    <xf numFmtId="44" fontId="13" fillId="15" borderId="17" xfId="3" applyFont="1" applyFill="1" applyBorder="1" applyAlignment="1" applyProtection="1">
      <alignment vertical="center"/>
      <protection locked="0"/>
    </xf>
    <xf numFmtId="0" fontId="13" fillId="15" borderId="18" xfId="1" applyFill="1" applyBorder="1" applyAlignment="1" applyProtection="1">
      <alignment vertical="center"/>
      <protection locked="0"/>
    </xf>
    <xf numFmtId="44" fontId="13" fillId="15" borderId="18" xfId="1" applyNumberFormat="1" applyFill="1" applyBorder="1" applyAlignment="1" applyProtection="1">
      <alignment vertical="center"/>
      <protection locked="0"/>
    </xf>
    <xf numFmtId="10" fontId="13" fillId="15" borderId="20" xfId="4" applyNumberFormat="1" applyFont="1" applyFill="1" applyBorder="1" applyAlignment="1" applyProtection="1">
      <alignment vertical="center"/>
      <protection locked="0"/>
    </xf>
    <xf numFmtId="0" fontId="16" fillId="0" borderId="0" xfId="1" applyFont="1" applyAlignment="1" applyProtection="1">
      <alignment vertical="top"/>
      <protection locked="0"/>
    </xf>
    <xf numFmtId="9" fontId="13" fillId="0" borderId="15" xfId="1" applyNumberFormat="1" applyBorder="1" applyAlignment="1" applyProtection="1">
      <alignment vertical="top"/>
      <protection locked="0"/>
    </xf>
    <xf numFmtId="9" fontId="13" fillId="0" borderId="0" xfId="1" applyNumberFormat="1" applyAlignment="1" applyProtection="1">
      <alignment vertical="center"/>
      <protection locked="0"/>
    </xf>
    <xf numFmtId="44" fontId="16" fillId="0" borderId="8" xfId="1" applyNumberFormat="1" applyFont="1" applyBorder="1" applyAlignment="1" applyProtection="1">
      <alignment vertical="center"/>
      <protection locked="0"/>
    </xf>
    <xf numFmtId="9" fontId="16" fillId="0" borderId="15" xfId="1" applyNumberFormat="1" applyFont="1" applyBorder="1" applyAlignment="1" applyProtection="1">
      <alignment vertical="center"/>
      <protection locked="0"/>
    </xf>
    <xf numFmtId="44" fontId="16" fillId="0" borderId="15" xfId="1" applyNumberFormat="1" applyFont="1" applyBorder="1" applyAlignment="1" applyProtection="1">
      <alignment vertical="center"/>
      <protection locked="0"/>
    </xf>
    <xf numFmtId="10" fontId="16" fillId="0" borderId="9" xfId="4" applyNumberFormat="1" applyFont="1" applyFill="1" applyBorder="1" applyAlignment="1" applyProtection="1">
      <alignment vertical="center"/>
      <protection locked="0"/>
    </xf>
    <xf numFmtId="0" fontId="13" fillId="0" borderId="0" xfId="1" applyAlignment="1" applyProtection="1">
      <alignment horizontal="left" vertical="top" indent="1"/>
      <protection locked="0"/>
    </xf>
    <xf numFmtId="0" fontId="13" fillId="0" borderId="0" xfId="1" applyAlignment="1" applyProtection="1">
      <alignment vertical="center"/>
      <protection locked="0"/>
    </xf>
    <xf numFmtId="44" fontId="13" fillId="0" borderId="8" xfId="1" applyNumberFormat="1" applyBorder="1" applyAlignment="1" applyProtection="1">
      <alignment vertical="center"/>
      <protection locked="0"/>
    </xf>
    <xf numFmtId="9" fontId="13" fillId="0" borderId="15" xfId="1" applyNumberFormat="1" applyBorder="1" applyAlignment="1" applyProtection="1">
      <alignment vertical="center"/>
      <protection locked="0"/>
    </xf>
    <xf numFmtId="10" fontId="13" fillId="0" borderId="9" xfId="4" applyNumberFormat="1" applyFont="1" applyFill="1" applyBorder="1" applyAlignment="1" applyProtection="1">
      <alignment vertical="center"/>
      <protection locked="0"/>
    </xf>
    <xf numFmtId="167" fontId="13" fillId="0" borderId="15" xfId="1" applyNumberFormat="1" applyBorder="1" applyAlignment="1" applyProtection="1">
      <alignment vertical="top"/>
      <protection locked="0"/>
    </xf>
    <xf numFmtId="0" fontId="16" fillId="16" borderId="0" xfId="1" applyFont="1" applyFill="1" applyAlignment="1" applyProtection="1">
      <alignment horizontal="left" vertical="top" wrapText="1"/>
      <protection locked="0"/>
    </xf>
    <xf numFmtId="0" fontId="13" fillId="16" borderId="13" xfId="1" applyFill="1" applyBorder="1" applyAlignment="1" applyProtection="1">
      <alignment vertical="top"/>
      <protection locked="0"/>
    </xf>
    <xf numFmtId="0" fontId="13" fillId="16" borderId="11" xfId="1" applyFill="1" applyBorder="1" applyAlignment="1" applyProtection="1">
      <alignment vertical="center"/>
      <protection locked="0"/>
    </xf>
    <xf numFmtId="44" fontId="16" fillId="16" borderId="8" xfId="1" applyNumberFormat="1" applyFont="1" applyFill="1" applyBorder="1" applyAlignment="1" applyProtection="1">
      <alignment vertical="center"/>
      <protection locked="0"/>
    </xf>
    <xf numFmtId="0" fontId="16" fillId="16" borderId="13" xfId="1" applyFont="1" applyFill="1" applyBorder="1" applyAlignment="1" applyProtection="1">
      <alignment vertical="center"/>
      <protection locked="0"/>
    </xf>
    <xf numFmtId="44" fontId="16" fillId="16" borderId="10" xfId="1" applyNumberFormat="1" applyFont="1" applyFill="1" applyBorder="1" applyAlignment="1" applyProtection="1">
      <alignment vertical="center"/>
      <protection locked="0"/>
    </xf>
    <xf numFmtId="44" fontId="16" fillId="16" borderId="13" xfId="1" applyNumberFormat="1" applyFont="1" applyFill="1" applyBorder="1" applyAlignment="1" applyProtection="1">
      <alignment vertical="center"/>
      <protection locked="0"/>
    </xf>
    <xf numFmtId="10" fontId="16" fillId="16" borderId="12" xfId="4" applyNumberFormat="1" applyFont="1" applyFill="1" applyBorder="1" applyAlignment="1" applyProtection="1">
      <alignment vertical="center"/>
      <protection locked="0"/>
    </xf>
    <xf numFmtId="0" fontId="13" fillId="16" borderId="15" xfId="1" applyFill="1" applyBorder="1" applyAlignment="1" applyProtection="1">
      <alignment vertical="top"/>
      <protection locked="0"/>
    </xf>
    <xf numFmtId="0" fontId="13" fillId="16" borderId="0" xfId="1" applyFill="1" applyAlignment="1" applyProtection="1">
      <alignment vertical="center"/>
      <protection locked="0"/>
    </xf>
    <xf numFmtId="0" fontId="16" fillId="16" borderId="15" xfId="1" applyFont="1" applyFill="1" applyBorder="1" applyAlignment="1" applyProtection="1">
      <alignment vertical="center"/>
      <protection locked="0"/>
    </xf>
    <xf numFmtId="44" fontId="16" fillId="16" borderId="15" xfId="1" applyNumberFormat="1" applyFont="1" applyFill="1" applyBorder="1" applyAlignment="1" applyProtection="1">
      <alignment vertical="center"/>
      <protection locked="0"/>
    </xf>
    <xf numFmtId="10" fontId="16" fillId="16" borderId="9" xfId="4" applyNumberFormat="1" applyFont="1" applyFill="1" applyBorder="1" applyAlignment="1" applyProtection="1">
      <alignment vertical="center"/>
      <protection locked="0"/>
    </xf>
    <xf numFmtId="169" fontId="13" fillId="15" borderId="19" xfId="3" applyNumberFormat="1" applyFont="1" applyFill="1" applyBorder="1" applyAlignment="1" applyProtection="1">
      <alignment vertical="top"/>
      <protection locked="0"/>
    </xf>
    <xf numFmtId="0" fontId="13" fillId="15" borderId="17" xfId="1" applyFill="1" applyBorder="1" applyAlignment="1" applyProtection="1">
      <alignment vertical="center"/>
      <protection locked="0"/>
    </xf>
    <xf numFmtId="44" fontId="13" fillId="15" borderId="21" xfId="3" applyFont="1" applyFill="1" applyBorder="1" applyAlignment="1" applyProtection="1">
      <alignment vertical="center"/>
      <protection locked="0"/>
    </xf>
    <xf numFmtId="44" fontId="13" fillId="15" borderId="19" xfId="1" applyNumberFormat="1" applyFill="1" applyBorder="1" applyAlignment="1" applyProtection="1">
      <alignment vertical="center"/>
      <protection locked="0"/>
    </xf>
    <xf numFmtId="169" fontId="13" fillId="15" borderId="19" xfId="3" applyNumberFormat="1" applyFill="1" applyBorder="1" applyAlignment="1" applyProtection="1">
      <alignment vertical="top"/>
      <protection locked="0"/>
    </xf>
    <xf numFmtId="44" fontId="13" fillId="15" borderId="21" xfId="3" applyFill="1" applyBorder="1" applyAlignment="1" applyProtection="1">
      <alignment vertical="center"/>
      <protection locked="0"/>
    </xf>
    <xf numFmtId="10" fontId="13" fillId="15" borderId="20" xfId="4" applyNumberFormat="1" applyFill="1" applyBorder="1" applyAlignment="1" applyProtection="1">
      <alignment vertical="center"/>
      <protection locked="0"/>
    </xf>
    <xf numFmtId="170" fontId="16" fillId="17" borderId="15" xfId="3" applyNumberFormat="1" applyFont="1" applyFill="1" applyBorder="1" applyAlignment="1" applyProtection="1">
      <alignment horizontal="left" vertical="center"/>
      <protection locked="0"/>
    </xf>
    <xf numFmtId="0" fontId="13" fillId="17" borderId="15" xfId="1" applyFill="1" applyBorder="1" applyAlignment="1" applyProtection="1">
      <alignment vertical="center"/>
      <protection locked="0"/>
    </xf>
    <xf numFmtId="44" fontId="13" fillId="17" borderId="9" xfId="3" applyFont="1" applyFill="1" applyBorder="1" applyAlignment="1" applyProtection="1">
      <alignment vertical="center"/>
      <protection locked="0"/>
    </xf>
    <xf numFmtId="170" fontId="31" fillId="17" borderId="15" xfId="3" applyNumberFormat="1" applyFont="1" applyFill="1" applyBorder="1" applyAlignment="1" applyProtection="1">
      <alignment horizontal="left" vertical="center"/>
      <protection locked="0"/>
    </xf>
    <xf numFmtId="0" fontId="31" fillId="17" borderId="9" xfId="1" applyFont="1" applyFill="1" applyBorder="1" applyAlignment="1" applyProtection="1">
      <alignment vertical="center"/>
      <protection locked="0"/>
    </xf>
    <xf numFmtId="44" fontId="31" fillId="17" borderId="9" xfId="3" applyFont="1" applyFill="1" applyBorder="1" applyAlignment="1" applyProtection="1">
      <alignment vertical="center"/>
      <protection locked="0"/>
    </xf>
    <xf numFmtId="44" fontId="13" fillId="17" borderId="15" xfId="1" applyNumberFormat="1" applyFill="1" applyBorder="1" applyAlignment="1" applyProtection="1">
      <alignment vertical="center"/>
      <protection locked="0"/>
    </xf>
    <xf numFmtId="10" fontId="6" fillId="17" borderId="9" xfId="4" applyNumberFormat="1" applyFont="1" applyFill="1" applyBorder="1" applyAlignment="1" applyProtection="1">
      <alignment vertical="center"/>
      <protection locked="0"/>
    </xf>
    <xf numFmtId="0" fontId="34" fillId="0" borderId="0" xfId="0" applyFont="1"/>
    <xf numFmtId="0" fontId="16" fillId="18" borderId="1" xfId="1" applyFont="1" applyFill="1" applyBorder="1" applyAlignment="1">
      <alignment horizontal="center" vertical="center" wrapText="1"/>
    </xf>
    <xf numFmtId="0" fontId="16" fillId="18" borderId="14" xfId="5" applyFont="1" applyFill="1" applyBorder="1" applyAlignment="1">
      <alignment horizontal="center" vertical="center"/>
    </xf>
    <xf numFmtId="0" fontId="16" fillId="18" borderId="1" xfId="5" applyFont="1" applyFill="1" applyBorder="1" applyAlignment="1">
      <alignment horizontal="center" vertical="center" wrapText="1"/>
    </xf>
    <xf numFmtId="0" fontId="16" fillId="18" borderId="1" xfId="5" applyFont="1" applyFill="1" applyBorder="1" applyAlignment="1">
      <alignment horizontal="center" vertical="center"/>
    </xf>
    <xf numFmtId="0" fontId="16" fillId="18" borderId="13" xfId="5" applyFont="1" applyFill="1" applyBorder="1" applyAlignment="1">
      <alignment horizontal="center" vertical="center"/>
    </xf>
    <xf numFmtId="171" fontId="16" fillId="18" borderId="1" xfId="5" applyNumberFormat="1" applyFont="1" applyFill="1" applyBorder="1" applyAlignment="1">
      <alignment horizontal="center" vertical="center"/>
    </xf>
    <xf numFmtId="0" fontId="16" fillId="18" borderId="1" xfId="5" applyFont="1" applyFill="1" applyBorder="1" applyAlignment="1">
      <alignment horizontal="center" vertical="center" wrapText="1"/>
    </xf>
    <xf numFmtId="0" fontId="16" fillId="18" borderId="1" xfId="5" applyFont="1" applyFill="1" applyBorder="1" applyAlignment="1">
      <alignment horizontal="center" vertical="center"/>
    </xf>
    <xf numFmtId="0" fontId="13" fillId="0" borderId="1" xfId="0" applyFont="1" applyBorder="1"/>
    <xf numFmtId="166" fontId="13" fillId="0" borderId="1" xfId="6" applyNumberFormat="1" applyFont="1" applyBorder="1" applyAlignment="1">
      <alignment horizontal="center"/>
    </xf>
    <xf numFmtId="44" fontId="6" fillId="0" borderId="1" xfId="7" applyNumberFormat="1" applyFont="1" applyBorder="1" applyAlignment="1">
      <alignment horizontal="center"/>
    </xf>
    <xf numFmtId="44" fontId="13" fillId="0" borderId="1" xfId="8" applyFont="1" applyFill="1" applyBorder="1" applyAlignment="1" applyProtection="1">
      <alignment horizontal="left" vertical="top"/>
    </xf>
    <xf numFmtId="167" fontId="13" fillId="0" borderId="1" xfId="9" applyNumberFormat="1" applyFont="1" applyFill="1" applyBorder="1" applyAlignment="1" applyProtection="1">
      <alignment horizontal="center" vertical="top"/>
    </xf>
    <xf numFmtId="0" fontId="35" fillId="2" borderId="0" xfId="0" applyFont="1" applyFill="1" applyAlignment="1">
      <alignment horizontal="center" vertical="top" wrapText="1"/>
    </xf>
  </cellXfs>
  <cellStyles count="10">
    <cellStyle name="Comma 4" xfId="2" xr:uid="{9E40BB76-777D-402C-A2B3-636059CF0DDF}"/>
    <cellStyle name="Comma 4 2" xfId="6" xr:uid="{818B1134-FDC8-4EFA-9351-554AA209F2AA}"/>
    <cellStyle name="Currency 2" xfId="3" xr:uid="{1E9C96FC-2F4F-4FC7-B4BE-C797FEB716BB}"/>
    <cellStyle name="Currency 37" xfId="8" xr:uid="{7E4CFE5B-3397-4845-8BB3-7E9DB28EFBEF}"/>
    <cellStyle name="Normal" xfId="0" builtinId="0"/>
    <cellStyle name="Normal 10 12" xfId="5" xr:uid="{3B2441C9-FD3D-4686-A5D5-683AC329BF8A}"/>
    <cellStyle name="Normal 190" xfId="7" xr:uid="{61E310F4-0283-494E-9F49-138C2051917C}"/>
    <cellStyle name="Normal 2" xfId="1" xr:uid="{BEB01073-1C34-4FDD-A1A3-124C1E2305EA}"/>
    <cellStyle name="Percent 138" xfId="9" xr:uid="{39F1CF31-3634-417B-9192-98632F18F891}"/>
    <cellStyle name="Percent 2" xfId="4" xr:uid="{E682694D-9118-406F-9560-AA2E0388B242}"/>
  </cellStyles>
  <dxfs count="16">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tyles" Target="styles.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8" Type="http://schemas.openxmlformats.org/officeDocument/2006/relationships/externalLink" Target="externalLinks/externalLink3.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28575</xdr:colOff>
      <xdr:row>0</xdr:row>
      <xdr:rowOff>57150</xdr:rowOff>
    </xdr:from>
    <xdr:to>
      <xdr:col>13</xdr:col>
      <xdr:colOff>1438275</xdr:colOff>
      <xdr:row>8</xdr:row>
      <xdr:rowOff>1884</xdr:rowOff>
    </xdr:to>
    <xdr:pic>
      <xdr:nvPicPr>
        <xdr:cNvPr id="2" name="Picture 1">
          <a:extLst>
            <a:ext uri="{FF2B5EF4-FFF2-40B4-BE49-F238E27FC236}">
              <a16:creationId xmlns:a16="http://schemas.microsoft.com/office/drawing/2014/main" id="{A9592A2C-7B05-4028-9517-506A2D3BF2ED}"/>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525500" cy="1421109"/>
        </a:xfrm>
        <a:prstGeom prst="rect">
          <a:avLst/>
        </a:prstGeom>
        <a:ln>
          <a:noFill/>
        </a:ln>
        <a:effectLst>
          <a:softEdge rad="112500"/>
        </a:effectLst>
      </xdr:spPr>
    </xdr:pic>
    <xdr:clientData/>
  </xdr:twoCellAnchor>
  <xdr:twoCellAnchor>
    <xdr:from>
      <xdr:col>3</xdr:col>
      <xdr:colOff>1814300</xdr:colOff>
      <xdr:row>1</xdr:row>
      <xdr:rowOff>47154</xdr:rowOff>
    </xdr:from>
    <xdr:to>
      <xdr:col>12</xdr:col>
      <xdr:colOff>508335</xdr:colOff>
      <xdr:row>4</xdr:row>
      <xdr:rowOff>18168</xdr:rowOff>
    </xdr:to>
    <xdr:sp macro="" textlink="">
      <xdr:nvSpPr>
        <xdr:cNvPr id="3" name="Rectangle 2">
          <a:extLst>
            <a:ext uri="{FF2B5EF4-FFF2-40B4-BE49-F238E27FC236}">
              <a16:creationId xmlns:a16="http://schemas.microsoft.com/office/drawing/2014/main" id="{46B36B54-CF41-4D76-9CA7-A60B193E789F}"/>
            </a:ext>
          </a:extLst>
        </xdr:cNvPr>
        <xdr:cNvSpPr/>
      </xdr:nvSpPr>
      <xdr:spPr>
        <a:xfrm>
          <a:off x="2042900" y="323379"/>
          <a:ext cx="9533485"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2023 Filers</a:t>
          </a:r>
        </a:p>
        <a:p>
          <a:pPr algn="ctr" rtl="0"/>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3</xdr:col>
      <xdr:colOff>16357</xdr:colOff>
      <xdr:row>1</xdr:row>
      <xdr:rowOff>6409</xdr:rowOff>
    </xdr:from>
    <xdr:to>
      <xdr:col>3</xdr:col>
      <xdr:colOff>407593</xdr:colOff>
      <xdr:row>3</xdr:row>
      <xdr:rowOff>20475</xdr:rowOff>
    </xdr:to>
    <xdr:pic>
      <xdr:nvPicPr>
        <xdr:cNvPr id="4" name="Picture 3">
          <a:extLst>
            <a:ext uri="{FF2B5EF4-FFF2-40B4-BE49-F238E27FC236}">
              <a16:creationId xmlns:a16="http://schemas.microsoft.com/office/drawing/2014/main" id="{D1D4FAB9-96AE-42DA-98AA-2FC6D18886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358613</xdr:colOff>
      <xdr:row>0</xdr:row>
      <xdr:rowOff>165301</xdr:rowOff>
    </xdr:from>
    <xdr:to>
      <xdr:col>4</xdr:col>
      <xdr:colOff>640216</xdr:colOff>
      <xdr:row>2</xdr:row>
      <xdr:rowOff>135597</xdr:rowOff>
    </xdr:to>
    <xdr:sp macro="" textlink="">
      <xdr:nvSpPr>
        <xdr:cNvPr id="5" name="Rectangle 4">
          <a:extLst>
            <a:ext uri="{FF2B5EF4-FFF2-40B4-BE49-F238E27FC236}">
              <a16:creationId xmlns:a16="http://schemas.microsoft.com/office/drawing/2014/main" id="{0E930AA0-4AE1-40A8-81DF-F9BAEB6E44A9}"/>
            </a:ext>
          </a:extLst>
        </xdr:cNvPr>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0</xdr:row>
      <xdr:rowOff>57150</xdr:rowOff>
    </xdr:from>
    <xdr:to>
      <xdr:col>13</xdr:col>
      <xdr:colOff>1438275</xdr:colOff>
      <xdr:row>8</xdr:row>
      <xdr:rowOff>1884</xdr:rowOff>
    </xdr:to>
    <xdr:pic>
      <xdr:nvPicPr>
        <xdr:cNvPr id="2" name="Picture 1">
          <a:extLst>
            <a:ext uri="{FF2B5EF4-FFF2-40B4-BE49-F238E27FC236}">
              <a16:creationId xmlns:a16="http://schemas.microsoft.com/office/drawing/2014/main" id="{BDA8EA96-76DF-426C-B60E-6B7EF1686921}"/>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525500" cy="1421109"/>
        </a:xfrm>
        <a:prstGeom prst="rect">
          <a:avLst/>
        </a:prstGeom>
        <a:ln>
          <a:noFill/>
        </a:ln>
        <a:effectLst>
          <a:softEdge rad="112500"/>
        </a:effectLst>
      </xdr:spPr>
    </xdr:pic>
    <xdr:clientData/>
  </xdr:twoCellAnchor>
  <xdr:twoCellAnchor>
    <xdr:from>
      <xdr:col>3</xdr:col>
      <xdr:colOff>1814300</xdr:colOff>
      <xdr:row>1</xdr:row>
      <xdr:rowOff>47154</xdr:rowOff>
    </xdr:from>
    <xdr:to>
      <xdr:col>12</xdr:col>
      <xdr:colOff>508335</xdr:colOff>
      <xdr:row>4</xdr:row>
      <xdr:rowOff>18168</xdr:rowOff>
    </xdr:to>
    <xdr:sp macro="" textlink="">
      <xdr:nvSpPr>
        <xdr:cNvPr id="3" name="Rectangle 2">
          <a:extLst>
            <a:ext uri="{FF2B5EF4-FFF2-40B4-BE49-F238E27FC236}">
              <a16:creationId xmlns:a16="http://schemas.microsoft.com/office/drawing/2014/main" id="{EA7998E5-C43B-4709-BE68-A85C7E2FF142}"/>
            </a:ext>
          </a:extLst>
        </xdr:cNvPr>
        <xdr:cNvSpPr/>
      </xdr:nvSpPr>
      <xdr:spPr>
        <a:xfrm>
          <a:off x="2042900" y="323379"/>
          <a:ext cx="9533485"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2023 Filers</a:t>
          </a:r>
        </a:p>
        <a:p>
          <a:pPr algn="ctr" rtl="0"/>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3</xdr:col>
      <xdr:colOff>16357</xdr:colOff>
      <xdr:row>1</xdr:row>
      <xdr:rowOff>6409</xdr:rowOff>
    </xdr:from>
    <xdr:to>
      <xdr:col>3</xdr:col>
      <xdr:colOff>407593</xdr:colOff>
      <xdr:row>3</xdr:row>
      <xdr:rowOff>20475</xdr:rowOff>
    </xdr:to>
    <xdr:pic>
      <xdr:nvPicPr>
        <xdr:cNvPr id="4" name="Picture 3">
          <a:extLst>
            <a:ext uri="{FF2B5EF4-FFF2-40B4-BE49-F238E27FC236}">
              <a16:creationId xmlns:a16="http://schemas.microsoft.com/office/drawing/2014/main" id="{CC180175-AAFC-43F7-857A-70EBE5A0FF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358613</xdr:colOff>
      <xdr:row>0</xdr:row>
      <xdr:rowOff>165301</xdr:rowOff>
    </xdr:from>
    <xdr:to>
      <xdr:col>4</xdr:col>
      <xdr:colOff>640216</xdr:colOff>
      <xdr:row>2</xdr:row>
      <xdr:rowOff>135597</xdr:rowOff>
    </xdr:to>
    <xdr:sp macro="" textlink="">
      <xdr:nvSpPr>
        <xdr:cNvPr id="5" name="Rectangle 4">
          <a:extLst>
            <a:ext uri="{FF2B5EF4-FFF2-40B4-BE49-F238E27FC236}">
              <a16:creationId xmlns:a16="http://schemas.microsoft.com/office/drawing/2014/main" id="{648E1EDA-77C1-4CBB-BB04-8F7BA18F596B}"/>
            </a:ext>
          </a:extLst>
        </xdr:cNvPr>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molon\Downloads\dec_rate%20order_Grandbridge%20Energy_2023%20IRM%20Rate%20Model%201_20221208%20(4).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sjh\Local%20Settings\Temporary%20Internet%20Files\Content.Outlook\SPVC9QF3\2011-11-25%202012%20BI%20Consolidated%20Resource%20Plan%20By%20Week%20v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vr5\wav\Spreadsheets\Budget%20Info%202010\Budget%20Templates\Finals\2010%20Budget%20-%20CC311-101_R8%20-%20after%20Aug%204-tem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vr5\Business%20Planning\Forecasts\2011\Q2\1-Q2%20SUMMARY\COS_Q2%20with%20Mitigation%20Plan\F2_COS-Mitigation%20Plan%20July%2022%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th\My%20Documents\OPA\2011%20Budget\Budget%20Template\Superceded\CC900%20CDM%202011-2014%20Budget%20(Detail)\CC900%20CDM%202011-2014%20Budget%20Detail%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vr5\accfiles\Documents%20and%20Settings\sjh\Local%20Settings\Temporary%20Internet%20Files\OLK2\Copy%20of%20Horizon%20Var%20Analysis%20Capex%20June'09-with%20Detai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Terry\2010%20Budget\2010%20Budget%20Summary%20-%20AM1%20-%20R5.5%20-%20Capital%20Summary-with%20cut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dmolon\Desktop\FRS%20v7.85%20FY2012%20Dataset.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svr5\Business%20Planning\Budget%202012\8.%20Budget%20Review%20Charts-2012\Source\Financial%20Report%20Consolidator%20(20110922R).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larsenea\AppData\Local\Microsoft\Windows\Temporary%20Internet%20Files\Content.Outlook\RBUFP83B\Pro-forma%20Model%20FY13F3F%20v2013.0146f%20LP.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ahamfsr01\cls\O\Oakville%20Hydro%20Corporation-60234865\2007WP-Oakville%20Hydro%20Corporation\2007WP-El-Con%20Construction\07%20-%20Tax%20Provision%20-%20El-Con%20Construction\07%20-%20IT%20Provision%20WP%20-%20El%20Con%20Constru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dmolon_grandbridgeenergy_com/Documents/04%20-%20Regulatory%20Affairs/02%20-%20Rate%20Applications/2023%20IRM%20Application%20Phase%202/Interrogatories/References/IRM%20Tables_Standalone.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MonthlyReports12\12-05%20May\ADP\Payroll%20Worksheet\ADP%20Bank%20Debit%20Template%20Ma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svr5\Documents%20and%20Settings\mca\Local%20Settings\Temporary%20Internet%20Files\Content.Outlook\HGN6OOMV\Capital%20Summary-R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hits/CostofServiceApplication/Application%20Development/Filing%20Requirements/Filing_Requirements_Chapter2_Appendices_for%202015%20to%202019%20-%20Horizon.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Documents%20and%20Settings\mmaw\Local%20Settings\Temporary%20Internet%20Files\OLKBC\Exhibit%203%20Distribution%20Revenue%20Throughputs%20-%20Blank.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OEB%20Rate%20Applications\2022%20IRM%20Application\01%20-%20Application%20and%20Model%20Preparation\02%20-%20Rate%20Generator%20Model\2022-IRM-Rate-Generator-Model_20210713-v1.0_Energy+.xlsb"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V:\Business%20Planning\Budget%202013\7.%20Budget%20Summary%20Files\OPEX%20Master%20-%202013%20Budget.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tsvr5\accfiles\Budget%202010\Budget%20Templates%20Received%20-%20Project%20Capital\Copy%20of%20Capital%20Budget%202010%20St%20%20Catharines%20(U)_Sent%20to%20Terry%20in%20Finance%20on%20Aug%2027-with%20Asset%20Categori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tsvr5\accfiles\Business%20Planning\Budget%202009\01%20-%20Budget%20Templates\01%20-%20Received\Consolidation\EDO\Back-up\Copy%20of%20November%202008%20Financial%20Statement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0.10.1.2\conservation$\Documents%20and%20Settings\haneef.ansari\Desktop\True-up%20Template%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Lindsey\AppData\Local\Microsoft\Windows\Temporary%20Internet%20Files\Low\Content.IE5\HRXWV853\Dummy%20Fil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hits/Applications%20Department/Department%20Applications/Rates/2013%20Electricity%20Rates/$Models/Final%202013%20IRM%20RG.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aserver\morela.rodriguez$\Users\morelarodriguez\Downloads\True-up%20-%20April%2028,%202010\Program%20Recon\2008%20Appliance%20Retirement%20Reconciliation%20(tes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OEB%20Rate%20Applications\2018%20IRM%20Application\4.%20Interrogatories\OEB%20Staff%20Interrogatories%20Feb%202018\Submitted%20to%20OEB%20Feb%202018\2018%20IRM%20Rate%20Generator%20Model%20-%20V2.0%20EnergyPlus%20CND_201802.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portal.powerauthority.on.ca/files/352098/83332/OPA%20LDC%20Program%20Marketing%20Plan%20Templat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OEB%20Rate%20Applications\2020%20IRM%20Application\01%20-%20Application%20and%20Model%20Preparation\02%20-%20Rate%20Generator%20Model\2020-IRM-Rate-Generator-Model_Energy+v2%20-%20DM.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tsvr5\Business%20Planning\Budget%202011\2011%20Payroll%20Analysis\Budget%202011%20Payroll%20Summary%20TH%20Dec%2013%202010.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tsvr5\Business%20Planning\Budget%202011\1-Budget%20Templates%20Received\CC311-101_2011%20Budget%20Template-311-101-Feb%205v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Secure\Payroll\Payroll%20-%20Budget%202013\2013-14%20Budget%20Template.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Business%20Planning\Budget%202014\ARM%20Materials\New%20Hires%20Continuity-2014%20to%202018.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hits/Home/Market%20Operations/Department%20Applications/Reports/Rates/Electricity%20Rates%20-%20Billing%20Determinants%20Database/2012%20IRM%20DEVELOPMENT/2012%20IRM%20MODEL%20(2ND%20AND%203R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h\My%20Documents\OPA\2012%20Budget\CDM\Copy%20of%202012-13%20Budget%20Template-Cost%20Centre%20331-101.xlsm"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larsenea\AppData\Local\Microsoft\Windows\Temporary%20Internet%20Files\Content.Outlook\RBUFP83B\Pro-forma%20v146%20(2013-11-18).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Documents%20and%20Settings\nha\My%20Documents\Business%20Planning\2012%20Resource%20Plan\Received%20from%20Directors\2012%20Business%20Initiatives%20Resource%20Plan%20Corp%20Comm.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O\Oakville%20Hydro%20Corporation-60234865\2007WP-Oakville%20Hydro%20Corporation\2007WP-Oakville%20Hydro%20Electricity%20Distribution%20Inc\OHD\07%20-%20IT%20Provision%20WP%20-%20Oakville%20Hydro.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Planning\Budget%202012\11.%20Final%20Budget%20Approved\OPEX%20Master%20-%202012%20Budget%20R-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bas\Local%20Settings\Temporary%20Internet%20Files\Content.Outlook\3SNMZKLH\2011-2014%20MW%20and%20GWh%20Projections%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vr5\accfiles\sjh\MD&amp;A\2009\July%202009\Horizon%20Var%20Analysis%20Capex%20July'09-with%20Detai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hits/Applications%20Department/Department%20Applications/Application%20Review%20Process/Rec%20#1 - Application Filing Requirements/Testing Protocols for Models and Appendices/2014 IRM Rate Generator_V2.3_FOR TESTING.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FINANCE\2010\EDI\Regulatory%20Assets\Monthly%20RSVA%20balances%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row r="26">
          <cell r="F26">
            <v>44927</v>
          </cell>
        </row>
      </sheetData>
      <sheetData sheetId="2"/>
      <sheetData sheetId="3"/>
      <sheetData sheetId="4"/>
      <sheetData sheetId="5"/>
      <sheetData sheetId="6">
        <row r="16">
          <cell r="A16" t="str">
            <v>Rate Class</v>
          </cell>
          <cell r="B16" t="str">
            <v>Unit</v>
          </cell>
        </row>
        <row r="17">
          <cell r="A17" t="str">
            <v>RESIDENTIAL SERVICE CLASSIFICATION</v>
          </cell>
          <cell r="B17" t="str">
            <v>kWh</v>
          </cell>
        </row>
        <row r="18">
          <cell r="A18" t="str">
            <v>GENERAL SERVICE LESS THAN 50 KW SERVICE CLASSIFICATION</v>
          </cell>
          <cell r="B18" t="str">
            <v>kWh</v>
          </cell>
        </row>
        <row r="19">
          <cell r="A19" t="str">
            <v>GENERAL SERVICE 50 TO 999 KW SERVICE CLASSIFICATION</v>
          </cell>
          <cell r="B19" t="str">
            <v>kW</v>
          </cell>
        </row>
        <row r="20">
          <cell r="A20" t="str">
            <v>GENERAL SERVICE 1,000 TO 4,999 KW SERVICE CLASSIFICATION</v>
          </cell>
          <cell r="B20" t="str">
            <v>kW</v>
          </cell>
        </row>
        <row r="21">
          <cell r="A21" t="str">
            <v>LARGE USE SERVICE CLASSIFICATION</v>
          </cell>
          <cell r="B21" t="str">
            <v>kW</v>
          </cell>
        </row>
        <row r="22">
          <cell r="A22" t="str">
            <v>UNMETERED SCATTERED LOAD SERVICE CLASSIFICATION</v>
          </cell>
          <cell r="B22" t="str">
            <v>kWh</v>
          </cell>
        </row>
        <row r="23">
          <cell r="A23" t="str">
            <v>STREET LIGHTING SERVICE CLASSIFICATION</v>
          </cell>
          <cell r="B23" t="str">
            <v>kW</v>
          </cell>
        </row>
        <row r="24">
          <cell r="A24" t="str">
            <v>SENTINEL LIGHTING SERVICE CLASSIFICATION</v>
          </cell>
          <cell r="B24" t="str">
            <v>kW</v>
          </cell>
        </row>
        <row r="25">
          <cell r="A25" t="str">
            <v>EMBEDDED DISTRIBUTOR SERVICE CLASSIFICATION - HYDRO ONE CND</v>
          </cell>
          <cell r="B25" t="str">
            <v>kW</v>
          </cell>
        </row>
        <row r="26">
          <cell r="A26" t="str">
            <v>EMBEDDED DISTRIBUTOR SERVICE CLASSIFICATION - WATERLOO</v>
          </cell>
          <cell r="B26" t="str">
            <v>kW</v>
          </cell>
        </row>
        <row r="27">
          <cell r="A27" t="str">
            <v>EMBEDDED DISTRIBUTOR SERVICE CLASSIFICATION - BRANTFORD</v>
          </cell>
          <cell r="B27" t="str">
            <v>kW</v>
          </cell>
        </row>
        <row r="28">
          <cell r="A28" t="str">
            <v>EMBEDDED DISTRIBUTOR SERVICE CLASSIFICATION - HYDRO ONE #1</v>
          </cell>
          <cell r="B28" t="str">
            <v>kW</v>
          </cell>
        </row>
        <row r="29">
          <cell r="A29" t="str">
            <v>EMBEDDED DISTRIBUTOR SERVICE CLASSIFICATION - HYDRO ONE #2</v>
          </cell>
          <cell r="B29" t="str">
            <v>kW</v>
          </cell>
        </row>
        <row r="30">
          <cell r="B30" t="str">
            <v>Total</v>
          </cell>
        </row>
        <row r="32">
          <cell r="A32" t="str">
            <v>Threshold Test</v>
          </cell>
        </row>
        <row r="33">
          <cell r="A33" t="str">
            <v>Total Claim (including Account 1568)</v>
          </cell>
        </row>
        <row r="34">
          <cell r="A34" t="str">
            <v>Total Claim for Threshold Test (All Group 1 Accounts)</v>
          </cell>
        </row>
        <row r="35">
          <cell r="A35" t="str">
            <v>Threshold Test (Total claim per kWh) 2</v>
          </cell>
        </row>
        <row r="37">
          <cell r="A37" t="str">
            <v xml:space="preserve">Currently, the threshold test has been met and the default is that Group 1 account balances will be disposed. If you are requesting not to dispose of the Group 1 account balances, please select NO and provide detailed reasons in the manager's summary.  </v>
          </cell>
        </row>
        <row r="41">
          <cell r="A41" t="str">
            <v>1 Residual Account balance to be allocated to rate classes in proportion to the recovery share as established when rate riders were implemented.</v>
          </cell>
        </row>
        <row r="42">
          <cell r="A42" t="str">
            <v>2 The Threshold Test does not include the amount in 1568.</v>
          </cell>
        </row>
        <row r="43">
          <cell r="A43" t="str">
            <v>3 The proportion of customers for the Residential and GS&lt;50 Classes will be used to allocate Account 1551.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4">
          <cell r="D14">
            <v>44562</v>
          </cell>
          <cell r="E14">
            <v>44927</v>
          </cell>
        </row>
        <row r="15">
          <cell r="D15">
            <v>3.0000000000000001E-3</v>
          </cell>
          <cell r="E15">
            <v>3.0000000000000001E-3</v>
          </cell>
        </row>
        <row r="16">
          <cell r="D16">
            <v>4.0000000000000002E-4</v>
          </cell>
          <cell r="E16">
            <v>4.0000000000000002E-4</v>
          </cell>
        </row>
        <row r="17">
          <cell r="D17">
            <v>5.0000000000000001E-4</v>
          </cell>
          <cell r="E17">
            <v>5.0000000000000001E-4</v>
          </cell>
        </row>
        <row r="18">
          <cell r="D18">
            <v>0.25</v>
          </cell>
          <cell r="E18">
            <v>0.25</v>
          </cell>
        </row>
        <row r="23">
          <cell r="D23">
            <v>7.3999999999999996E-2</v>
          </cell>
        </row>
        <row r="24">
          <cell r="D24">
            <v>0.10199999999999999</v>
          </cell>
        </row>
        <row r="25">
          <cell r="D25">
            <v>0.151</v>
          </cell>
        </row>
        <row r="33">
          <cell r="D33">
            <v>0.42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Priority"/>
      <sheetName val="High Level Milestones"/>
      <sheetName val="2012 Resource Rqmts by Project"/>
      <sheetName val="Requirements by Resource"/>
      <sheetName val="Project Summary"/>
      <sheetName val="Sheet1"/>
      <sheetName val="Sheet2"/>
    </sheetNames>
    <sheetDataSet>
      <sheetData sheetId="0" refreshError="1"/>
      <sheetData sheetId="1"/>
      <sheetData sheetId="2"/>
      <sheetData sheetId="3" refreshError="1"/>
      <sheetData sheetId="4" refreshError="1"/>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rror Check"/>
      <sheetName val="Summary - Operating"/>
      <sheetName val="Summary - Capital"/>
      <sheetName val="Setup"/>
      <sheetName val="WorkPlan - Operating"/>
      <sheetName val="OEB Accts"/>
      <sheetName val="WorkPlan - Capital"/>
      <sheetName val="Labour Types"/>
      <sheetName val="2009 Operating Budget"/>
      <sheetName val="2009 Capital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Care"/>
      <sheetName val="Finrep"/>
      <sheetName val="Hor Grp Cons June and Q2 For"/>
      <sheetName val="Q2 Adj (2)"/>
      <sheetName val="PVT "/>
      <sheetName val="EDO Data"/>
      <sheetName val="EDO"/>
      <sheetName val="CS"/>
      <sheetName val="New Hires and Vacancies"/>
      <sheetName val="HR Backup"/>
      <sheetName val="Forecast Notes"/>
      <sheetName val="CAPEX (2)"/>
      <sheetName val="D&amp;U_G&amp;A"/>
      <sheetName val="redistributio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 Operating-old"/>
      <sheetName val="2010 Operating Details"/>
      <sheetName val="Summary - Capital"/>
      <sheetName val="Setup"/>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Overview- HOR U"/>
      <sheetName val="capex"/>
      <sheetName val="Fixed Assets by Cost Center"/>
      <sheetName val="Fixed Assets by Account"/>
      <sheetName val="CAPEX by ACCT - details"/>
      <sheetName val="A. Calculation Tab"/>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Capital Summary"/>
      <sheetName val="Capital"/>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sheetName val="INDEX"/>
      <sheetName val="DL"/>
      <sheetName val="(B1Raw)"/>
      <sheetName val="(F1Raw)"/>
      <sheetName val="(F2Raw)"/>
      <sheetName val="(F3Raw)"/>
      <sheetName val="(FYNextRaw)"/>
      <sheetName val="(A-LY)"/>
      <sheetName val="(A-FY)"/>
      <sheetName val="B1"/>
      <sheetName val="F1"/>
      <sheetName val="F2"/>
      <sheetName val="F3"/>
      <sheetName val="FYNext"/>
      <sheetName val="|BvF Codestring|"/>
      <sheetName val="|BvF Summary|"/>
      <sheetName val="|"/>
      <sheetName val="||"/>
      <sheetName val="|||"/>
      <sheetName val="|OPEX|"/>
      <sheetName val="|CAPEX|"/>
      <sheetName val="&lt;OPEX Report&gt;"/>
      <sheetName val="&lt;CAPEX Report&gt;"/>
      <sheetName val="|SS|"/>
      <sheetName val="|RC|"/>
      <sheetName val="{FS1}"/>
      <sheetName val="{FS2}"/>
      <sheetName val="{OE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dex|"/>
      <sheetName val="|OPEX|"/>
      <sheetName val="|RC|"/>
      <sheetName val="|BP OPEX|"/>
      <sheetName val="|BP CAPEX|"/>
      <sheetName val="|BP SS|"/>
      <sheetName val="|FS|"/>
      <sheetName val="&lt;Income Statement&gt;"/>
      <sheetName val="&lt;Review Chart&g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V145_V146"/>
      <sheetName val="|"/>
      <sheetName val="(1-1_Yr_Minus_3_TB)"/>
      <sheetName val="(1-2_Yr_Minus_2_TB)"/>
      <sheetName val="(1-3_Yr_Minus_1_TB)"/>
      <sheetName val="(1-4_Curr_Yr_B)"/>
      <sheetName val="(1-5_Curr_Yr_F)"/>
      <sheetName val="(1-6_Multi_Yr_F)"/>
      <sheetName val="Inflation"/>
      <sheetName val="(1-7_LDC_Comparatives)"/>
      <sheetName val="&lt;2-1_Dividends&gt;"/>
      <sheetName val="&lt;2-2_Dx_Revenue_Req&gt;"/>
      <sheetName val="&lt;2-3_Reg_ADJ_Revenue_Req"/>
      <sheetName val="|3-1_AUDIT|"/>
      <sheetName val="|3-2_INDEX|"/>
      <sheetName val="|3-3_DRIVERS|"/>
      <sheetName val="&lt;4-1_Standard_Balance_Sheet&gt;"/>
      <sheetName val="4-1 Check"/>
      <sheetName val="&lt;4-2_Standard_Income_Statement&gt;"/>
      <sheetName val="4-2 Check"/>
      <sheetName val="&lt;4-3_Standard_Cash_Flow&gt;"/>
      <sheetName val="4-3 Check"/>
      <sheetName val="&lt;4-4_TB - Interest &amp; Tax Load&gt;"/>
      <sheetName val="&lt;5-1_Board_Balance_Sheet&gt;"/>
      <sheetName val="&lt;5-2_Board_Income_Statement&gt;"/>
      <sheetName val="&lt;5-3_Board_Cash_Flow&gt;"/>
      <sheetName val="&lt;6-1_Vital_Statistics&gt;"/>
      <sheetName val="&lt;6-2_Financial_Plan_Summary&gt;"/>
      <sheetName val="|7-1_Glossary|"/>
      <sheetName val="Interest_Coverage"/>
      <sheetName val="FPSumm-vs-PY"/>
      <sheetName val="HUexhA"/>
      <sheetName val="HUexhB1"/>
      <sheetName val="HUexhB2"/>
      <sheetName val="HUexhB3"/>
      <sheetName val="HUexhB4"/>
      <sheetName val="HUexhC"/>
      <sheetName val="HUexhD1"/>
      <sheetName val="HUexhD2"/>
      <sheetName val="HUexhD3"/>
      <sheetName val="HUexhE 2013"/>
      <sheetName val="HUexhE"/>
      <sheetName val="HUexhF1"/>
      <sheetName val="HUexhF2"/>
      <sheetName val="HUexhF3"/>
      <sheetName val="HESIexhA1"/>
      <sheetName val="HESIexhA2"/>
      <sheetName val="HESIexhA3"/>
      <sheetName val="HHIexhA"/>
      <sheetName val="HHIexhB1"/>
      <sheetName val="HHIexhB2"/>
      <sheetName val="HHIexhB3"/>
      <sheetName val="HHIexhB4"/>
      <sheetName val="HHIexhC1"/>
      <sheetName val="HHIexhC2"/>
      <sheetName val="HHIexhC3"/>
      <sheetName val="HHIexhD1-CALC"/>
      <sheetName val="HHIexhD2-CALC"/>
      <sheetName val="HHIexhD3-CALC"/>
      <sheetName val="HHIexhD1"/>
      <sheetName val="HHIexhD2"/>
      <sheetName val="HHIexhD3"/>
      <sheetName val="Cashflow Analysis Hor Util "/>
      <sheetName val="Cashflow Analysis HH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1.1 - JE Proof"/>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heet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1 &amp; 2 -  Bill Imp (2)"/>
      <sheetName val="10 D&amp;V Rate Riders"/>
      <sheetName val="8 &amp; 9 DVA Balances "/>
      <sheetName val="1 &amp; 2 -  Bill Imp"/>
      <sheetName val="Bill Impacts E+RZ PHASE 1"/>
      <sheetName val="Bill Impacts E+RZ PHASE 2"/>
      <sheetName val="14 &amp; 16 GA CBR Tables"/>
      <sheetName val="17 18 &amp; 19 Principal Adj"/>
      <sheetName val="1595 Allocation Backup"/>
      <sheetName val="Bill Impacts BPI RZ"/>
      <sheetName val="3 &amp; 4 Proposed Dx rts"/>
      <sheetName val="5 Tx Rts used"/>
      <sheetName val="6 &amp; 7 Proposed RTSR"/>
      <sheetName val="11 &amp; 12 Threshold"/>
      <sheetName val="13 COP Reasonability GBEBP"/>
      <sheetName val="22 &amp; 24 RRR Diff"/>
      <sheetName val="23 BPI 1580 RRR Var"/>
      <sheetName val="Tables from Prior Apps &gt;"/>
      <sheetName val="1.5.6-G"/>
      <sheetName val="1.5.6  M -CBR Class B"/>
      <sheetName val="1.5.6 K- GA class B Rate Riders"/>
      <sheetName val="1.5.6-N 1595-2016 Reconc"/>
      <sheetName val="2.1 Price Cap Parameters"/>
      <sheetName val="LRAM summary"/>
      <sheetName val="LRAM 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UC Quarter 4"/>
      <sheetName val="HUC Quarter 3"/>
      <sheetName val="HUC Quarter 2"/>
      <sheetName val="HUC Quarter 1 "/>
      <sheetName val="Bonus Pay"/>
      <sheetName val="Bonus"/>
      <sheetName val="Payweek 5"/>
      <sheetName val="Payweek 4 "/>
      <sheetName val="Payweek 3"/>
      <sheetName val="Payweek 2 "/>
      <sheetName val="Payweek 1 "/>
      <sheetName val="Acct Master"/>
      <sheetName val="Rollup Accts"/>
      <sheetName val="Companies"/>
      <sheetName val="Reversin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ummary 2011 EDO"/>
      <sheetName val="2011 GAAP FA Continuity"/>
      <sheetName val="2010 GAAP FA Continuity"/>
      <sheetName val="Depreciation"/>
      <sheetName val="Depreciation Schedule"/>
      <sheetName val="Depreciation Summary"/>
      <sheetName val="Summary"/>
      <sheetName val="Distribution Plan"/>
      <sheetName val="Company 11 Capital by CC"/>
      <sheetName val="Company 12 Capital by CC"/>
      <sheetName val="2011 Capital R5"/>
      <sheetName val="Capital R5 - Changes"/>
      <sheetName val="2011 Capital R0"/>
      <sheetName val="2011 Capital R0 - Changes"/>
      <sheetName val="2010 Budget from IFS"/>
      <sheetName val="Setup"/>
      <sheetName val="2011 Project Capital"/>
      <sheetName val="CPAEX_2011"/>
      <sheetName val="2010 Budget Deprec Co12"/>
      <sheetName val="NOT USED - 2010 Budget Deprec"/>
      <sheetName val="2010 Budget Deprec Co11"/>
      <sheetName val="2009 Deprec CarryOver - Co11"/>
      <sheetName val="2009 Deprec CarryOver - Co12"/>
      <sheetName val="Inputs for Depreciation"/>
      <sheetName val="Smart Meter FA Continuity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x Asst Cnt.MIFRS 11 "/>
      <sheetName val="App.2-BA2_Fx Asst Cnt.MIFRS 12"/>
      <sheetName val="App.2-BA2_Fx Asst Cnt.MIFRS 13"/>
      <sheetName val="App.2-BA2_Fx Asst Cnt.MIFRS 14"/>
      <sheetName val="App.2-BA2_Fx Asst Cnt.MIFRS 15"/>
      <sheetName val="App.2-BA2_Fx Asst Cnt.MIFRS 16"/>
      <sheetName val="App.2-BA2_Fx Asst Cnt.MIFRS 17"/>
      <sheetName val="App.2-BA2_Fx Asst Cnt.MIFRS 18"/>
      <sheetName val="App.2-BA2_Fx Asst Cnt.MIFRS 19"/>
      <sheetName val="Appendix 2-BB Service Life Comp"/>
      <sheetName val="Instruction for App. 2-C MIFRS"/>
      <sheetName val="App.2-CA_CGAAP_DepExp_2011"/>
      <sheetName val="App.2-CB_MIFRS_DepExp_2011"/>
      <sheetName val="App.2-CC_MIFRS_DepExp_2012"/>
      <sheetName val="App.2-CD_MIFRS_DepExp_2013"/>
      <sheetName val="App.2-CE1_MIFRS_DepExp_2014"/>
      <sheetName val="App.2-CE2_MIFRS_DepExp_2015"/>
      <sheetName val="App.2-CE3_MIFRS_DepExp_2016"/>
      <sheetName val="App.2-CE4_MIFRS_DepExp_2017"/>
      <sheetName val="App.2-CE5_MIFRS_DepExp_2018"/>
      <sheetName val="App.2-CE6_MIFRS_DepExp_2019"/>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 - 2011"/>
      <sheetName val="App.2-N_Corp_Cost_Alloc - 2012"/>
      <sheetName val="App.2-N_Corp_Cost_Alloc - 2013"/>
      <sheetName val="App.2-N_Corp_Cost_Alloc - 2014"/>
      <sheetName val="App.2-N_Corp_Cost_Alloc - 2015"/>
      <sheetName val="App.2-N_Corp_Cost_Alloc - 2016"/>
      <sheetName val="App.2-N_Corp_Cost_Alloc - 2017"/>
      <sheetName val="App.2-N_Corp_Cost_Alloc - 2018"/>
      <sheetName val="App.2-N_Corp_Cost_Alloc - 2019"/>
      <sheetName val="App.2-OA Capital Structure 2011"/>
      <sheetName val="App.2-OA Capital Structure 2015"/>
      <sheetName val="App.2-OA Capital Structure 2016"/>
      <sheetName val="App.2-OA Capital Structure 2017"/>
      <sheetName val="App.2-OA Capital Structure 2018"/>
      <sheetName val="App.2-OA Capital Structure 2019"/>
      <sheetName val="App.2-OB_Debt Instruments 2011"/>
      <sheetName val="App.2-OB_Debt Instruments 2012"/>
      <sheetName val="App.2-OB_Debt Instruments 2013"/>
      <sheetName val="App.2-OB_Debt Instruments 2014"/>
      <sheetName val="App.2-OB_Debt Instruments 2015"/>
      <sheetName val="App.2-OB_Debt Instruments 2016"/>
      <sheetName val="App.2-OB_Debt Instruments 2017"/>
      <sheetName val="App.2-OB_Debt Instruments 2018"/>
      <sheetName val="App.2-OB_Debt Instruments 2019"/>
      <sheetName val="App.2-P_Cost_Allocation 2015"/>
      <sheetName val="App.2-P_Cost_Allocation 2016"/>
      <sheetName val="App.2-P_Cost_Allocation 2017"/>
      <sheetName val="App.2-P_Cost_Allocation 2018"/>
      <sheetName val="App.2-P_Cost_Allocation 2019"/>
      <sheetName val="App.2-Q_Cost of Serv. Emb. Dx"/>
      <sheetName val="App.2-R_Loss Factors"/>
      <sheetName val="App.2-S_Stranded Meters"/>
      <sheetName val="App.2-TA_1592_Tax_Variance"/>
      <sheetName val="App.2-TB_1592_HST-OVAT"/>
      <sheetName val="App.2-U_IFRS Transition Costs"/>
      <sheetName val="App.2-V_Rev_Recnciliatn - 2015 "/>
      <sheetName val="App.2-V_Rev_Recnciliatn - 2016"/>
      <sheetName val="App.2-V_Rev_Recnciliatn - 2017"/>
      <sheetName val="App.2-V_Rev_Recnciliatn - 2018"/>
      <sheetName val="App.2-V_Rev_Recnciliatn - 2019"/>
      <sheetName val="App.2-W_Bill Impacts"/>
      <sheetName val="App.2-YA_MIFRS Summary Impacts"/>
      <sheetName val="App. 2-YB_CGAAP Summary Impacts"/>
      <sheetName val="App. 2-Z_Tariff"/>
      <sheetName val="lists"/>
      <sheetName val="lists2"/>
      <sheetName val="Sheet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Tax Rates"/>
      <sheetName val="1aa. Inflation Assumptions"/>
      <sheetName val="1b. Account Groups"/>
      <sheetName val="1bb. Cost centre Listing"/>
      <sheetName val="1c. Group CC AC Combinations"/>
      <sheetName val="1d. Fleet Recovered"/>
      <sheetName val="1e. Allocation Percents"/>
      <sheetName val="1f. Number of PCs"/>
      <sheetName val="1g. Contra Lookup"/>
      <sheetName val="Other Expenses"/>
      <sheetName val="New Adds - R4"/>
      <sheetName val="1h. Elimination Table"/>
      <sheetName val="2a. Workplan details"/>
      <sheetName val="Sheet1"/>
      <sheetName val="Sheet4"/>
      <sheetName val="LIST"/>
      <sheetName val="Sheet2"/>
      <sheetName val="Exp Group Lookup"/>
      <sheetName val="Burden Rate Changes"/>
      <sheetName val="2aa. BI Upload Details"/>
      <sheetName val="2b. Expenses By CC"/>
      <sheetName val="2c. Allocation Entries"/>
      <sheetName val="2d. Payroll Validation"/>
      <sheetName val="2e. Variance Analysis"/>
      <sheetName val="2ee.Variance Analysis by Groups"/>
      <sheetName val="2e. Hours Summary"/>
      <sheetName val="2f. Incremental initiatives"/>
      <sheetName val="2g. Data Load Format"/>
      <sheetName val="2h. External Spend"/>
      <sheetName val="2i. Inflation"/>
      <sheetName val="2j. OPEX Core"/>
      <sheetName val="3a. EDO - Inc Stmt"/>
      <sheetName val="3b. EDO - Mgmt Fee"/>
      <sheetName val="3c. CS Inc Stmt"/>
      <sheetName val="3d. HHI Inc Stmt"/>
      <sheetName val="3e. Solar PV Inc Stmt"/>
      <sheetName val="3f. CDM Inc Stmt"/>
      <sheetName val="3g. HESI Inc Stmt"/>
      <sheetName val="3h. Horizon Holdings Combined"/>
      <sheetName val="3i. Elimination Details"/>
      <sheetName val="3j. Horizon Combined Grp of Cos"/>
      <sheetName val="3k. Trends"/>
      <sheetName val="4a. Pro forma Model"/>
      <sheetName val="4b. Validate - Board Model"/>
      <sheetName val="5e. HESI-Summary"/>
      <sheetName val="4c. Inputs-Financial Model"/>
      <sheetName val="5a. HESI-MSP"/>
      <sheetName val="5b. HESI-Bus Dev"/>
      <sheetName val="5c. HESI-CDM Services"/>
      <sheetName val="5d. HESI-Sol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LAB- EQUIP)"/>
      <sheetName val="View Projects"/>
      <sheetName val="INPUT (1-50) (HOURS)"/>
      <sheetName val="INPUT (51-100) (HOURS)"/>
      <sheetName val="Proj Summ"/>
      <sheetName val="Proj Lookup"/>
      <sheetName val="Asset Data"/>
      <sheetName val="Ranking"/>
      <sheetName val="Ranking_temp"/>
      <sheetName val="RankingSCH"/>
      <sheetName val="Res Hrs"/>
      <sheetName val="Rates"/>
      <sheetName val="Assets by Category"/>
      <sheetName val="A"/>
      <sheetName val="I01"/>
      <sheetName val="I02"/>
      <sheetName val="I03"/>
      <sheetName val="I04"/>
      <sheetName val="I05"/>
      <sheetName val="I06"/>
      <sheetName val="I07"/>
      <sheetName val="I08"/>
      <sheetName val="I0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I96"/>
      <sheetName val="I97"/>
      <sheetName val="I98"/>
      <sheetName val="I99"/>
      <sheetName val="I100"/>
      <sheetName val="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PUT"/>
      <sheetName val="Cons IS New"/>
      <sheetName val="Cons IS"/>
      <sheetName val="MgtRp -Comb Horiz Group"/>
      <sheetName val="MgtRp - CS&amp;WH"/>
      <sheetName val="MgtRp - WH"/>
      <sheetName val="MgtRp - Horizon Hold "/>
      <sheetName val="MgtRp - FW"/>
      <sheetName val="MgtRp - HCE"/>
      <sheetName val="MgtRp - HHSI"/>
      <sheetName val="MgtRp - HUC"/>
      <sheetName val="MgtRp - Horizon EDO &amp; CS"/>
      <sheetName val="MgtRp - Horizon EDO "/>
      <sheetName val="MgtRp - Horizon CS"/>
      <sheetName val="MgtRp - Horizon Hold (combined)"/>
      <sheetName val="MgtRp - Horizon Holdings"/>
      <sheetName val="MgtRp - Horizon Energy"/>
      <sheetName val="HUC cons"/>
      <sheetName val="HUC"/>
      <sheetName val="HOR"/>
      <sheetName val="HHSI"/>
      <sheetName val="Horizon Hold"/>
      <sheetName val="Hor Holdings Cons"/>
      <sheetName val="Final TB"/>
      <sheetName val="TB Aug 2008 AS400"/>
      <sheetName val="Tax Entry Work Sheet"/>
      <sheetName val="TB for stmts"/>
      <sheetName val="Merger Cash Flow Effe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1"/>
      <sheetName val="V2"/>
      <sheetName val="Summary"/>
      <sheetName val="AP File"/>
      <sheetName val="LDC List"/>
      <sheetName val="Portal download"/>
      <sheetName val="Sheet3"/>
      <sheetName val="Sheet2"/>
      <sheetName val="Sheet5"/>
      <sheetName val="08 OS incentives"/>
      <sheetName val="Fixed Pymts ma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sheetName val="Summary"/>
      <sheetName val="AP File"/>
      <sheetName val="LDC List"/>
      <sheetName val="Portal download"/>
      <sheetName val="Sheet3"/>
      <sheetName val="Sheet2"/>
      <sheetName val="Sheet5"/>
      <sheetName val="08 OS incentives"/>
      <sheetName val="Fixed Pymts ma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ing Plan"/>
      <sheetName val="Glossary of terms"/>
      <sheetName val="OPA Use only"/>
    </sheetNames>
    <sheetDataSet>
      <sheetData sheetId="0" refreshError="1"/>
      <sheetData sheetId="1" refreshError="1"/>
      <sheetData sheetId="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 1,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_Summary"/>
      <sheetName val="Payroll Staff Master"/>
      <sheetName val="Payroll Staff"/>
      <sheetName val="Exi staff"/>
      <sheetName val="New Staff"/>
      <sheetName val="Students"/>
      <sheetName val="OEB Co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Operating"/>
      <sheetName val="Summary - Operating-old"/>
      <sheetName val="2010 Operating Details"/>
      <sheetName val="Summary - Capital"/>
      <sheetName val="Setup"/>
      <sheetName val="WorkPlan - Operating"/>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1a. Instructions"/>
      <sheetName val="1b. 2011 Operating-Actuals"/>
      <sheetName val="1c. 2012 Operating Budget"/>
      <sheetName val="1d. 2012 Capital Budget"/>
      <sheetName val="2a. Payroll Staff Input"/>
      <sheetName val="2b. New Staff Input"/>
      <sheetName val="2c. Students Input"/>
      <sheetName val="2d. WorkPlan - Operating"/>
      <sheetName val="2e. WorkPlan - Capital"/>
      <sheetName val="2f. Labour Summary -Validation"/>
      <sheetName val="3a. Summary-2013 Operating"/>
      <sheetName val="3b. Summary-2013 Capital"/>
      <sheetName val="3c. Summary-Operating by Year"/>
      <sheetName val="3d. Summary-Capital by Year"/>
      <sheetName val="3e. 2013 Man Hours"/>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gt;&gt;"/>
      <sheetName val="1a. Mapping Table for RC"/>
      <sheetName val="2014 Plan&gt;&gt;"/>
      <sheetName val="1a. New Hires 2014"/>
      <sheetName val="1b. New Positions in AP"/>
      <sheetName val="1c. Eliminationed positions"/>
      <sheetName val="1d. 2014 Payroll Budget"/>
      <sheetName val="1e. 2013 Approved Headcount"/>
      <sheetName val="1f. 2013 Student Summary"/>
      <sheetName val="2a. New Hires Detail"/>
      <sheetName val="2b. New Hires Summary"/>
      <sheetName val="Slide - New Hires Detail"/>
      <sheetName val="2c. CDM Summary"/>
      <sheetName val="3fff. New Hires Rpt for Present"/>
      <sheetName val="2d. Division Payroll Summary"/>
      <sheetName val="2013 Plan&gt;&gt;"/>
      <sheetName val="1a. New Hires 2013"/>
      <sheetName val="1b. Students 2013"/>
      <sheetName val="Redundant&gt;&gt;"/>
      <sheetName val="Contract"/>
      <sheetName val="COGNOS Payroll"/>
      <sheetName val="Payroll Counts"/>
      <sheetName val="Perm"/>
      <sheetName val="Combined 2013 and 2014 Payroll "/>
      <sheetName val="1f. Students 2014"/>
      <sheetName val="1e. Contractors"/>
      <sheetName val="Sheet1"/>
    </sheetNames>
    <sheetDataSet>
      <sheetData sheetId="0" refreshError="1"/>
      <sheetData sheetId="1"/>
      <sheetData sheetId="2" refreshError="1"/>
      <sheetData sheetId="3" refreshError="1"/>
      <sheetData sheetId="4" refreshError="1"/>
      <sheetData sheetId="5"/>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etup"/>
      <sheetName val="1a. Instructions"/>
      <sheetName val="1b. 2010 Operating-Actuals"/>
      <sheetName val="1c. 2011 Operating Budget"/>
      <sheetName val="1d. 2011 Capital Budget"/>
      <sheetName val="2a. Payroll Staff Input"/>
      <sheetName val="2b. New Staff Input"/>
      <sheetName val="2c. Students Input"/>
      <sheetName val="2d. WorkPlan - Operating"/>
      <sheetName val="2e. WorkPlan - Capital"/>
      <sheetName val="2f. Labour Summary -Validation"/>
      <sheetName val="3a. Summary-2012 Operating"/>
      <sheetName val="Summary - Operating-old"/>
      <sheetName val="3b. Summary-2012 Capital"/>
      <sheetName val="OEB Accts"/>
      <sheetName val="3c. Summary-Operating by Year"/>
      <sheetName val="3d. Summary-Capital by Year"/>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2-2_Dx_Revenue_Req&gt;"/>
      <sheetName val="&lt;2-3_Reg_ADJ_Revenue_Req"/>
    </sheetNames>
    <sheetDataSet>
      <sheetData sheetId="0"/>
      <sheetData sheetId="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source Rqmts - Sustainability"/>
      <sheetName val="Resource Rqmts - Reg_Compliance"/>
      <sheetName val="Resource Rqmts - Prod_ROI"/>
      <sheetName val="Sheet1"/>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S26 - reg assets"/>
      <sheetName val="SS27-NBV-DE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Finrep-OPEX"/>
      <sheetName val="1b. Account Groups"/>
      <sheetName val="1c. Payroll Worksheet"/>
      <sheetName val="1d. Payroll Summary"/>
      <sheetName val="1E. Other Expenses"/>
      <sheetName val="1f. Fleet Recovered"/>
      <sheetName val="1g. Contra Calculations"/>
      <sheetName val="1h. Headcount Adds 2013+"/>
      <sheetName val="1i. Group CC AC Combinations"/>
      <sheetName val="1j. Budget Template-Other"/>
      <sheetName val="1j. Allocation Percents"/>
      <sheetName val="1k. Number of PCs"/>
      <sheetName val="New Adds - R4"/>
      <sheetName val="2a. 2012 EDO - Details"/>
      <sheetName val="2aa. BI Upload Details"/>
      <sheetName val="2b. Expenses By CC"/>
      <sheetName val="2c. Allocation Entries"/>
      <sheetName val="2d. Payroll Validation"/>
      <sheetName val="2e. Variance Analysis"/>
      <sheetName val="2f. CDM Analysis"/>
      <sheetName val="2g. For Anthony"/>
      <sheetName val="3a. 2012 EDO - Inc Stmt"/>
      <sheetName val="3aa. 2012 EDO - Inc Stmt(IFRS)"/>
      <sheetName val="3b. 2012 - CS Inc Stmt"/>
      <sheetName val="3c. 2012 - HHI Inc Stmt"/>
      <sheetName val="3d. 2012 - Solar PV Inc Stmt"/>
      <sheetName val="3e. 2012 - CDM Inc Stmt"/>
      <sheetName val="3f. 2012 - HESI Inc Stmt"/>
      <sheetName val="Elimination Summary"/>
      <sheetName val="3g. HHI Cons Inc Stmt"/>
      <sheetName val="4a. Taxes"/>
      <sheetName val="4b. Validation to Board Model"/>
      <sheetName val="4bb.Board Model"/>
      <sheetName val="4c. Inputs-Financials(GAAP)"/>
      <sheetName val="4cc. Inputs-Financials(IF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D"/>
      <sheetName val="Streetlights"/>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Overview- HOR U"/>
      <sheetName val="Fixed Assets by Cost Center"/>
      <sheetName val="Fixed Assets by Account"/>
      <sheetName val="Capex - data"/>
      <sheetName val="CAP - data - current month"/>
      <sheetName val="CAP - data - last month"/>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hodology"/>
      <sheetName val="Monthly Comparison"/>
      <sheetName val="Cumulative Balances"/>
      <sheetName val="monthly details by account"/>
      <sheetName val="Energy Revenue"/>
      <sheetName val="Cost of Power"/>
    </sheetNames>
    <sheetDataSet>
      <sheetData sheetId="0" refreshError="1"/>
      <sheetData sheetId="1" refreshError="1"/>
      <sheetData sheetId="2" refreshError="1"/>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2F3F7-1222-45B6-A1F2-18A77FB8E794}">
  <dimension ref="A1:D530"/>
  <sheetViews>
    <sheetView tabSelected="1" zoomScaleNormal="100" zoomScaleSheetLayoutView="130" workbookViewId="0">
      <selection sqref="A1:D1"/>
    </sheetView>
  </sheetViews>
  <sheetFormatPr defaultColWidth="8.85546875" defaultRowHeight="15" x14ac:dyDescent="0.25"/>
  <cols>
    <col min="1" max="1" width="58.28515625" style="4" customWidth="1"/>
    <col min="2" max="2" width="16.42578125" style="4" customWidth="1"/>
    <col min="3" max="3" width="6.28515625" style="4" customWidth="1"/>
    <col min="4" max="4" width="10.42578125" style="4" customWidth="1"/>
    <col min="5" max="16384" width="8.85546875" style="4"/>
  </cols>
  <sheetData>
    <row r="1" spans="1:4" ht="23.25" x14ac:dyDescent="0.25">
      <c r="A1" s="26" t="s">
        <v>225</v>
      </c>
      <c r="B1" s="26"/>
      <c r="C1" s="26"/>
      <c r="D1" s="26"/>
    </row>
    <row r="2" spans="1:4" ht="20.25" x14ac:dyDescent="0.25">
      <c r="A2" s="228" t="s">
        <v>224</v>
      </c>
      <c r="B2" s="228"/>
      <c r="C2" s="228"/>
      <c r="D2" s="228"/>
    </row>
    <row r="3" spans="1:4" ht="18" x14ac:dyDescent="0.25">
      <c r="A3" s="20" t="s">
        <v>0</v>
      </c>
      <c r="B3" s="20"/>
      <c r="C3" s="20"/>
      <c r="D3" s="20"/>
    </row>
    <row r="4" spans="1:4" ht="15.75" x14ac:dyDescent="0.25">
      <c r="A4" s="21" t="s">
        <v>122</v>
      </c>
      <c r="B4" s="21"/>
      <c r="C4" s="21"/>
      <c r="D4" s="21"/>
    </row>
    <row r="5" spans="1:4" x14ac:dyDescent="0.25">
      <c r="A5" s="22" t="s">
        <v>2</v>
      </c>
      <c r="B5" s="22"/>
      <c r="C5" s="22"/>
      <c r="D5" s="22"/>
    </row>
    <row r="6" spans="1:4" x14ac:dyDescent="0.25">
      <c r="A6" s="22" t="s">
        <v>3</v>
      </c>
      <c r="B6" s="22"/>
      <c r="C6" s="22"/>
      <c r="D6" s="22"/>
    </row>
    <row r="7" spans="1:4" x14ac:dyDescent="0.25">
      <c r="A7" s="23" t="s">
        <v>227</v>
      </c>
      <c r="B7" s="23"/>
      <c r="C7" s="23"/>
      <c r="D7" s="23"/>
    </row>
    <row r="8" spans="1:4" x14ac:dyDescent="0.25">
      <c r="A8" s="24" t="s">
        <v>5</v>
      </c>
      <c r="B8" s="25"/>
      <c r="C8" s="25"/>
      <c r="D8" s="25"/>
    </row>
    <row r="9" spans="1:4" ht="87.75" customHeight="1" x14ac:dyDescent="0.25">
      <c r="A9" s="25" t="s">
        <v>6</v>
      </c>
      <c r="B9" s="25"/>
      <c r="C9" s="25"/>
      <c r="D9" s="25"/>
    </row>
    <row r="10" spans="1:4" ht="6.75" customHeight="1" x14ac:dyDescent="0.25">
      <c r="A10" s="17"/>
      <c r="B10" s="17"/>
      <c r="C10" s="17"/>
      <c r="D10" s="17"/>
    </row>
    <row r="11" spans="1:4" x14ac:dyDescent="0.25">
      <c r="A11" s="27" t="s">
        <v>7</v>
      </c>
      <c r="B11" s="25"/>
      <c r="C11" s="25"/>
      <c r="D11" s="25"/>
    </row>
    <row r="12" spans="1:4" ht="6.75" customHeight="1" x14ac:dyDescent="0.25">
      <c r="A12" s="19"/>
      <c r="B12" s="17"/>
      <c r="C12" s="17"/>
      <c r="D12" s="17"/>
    </row>
    <row r="13" spans="1:4" ht="38.450000000000003" customHeight="1" x14ac:dyDescent="0.25">
      <c r="A13" s="25" t="s">
        <v>8</v>
      </c>
      <c r="B13" s="25"/>
      <c r="C13" s="25"/>
      <c r="D13" s="25"/>
    </row>
    <row r="14" spans="1:4" ht="6.75" customHeight="1" x14ac:dyDescent="0.25">
      <c r="A14" s="17"/>
      <c r="B14" s="17"/>
      <c r="C14" s="17"/>
      <c r="D14" s="17"/>
    </row>
    <row r="15" spans="1:4" ht="49.15" customHeight="1" x14ac:dyDescent="0.25">
      <c r="A15" s="25" t="s">
        <v>9</v>
      </c>
      <c r="B15" s="25"/>
      <c r="C15" s="25"/>
      <c r="D15" s="25"/>
    </row>
    <row r="16" spans="1:4" ht="6.75" customHeight="1" x14ac:dyDescent="0.25">
      <c r="A16" s="17"/>
      <c r="B16" s="17"/>
      <c r="C16" s="17"/>
      <c r="D16" s="17"/>
    </row>
    <row r="17" spans="1:4" ht="50.45" customHeight="1" x14ac:dyDescent="0.25">
      <c r="A17" s="25" t="s">
        <v>10</v>
      </c>
      <c r="B17" s="25"/>
      <c r="C17" s="25"/>
      <c r="D17" s="25"/>
    </row>
    <row r="18" spans="1:4" ht="6.75" customHeight="1" x14ac:dyDescent="0.25">
      <c r="A18" s="17"/>
      <c r="B18" s="17"/>
      <c r="C18" s="17"/>
      <c r="D18" s="17"/>
    </row>
    <row r="19" spans="1:4" ht="40.15" customHeight="1" x14ac:dyDescent="0.25">
      <c r="A19" s="25" t="s">
        <v>11</v>
      </c>
      <c r="B19" s="25"/>
      <c r="C19" s="25"/>
      <c r="D19" s="25"/>
    </row>
    <row r="20" spans="1:4" ht="6.75" customHeight="1" x14ac:dyDescent="0.25">
      <c r="A20" s="17"/>
      <c r="B20" s="17"/>
      <c r="C20" s="17"/>
      <c r="D20" s="17"/>
    </row>
    <row r="21" spans="1:4" x14ac:dyDescent="0.25">
      <c r="A21" s="27" t="s">
        <v>12</v>
      </c>
      <c r="B21" s="25"/>
      <c r="C21" s="25"/>
      <c r="D21" s="25"/>
    </row>
    <row r="22" spans="1:4" ht="6.75" customHeight="1" x14ac:dyDescent="0.25">
      <c r="A22" s="19"/>
      <c r="B22" s="17"/>
      <c r="C22" s="17"/>
      <c r="D22" s="17"/>
    </row>
    <row r="23" spans="1:4" x14ac:dyDescent="0.25">
      <c r="A23" s="28" t="s">
        <v>13</v>
      </c>
      <c r="B23" s="28"/>
      <c r="C23" s="5" t="s">
        <v>14</v>
      </c>
      <c r="D23" s="6">
        <v>30.84</v>
      </c>
    </row>
    <row r="24" spans="1:4" ht="25.15" customHeight="1" x14ac:dyDescent="0.25">
      <c r="A24" s="28" t="s">
        <v>15</v>
      </c>
      <c r="B24" s="28"/>
      <c r="C24" s="5" t="s">
        <v>14</v>
      </c>
      <c r="D24" s="6">
        <v>0.56000000000000005</v>
      </c>
    </row>
    <row r="25" spans="1:4" ht="25.15" customHeight="1" x14ac:dyDescent="0.25">
      <c r="A25" s="28" t="s">
        <v>16</v>
      </c>
      <c r="B25" s="28"/>
      <c r="C25" s="5" t="s">
        <v>14</v>
      </c>
      <c r="D25" s="6">
        <v>0.28999999999999998</v>
      </c>
    </row>
    <row r="26" spans="1:4" x14ac:dyDescent="0.25">
      <c r="A26" s="28" t="s">
        <v>17</v>
      </c>
      <c r="B26" s="28"/>
      <c r="C26" s="5" t="s">
        <v>14</v>
      </c>
      <c r="D26" s="6">
        <v>0.42</v>
      </c>
    </row>
    <row r="27" spans="1:4" x14ac:dyDescent="0.25">
      <c r="A27" s="28" t="s">
        <v>18</v>
      </c>
      <c r="B27" s="28"/>
      <c r="C27" s="5" t="s">
        <v>19</v>
      </c>
      <c r="D27" s="7">
        <v>2.9999999999999997E-4</v>
      </c>
    </row>
    <row r="28" spans="1:4" ht="23.25" customHeight="1" x14ac:dyDescent="0.25">
      <c r="A28" s="28" t="s">
        <v>123</v>
      </c>
      <c r="B28" s="28"/>
      <c r="C28" s="5" t="s">
        <v>19</v>
      </c>
      <c r="D28" s="7">
        <v>-4.4999999999999997E-3</v>
      </c>
    </row>
    <row r="29" spans="1:4" ht="14.25" customHeight="1" x14ac:dyDescent="0.25">
      <c r="A29" s="28" t="s">
        <v>124</v>
      </c>
      <c r="B29" s="28"/>
      <c r="C29" s="5" t="s">
        <v>19</v>
      </c>
      <c r="D29" s="7">
        <v>2E-3</v>
      </c>
    </row>
    <row r="30" spans="1:4" ht="24" customHeight="1" x14ac:dyDescent="0.25">
      <c r="A30" s="28" t="s">
        <v>126</v>
      </c>
      <c r="B30" s="28"/>
      <c r="C30" s="5" t="s">
        <v>19</v>
      </c>
      <c r="D30" s="7">
        <v>-1E-4</v>
      </c>
    </row>
    <row r="31" spans="1:4" ht="13.5" customHeight="1" x14ac:dyDescent="0.25">
      <c r="A31" s="28" t="s">
        <v>20</v>
      </c>
      <c r="B31" s="28"/>
      <c r="C31" s="5" t="s">
        <v>19</v>
      </c>
      <c r="D31" s="7">
        <v>1.4E-3</v>
      </c>
    </row>
    <row r="32" spans="1:4" ht="13.5" customHeight="1" x14ac:dyDescent="0.25">
      <c r="A32" s="28" t="s">
        <v>21</v>
      </c>
      <c r="B32" s="28"/>
      <c r="C32" s="5" t="s">
        <v>19</v>
      </c>
      <c r="D32" s="7">
        <v>8.9999999999999993E-3</v>
      </c>
    </row>
    <row r="33" spans="1:4" ht="13.5" customHeight="1" x14ac:dyDescent="0.25">
      <c r="A33" s="28" t="s">
        <v>22</v>
      </c>
      <c r="B33" s="28"/>
      <c r="C33" s="5" t="s">
        <v>19</v>
      </c>
      <c r="D33" s="7">
        <v>5.0000000000000001E-3</v>
      </c>
    </row>
    <row r="34" spans="1:4" ht="6.75" customHeight="1" x14ac:dyDescent="0.25">
      <c r="A34" s="16"/>
      <c r="B34" s="16"/>
      <c r="C34" s="5"/>
      <c r="D34" s="7"/>
    </row>
    <row r="35" spans="1:4" x14ac:dyDescent="0.25">
      <c r="A35" s="27" t="s">
        <v>23</v>
      </c>
      <c r="B35" s="28"/>
      <c r="C35" s="5"/>
      <c r="D35" s="5"/>
    </row>
    <row r="36" spans="1:4" ht="6.75" customHeight="1" x14ac:dyDescent="0.25">
      <c r="A36" s="19"/>
      <c r="B36" s="16"/>
      <c r="C36" s="5"/>
      <c r="D36" s="5"/>
    </row>
    <row r="37" spans="1:4" ht="13.5" customHeight="1" x14ac:dyDescent="0.25">
      <c r="A37" s="28" t="s">
        <v>24</v>
      </c>
      <c r="B37" s="28"/>
      <c r="C37" s="5" t="s">
        <v>19</v>
      </c>
      <c r="D37" s="7">
        <v>4.1000000000000003E-3</v>
      </c>
    </row>
    <row r="38" spans="1:4" ht="13.5" customHeight="1" x14ac:dyDescent="0.25">
      <c r="A38" s="28" t="s">
        <v>25</v>
      </c>
      <c r="B38" s="28"/>
      <c r="C38" s="5" t="s">
        <v>19</v>
      </c>
      <c r="D38" s="7">
        <v>4.0000000000000002E-4</v>
      </c>
    </row>
    <row r="39" spans="1:4" ht="13.5" customHeight="1" x14ac:dyDescent="0.25">
      <c r="A39" s="28" t="s">
        <v>26</v>
      </c>
      <c r="B39" s="28"/>
      <c r="C39" s="5" t="s">
        <v>19</v>
      </c>
      <c r="D39" s="7">
        <v>6.9999999999999999E-4</v>
      </c>
    </row>
    <row r="40" spans="1:4" ht="13.5" customHeight="1" x14ac:dyDescent="0.25">
      <c r="A40" s="28" t="s">
        <v>27</v>
      </c>
      <c r="B40" s="28"/>
      <c r="C40" s="5" t="s">
        <v>14</v>
      </c>
      <c r="D40" s="6">
        <v>0.25</v>
      </c>
    </row>
    <row r="41" spans="1:4" s="8" customFormat="1" ht="18" customHeight="1" x14ac:dyDescent="0.25">
      <c r="A41" s="24" t="s">
        <v>28</v>
      </c>
      <c r="B41" s="29"/>
      <c r="C41" s="29"/>
      <c r="D41" s="29"/>
    </row>
    <row r="42" spans="1:4" ht="78.75" customHeight="1" x14ac:dyDescent="0.25">
      <c r="A42" s="25" t="s">
        <v>29</v>
      </c>
      <c r="B42" s="25"/>
      <c r="C42" s="25"/>
      <c r="D42" s="25"/>
    </row>
    <row r="43" spans="1:4" ht="6.75" customHeight="1" x14ac:dyDescent="0.25">
      <c r="A43" s="17"/>
      <c r="B43" s="17"/>
      <c r="C43" s="17"/>
      <c r="D43" s="17"/>
    </row>
    <row r="44" spans="1:4" x14ac:dyDescent="0.25">
      <c r="A44" s="27" t="s">
        <v>7</v>
      </c>
      <c r="B44" s="25"/>
      <c r="C44" s="25"/>
      <c r="D44" s="25"/>
    </row>
    <row r="45" spans="1:4" ht="6.75" customHeight="1" x14ac:dyDescent="0.25">
      <c r="A45" s="19"/>
      <c r="B45" s="17"/>
      <c r="C45" s="17"/>
      <c r="D45" s="17"/>
    </row>
    <row r="46" spans="1:4" ht="36" customHeight="1" x14ac:dyDescent="0.25">
      <c r="A46" s="25" t="s">
        <v>8</v>
      </c>
      <c r="B46" s="25"/>
      <c r="C46" s="25"/>
      <c r="D46" s="25"/>
    </row>
    <row r="47" spans="1:4" ht="6.75" customHeight="1" x14ac:dyDescent="0.25">
      <c r="A47" s="17"/>
      <c r="B47" s="17"/>
      <c r="C47" s="17"/>
      <c r="D47" s="17"/>
    </row>
    <row r="48" spans="1:4" ht="48" customHeight="1" x14ac:dyDescent="0.25">
      <c r="A48" s="25" t="s">
        <v>9</v>
      </c>
      <c r="B48" s="25"/>
      <c r="C48" s="25"/>
      <c r="D48" s="25"/>
    </row>
    <row r="49" spans="1:4" ht="6.75" customHeight="1" x14ac:dyDescent="0.25">
      <c r="A49" s="17"/>
      <c r="B49" s="17"/>
      <c r="C49" s="17"/>
      <c r="D49" s="17"/>
    </row>
    <row r="50" spans="1:4" ht="49.9" customHeight="1" x14ac:dyDescent="0.25">
      <c r="A50" s="25" t="s">
        <v>10</v>
      </c>
      <c r="B50" s="25"/>
      <c r="C50" s="25"/>
      <c r="D50" s="25"/>
    </row>
    <row r="51" spans="1:4" ht="6.75" customHeight="1" x14ac:dyDescent="0.25">
      <c r="A51" s="17"/>
      <c r="B51" s="17"/>
      <c r="C51" s="17"/>
      <c r="D51" s="17"/>
    </row>
    <row r="52" spans="1:4" ht="36.6" customHeight="1" x14ac:dyDescent="0.25">
      <c r="A52" s="25" t="s">
        <v>11</v>
      </c>
      <c r="B52" s="25"/>
      <c r="C52" s="25"/>
      <c r="D52" s="25"/>
    </row>
    <row r="53" spans="1:4" ht="6.75" customHeight="1" x14ac:dyDescent="0.25">
      <c r="A53" s="17"/>
      <c r="B53" s="17"/>
      <c r="C53" s="17"/>
      <c r="D53" s="17"/>
    </row>
    <row r="54" spans="1:4" x14ac:dyDescent="0.25">
      <c r="A54" s="27" t="s">
        <v>12</v>
      </c>
      <c r="B54" s="25"/>
      <c r="C54" s="25"/>
      <c r="D54" s="25"/>
    </row>
    <row r="55" spans="1:4" ht="6.75" customHeight="1" x14ac:dyDescent="0.25">
      <c r="A55" s="19"/>
      <c r="B55" s="17"/>
      <c r="C55" s="17"/>
      <c r="D55" s="17"/>
    </row>
    <row r="56" spans="1:4" x14ac:dyDescent="0.25">
      <c r="A56" s="28" t="s">
        <v>13</v>
      </c>
      <c r="B56" s="28"/>
      <c r="C56" s="5" t="s">
        <v>14</v>
      </c>
      <c r="D56" s="6">
        <v>16.61</v>
      </c>
    </row>
    <row r="57" spans="1:4" ht="24" customHeight="1" x14ac:dyDescent="0.25">
      <c r="A57" s="28" t="s">
        <v>15</v>
      </c>
      <c r="B57" s="28"/>
      <c r="C57" s="5" t="s">
        <v>14</v>
      </c>
      <c r="D57" s="6">
        <v>1.1200000000000001</v>
      </c>
    </row>
    <row r="58" spans="1:4" ht="24" customHeight="1" x14ac:dyDescent="0.25">
      <c r="A58" s="28" t="s">
        <v>16</v>
      </c>
      <c r="B58" s="28"/>
      <c r="C58" s="5" t="s">
        <v>14</v>
      </c>
      <c r="D58" s="6">
        <v>0.57999999999999996</v>
      </c>
    </row>
    <row r="59" spans="1:4" x14ac:dyDescent="0.25">
      <c r="A59" s="28" t="s">
        <v>17</v>
      </c>
      <c r="B59" s="28"/>
      <c r="C59" s="5" t="s">
        <v>14</v>
      </c>
      <c r="D59" s="6">
        <v>0.42</v>
      </c>
    </row>
    <row r="60" spans="1:4" x14ac:dyDescent="0.25">
      <c r="A60" s="28" t="s">
        <v>30</v>
      </c>
      <c r="B60" s="28"/>
      <c r="C60" s="5" t="s">
        <v>19</v>
      </c>
      <c r="D60" s="7">
        <v>1.77E-2</v>
      </c>
    </row>
    <row r="61" spans="1:4" x14ac:dyDescent="0.25">
      <c r="A61" s="28" t="s">
        <v>18</v>
      </c>
      <c r="B61" s="28"/>
      <c r="C61" s="5" t="s">
        <v>19</v>
      </c>
      <c r="D61" s="7">
        <v>2.0000000000000001E-4</v>
      </c>
    </row>
    <row r="62" spans="1:4" ht="23.25" customHeight="1" x14ac:dyDescent="0.25">
      <c r="A62" s="28" t="s">
        <v>123</v>
      </c>
      <c r="B62" s="28"/>
      <c r="C62" s="5" t="s">
        <v>19</v>
      </c>
      <c r="D62" s="7">
        <v>-4.4999999999999997E-3</v>
      </c>
    </row>
    <row r="63" spans="1:4" ht="14.25" customHeight="1" x14ac:dyDescent="0.25">
      <c r="A63" s="28" t="s">
        <v>124</v>
      </c>
      <c r="B63" s="28"/>
      <c r="C63" s="5" t="s">
        <v>19</v>
      </c>
      <c r="D63" s="7">
        <v>1.9E-3</v>
      </c>
    </row>
    <row r="64" spans="1:4" ht="24" customHeight="1" x14ac:dyDescent="0.25">
      <c r="A64" s="28" t="s">
        <v>126</v>
      </c>
      <c r="B64" s="28"/>
      <c r="C64" s="5" t="s">
        <v>19</v>
      </c>
      <c r="D64" s="7">
        <v>-1E-4</v>
      </c>
    </row>
    <row r="65" spans="1:4" x14ac:dyDescent="0.25">
      <c r="A65" s="28" t="s">
        <v>20</v>
      </c>
      <c r="B65" s="28"/>
      <c r="C65" s="5" t="s">
        <v>19</v>
      </c>
      <c r="D65" s="7">
        <v>1.5E-3</v>
      </c>
    </row>
    <row r="66" spans="1:4" x14ac:dyDescent="0.25">
      <c r="A66" s="28" t="s">
        <v>21</v>
      </c>
      <c r="B66" s="28"/>
      <c r="C66" s="5" t="s">
        <v>19</v>
      </c>
      <c r="D66" s="7">
        <v>8.0999999999999996E-3</v>
      </c>
    </row>
    <row r="67" spans="1:4" x14ac:dyDescent="0.25">
      <c r="A67" s="28" t="s">
        <v>22</v>
      </c>
      <c r="B67" s="28"/>
      <c r="C67" s="5" t="s">
        <v>19</v>
      </c>
      <c r="D67" s="7">
        <v>4.4000000000000003E-3</v>
      </c>
    </row>
    <row r="68" spans="1:4" ht="6.75" customHeight="1" x14ac:dyDescent="0.25">
      <c r="A68" s="16"/>
      <c r="B68" s="16"/>
      <c r="C68" s="5"/>
      <c r="D68" s="7"/>
    </row>
    <row r="69" spans="1:4" x14ac:dyDescent="0.25">
      <c r="A69" s="27" t="s">
        <v>23</v>
      </c>
      <c r="B69" s="28"/>
      <c r="C69" s="16"/>
      <c r="D69" s="16"/>
    </row>
    <row r="70" spans="1:4" ht="6.75" customHeight="1" x14ac:dyDescent="0.25">
      <c r="A70" s="19"/>
      <c r="B70" s="16"/>
      <c r="C70" s="16"/>
      <c r="D70" s="16"/>
    </row>
    <row r="71" spans="1:4" x14ac:dyDescent="0.25">
      <c r="A71" s="28" t="s">
        <v>24</v>
      </c>
      <c r="B71" s="28"/>
      <c r="C71" s="5" t="s">
        <v>19</v>
      </c>
      <c r="D71" s="7">
        <v>4.1000000000000003E-3</v>
      </c>
    </row>
    <row r="72" spans="1:4" x14ac:dyDescent="0.25">
      <c r="A72" s="28" t="s">
        <v>25</v>
      </c>
      <c r="B72" s="28"/>
      <c r="C72" s="5" t="s">
        <v>19</v>
      </c>
      <c r="D72" s="7">
        <v>4.0000000000000002E-4</v>
      </c>
    </row>
    <row r="73" spans="1:4" x14ac:dyDescent="0.25">
      <c r="A73" s="28" t="s">
        <v>26</v>
      </c>
      <c r="B73" s="28"/>
      <c r="C73" s="5" t="s">
        <v>19</v>
      </c>
      <c r="D73" s="7">
        <v>6.9999999999999999E-4</v>
      </c>
    </row>
    <row r="74" spans="1:4" x14ac:dyDescent="0.25">
      <c r="A74" s="28" t="s">
        <v>27</v>
      </c>
      <c r="B74" s="28"/>
      <c r="C74" s="5" t="s">
        <v>14</v>
      </c>
      <c r="D74" s="6">
        <v>0.25</v>
      </c>
    </row>
    <row r="75" spans="1:4" s="8" customFormat="1" ht="18" customHeight="1" x14ac:dyDescent="0.25">
      <c r="A75" s="24" t="s">
        <v>31</v>
      </c>
      <c r="B75" s="29"/>
      <c r="C75" s="29"/>
      <c r="D75" s="29"/>
    </row>
    <row r="76" spans="1:4" ht="78.75" customHeight="1" x14ac:dyDescent="0.25">
      <c r="A76" s="25" t="s">
        <v>32</v>
      </c>
      <c r="B76" s="25"/>
      <c r="C76" s="25"/>
      <c r="D76" s="25"/>
    </row>
    <row r="77" spans="1:4" ht="6.75" customHeight="1" x14ac:dyDescent="0.25">
      <c r="A77" s="17"/>
      <c r="B77" s="17"/>
      <c r="C77" s="17"/>
      <c r="D77" s="17"/>
    </row>
    <row r="78" spans="1:4" x14ac:dyDescent="0.25">
      <c r="A78" s="27" t="s">
        <v>7</v>
      </c>
      <c r="B78" s="25"/>
      <c r="C78" s="25"/>
      <c r="D78" s="25"/>
    </row>
    <row r="79" spans="1:4" ht="6.75" customHeight="1" x14ac:dyDescent="0.25">
      <c r="A79" s="19"/>
      <c r="B79" s="17"/>
      <c r="C79" s="17"/>
      <c r="D79" s="17"/>
    </row>
    <row r="80" spans="1:4" ht="42" customHeight="1" x14ac:dyDescent="0.25">
      <c r="A80" s="25" t="s">
        <v>8</v>
      </c>
      <c r="B80" s="25"/>
      <c r="C80" s="25"/>
      <c r="D80" s="25"/>
    </row>
    <row r="81" spans="1:4" ht="6.75" customHeight="1" x14ac:dyDescent="0.25">
      <c r="A81" s="17"/>
      <c r="B81" s="17"/>
      <c r="C81" s="17"/>
      <c r="D81" s="17"/>
    </row>
    <row r="82" spans="1:4" ht="52.5" customHeight="1" x14ac:dyDescent="0.25">
      <c r="A82" s="25" t="s">
        <v>9</v>
      </c>
      <c r="B82" s="25"/>
      <c r="C82" s="25"/>
      <c r="D82" s="25"/>
    </row>
    <row r="83" spans="1:4" ht="6.75" customHeight="1" x14ac:dyDescent="0.25">
      <c r="A83" s="17"/>
      <c r="B83" s="17"/>
      <c r="C83" s="17"/>
      <c r="D83" s="17"/>
    </row>
    <row r="84" spans="1:4" ht="51.75" customHeight="1" x14ac:dyDescent="0.25">
      <c r="A84" s="25" t="s">
        <v>10</v>
      </c>
      <c r="B84" s="25"/>
      <c r="C84" s="25"/>
      <c r="D84" s="25"/>
    </row>
    <row r="85" spans="1:4" ht="6.75" customHeight="1" x14ac:dyDescent="0.25">
      <c r="A85" s="17"/>
      <c r="B85" s="17"/>
      <c r="C85" s="17"/>
      <c r="D85" s="17"/>
    </row>
    <row r="86" spans="1:4" ht="78.75" customHeight="1" x14ac:dyDescent="0.25">
      <c r="A86" s="25" t="s">
        <v>33</v>
      </c>
      <c r="B86" s="25"/>
      <c r="C86" s="25"/>
      <c r="D86" s="25"/>
    </row>
    <row r="87" spans="1:4" ht="6.75" customHeight="1" x14ac:dyDescent="0.25">
      <c r="A87" s="17"/>
      <c r="B87" s="17"/>
      <c r="C87" s="17"/>
      <c r="D87" s="17"/>
    </row>
    <row r="88" spans="1:4" ht="77.25" customHeight="1" x14ac:dyDescent="0.25">
      <c r="A88" s="25" t="s">
        <v>34</v>
      </c>
      <c r="B88" s="25"/>
      <c r="C88" s="25"/>
      <c r="D88" s="25"/>
    </row>
    <row r="89" spans="1:4" ht="6.75" customHeight="1" x14ac:dyDescent="0.25">
      <c r="A89" s="17"/>
      <c r="B89" s="17"/>
      <c r="C89" s="17"/>
      <c r="D89" s="17"/>
    </row>
    <row r="90" spans="1:4" ht="41.25" customHeight="1" x14ac:dyDescent="0.25">
      <c r="A90" s="25" t="s">
        <v>11</v>
      </c>
      <c r="B90" s="25"/>
      <c r="C90" s="25"/>
      <c r="D90" s="25"/>
    </row>
    <row r="91" spans="1:4" ht="6.75" customHeight="1" x14ac:dyDescent="0.25">
      <c r="A91" s="17"/>
      <c r="B91" s="17"/>
      <c r="C91" s="17"/>
      <c r="D91" s="17"/>
    </row>
    <row r="92" spans="1:4" x14ac:dyDescent="0.25">
      <c r="A92" s="27" t="s">
        <v>12</v>
      </c>
      <c r="B92" s="25"/>
      <c r="C92" s="25"/>
      <c r="D92" s="25"/>
    </row>
    <row r="93" spans="1:4" ht="6.75" customHeight="1" x14ac:dyDescent="0.25">
      <c r="A93" s="19"/>
      <c r="B93" s="17"/>
      <c r="C93" s="17"/>
      <c r="D93" s="17"/>
    </row>
    <row r="94" spans="1:4" x14ac:dyDescent="0.25">
      <c r="A94" s="28" t="s">
        <v>13</v>
      </c>
      <c r="B94" s="28"/>
      <c r="C94" s="5" t="s">
        <v>14</v>
      </c>
      <c r="D94" s="6">
        <v>113.62</v>
      </c>
    </row>
    <row r="95" spans="1:4" ht="26.25" customHeight="1" x14ac:dyDescent="0.25">
      <c r="A95" s="28" t="s">
        <v>15</v>
      </c>
      <c r="B95" s="28"/>
      <c r="C95" s="5" t="s">
        <v>14</v>
      </c>
      <c r="D95" s="6">
        <v>14.23</v>
      </c>
    </row>
    <row r="96" spans="1:4" ht="25.5" customHeight="1" x14ac:dyDescent="0.25">
      <c r="A96" s="28" t="s">
        <v>35</v>
      </c>
      <c r="B96" s="28"/>
      <c r="C96" s="5" t="s">
        <v>14</v>
      </c>
      <c r="D96" s="6">
        <v>7.62</v>
      </c>
    </row>
    <row r="97" spans="1:4" x14ac:dyDescent="0.25">
      <c r="A97" s="28" t="s">
        <v>30</v>
      </c>
      <c r="B97" s="28"/>
      <c r="C97" s="5" t="s">
        <v>36</v>
      </c>
      <c r="D97" s="7">
        <v>4.2012999999999998</v>
      </c>
    </row>
    <row r="98" spans="1:4" x14ac:dyDescent="0.25">
      <c r="A98" s="28" t="s">
        <v>18</v>
      </c>
      <c r="B98" s="28"/>
      <c r="C98" s="5" t="s">
        <v>36</v>
      </c>
      <c r="D98" s="7">
        <v>0.14549999999999999</v>
      </c>
    </row>
    <row r="99" spans="1:4" ht="23.25" customHeight="1" x14ac:dyDescent="0.25">
      <c r="A99" s="28" t="s">
        <v>123</v>
      </c>
      <c r="B99" s="28"/>
      <c r="C99" s="5" t="s">
        <v>19</v>
      </c>
      <c r="D99" s="7">
        <v>-4.4999999999999997E-3</v>
      </c>
    </row>
    <row r="100" spans="1:4" ht="24.75" customHeight="1" x14ac:dyDescent="0.25">
      <c r="A100" s="28" t="s">
        <v>125</v>
      </c>
      <c r="B100" s="28"/>
      <c r="C100" s="5" t="s">
        <v>36</v>
      </c>
      <c r="D100" s="7">
        <v>0.24990000000000001</v>
      </c>
    </row>
    <row r="101" spans="1:4" ht="14.25" customHeight="1" x14ac:dyDescent="0.25">
      <c r="A101" s="28" t="s">
        <v>124</v>
      </c>
      <c r="B101" s="28"/>
      <c r="C101" s="5" t="s">
        <v>36</v>
      </c>
      <c r="D101" s="7">
        <v>6.3299999999999995E-2</v>
      </c>
    </row>
    <row r="102" spans="1:4" ht="24" customHeight="1" x14ac:dyDescent="0.25">
      <c r="A102" s="28" t="s">
        <v>126</v>
      </c>
      <c r="B102" s="28"/>
      <c r="C102" s="5" t="s">
        <v>36</v>
      </c>
      <c r="D102" s="7">
        <v>-3.5299999999999998E-2</v>
      </c>
    </row>
    <row r="103" spans="1:4" ht="23.25" customHeight="1" x14ac:dyDescent="0.25">
      <c r="A103" s="28" t="s">
        <v>37</v>
      </c>
      <c r="B103" s="28"/>
      <c r="C103" s="5" t="s">
        <v>36</v>
      </c>
      <c r="D103" s="7">
        <v>4.8300000000000003E-2</v>
      </c>
    </row>
    <row r="104" spans="1:4" x14ac:dyDescent="0.25">
      <c r="A104" s="28" t="s">
        <v>20</v>
      </c>
      <c r="B104" s="28"/>
      <c r="C104" s="5" t="s">
        <v>36</v>
      </c>
      <c r="D104" s="7">
        <v>0.42199999999999999</v>
      </c>
    </row>
    <row r="105" spans="1:4" x14ac:dyDescent="0.25">
      <c r="A105" s="28" t="s">
        <v>21</v>
      </c>
      <c r="B105" s="28"/>
      <c r="C105" s="5" t="s">
        <v>36</v>
      </c>
      <c r="D105" s="7">
        <v>4.7381000000000002</v>
      </c>
    </row>
    <row r="106" spans="1:4" ht="25.5" customHeight="1" x14ac:dyDescent="0.25">
      <c r="A106" s="28" t="s">
        <v>38</v>
      </c>
      <c r="B106" s="28"/>
      <c r="C106" s="5" t="s">
        <v>36</v>
      </c>
      <c r="D106" s="7">
        <v>2.5701999999999998</v>
      </c>
    </row>
    <row r="107" spans="1:4" x14ac:dyDescent="0.25">
      <c r="A107" s="28" t="s">
        <v>39</v>
      </c>
      <c r="B107" s="28"/>
      <c r="C107" s="5" t="s">
        <v>36</v>
      </c>
      <c r="D107" s="7">
        <v>4.7712000000000003</v>
      </c>
    </row>
    <row r="108" spans="1:4" ht="23.25" customHeight="1" x14ac:dyDescent="0.25">
      <c r="A108" s="28" t="s">
        <v>40</v>
      </c>
      <c r="B108" s="28"/>
      <c r="C108" s="5" t="s">
        <v>36</v>
      </c>
      <c r="D108" s="7">
        <v>2.5962000000000001</v>
      </c>
    </row>
    <row r="109" spans="1:4" ht="6.75" customHeight="1" x14ac:dyDescent="0.25">
      <c r="A109" s="16"/>
      <c r="B109" s="16"/>
      <c r="C109" s="5"/>
      <c r="D109" s="7"/>
    </row>
    <row r="110" spans="1:4" x14ac:dyDescent="0.25">
      <c r="A110" s="27" t="s">
        <v>23</v>
      </c>
      <c r="B110" s="28"/>
      <c r="C110" s="5"/>
      <c r="D110" s="5"/>
    </row>
    <row r="111" spans="1:4" ht="6.75" customHeight="1" x14ac:dyDescent="0.25">
      <c r="A111" s="19"/>
      <c r="B111" s="16"/>
      <c r="C111" s="5"/>
      <c r="D111" s="5"/>
    </row>
    <row r="112" spans="1:4" x14ac:dyDescent="0.25">
      <c r="A112" s="28" t="s">
        <v>24</v>
      </c>
      <c r="B112" s="28"/>
      <c r="C112" s="5" t="s">
        <v>19</v>
      </c>
      <c r="D112" s="7">
        <v>4.1000000000000003E-3</v>
      </c>
    </row>
    <row r="113" spans="1:4" x14ac:dyDescent="0.25">
      <c r="A113" s="28" t="s">
        <v>25</v>
      </c>
      <c r="B113" s="28"/>
      <c r="C113" s="5" t="s">
        <v>19</v>
      </c>
      <c r="D113" s="7">
        <v>4.0000000000000002E-4</v>
      </c>
    </row>
    <row r="114" spans="1:4" x14ac:dyDescent="0.25">
      <c r="A114" s="28" t="s">
        <v>26</v>
      </c>
      <c r="B114" s="28"/>
      <c r="C114" s="5" t="s">
        <v>19</v>
      </c>
      <c r="D114" s="7">
        <v>6.9999999999999999E-4</v>
      </c>
    </row>
    <row r="115" spans="1:4" x14ac:dyDescent="0.25">
      <c r="A115" s="28" t="s">
        <v>27</v>
      </c>
      <c r="B115" s="28"/>
      <c r="C115" s="5" t="s">
        <v>14</v>
      </c>
      <c r="D115" s="6">
        <v>0.25</v>
      </c>
    </row>
    <row r="116" spans="1:4" s="8" customFormat="1" ht="18" customHeight="1" x14ac:dyDescent="0.25">
      <c r="A116" s="24" t="s">
        <v>41</v>
      </c>
      <c r="B116" s="29"/>
      <c r="C116" s="29"/>
      <c r="D116" s="29"/>
    </row>
    <row r="117" spans="1:4" ht="77.25" customHeight="1" x14ac:dyDescent="0.25">
      <c r="A117" s="25" t="s">
        <v>42</v>
      </c>
      <c r="B117" s="25"/>
      <c r="C117" s="25"/>
      <c r="D117" s="25"/>
    </row>
    <row r="118" spans="1:4" ht="6.75" customHeight="1" x14ac:dyDescent="0.25">
      <c r="A118" s="17"/>
      <c r="B118" s="17"/>
      <c r="C118" s="17"/>
      <c r="D118" s="17"/>
    </row>
    <row r="119" spans="1:4" x14ac:dyDescent="0.25">
      <c r="A119" s="27" t="s">
        <v>7</v>
      </c>
      <c r="B119" s="25"/>
      <c r="C119" s="25"/>
      <c r="D119" s="25"/>
    </row>
    <row r="120" spans="1:4" ht="6.75" customHeight="1" x14ac:dyDescent="0.25">
      <c r="A120" s="19"/>
      <c r="B120" s="17"/>
      <c r="C120" s="17"/>
      <c r="D120" s="17"/>
    </row>
    <row r="121" spans="1:4" ht="42" customHeight="1" x14ac:dyDescent="0.25">
      <c r="A121" s="25" t="s">
        <v>8</v>
      </c>
      <c r="B121" s="25"/>
      <c r="C121" s="25"/>
      <c r="D121" s="25"/>
    </row>
    <row r="122" spans="1:4" ht="6.75" customHeight="1" x14ac:dyDescent="0.25">
      <c r="A122" s="17"/>
      <c r="B122" s="17"/>
      <c r="C122" s="17"/>
      <c r="D122" s="17"/>
    </row>
    <row r="123" spans="1:4" ht="51" customHeight="1" x14ac:dyDescent="0.25">
      <c r="A123" s="25" t="s">
        <v>9</v>
      </c>
      <c r="B123" s="25"/>
      <c r="C123" s="25"/>
      <c r="D123" s="25"/>
    </row>
    <row r="124" spans="1:4" ht="6.75" customHeight="1" x14ac:dyDescent="0.25">
      <c r="A124" s="17"/>
      <c r="B124" s="17"/>
      <c r="C124" s="17"/>
      <c r="D124" s="17"/>
    </row>
    <row r="125" spans="1:4" ht="52.5" customHeight="1" x14ac:dyDescent="0.25">
      <c r="A125" s="25" t="s">
        <v>10</v>
      </c>
      <c r="B125" s="25"/>
      <c r="C125" s="25"/>
      <c r="D125" s="25"/>
    </row>
    <row r="126" spans="1:4" ht="6.75" customHeight="1" x14ac:dyDescent="0.25">
      <c r="A126" s="17"/>
      <c r="B126" s="17"/>
      <c r="C126" s="17"/>
      <c r="D126" s="17"/>
    </row>
    <row r="127" spans="1:4" ht="77.25" customHeight="1" x14ac:dyDescent="0.25">
      <c r="A127" s="25" t="s">
        <v>33</v>
      </c>
      <c r="B127" s="25"/>
      <c r="C127" s="25"/>
      <c r="D127" s="25"/>
    </row>
    <row r="128" spans="1:4" ht="6.75" customHeight="1" x14ac:dyDescent="0.25">
      <c r="A128" s="17"/>
      <c r="B128" s="17"/>
      <c r="C128" s="17"/>
      <c r="D128" s="17"/>
    </row>
    <row r="129" spans="1:4" ht="78" customHeight="1" x14ac:dyDescent="0.25">
      <c r="A129" s="25" t="s">
        <v>34</v>
      </c>
      <c r="B129" s="25"/>
      <c r="C129" s="25"/>
      <c r="D129" s="25"/>
    </row>
    <row r="130" spans="1:4" ht="6.75" customHeight="1" x14ac:dyDescent="0.25">
      <c r="A130" s="17"/>
      <c r="B130" s="17"/>
      <c r="C130" s="17"/>
      <c r="D130" s="17"/>
    </row>
    <row r="131" spans="1:4" ht="41.25" customHeight="1" x14ac:dyDescent="0.25">
      <c r="A131" s="25" t="s">
        <v>11</v>
      </c>
      <c r="B131" s="25"/>
      <c r="C131" s="25"/>
      <c r="D131" s="25"/>
    </row>
    <row r="132" spans="1:4" ht="6.75" customHeight="1" x14ac:dyDescent="0.25">
      <c r="A132" s="17"/>
      <c r="B132" s="17"/>
      <c r="C132" s="17"/>
      <c r="D132" s="17"/>
    </row>
    <row r="133" spans="1:4" x14ac:dyDescent="0.25">
      <c r="A133" s="27" t="s">
        <v>12</v>
      </c>
      <c r="B133" s="25"/>
      <c r="C133" s="25"/>
      <c r="D133" s="25"/>
    </row>
    <row r="134" spans="1:4" ht="6.75" customHeight="1" x14ac:dyDescent="0.25">
      <c r="A134" s="19"/>
      <c r="B134" s="17"/>
      <c r="C134" s="17"/>
      <c r="D134" s="17"/>
    </row>
    <row r="135" spans="1:4" x14ac:dyDescent="0.25">
      <c r="A135" s="28" t="s">
        <v>13</v>
      </c>
      <c r="B135" s="28"/>
      <c r="C135" s="5" t="s">
        <v>14</v>
      </c>
      <c r="D135" s="6">
        <v>959.65</v>
      </c>
    </row>
    <row r="136" spans="1:4" ht="26.25" customHeight="1" x14ac:dyDescent="0.25">
      <c r="A136" s="28" t="s">
        <v>15</v>
      </c>
      <c r="B136" s="28"/>
      <c r="C136" s="5" t="s">
        <v>14</v>
      </c>
      <c r="D136" s="6">
        <v>163.21</v>
      </c>
    </row>
    <row r="137" spans="1:4" ht="26.25" customHeight="1" x14ac:dyDescent="0.25">
      <c r="A137" s="28" t="s">
        <v>35</v>
      </c>
      <c r="B137" s="28"/>
      <c r="C137" s="5" t="s">
        <v>14</v>
      </c>
      <c r="D137" s="6">
        <v>78.099999999999994</v>
      </c>
    </row>
    <row r="138" spans="1:4" x14ac:dyDescent="0.25">
      <c r="A138" s="28" t="s">
        <v>30</v>
      </c>
      <c r="B138" s="28"/>
      <c r="C138" s="5" t="s">
        <v>36</v>
      </c>
      <c r="D138" s="7">
        <v>4.2343000000000002</v>
      </c>
    </row>
    <row r="139" spans="1:4" x14ac:dyDescent="0.25">
      <c r="A139" s="28" t="s">
        <v>18</v>
      </c>
      <c r="B139" s="28"/>
      <c r="C139" s="5" t="s">
        <v>36</v>
      </c>
      <c r="D139" s="7">
        <v>0.10100000000000001</v>
      </c>
    </row>
    <row r="140" spans="1:4" ht="23.25" customHeight="1" x14ac:dyDescent="0.25">
      <c r="A140" s="28" t="s">
        <v>123</v>
      </c>
      <c r="B140" s="28"/>
      <c r="C140" s="5" t="s">
        <v>19</v>
      </c>
      <c r="D140" s="7">
        <v>-4.4999999999999997E-3</v>
      </c>
    </row>
    <row r="141" spans="1:4" ht="24.75" customHeight="1" x14ac:dyDescent="0.25">
      <c r="A141" s="28" t="s">
        <v>125</v>
      </c>
      <c r="B141" s="28"/>
      <c r="C141" s="5" t="s">
        <v>36</v>
      </c>
      <c r="D141" s="7">
        <v>0.32629999999999998</v>
      </c>
    </row>
    <row r="142" spans="1:4" ht="14.25" customHeight="1" x14ac:dyDescent="0.25">
      <c r="A142" s="28" t="s">
        <v>124</v>
      </c>
      <c r="B142" s="28"/>
      <c r="C142" s="5" t="s">
        <v>36</v>
      </c>
      <c r="D142" s="7">
        <v>0.1489</v>
      </c>
    </row>
    <row r="143" spans="1:4" ht="24" customHeight="1" x14ac:dyDescent="0.25">
      <c r="A143" s="28" t="s">
        <v>126</v>
      </c>
      <c r="B143" s="28"/>
      <c r="C143" s="5" t="s">
        <v>36</v>
      </c>
      <c r="D143" s="7">
        <v>-4.7199999999999999E-2</v>
      </c>
    </row>
    <row r="144" spans="1:4" ht="21.75" customHeight="1" x14ac:dyDescent="0.25">
      <c r="A144" s="28" t="s">
        <v>37</v>
      </c>
      <c r="B144" s="28"/>
      <c r="C144" s="5" t="s">
        <v>36</v>
      </c>
      <c r="D144" s="7">
        <v>6.3100000000000003E-2</v>
      </c>
    </row>
    <row r="145" spans="1:4" x14ac:dyDescent="0.25">
      <c r="A145" s="28" t="s">
        <v>20</v>
      </c>
      <c r="B145" s="28"/>
      <c r="C145" s="5" t="s">
        <v>36</v>
      </c>
      <c r="D145" s="7">
        <v>0.56559999999999999</v>
      </c>
    </row>
    <row r="146" spans="1:4" x14ac:dyDescent="0.25">
      <c r="A146" s="28" t="s">
        <v>21</v>
      </c>
      <c r="B146" s="28"/>
      <c r="C146" s="5" t="s">
        <v>36</v>
      </c>
      <c r="D146" s="7">
        <v>3.4689000000000001</v>
      </c>
    </row>
    <row r="147" spans="1:4" ht="26.25" customHeight="1" x14ac:dyDescent="0.25">
      <c r="A147" s="28" t="s">
        <v>38</v>
      </c>
      <c r="B147" s="28"/>
      <c r="C147" s="5" t="s">
        <v>36</v>
      </c>
      <c r="D147" s="7">
        <v>1.7835000000000001</v>
      </c>
    </row>
    <row r="148" spans="1:4" ht="6.75" customHeight="1" x14ac:dyDescent="0.25">
      <c r="A148" s="16"/>
      <c r="B148" s="16"/>
      <c r="C148" s="5"/>
      <c r="D148" s="7"/>
    </row>
    <row r="149" spans="1:4" x14ac:dyDescent="0.25">
      <c r="A149" s="27" t="s">
        <v>23</v>
      </c>
      <c r="B149" s="28"/>
      <c r="C149" s="5"/>
      <c r="D149" s="5"/>
    </row>
    <row r="150" spans="1:4" ht="6.75" customHeight="1" x14ac:dyDescent="0.25">
      <c r="A150" s="19"/>
      <c r="B150" s="16"/>
      <c r="C150" s="5"/>
      <c r="D150" s="5"/>
    </row>
    <row r="151" spans="1:4" x14ac:dyDescent="0.25">
      <c r="A151" s="28" t="s">
        <v>24</v>
      </c>
      <c r="B151" s="28"/>
      <c r="C151" s="5" t="s">
        <v>19</v>
      </c>
      <c r="D151" s="7">
        <v>4.1000000000000003E-3</v>
      </c>
    </row>
    <row r="152" spans="1:4" x14ac:dyDescent="0.25">
      <c r="A152" s="28" t="s">
        <v>25</v>
      </c>
      <c r="B152" s="28"/>
      <c r="C152" s="5" t="s">
        <v>19</v>
      </c>
      <c r="D152" s="7">
        <v>4.0000000000000002E-4</v>
      </c>
    </row>
    <row r="153" spans="1:4" x14ac:dyDescent="0.25">
      <c r="A153" s="28" t="s">
        <v>26</v>
      </c>
      <c r="B153" s="28"/>
      <c r="C153" s="5" t="s">
        <v>19</v>
      </c>
      <c r="D153" s="7">
        <v>6.9999999999999999E-4</v>
      </c>
    </row>
    <row r="154" spans="1:4" x14ac:dyDescent="0.25">
      <c r="A154" s="28" t="s">
        <v>27</v>
      </c>
      <c r="B154" s="28"/>
      <c r="C154" s="5" t="s">
        <v>14</v>
      </c>
      <c r="D154" s="6">
        <v>0.25</v>
      </c>
    </row>
    <row r="155" spans="1:4" s="8" customFormat="1" ht="18" customHeight="1" x14ac:dyDescent="0.25">
      <c r="A155" s="24" t="s">
        <v>43</v>
      </c>
      <c r="B155" s="29"/>
      <c r="C155" s="29"/>
      <c r="D155" s="29"/>
    </row>
    <row r="156" spans="1:4" ht="77.25" customHeight="1" x14ac:dyDescent="0.25">
      <c r="A156" s="25" t="s">
        <v>44</v>
      </c>
      <c r="B156" s="25"/>
      <c r="C156" s="25"/>
      <c r="D156" s="25"/>
    </row>
    <row r="157" spans="1:4" ht="6.75" customHeight="1" x14ac:dyDescent="0.25">
      <c r="A157" s="17"/>
      <c r="B157" s="17"/>
      <c r="C157" s="17"/>
      <c r="D157" s="17"/>
    </row>
    <row r="158" spans="1:4" x14ac:dyDescent="0.25">
      <c r="A158" s="27" t="s">
        <v>7</v>
      </c>
      <c r="B158" s="25"/>
      <c r="C158" s="25"/>
      <c r="D158" s="25"/>
    </row>
    <row r="159" spans="1:4" ht="6.75" customHeight="1" x14ac:dyDescent="0.25">
      <c r="A159" s="19"/>
      <c r="B159" s="17"/>
      <c r="C159" s="17"/>
      <c r="D159" s="17"/>
    </row>
    <row r="160" spans="1:4" ht="40.5" customHeight="1" x14ac:dyDescent="0.25">
      <c r="A160" s="25" t="s">
        <v>8</v>
      </c>
      <c r="B160" s="25"/>
      <c r="C160" s="25"/>
      <c r="D160" s="25"/>
    </row>
    <row r="161" spans="1:4" ht="6.75" customHeight="1" x14ac:dyDescent="0.25">
      <c r="A161" s="17"/>
      <c r="B161" s="17"/>
      <c r="C161" s="17"/>
      <c r="D161" s="17"/>
    </row>
    <row r="162" spans="1:4" ht="52.5" customHeight="1" x14ac:dyDescent="0.25">
      <c r="A162" s="25" t="s">
        <v>9</v>
      </c>
      <c r="B162" s="25"/>
      <c r="C162" s="25"/>
      <c r="D162" s="25"/>
    </row>
    <row r="163" spans="1:4" ht="6.75" customHeight="1" x14ac:dyDescent="0.25">
      <c r="A163" s="17"/>
      <c r="B163" s="17"/>
      <c r="C163" s="17"/>
      <c r="D163" s="17"/>
    </row>
    <row r="164" spans="1:4" ht="54.75" customHeight="1" x14ac:dyDescent="0.25">
      <c r="A164" s="25" t="s">
        <v>10</v>
      </c>
      <c r="B164" s="25"/>
      <c r="C164" s="25"/>
      <c r="D164" s="25"/>
    </row>
    <row r="165" spans="1:4" ht="6.75" customHeight="1" x14ac:dyDescent="0.25">
      <c r="A165" s="17"/>
      <c r="B165" s="17"/>
      <c r="C165" s="17"/>
      <c r="D165" s="17"/>
    </row>
    <row r="166" spans="1:4" ht="78" customHeight="1" x14ac:dyDescent="0.25">
      <c r="A166" s="25" t="s">
        <v>33</v>
      </c>
      <c r="B166" s="25"/>
      <c r="C166" s="25"/>
      <c r="D166" s="25"/>
    </row>
    <row r="167" spans="1:4" ht="6.75" customHeight="1" x14ac:dyDescent="0.25">
      <c r="A167" s="17"/>
      <c r="B167" s="17"/>
      <c r="C167" s="17"/>
      <c r="D167" s="17"/>
    </row>
    <row r="168" spans="1:4" ht="76.5" customHeight="1" x14ac:dyDescent="0.25">
      <c r="A168" s="25" t="s">
        <v>34</v>
      </c>
      <c r="B168" s="25"/>
      <c r="C168" s="25"/>
      <c r="D168" s="25"/>
    </row>
    <row r="169" spans="1:4" ht="6.75" customHeight="1" x14ac:dyDescent="0.25">
      <c r="A169" s="17"/>
      <c r="B169" s="17"/>
      <c r="C169" s="17"/>
      <c r="D169" s="17"/>
    </row>
    <row r="170" spans="1:4" ht="42" customHeight="1" x14ac:dyDescent="0.25">
      <c r="A170" s="25" t="s">
        <v>11</v>
      </c>
      <c r="B170" s="25"/>
      <c r="C170" s="25"/>
      <c r="D170" s="25"/>
    </row>
    <row r="171" spans="1:4" ht="6.75" customHeight="1" x14ac:dyDescent="0.25">
      <c r="A171" s="17"/>
      <c r="B171" s="17"/>
      <c r="C171" s="17"/>
      <c r="D171" s="17"/>
    </row>
    <row r="172" spans="1:4" x14ac:dyDescent="0.25">
      <c r="A172" s="27" t="s">
        <v>12</v>
      </c>
      <c r="B172" s="25"/>
      <c r="C172" s="25"/>
      <c r="D172" s="25"/>
    </row>
    <row r="173" spans="1:4" ht="6.75" customHeight="1" x14ac:dyDescent="0.25">
      <c r="A173" s="19"/>
      <c r="B173" s="17"/>
      <c r="C173" s="17"/>
      <c r="D173" s="17"/>
    </row>
    <row r="174" spans="1:4" x14ac:dyDescent="0.25">
      <c r="A174" s="28" t="s">
        <v>13</v>
      </c>
      <c r="B174" s="28"/>
      <c r="C174" s="5" t="s">
        <v>14</v>
      </c>
      <c r="D174" s="6">
        <v>9965.0499999999993</v>
      </c>
    </row>
    <row r="175" spans="1:4" ht="27.75" customHeight="1" x14ac:dyDescent="0.25">
      <c r="A175" s="28" t="s">
        <v>45</v>
      </c>
      <c r="B175" s="28"/>
      <c r="C175" s="5" t="s">
        <v>14</v>
      </c>
      <c r="D175" s="6">
        <v>677.63</v>
      </c>
    </row>
    <row r="176" spans="1:4" ht="27.75" customHeight="1" x14ac:dyDescent="0.25">
      <c r="A176" s="28" t="s">
        <v>46</v>
      </c>
      <c r="B176" s="28"/>
      <c r="C176" s="5" t="s">
        <v>14</v>
      </c>
      <c r="D176" s="6">
        <v>333.81</v>
      </c>
    </row>
    <row r="177" spans="1:4" x14ac:dyDescent="0.25">
      <c r="A177" s="28" t="s">
        <v>30</v>
      </c>
      <c r="B177" s="28"/>
      <c r="C177" s="5" t="s">
        <v>36</v>
      </c>
      <c r="D177" s="7">
        <v>1.8512</v>
      </c>
    </row>
    <row r="178" spans="1:4" x14ac:dyDescent="0.25">
      <c r="A178" s="28" t="s">
        <v>18</v>
      </c>
      <c r="B178" s="28"/>
      <c r="C178" s="5" t="s">
        <v>36</v>
      </c>
      <c r="D178" s="7">
        <v>0.1019</v>
      </c>
    </row>
    <row r="179" spans="1:4" x14ac:dyDescent="0.25">
      <c r="A179" s="28" t="s">
        <v>124</v>
      </c>
      <c r="B179" s="28"/>
      <c r="C179" s="5" t="s">
        <v>36</v>
      </c>
      <c r="D179" s="7">
        <v>0.93830000000000002</v>
      </c>
    </row>
    <row r="180" spans="1:4" x14ac:dyDescent="0.25">
      <c r="A180" s="28" t="s">
        <v>20</v>
      </c>
      <c r="B180" s="28"/>
      <c r="C180" s="5" t="s">
        <v>36</v>
      </c>
      <c r="D180" s="7">
        <v>0.60540000000000005</v>
      </c>
    </row>
    <row r="181" spans="1:4" x14ac:dyDescent="0.25">
      <c r="A181" s="28" t="s">
        <v>21</v>
      </c>
      <c r="B181" s="28"/>
      <c r="C181" s="5" t="s">
        <v>36</v>
      </c>
      <c r="D181" s="7">
        <v>3.5680000000000001</v>
      </c>
    </row>
    <row r="182" spans="1:4" x14ac:dyDescent="0.25">
      <c r="A182" s="28" t="s">
        <v>47</v>
      </c>
      <c r="B182" s="28"/>
      <c r="C182" s="5" t="s">
        <v>36</v>
      </c>
      <c r="D182" s="7">
        <v>1.7994000000000001</v>
      </c>
    </row>
    <row r="183" spans="1:4" ht="6.75" customHeight="1" x14ac:dyDescent="0.25">
      <c r="A183" s="16"/>
      <c r="B183" s="16"/>
      <c r="C183" s="5"/>
      <c r="D183" s="7"/>
    </row>
    <row r="184" spans="1:4" x14ac:dyDescent="0.25">
      <c r="A184" s="27" t="s">
        <v>23</v>
      </c>
      <c r="B184" s="28"/>
      <c r="C184" s="5"/>
      <c r="D184" s="5"/>
    </row>
    <row r="185" spans="1:4" ht="6.75" customHeight="1" x14ac:dyDescent="0.25">
      <c r="A185" s="19"/>
      <c r="B185" s="16"/>
      <c r="C185" s="5"/>
      <c r="D185" s="5"/>
    </row>
    <row r="186" spans="1:4" x14ac:dyDescent="0.25">
      <c r="A186" s="28" t="s">
        <v>24</v>
      </c>
      <c r="B186" s="28"/>
      <c r="C186" s="5" t="s">
        <v>19</v>
      </c>
      <c r="D186" s="7">
        <v>4.1000000000000003E-3</v>
      </c>
    </row>
    <row r="187" spans="1:4" x14ac:dyDescent="0.25">
      <c r="A187" s="28" t="s">
        <v>25</v>
      </c>
      <c r="B187" s="28"/>
      <c r="C187" s="5" t="s">
        <v>19</v>
      </c>
      <c r="D187" s="7">
        <v>4.0000000000000002E-4</v>
      </c>
    </row>
    <row r="188" spans="1:4" x14ac:dyDescent="0.25">
      <c r="A188" s="28" t="s">
        <v>26</v>
      </c>
      <c r="B188" s="28"/>
      <c r="C188" s="5" t="s">
        <v>19</v>
      </c>
      <c r="D188" s="7">
        <v>6.9999999999999999E-4</v>
      </c>
    </row>
    <row r="189" spans="1:4" x14ac:dyDescent="0.25">
      <c r="A189" s="28" t="s">
        <v>27</v>
      </c>
      <c r="B189" s="28"/>
      <c r="C189" s="5" t="s">
        <v>14</v>
      </c>
      <c r="D189" s="6">
        <v>0.25</v>
      </c>
    </row>
    <row r="190" spans="1:4" s="8" customFormat="1" ht="18" customHeight="1" x14ac:dyDescent="0.25">
      <c r="A190" s="24" t="s">
        <v>48</v>
      </c>
      <c r="B190" s="29"/>
      <c r="C190" s="29"/>
      <c r="D190" s="29"/>
    </row>
    <row r="191" spans="1:4" ht="77.25" customHeight="1" x14ac:dyDescent="0.25">
      <c r="A191" s="25" t="s">
        <v>49</v>
      </c>
      <c r="B191" s="25"/>
      <c r="C191" s="25"/>
      <c r="D191" s="25"/>
    </row>
    <row r="192" spans="1:4" ht="6.75" customHeight="1" x14ac:dyDescent="0.25">
      <c r="A192" s="17"/>
      <c r="B192" s="17"/>
      <c r="C192" s="17"/>
      <c r="D192" s="17"/>
    </row>
    <row r="193" spans="1:4" x14ac:dyDescent="0.25">
      <c r="A193" s="27" t="s">
        <v>7</v>
      </c>
      <c r="B193" s="25"/>
      <c r="C193" s="25"/>
      <c r="D193" s="25"/>
    </row>
    <row r="194" spans="1:4" ht="6.75" customHeight="1" x14ac:dyDescent="0.25">
      <c r="A194" s="19"/>
      <c r="B194" s="17"/>
      <c r="C194" s="17"/>
      <c r="D194" s="17"/>
    </row>
    <row r="195" spans="1:4" ht="40.5" customHeight="1" x14ac:dyDescent="0.25">
      <c r="A195" s="25" t="s">
        <v>8</v>
      </c>
      <c r="B195" s="25"/>
      <c r="C195" s="25"/>
      <c r="D195" s="25"/>
    </row>
    <row r="196" spans="1:4" ht="6.75" customHeight="1" x14ac:dyDescent="0.25">
      <c r="A196" s="17"/>
      <c r="B196" s="17"/>
      <c r="C196" s="17"/>
      <c r="D196" s="17"/>
    </row>
    <row r="197" spans="1:4" ht="51.75" customHeight="1" x14ac:dyDescent="0.25">
      <c r="A197" s="25" t="s">
        <v>9</v>
      </c>
      <c r="B197" s="25"/>
      <c r="C197" s="25"/>
      <c r="D197" s="25"/>
    </row>
    <row r="198" spans="1:4" ht="6.75" customHeight="1" x14ac:dyDescent="0.25">
      <c r="A198" s="17"/>
      <c r="B198" s="17"/>
      <c r="C198" s="17"/>
      <c r="D198" s="17"/>
    </row>
    <row r="199" spans="1:4" ht="52.5" customHeight="1" x14ac:dyDescent="0.25">
      <c r="A199" s="25" t="s">
        <v>10</v>
      </c>
      <c r="B199" s="25"/>
      <c r="C199" s="25"/>
      <c r="D199" s="25"/>
    </row>
    <row r="200" spans="1:4" ht="6.75" customHeight="1" x14ac:dyDescent="0.25">
      <c r="A200" s="17"/>
      <c r="B200" s="17"/>
      <c r="C200" s="17"/>
      <c r="D200" s="17"/>
    </row>
    <row r="201" spans="1:4" ht="39.75" customHeight="1" x14ac:dyDescent="0.25">
      <c r="A201" s="25" t="s">
        <v>11</v>
      </c>
      <c r="B201" s="25"/>
      <c r="C201" s="25"/>
      <c r="D201" s="25"/>
    </row>
    <row r="202" spans="1:4" ht="6.75" customHeight="1" x14ac:dyDescent="0.25">
      <c r="A202" s="17"/>
      <c r="B202" s="17"/>
      <c r="C202" s="17"/>
      <c r="D202" s="17"/>
    </row>
    <row r="203" spans="1:4" x14ac:dyDescent="0.25">
      <c r="A203" s="27" t="s">
        <v>12</v>
      </c>
      <c r="B203" s="25"/>
      <c r="C203" s="25"/>
      <c r="D203" s="25"/>
    </row>
    <row r="204" spans="1:4" ht="6.75" customHeight="1" x14ac:dyDescent="0.25">
      <c r="A204" s="19"/>
      <c r="B204" s="17"/>
      <c r="C204" s="17"/>
      <c r="D204" s="17"/>
    </row>
    <row r="205" spans="1:4" x14ac:dyDescent="0.25">
      <c r="A205" s="28" t="s">
        <v>50</v>
      </c>
      <c r="B205" s="28"/>
      <c r="C205" s="5" t="s">
        <v>14</v>
      </c>
      <c r="D205" s="6">
        <v>6.46</v>
      </c>
    </row>
    <row r="206" spans="1:4" ht="27" customHeight="1" x14ac:dyDescent="0.25">
      <c r="A206" s="28" t="s">
        <v>45</v>
      </c>
      <c r="B206" s="28"/>
      <c r="C206" s="5" t="s">
        <v>14</v>
      </c>
      <c r="D206" s="6">
        <v>0.21</v>
      </c>
    </row>
    <row r="207" spans="1:4" ht="27" customHeight="1" x14ac:dyDescent="0.25">
      <c r="A207" s="28" t="s">
        <v>46</v>
      </c>
      <c r="B207" s="28"/>
      <c r="C207" s="5" t="s">
        <v>14</v>
      </c>
      <c r="D207" s="6">
        <v>0.12</v>
      </c>
    </row>
    <row r="208" spans="1:4" x14ac:dyDescent="0.25">
      <c r="A208" s="28" t="s">
        <v>30</v>
      </c>
      <c r="B208" s="28"/>
      <c r="C208" s="5" t="s">
        <v>19</v>
      </c>
      <c r="D208" s="7">
        <v>1.5900000000000001E-2</v>
      </c>
    </row>
    <row r="209" spans="1:4" x14ac:dyDescent="0.25">
      <c r="A209" s="28" t="s">
        <v>18</v>
      </c>
      <c r="B209" s="28"/>
      <c r="C209" s="5" t="s">
        <v>19</v>
      </c>
      <c r="D209" s="7">
        <v>2.9999999999999997E-4</v>
      </c>
    </row>
    <row r="210" spans="1:4" ht="23.25" customHeight="1" x14ac:dyDescent="0.25">
      <c r="A210" s="28" t="s">
        <v>123</v>
      </c>
      <c r="B210" s="28"/>
      <c r="C210" s="5" t="s">
        <v>19</v>
      </c>
      <c r="D210" s="7">
        <v>-4.4999999999999997E-3</v>
      </c>
    </row>
    <row r="211" spans="1:4" ht="14.25" customHeight="1" x14ac:dyDescent="0.25">
      <c r="A211" s="28" t="s">
        <v>124</v>
      </c>
      <c r="B211" s="28"/>
      <c r="C211" s="5" t="s">
        <v>19</v>
      </c>
      <c r="D211" s="7">
        <v>2E-3</v>
      </c>
    </row>
    <row r="212" spans="1:4" ht="24" customHeight="1" x14ac:dyDescent="0.25">
      <c r="A212" s="28" t="s">
        <v>126</v>
      </c>
      <c r="B212" s="28"/>
      <c r="C212" s="5" t="s">
        <v>19</v>
      </c>
      <c r="D212" s="7">
        <v>-1E-4</v>
      </c>
    </row>
    <row r="213" spans="1:4" x14ac:dyDescent="0.25">
      <c r="A213" s="28" t="s">
        <v>20</v>
      </c>
      <c r="B213" s="28"/>
      <c r="C213" s="5" t="s">
        <v>19</v>
      </c>
      <c r="D213" s="7">
        <v>1.5E-3</v>
      </c>
    </row>
    <row r="214" spans="1:4" x14ac:dyDescent="0.25">
      <c r="A214" s="28" t="s">
        <v>21</v>
      </c>
      <c r="B214" s="28"/>
      <c r="C214" s="5" t="s">
        <v>19</v>
      </c>
      <c r="D214" s="7">
        <v>7.7999999999999996E-3</v>
      </c>
    </row>
    <row r="215" spans="1:4" x14ac:dyDescent="0.25">
      <c r="A215" s="28" t="s">
        <v>22</v>
      </c>
      <c r="B215" s="28"/>
      <c r="C215" s="5" t="s">
        <v>19</v>
      </c>
      <c r="D215" s="7">
        <v>4.4000000000000003E-3</v>
      </c>
    </row>
    <row r="216" spans="1:4" ht="6.75" customHeight="1" x14ac:dyDescent="0.25">
      <c r="A216" s="16"/>
      <c r="B216" s="16"/>
      <c r="C216" s="5"/>
      <c r="D216" s="7"/>
    </row>
    <row r="217" spans="1:4" x14ac:dyDescent="0.25">
      <c r="A217" s="27" t="s">
        <v>23</v>
      </c>
      <c r="B217" s="28"/>
      <c r="C217" s="5"/>
      <c r="D217" s="5"/>
    </row>
    <row r="218" spans="1:4" ht="6.75" customHeight="1" x14ac:dyDescent="0.25">
      <c r="A218" s="19"/>
      <c r="B218" s="16"/>
      <c r="C218" s="5"/>
      <c r="D218" s="5"/>
    </row>
    <row r="219" spans="1:4" x14ac:dyDescent="0.25">
      <c r="A219" s="28" t="s">
        <v>24</v>
      </c>
      <c r="B219" s="28"/>
      <c r="C219" s="5" t="s">
        <v>19</v>
      </c>
      <c r="D219" s="7">
        <v>4.1000000000000003E-3</v>
      </c>
    </row>
    <row r="220" spans="1:4" x14ac:dyDescent="0.25">
      <c r="A220" s="28" t="s">
        <v>25</v>
      </c>
      <c r="B220" s="28"/>
      <c r="C220" s="5" t="s">
        <v>19</v>
      </c>
      <c r="D220" s="7">
        <v>4.0000000000000002E-4</v>
      </c>
    </row>
    <row r="221" spans="1:4" x14ac:dyDescent="0.25">
      <c r="A221" s="28" t="s">
        <v>26</v>
      </c>
      <c r="B221" s="28"/>
      <c r="C221" s="5" t="s">
        <v>19</v>
      </c>
      <c r="D221" s="7">
        <v>6.9999999999999999E-4</v>
      </c>
    </row>
    <row r="222" spans="1:4" x14ac:dyDescent="0.25">
      <c r="A222" s="28" t="s">
        <v>27</v>
      </c>
      <c r="B222" s="28"/>
      <c r="C222" s="5" t="s">
        <v>14</v>
      </c>
      <c r="D222" s="6">
        <v>0.25</v>
      </c>
    </row>
    <row r="223" spans="1:4" s="8" customFormat="1" ht="18" customHeight="1" x14ac:dyDescent="0.25">
      <c r="A223" s="24" t="s">
        <v>51</v>
      </c>
      <c r="B223" s="29"/>
      <c r="C223" s="29"/>
      <c r="D223" s="29"/>
    </row>
    <row r="224" spans="1:4" ht="63.75" customHeight="1" x14ac:dyDescent="0.25">
      <c r="A224" s="25" t="s">
        <v>52</v>
      </c>
      <c r="B224" s="25"/>
      <c r="C224" s="25"/>
      <c r="D224" s="25"/>
    </row>
    <row r="225" spans="1:4" ht="6.75" customHeight="1" x14ac:dyDescent="0.25">
      <c r="A225" s="17"/>
      <c r="B225" s="17"/>
      <c r="C225" s="17"/>
      <c r="D225" s="17"/>
    </row>
    <row r="226" spans="1:4" x14ac:dyDescent="0.25">
      <c r="A226" s="27" t="s">
        <v>7</v>
      </c>
      <c r="B226" s="25"/>
      <c r="C226" s="25"/>
      <c r="D226" s="25"/>
    </row>
    <row r="227" spans="1:4" ht="6.75" customHeight="1" x14ac:dyDescent="0.25">
      <c r="A227" s="19"/>
      <c r="B227" s="17"/>
      <c r="C227" s="17"/>
      <c r="D227" s="17"/>
    </row>
    <row r="228" spans="1:4" ht="39.75" customHeight="1" x14ac:dyDescent="0.25">
      <c r="A228" s="25" t="s">
        <v>8</v>
      </c>
      <c r="B228" s="25"/>
      <c r="C228" s="25"/>
      <c r="D228" s="25"/>
    </row>
    <row r="229" spans="1:4" ht="6.75" customHeight="1" x14ac:dyDescent="0.25">
      <c r="A229" s="17"/>
      <c r="B229" s="17"/>
      <c r="C229" s="17"/>
      <c r="D229" s="17"/>
    </row>
    <row r="230" spans="1:4" ht="50.25" customHeight="1" x14ac:dyDescent="0.25">
      <c r="A230" s="25" t="s">
        <v>9</v>
      </c>
      <c r="B230" s="25"/>
      <c r="C230" s="25"/>
      <c r="D230" s="25"/>
    </row>
    <row r="231" spans="1:4" ht="6.75" customHeight="1" x14ac:dyDescent="0.25">
      <c r="A231" s="17"/>
      <c r="B231" s="17"/>
      <c r="C231" s="17"/>
      <c r="D231" s="17"/>
    </row>
    <row r="232" spans="1:4" ht="50.25" customHeight="1" x14ac:dyDescent="0.25">
      <c r="A232" s="25" t="s">
        <v>10</v>
      </c>
      <c r="B232" s="25"/>
      <c r="C232" s="25"/>
      <c r="D232" s="25"/>
    </row>
    <row r="233" spans="1:4" ht="6.75" customHeight="1" x14ac:dyDescent="0.25">
      <c r="A233" s="17"/>
      <c r="B233" s="17"/>
      <c r="C233" s="17"/>
      <c r="D233" s="17"/>
    </row>
    <row r="234" spans="1:4" ht="39.75" customHeight="1" x14ac:dyDescent="0.25">
      <c r="A234" s="25" t="s">
        <v>11</v>
      </c>
      <c r="B234" s="25"/>
      <c r="C234" s="25"/>
      <c r="D234" s="25"/>
    </row>
    <row r="235" spans="1:4" ht="6.75" customHeight="1" x14ac:dyDescent="0.25">
      <c r="A235" s="17"/>
      <c r="B235" s="17"/>
      <c r="C235" s="17"/>
      <c r="D235" s="17"/>
    </row>
    <row r="236" spans="1:4" x14ac:dyDescent="0.25">
      <c r="A236" s="27" t="s">
        <v>12</v>
      </c>
      <c r="B236" s="25"/>
      <c r="C236" s="25"/>
      <c r="D236" s="25"/>
    </row>
    <row r="237" spans="1:4" ht="6.75" customHeight="1" x14ac:dyDescent="0.25">
      <c r="A237" s="19"/>
      <c r="B237" s="17"/>
      <c r="C237" s="17"/>
      <c r="D237" s="17"/>
    </row>
    <row r="238" spans="1:4" x14ac:dyDescent="0.25">
      <c r="A238" s="28" t="s">
        <v>50</v>
      </c>
      <c r="B238" s="28"/>
      <c r="C238" s="5" t="s">
        <v>14</v>
      </c>
      <c r="D238" s="6">
        <v>2.11</v>
      </c>
    </row>
    <row r="239" spans="1:4" ht="26.25" customHeight="1" x14ac:dyDescent="0.25">
      <c r="A239" s="28" t="s">
        <v>45</v>
      </c>
      <c r="B239" s="28"/>
      <c r="C239" s="5" t="s">
        <v>14</v>
      </c>
      <c r="D239" s="6">
        <v>0.06</v>
      </c>
    </row>
    <row r="240" spans="1:4" ht="26.25" customHeight="1" x14ac:dyDescent="0.25">
      <c r="A240" s="28" t="s">
        <v>46</v>
      </c>
      <c r="B240" s="28"/>
      <c r="C240" s="5" t="s">
        <v>14</v>
      </c>
      <c r="D240" s="6">
        <v>0.03</v>
      </c>
    </row>
    <row r="241" spans="1:4" x14ac:dyDescent="0.25">
      <c r="A241" s="28" t="s">
        <v>30</v>
      </c>
      <c r="B241" s="28"/>
      <c r="C241" s="5" t="s">
        <v>36</v>
      </c>
      <c r="D241" s="7">
        <v>16.995000000000001</v>
      </c>
    </row>
    <row r="242" spans="1:4" x14ac:dyDescent="0.25">
      <c r="A242" s="28" t="s">
        <v>18</v>
      </c>
      <c r="B242" s="28"/>
      <c r="C242" s="5" t="s">
        <v>36</v>
      </c>
      <c r="D242" s="7">
        <v>7.7899999999999997E-2</v>
      </c>
    </row>
    <row r="243" spans="1:4" ht="23.25" customHeight="1" x14ac:dyDescent="0.25">
      <c r="A243" s="28" t="s">
        <v>123</v>
      </c>
      <c r="B243" s="28"/>
      <c r="C243" s="5" t="s">
        <v>19</v>
      </c>
      <c r="D243" s="7">
        <v>-4.4999999999999997E-3</v>
      </c>
    </row>
    <row r="244" spans="1:4" ht="14.25" customHeight="1" x14ac:dyDescent="0.25">
      <c r="A244" s="28" t="s">
        <v>124</v>
      </c>
      <c r="B244" s="28"/>
      <c r="C244" s="5" t="s">
        <v>36</v>
      </c>
      <c r="D244" s="7">
        <v>0.46</v>
      </c>
    </row>
    <row r="245" spans="1:4" ht="24" customHeight="1" x14ac:dyDescent="0.25">
      <c r="A245" s="28" t="s">
        <v>126</v>
      </c>
      <c r="B245" s="28"/>
      <c r="C245" s="5" t="s">
        <v>36</v>
      </c>
      <c r="D245" s="7">
        <v>-3.9699999999999999E-2</v>
      </c>
    </row>
    <row r="246" spans="1:4" x14ac:dyDescent="0.25">
      <c r="A246" s="28" t="s">
        <v>20</v>
      </c>
      <c r="B246" s="28"/>
      <c r="C246" s="5" t="s">
        <v>36</v>
      </c>
      <c r="D246" s="7">
        <v>0.5272</v>
      </c>
    </row>
    <row r="247" spans="1:4" x14ac:dyDescent="0.25">
      <c r="A247" s="28" t="s">
        <v>21</v>
      </c>
      <c r="B247" s="28"/>
      <c r="C247" s="5" t="s">
        <v>36</v>
      </c>
      <c r="D247" s="7">
        <v>2.5242</v>
      </c>
    </row>
    <row r="248" spans="1:4" x14ac:dyDescent="0.25">
      <c r="A248" s="28" t="s">
        <v>22</v>
      </c>
      <c r="B248" s="28"/>
      <c r="C248" s="5" t="s">
        <v>36</v>
      </c>
      <c r="D248" s="7">
        <v>1.3754999999999999</v>
      </c>
    </row>
    <row r="249" spans="1:4" ht="6.75" customHeight="1" x14ac:dyDescent="0.25">
      <c r="A249" s="16"/>
      <c r="B249" s="16"/>
      <c r="C249" s="5"/>
      <c r="D249" s="7"/>
    </row>
    <row r="250" spans="1:4" x14ac:dyDescent="0.25">
      <c r="A250" s="27" t="s">
        <v>23</v>
      </c>
      <c r="B250" s="28"/>
      <c r="C250" s="5"/>
      <c r="D250" s="5"/>
    </row>
    <row r="251" spans="1:4" ht="6.75" customHeight="1" x14ac:dyDescent="0.25">
      <c r="A251" s="19"/>
      <c r="B251" s="16"/>
      <c r="C251" s="5"/>
      <c r="D251" s="5"/>
    </row>
    <row r="252" spans="1:4" x14ac:dyDescent="0.25">
      <c r="A252" s="28" t="s">
        <v>24</v>
      </c>
      <c r="B252" s="28"/>
      <c r="C252" s="5" t="s">
        <v>19</v>
      </c>
      <c r="D252" s="7">
        <v>4.1000000000000003E-3</v>
      </c>
    </row>
    <row r="253" spans="1:4" x14ac:dyDescent="0.25">
      <c r="A253" s="28" t="s">
        <v>25</v>
      </c>
      <c r="B253" s="28"/>
      <c r="C253" s="5" t="s">
        <v>19</v>
      </c>
      <c r="D253" s="7">
        <v>4.0000000000000002E-4</v>
      </c>
    </row>
    <row r="254" spans="1:4" x14ac:dyDescent="0.25">
      <c r="A254" s="28" t="s">
        <v>26</v>
      </c>
      <c r="B254" s="28"/>
      <c r="C254" s="5" t="s">
        <v>19</v>
      </c>
      <c r="D254" s="7">
        <v>6.9999999999999999E-4</v>
      </c>
    </row>
    <row r="255" spans="1:4" x14ac:dyDescent="0.25">
      <c r="A255" s="28" t="s">
        <v>27</v>
      </c>
      <c r="B255" s="28"/>
      <c r="C255" s="5" t="s">
        <v>14</v>
      </c>
      <c r="D255" s="6">
        <v>0.25</v>
      </c>
    </row>
    <row r="256" spans="1:4" s="8" customFormat="1" ht="18" customHeight="1" x14ac:dyDescent="0.25">
      <c r="A256" s="24" t="s">
        <v>53</v>
      </c>
      <c r="B256" s="29"/>
      <c r="C256" s="29"/>
      <c r="D256" s="29"/>
    </row>
    <row r="257" spans="1:4" ht="52.5" customHeight="1" x14ac:dyDescent="0.25">
      <c r="A257" s="25" t="s">
        <v>54</v>
      </c>
      <c r="B257" s="25"/>
      <c r="C257" s="25"/>
      <c r="D257" s="25"/>
    </row>
    <row r="258" spans="1:4" ht="6.75" customHeight="1" x14ac:dyDescent="0.25">
      <c r="A258" s="17"/>
      <c r="B258" s="17"/>
      <c r="C258" s="17"/>
      <c r="D258" s="17"/>
    </row>
    <row r="259" spans="1:4" x14ac:dyDescent="0.25">
      <c r="A259" s="27" t="s">
        <v>7</v>
      </c>
      <c r="B259" s="25"/>
      <c r="C259" s="25"/>
      <c r="D259" s="25"/>
    </row>
    <row r="260" spans="1:4" ht="6.75" customHeight="1" x14ac:dyDescent="0.25">
      <c r="A260" s="19"/>
      <c r="B260" s="17"/>
      <c r="C260" s="17"/>
      <c r="D260" s="17"/>
    </row>
    <row r="261" spans="1:4" ht="37.5" customHeight="1" x14ac:dyDescent="0.25">
      <c r="A261" s="25" t="s">
        <v>8</v>
      </c>
      <c r="B261" s="25"/>
      <c r="C261" s="25"/>
      <c r="D261" s="25"/>
    </row>
    <row r="262" spans="1:4" ht="6.75" customHeight="1" x14ac:dyDescent="0.25">
      <c r="A262" s="17"/>
      <c r="B262" s="17"/>
      <c r="C262" s="17"/>
      <c r="D262" s="17"/>
    </row>
    <row r="263" spans="1:4" ht="51" customHeight="1" x14ac:dyDescent="0.25">
      <c r="A263" s="25" t="s">
        <v>9</v>
      </c>
      <c r="B263" s="25"/>
      <c r="C263" s="25"/>
      <c r="D263" s="25"/>
    </row>
    <row r="264" spans="1:4" ht="6.75" customHeight="1" x14ac:dyDescent="0.25">
      <c r="A264" s="17"/>
      <c r="B264" s="17"/>
      <c r="C264" s="17"/>
      <c r="D264" s="17"/>
    </row>
    <row r="265" spans="1:4" ht="51" customHeight="1" x14ac:dyDescent="0.25">
      <c r="A265" s="25" t="s">
        <v>55</v>
      </c>
      <c r="B265" s="25"/>
      <c r="C265" s="25"/>
      <c r="D265" s="25"/>
    </row>
    <row r="266" spans="1:4" ht="6.75" customHeight="1" x14ac:dyDescent="0.25">
      <c r="A266" s="17"/>
      <c r="B266" s="17"/>
      <c r="C266" s="17"/>
      <c r="D266" s="17"/>
    </row>
    <row r="267" spans="1:4" ht="37.5" customHeight="1" x14ac:dyDescent="0.25">
      <c r="A267" s="25" t="s">
        <v>11</v>
      </c>
      <c r="B267" s="25"/>
      <c r="C267" s="25"/>
      <c r="D267" s="25"/>
    </row>
    <row r="268" spans="1:4" ht="6.75" customHeight="1" x14ac:dyDescent="0.25">
      <c r="A268" s="17"/>
      <c r="B268" s="17"/>
      <c r="C268" s="17"/>
      <c r="D268" s="17"/>
    </row>
    <row r="269" spans="1:4" x14ac:dyDescent="0.25">
      <c r="A269" s="27" t="s">
        <v>12</v>
      </c>
      <c r="B269" s="25"/>
      <c r="C269" s="25"/>
      <c r="D269" s="25"/>
    </row>
    <row r="270" spans="1:4" ht="6.75" customHeight="1" x14ac:dyDescent="0.25">
      <c r="A270" s="19"/>
      <c r="B270" s="17"/>
      <c r="C270" s="17"/>
      <c r="D270" s="17"/>
    </row>
    <row r="271" spans="1:4" x14ac:dyDescent="0.25">
      <c r="A271" s="28" t="s">
        <v>50</v>
      </c>
      <c r="B271" s="28"/>
      <c r="C271" s="5" t="s">
        <v>14</v>
      </c>
      <c r="D271" s="6">
        <v>3.13</v>
      </c>
    </row>
    <row r="272" spans="1:4" ht="24" customHeight="1" x14ac:dyDescent="0.25">
      <c r="A272" s="28" t="s">
        <v>45</v>
      </c>
      <c r="B272" s="28"/>
      <c r="C272" s="5" t="s">
        <v>14</v>
      </c>
      <c r="D272" s="6">
        <v>0.21</v>
      </c>
    </row>
    <row r="273" spans="1:4" ht="24" customHeight="1" x14ac:dyDescent="0.25">
      <c r="A273" s="28" t="s">
        <v>46</v>
      </c>
      <c r="B273" s="28"/>
      <c r="C273" s="5" t="s">
        <v>14</v>
      </c>
      <c r="D273" s="6">
        <v>0.11</v>
      </c>
    </row>
    <row r="274" spans="1:4" x14ac:dyDescent="0.25">
      <c r="A274" s="28" t="s">
        <v>30</v>
      </c>
      <c r="B274" s="28"/>
      <c r="C274" s="5" t="s">
        <v>36</v>
      </c>
      <c r="D274" s="7">
        <v>46.752499999999998</v>
      </c>
    </row>
    <row r="275" spans="1:4" x14ac:dyDescent="0.25">
      <c r="A275" s="28" t="s">
        <v>18</v>
      </c>
      <c r="B275" s="28"/>
      <c r="C275" s="5" t="s">
        <v>36</v>
      </c>
      <c r="D275" s="7">
        <v>7.5300000000000006E-2</v>
      </c>
    </row>
    <row r="276" spans="1:4" ht="24" customHeight="1" x14ac:dyDescent="0.25">
      <c r="A276" s="28" t="s">
        <v>126</v>
      </c>
      <c r="B276" s="28"/>
      <c r="C276" s="5" t="s">
        <v>36</v>
      </c>
      <c r="D276" s="7">
        <v>-4.1000000000000003E-3</v>
      </c>
    </row>
    <row r="277" spans="1:4" ht="14.25" customHeight="1" x14ac:dyDescent="0.25">
      <c r="A277" s="28" t="s">
        <v>124</v>
      </c>
      <c r="B277" s="28"/>
      <c r="C277" s="5" t="s">
        <v>36</v>
      </c>
      <c r="D277" s="7">
        <v>0.59099999999999997</v>
      </c>
    </row>
    <row r="278" spans="1:4" x14ac:dyDescent="0.25">
      <c r="A278" s="28" t="s">
        <v>20</v>
      </c>
      <c r="B278" s="28"/>
      <c r="C278" s="5" t="s">
        <v>36</v>
      </c>
      <c r="D278" s="7">
        <v>6.0999999999999999E-2</v>
      </c>
    </row>
    <row r="279" spans="1:4" x14ac:dyDescent="0.25">
      <c r="A279" s="28" t="s">
        <v>21</v>
      </c>
      <c r="B279" s="28"/>
      <c r="C279" s="5" t="s">
        <v>36</v>
      </c>
      <c r="D279" s="7">
        <v>2.7690000000000001</v>
      </c>
    </row>
    <row r="280" spans="1:4" x14ac:dyDescent="0.25">
      <c r="A280" s="28" t="s">
        <v>22</v>
      </c>
      <c r="B280" s="28"/>
      <c r="C280" s="5" t="s">
        <v>36</v>
      </c>
      <c r="D280" s="7">
        <v>1.3301000000000001</v>
      </c>
    </row>
    <row r="281" spans="1:4" ht="6.75" customHeight="1" x14ac:dyDescent="0.25">
      <c r="A281" s="16"/>
      <c r="B281" s="16"/>
      <c r="C281" s="5"/>
      <c r="D281" s="7"/>
    </row>
    <row r="282" spans="1:4" x14ac:dyDescent="0.25">
      <c r="A282" s="27" t="s">
        <v>23</v>
      </c>
      <c r="B282" s="28"/>
      <c r="C282" s="5"/>
      <c r="D282" s="5"/>
    </row>
    <row r="283" spans="1:4" ht="6.75" customHeight="1" x14ac:dyDescent="0.25">
      <c r="A283" s="19"/>
      <c r="B283" s="16"/>
      <c r="C283" s="5"/>
      <c r="D283" s="5"/>
    </row>
    <row r="284" spans="1:4" x14ac:dyDescent="0.25">
      <c r="A284" s="28" t="s">
        <v>24</v>
      </c>
      <c r="B284" s="28"/>
      <c r="C284" s="5" t="s">
        <v>19</v>
      </c>
      <c r="D284" s="7">
        <v>4.1000000000000003E-3</v>
      </c>
    </row>
    <row r="285" spans="1:4" x14ac:dyDescent="0.25">
      <c r="A285" s="28" t="s">
        <v>25</v>
      </c>
      <c r="B285" s="28"/>
      <c r="C285" s="5" t="s">
        <v>19</v>
      </c>
      <c r="D285" s="7">
        <v>4.0000000000000002E-4</v>
      </c>
    </row>
    <row r="286" spans="1:4" x14ac:dyDescent="0.25">
      <c r="A286" s="28" t="s">
        <v>26</v>
      </c>
      <c r="B286" s="28"/>
      <c r="C286" s="5" t="s">
        <v>19</v>
      </c>
      <c r="D286" s="7">
        <v>6.9999999999999999E-4</v>
      </c>
    </row>
    <row r="287" spans="1:4" x14ac:dyDescent="0.25">
      <c r="A287" s="28" t="s">
        <v>27</v>
      </c>
      <c r="B287" s="28"/>
      <c r="C287" s="5" t="s">
        <v>14</v>
      </c>
      <c r="D287" s="6">
        <v>0.25</v>
      </c>
    </row>
    <row r="288" spans="1:4" ht="38.25" customHeight="1" x14ac:dyDescent="0.25">
      <c r="A288" s="24" t="s">
        <v>56</v>
      </c>
      <c r="B288" s="25"/>
      <c r="C288" s="25"/>
      <c r="D288" s="25"/>
    </row>
    <row r="289" spans="1:4" ht="29.25" customHeight="1" x14ac:dyDescent="0.25">
      <c r="A289" s="25" t="s">
        <v>57</v>
      </c>
      <c r="B289" s="25"/>
      <c r="C289" s="25"/>
      <c r="D289" s="25"/>
    </row>
    <row r="290" spans="1:4" ht="6.75" customHeight="1" x14ac:dyDescent="0.25">
      <c r="A290" s="17"/>
      <c r="B290" s="17"/>
      <c r="C290" s="17"/>
      <c r="D290" s="17"/>
    </row>
    <row r="291" spans="1:4" x14ac:dyDescent="0.25">
      <c r="A291" s="27" t="s">
        <v>7</v>
      </c>
      <c r="B291" s="25"/>
      <c r="C291" s="25"/>
      <c r="D291" s="25"/>
    </row>
    <row r="292" spans="1:4" ht="6.75" customHeight="1" x14ac:dyDescent="0.25">
      <c r="A292" s="19"/>
      <c r="B292" s="17"/>
      <c r="C292" s="17"/>
      <c r="D292" s="17"/>
    </row>
    <row r="293" spans="1:4" ht="39" customHeight="1" x14ac:dyDescent="0.25">
      <c r="A293" s="25" t="s">
        <v>8</v>
      </c>
      <c r="B293" s="25"/>
      <c r="C293" s="25"/>
      <c r="D293" s="25"/>
    </row>
    <row r="294" spans="1:4" ht="6.75" customHeight="1" x14ac:dyDescent="0.25">
      <c r="A294" s="17"/>
      <c r="B294" s="17"/>
      <c r="C294" s="17"/>
      <c r="D294" s="17"/>
    </row>
    <row r="295" spans="1:4" ht="49.5" customHeight="1" x14ac:dyDescent="0.25">
      <c r="A295" s="25" t="s">
        <v>9</v>
      </c>
      <c r="B295" s="25"/>
      <c r="C295" s="25"/>
      <c r="D295" s="25"/>
    </row>
    <row r="296" spans="1:4" ht="6.75" customHeight="1" x14ac:dyDescent="0.25">
      <c r="A296" s="17"/>
      <c r="B296" s="17"/>
      <c r="C296" s="17"/>
      <c r="D296" s="17"/>
    </row>
    <row r="297" spans="1:4" ht="50.25" customHeight="1" x14ac:dyDescent="0.25">
      <c r="A297" s="25" t="s">
        <v>10</v>
      </c>
      <c r="B297" s="25"/>
      <c r="C297" s="25"/>
      <c r="D297" s="25"/>
    </row>
    <row r="298" spans="1:4" ht="6.75" customHeight="1" x14ac:dyDescent="0.25">
      <c r="A298" s="17"/>
      <c r="B298" s="17"/>
      <c r="C298" s="17"/>
      <c r="D298" s="17"/>
    </row>
    <row r="299" spans="1:4" ht="37.5" customHeight="1" x14ac:dyDescent="0.25">
      <c r="A299" s="25" t="s">
        <v>11</v>
      </c>
      <c r="B299" s="25"/>
      <c r="C299" s="25"/>
      <c r="D299" s="25"/>
    </row>
    <row r="300" spans="1:4" ht="6.75" customHeight="1" x14ac:dyDescent="0.25">
      <c r="A300" s="17"/>
      <c r="B300" s="17"/>
      <c r="C300" s="17"/>
      <c r="D300" s="17"/>
    </row>
    <row r="301" spans="1:4" x14ac:dyDescent="0.25">
      <c r="A301" s="27" t="s">
        <v>12</v>
      </c>
      <c r="B301" s="25"/>
      <c r="C301" s="25"/>
      <c r="D301" s="25"/>
    </row>
    <row r="302" spans="1:4" ht="6.75" customHeight="1" x14ac:dyDescent="0.25">
      <c r="A302" s="19"/>
      <c r="B302" s="17"/>
      <c r="C302" s="17"/>
      <c r="D302" s="17"/>
    </row>
    <row r="303" spans="1:4" x14ac:dyDescent="0.25">
      <c r="A303" s="28" t="s">
        <v>30</v>
      </c>
      <c r="B303" s="28"/>
      <c r="C303" s="5" t="s">
        <v>36</v>
      </c>
      <c r="D303" s="7">
        <v>2.3426999999999998</v>
      </c>
    </row>
    <row r="304" spans="1:4" ht="23.25" customHeight="1" x14ac:dyDescent="0.25">
      <c r="A304" s="28" t="s">
        <v>123</v>
      </c>
      <c r="B304" s="28"/>
      <c r="C304" s="5" t="s">
        <v>19</v>
      </c>
      <c r="D304" s="7">
        <v>-4.4999999999999997E-3</v>
      </c>
    </row>
    <row r="305" spans="1:4" ht="14.25" customHeight="1" x14ac:dyDescent="0.25">
      <c r="A305" s="28" t="s">
        <v>124</v>
      </c>
      <c r="B305" s="28"/>
      <c r="C305" s="5" t="s">
        <v>36</v>
      </c>
      <c r="D305" s="7">
        <v>0.44359999999999999</v>
      </c>
    </row>
    <row r="306" spans="1:4" ht="24" customHeight="1" x14ac:dyDescent="0.25">
      <c r="A306" s="28" t="s">
        <v>126</v>
      </c>
      <c r="B306" s="28"/>
      <c r="C306" s="5" t="s">
        <v>36</v>
      </c>
      <c r="D306" s="7">
        <v>-5.4899999999999997E-2</v>
      </c>
    </row>
    <row r="307" spans="1:4" x14ac:dyDescent="0.25">
      <c r="A307" s="28" t="s">
        <v>20</v>
      </c>
      <c r="B307" s="28"/>
      <c r="C307" s="5" t="s">
        <v>36</v>
      </c>
      <c r="D307" s="7">
        <v>0.72760000000000002</v>
      </c>
    </row>
    <row r="308" spans="1:4" ht="24" customHeight="1" x14ac:dyDescent="0.25">
      <c r="A308" s="28" t="s">
        <v>45</v>
      </c>
      <c r="B308" s="28"/>
      <c r="C308" s="5" t="s">
        <v>14</v>
      </c>
      <c r="D308" s="6">
        <v>63.1</v>
      </c>
    </row>
    <row r="309" spans="1:4" ht="24" customHeight="1" x14ac:dyDescent="0.25">
      <c r="A309" s="28" t="s">
        <v>46</v>
      </c>
      <c r="B309" s="28"/>
      <c r="C309" s="5" t="s">
        <v>14</v>
      </c>
      <c r="D309" s="6">
        <v>50.85</v>
      </c>
    </row>
    <row r="310" spans="1:4" x14ac:dyDescent="0.25">
      <c r="A310" s="28" t="s">
        <v>21</v>
      </c>
      <c r="B310" s="28"/>
      <c r="C310" s="5" t="s">
        <v>36</v>
      </c>
      <c r="D310" s="7">
        <v>3.5680000000000001</v>
      </c>
    </row>
    <row r="311" spans="1:4" x14ac:dyDescent="0.25">
      <c r="A311" s="28" t="s">
        <v>22</v>
      </c>
      <c r="B311" s="28"/>
      <c r="C311" s="5" t="s">
        <v>36</v>
      </c>
      <c r="D311" s="7">
        <v>2.2039</v>
      </c>
    </row>
    <row r="312" spans="1:4" ht="6.75" customHeight="1" x14ac:dyDescent="0.25">
      <c r="A312" s="16"/>
      <c r="B312" s="16"/>
      <c r="C312" s="5"/>
      <c r="D312" s="7"/>
    </row>
    <row r="313" spans="1:4" x14ac:dyDescent="0.25">
      <c r="A313" s="27" t="s">
        <v>23</v>
      </c>
      <c r="B313" s="28"/>
      <c r="C313" s="5"/>
      <c r="D313" s="5"/>
    </row>
    <row r="314" spans="1:4" ht="6.75" customHeight="1" x14ac:dyDescent="0.25">
      <c r="A314" s="19"/>
      <c r="B314" s="16"/>
      <c r="C314" s="5"/>
      <c r="D314" s="5"/>
    </row>
    <row r="315" spans="1:4" x14ac:dyDescent="0.25">
      <c r="A315" s="28" t="s">
        <v>24</v>
      </c>
      <c r="B315" s="28"/>
      <c r="C315" s="5" t="s">
        <v>19</v>
      </c>
      <c r="D315" s="7">
        <v>4.1000000000000003E-3</v>
      </c>
    </row>
    <row r="316" spans="1:4" x14ac:dyDescent="0.25">
      <c r="A316" s="28" t="s">
        <v>25</v>
      </c>
      <c r="B316" s="28"/>
      <c r="C316" s="5" t="s">
        <v>19</v>
      </c>
      <c r="D316" s="7">
        <v>4.0000000000000002E-4</v>
      </c>
    </row>
    <row r="317" spans="1:4" x14ac:dyDescent="0.25">
      <c r="A317" s="28" t="s">
        <v>26</v>
      </c>
      <c r="B317" s="28"/>
      <c r="C317" s="5" t="s">
        <v>19</v>
      </c>
      <c r="D317" s="7">
        <v>6.9999999999999999E-4</v>
      </c>
    </row>
    <row r="318" spans="1:4" x14ac:dyDescent="0.25">
      <c r="A318" s="28" t="s">
        <v>27</v>
      </c>
      <c r="B318" s="28"/>
      <c r="C318" s="5" t="s">
        <v>14</v>
      </c>
      <c r="D318" s="6">
        <v>0.25</v>
      </c>
    </row>
    <row r="319" spans="1:4" x14ac:dyDescent="0.25">
      <c r="A319" s="24" t="s">
        <v>58</v>
      </c>
      <c r="B319" s="25"/>
      <c r="C319" s="25"/>
      <c r="D319" s="25"/>
    </row>
    <row r="320" spans="1:4" ht="27" customHeight="1" x14ac:dyDescent="0.25">
      <c r="A320" s="25" t="s">
        <v>57</v>
      </c>
      <c r="B320" s="25"/>
      <c r="C320" s="25"/>
      <c r="D320" s="25"/>
    </row>
    <row r="321" spans="1:4" ht="6.75" customHeight="1" x14ac:dyDescent="0.25">
      <c r="A321" s="17"/>
      <c r="B321" s="17"/>
      <c r="C321" s="17"/>
      <c r="D321" s="17"/>
    </row>
    <row r="322" spans="1:4" x14ac:dyDescent="0.25">
      <c r="A322" s="27" t="s">
        <v>7</v>
      </c>
      <c r="B322" s="25"/>
      <c r="C322" s="25"/>
      <c r="D322" s="25"/>
    </row>
    <row r="323" spans="1:4" ht="6.75" customHeight="1" x14ac:dyDescent="0.25">
      <c r="A323" s="19"/>
      <c r="B323" s="17"/>
      <c r="C323" s="17"/>
      <c r="D323" s="17"/>
    </row>
    <row r="324" spans="1:4" ht="39" customHeight="1" x14ac:dyDescent="0.25">
      <c r="A324" s="25" t="s">
        <v>8</v>
      </c>
      <c r="B324" s="25"/>
      <c r="C324" s="25"/>
      <c r="D324" s="25"/>
    </row>
    <row r="325" spans="1:4" ht="6.75" customHeight="1" x14ac:dyDescent="0.25">
      <c r="A325" s="17"/>
      <c r="B325" s="17"/>
      <c r="C325" s="17"/>
      <c r="D325" s="17"/>
    </row>
    <row r="326" spans="1:4" ht="49.5" customHeight="1" x14ac:dyDescent="0.25">
      <c r="A326" s="25" t="s">
        <v>9</v>
      </c>
      <c r="B326" s="25"/>
      <c r="C326" s="25"/>
      <c r="D326" s="25"/>
    </row>
    <row r="327" spans="1:4" ht="6.75" customHeight="1" x14ac:dyDescent="0.25">
      <c r="A327" s="17"/>
      <c r="B327" s="17"/>
      <c r="C327" s="17"/>
      <c r="D327" s="17"/>
    </row>
    <row r="328" spans="1:4" ht="50.25" customHeight="1" x14ac:dyDescent="0.25">
      <c r="A328" s="25" t="s">
        <v>10</v>
      </c>
      <c r="B328" s="25"/>
      <c r="C328" s="25"/>
      <c r="D328" s="25"/>
    </row>
    <row r="329" spans="1:4" ht="6.75" customHeight="1" x14ac:dyDescent="0.25">
      <c r="A329" s="17"/>
      <c r="B329" s="17"/>
      <c r="C329" s="17"/>
      <c r="D329" s="17"/>
    </row>
    <row r="330" spans="1:4" ht="39" customHeight="1" x14ac:dyDescent="0.25">
      <c r="A330" s="25" t="s">
        <v>11</v>
      </c>
      <c r="B330" s="25"/>
      <c r="C330" s="25"/>
      <c r="D330" s="25"/>
    </row>
    <row r="331" spans="1:4" ht="6.75" customHeight="1" x14ac:dyDescent="0.25">
      <c r="A331" s="17"/>
      <c r="B331" s="17"/>
      <c r="C331" s="17"/>
      <c r="D331" s="17"/>
    </row>
    <row r="332" spans="1:4" x14ac:dyDescent="0.25">
      <c r="A332" s="27" t="s">
        <v>12</v>
      </c>
      <c r="B332" s="25"/>
      <c r="C332" s="25"/>
      <c r="D332" s="25"/>
    </row>
    <row r="333" spans="1:4" ht="6.75" customHeight="1" x14ac:dyDescent="0.25">
      <c r="A333" s="19"/>
      <c r="B333" s="17"/>
      <c r="C333" s="17"/>
      <c r="D333" s="17"/>
    </row>
    <row r="334" spans="1:4" x14ac:dyDescent="0.25">
      <c r="A334" s="28" t="s">
        <v>30</v>
      </c>
      <c r="B334" s="28"/>
      <c r="C334" s="5" t="s">
        <v>36</v>
      </c>
      <c r="D334" s="7">
        <v>1.8185</v>
      </c>
    </row>
    <row r="335" spans="1:4" ht="24" customHeight="1" x14ac:dyDescent="0.25">
      <c r="A335" s="28" t="s">
        <v>45</v>
      </c>
      <c r="B335" s="28"/>
      <c r="C335" s="5" t="s">
        <v>14</v>
      </c>
      <c r="D335" s="6">
        <v>63.1</v>
      </c>
    </row>
    <row r="336" spans="1:4" ht="24" customHeight="1" x14ac:dyDescent="0.25">
      <c r="A336" s="28" t="s">
        <v>46</v>
      </c>
      <c r="B336" s="28"/>
      <c r="C336" s="5" t="s">
        <v>14</v>
      </c>
      <c r="D336" s="6">
        <v>50.85</v>
      </c>
    </row>
    <row r="337" spans="1:4" x14ac:dyDescent="0.25">
      <c r="A337" s="28" t="s">
        <v>18</v>
      </c>
      <c r="B337" s="28"/>
      <c r="C337" s="5" t="s">
        <v>36</v>
      </c>
      <c r="D337" s="7">
        <v>0.12479999999999999</v>
      </c>
    </row>
    <row r="338" spans="1:4" ht="15" customHeight="1" x14ac:dyDescent="0.25">
      <c r="A338" s="28" t="s">
        <v>124</v>
      </c>
      <c r="B338" s="28"/>
      <c r="C338" s="5" t="s">
        <v>36</v>
      </c>
      <c r="D338" s="7">
        <v>1.11E-2</v>
      </c>
    </row>
    <row r="339" spans="1:4" x14ac:dyDescent="0.25">
      <c r="A339" s="28" t="s">
        <v>20</v>
      </c>
      <c r="B339" s="28"/>
      <c r="C339" s="5" t="s">
        <v>36</v>
      </c>
      <c r="D339" s="7">
        <v>0.68959999999999999</v>
      </c>
    </row>
    <row r="340" spans="1:4" x14ac:dyDescent="0.25">
      <c r="A340" s="28" t="s">
        <v>21</v>
      </c>
      <c r="B340" s="28"/>
      <c r="C340" s="5" t="s">
        <v>36</v>
      </c>
      <c r="D340" s="7">
        <v>3.5680000000000001</v>
      </c>
    </row>
    <row r="341" spans="1:4" x14ac:dyDescent="0.25">
      <c r="A341" s="28" t="s">
        <v>22</v>
      </c>
      <c r="B341" s="28"/>
      <c r="C341" s="5" t="s">
        <v>36</v>
      </c>
      <c r="D341" s="7">
        <v>2.2039</v>
      </c>
    </row>
    <row r="342" spans="1:4" ht="6.75" customHeight="1" x14ac:dyDescent="0.25">
      <c r="A342" s="16"/>
      <c r="B342" s="16"/>
      <c r="C342" s="5"/>
      <c r="D342" s="7"/>
    </row>
    <row r="343" spans="1:4" x14ac:dyDescent="0.25">
      <c r="A343" s="27" t="s">
        <v>23</v>
      </c>
      <c r="B343" s="28"/>
      <c r="C343" s="5"/>
      <c r="D343" s="5"/>
    </row>
    <row r="344" spans="1:4" ht="6.75" customHeight="1" x14ac:dyDescent="0.25">
      <c r="A344" s="19"/>
      <c r="B344" s="16"/>
      <c r="C344" s="5"/>
      <c r="D344" s="5"/>
    </row>
    <row r="345" spans="1:4" x14ac:dyDescent="0.25">
      <c r="A345" s="28" t="s">
        <v>24</v>
      </c>
      <c r="B345" s="28"/>
      <c r="C345" s="5" t="s">
        <v>19</v>
      </c>
      <c r="D345" s="7">
        <v>4.1000000000000003E-3</v>
      </c>
    </row>
    <row r="346" spans="1:4" x14ac:dyDescent="0.25">
      <c r="A346" s="28" t="s">
        <v>25</v>
      </c>
      <c r="B346" s="28"/>
      <c r="C346" s="5" t="s">
        <v>19</v>
      </c>
      <c r="D346" s="7">
        <v>4.0000000000000002E-4</v>
      </c>
    </row>
    <row r="347" spans="1:4" x14ac:dyDescent="0.25">
      <c r="A347" s="28" t="s">
        <v>26</v>
      </c>
      <c r="B347" s="28"/>
      <c r="C347" s="5" t="s">
        <v>19</v>
      </c>
      <c r="D347" s="7">
        <v>6.9999999999999999E-4</v>
      </c>
    </row>
    <row r="348" spans="1:4" x14ac:dyDescent="0.25">
      <c r="A348" s="28" t="s">
        <v>27</v>
      </c>
      <c r="B348" s="28"/>
      <c r="C348" s="5" t="s">
        <v>14</v>
      </c>
      <c r="D348" s="6">
        <v>0.25</v>
      </c>
    </row>
    <row r="349" spans="1:4" ht="39" customHeight="1" x14ac:dyDescent="0.25">
      <c r="A349" s="24" t="s">
        <v>59</v>
      </c>
      <c r="B349" s="25"/>
      <c r="C349" s="25"/>
      <c r="D349" s="25"/>
    </row>
    <row r="350" spans="1:4" ht="26.25" customHeight="1" x14ac:dyDescent="0.25">
      <c r="A350" s="25" t="s">
        <v>57</v>
      </c>
      <c r="B350" s="25"/>
      <c r="C350" s="25"/>
      <c r="D350" s="25"/>
    </row>
    <row r="351" spans="1:4" ht="6.75" customHeight="1" x14ac:dyDescent="0.25">
      <c r="A351" s="17"/>
      <c r="B351" s="17"/>
      <c r="C351" s="17"/>
      <c r="D351" s="17"/>
    </row>
    <row r="352" spans="1:4" x14ac:dyDescent="0.25">
      <c r="A352" s="27" t="s">
        <v>7</v>
      </c>
      <c r="B352" s="25"/>
      <c r="C352" s="25"/>
      <c r="D352" s="25"/>
    </row>
    <row r="353" spans="1:4" ht="6.75" customHeight="1" x14ac:dyDescent="0.25">
      <c r="A353" s="19"/>
      <c r="B353" s="17"/>
      <c r="C353" s="17"/>
      <c r="D353" s="17"/>
    </row>
    <row r="354" spans="1:4" ht="36.75" customHeight="1" x14ac:dyDescent="0.25">
      <c r="A354" s="25" t="s">
        <v>8</v>
      </c>
      <c r="B354" s="25"/>
      <c r="C354" s="25"/>
      <c r="D354" s="25"/>
    </row>
    <row r="355" spans="1:4" ht="6.75" customHeight="1" x14ac:dyDescent="0.25">
      <c r="A355" s="17"/>
      <c r="B355" s="17"/>
      <c r="C355" s="17"/>
      <c r="D355" s="17"/>
    </row>
    <row r="356" spans="1:4" ht="48" customHeight="1" x14ac:dyDescent="0.25">
      <c r="A356" s="25" t="s">
        <v>9</v>
      </c>
      <c r="B356" s="25"/>
      <c r="C356" s="25"/>
      <c r="D356" s="25"/>
    </row>
    <row r="357" spans="1:4" ht="6.75" customHeight="1" x14ac:dyDescent="0.25">
      <c r="A357" s="17"/>
      <c r="B357" s="17"/>
      <c r="C357" s="17"/>
      <c r="D357" s="17"/>
    </row>
    <row r="358" spans="1:4" ht="49.5" customHeight="1" x14ac:dyDescent="0.25">
      <c r="A358" s="25" t="s">
        <v>10</v>
      </c>
      <c r="B358" s="25"/>
      <c r="C358" s="25"/>
      <c r="D358" s="25"/>
    </row>
    <row r="359" spans="1:4" ht="6.75" customHeight="1" x14ac:dyDescent="0.25">
      <c r="A359" s="17"/>
      <c r="B359" s="17"/>
      <c r="C359" s="17"/>
      <c r="D359" s="17"/>
    </row>
    <row r="360" spans="1:4" ht="38.25" customHeight="1" x14ac:dyDescent="0.25">
      <c r="A360" s="25" t="s">
        <v>11</v>
      </c>
      <c r="B360" s="25"/>
      <c r="C360" s="25"/>
      <c r="D360" s="25"/>
    </row>
    <row r="361" spans="1:4" ht="6.75" customHeight="1" x14ac:dyDescent="0.25">
      <c r="A361" s="17"/>
      <c r="B361" s="17"/>
      <c r="C361" s="17"/>
      <c r="D361" s="17"/>
    </row>
    <row r="362" spans="1:4" x14ac:dyDescent="0.25">
      <c r="A362" s="27" t="s">
        <v>12</v>
      </c>
      <c r="B362" s="25"/>
      <c r="C362" s="25"/>
      <c r="D362" s="25"/>
    </row>
    <row r="363" spans="1:4" ht="6.75" customHeight="1" x14ac:dyDescent="0.25">
      <c r="A363" s="19"/>
      <c r="B363" s="17"/>
      <c r="C363" s="17"/>
      <c r="D363" s="17"/>
    </row>
    <row r="364" spans="1:4" x14ac:dyDescent="0.25">
      <c r="A364" s="28" t="s">
        <v>30</v>
      </c>
      <c r="B364" s="28"/>
      <c r="C364" s="5" t="s">
        <v>36</v>
      </c>
      <c r="D364" s="7">
        <v>10.4085</v>
      </c>
    </row>
    <row r="365" spans="1:4" ht="23.25" customHeight="1" x14ac:dyDescent="0.25">
      <c r="A365" s="28" t="s">
        <v>45</v>
      </c>
      <c r="B365" s="28"/>
      <c r="C365" s="5" t="s">
        <v>14</v>
      </c>
      <c r="D365" s="6">
        <v>63.1</v>
      </c>
    </row>
    <row r="366" spans="1:4" ht="23.25" customHeight="1" x14ac:dyDescent="0.25">
      <c r="A366" s="28" t="s">
        <v>46</v>
      </c>
      <c r="B366" s="28"/>
      <c r="C366" s="5" t="s">
        <v>14</v>
      </c>
      <c r="D366" s="6">
        <v>50.85</v>
      </c>
    </row>
    <row r="367" spans="1:4" x14ac:dyDescent="0.25">
      <c r="A367" s="28" t="s">
        <v>18</v>
      </c>
      <c r="B367" s="28"/>
      <c r="C367" s="5" t="s">
        <v>36</v>
      </c>
      <c r="D367" s="7">
        <v>0.10299999999999999</v>
      </c>
    </row>
    <row r="368" spans="1:4" ht="23.25" customHeight="1" x14ac:dyDescent="0.25">
      <c r="A368" s="28" t="s">
        <v>123</v>
      </c>
      <c r="B368" s="28"/>
      <c r="C368" s="5" t="s">
        <v>19</v>
      </c>
      <c r="D368" s="7">
        <v>-4.4999999999999997E-3</v>
      </c>
    </row>
    <row r="369" spans="1:4" ht="14.25" customHeight="1" x14ac:dyDescent="0.25">
      <c r="A369" s="28" t="s">
        <v>124</v>
      </c>
      <c r="B369" s="28"/>
      <c r="C369" s="5" t="s">
        <v>36</v>
      </c>
      <c r="D369" s="7">
        <v>2.0329999999999999</v>
      </c>
    </row>
    <row r="370" spans="1:4" ht="24" customHeight="1" x14ac:dyDescent="0.25">
      <c r="A370" s="28" t="s">
        <v>126</v>
      </c>
      <c r="B370" s="28"/>
      <c r="C370" s="5" t="s">
        <v>36</v>
      </c>
      <c r="D370" s="7">
        <v>-3.6900000000000002E-2</v>
      </c>
    </row>
    <row r="371" spans="1:4" x14ac:dyDescent="0.25">
      <c r="A371" s="28" t="s">
        <v>20</v>
      </c>
      <c r="B371" s="28"/>
      <c r="C371" s="5" t="s">
        <v>36</v>
      </c>
      <c r="D371" s="7">
        <v>0.49020000000000002</v>
      </c>
    </row>
    <row r="372" spans="1:4" x14ac:dyDescent="0.25">
      <c r="A372" s="28" t="s">
        <v>21</v>
      </c>
      <c r="B372" s="28"/>
      <c r="C372" s="5" t="s">
        <v>36</v>
      </c>
      <c r="D372" s="7">
        <v>3.9849999999999999</v>
      </c>
    </row>
    <row r="373" spans="1:4" x14ac:dyDescent="0.25">
      <c r="A373" s="28" t="s">
        <v>22</v>
      </c>
      <c r="B373" s="28"/>
      <c r="C373" s="5" t="s">
        <v>36</v>
      </c>
      <c r="D373" s="7">
        <v>1.8191999999999999</v>
      </c>
    </row>
    <row r="374" spans="1:4" ht="6.75" customHeight="1" x14ac:dyDescent="0.25">
      <c r="A374" s="16"/>
      <c r="B374" s="16"/>
      <c r="C374" s="5"/>
      <c r="D374" s="7"/>
    </row>
    <row r="375" spans="1:4" x14ac:dyDescent="0.25">
      <c r="A375" s="27" t="s">
        <v>23</v>
      </c>
      <c r="B375" s="28"/>
      <c r="C375" s="5"/>
      <c r="D375" s="5"/>
    </row>
    <row r="376" spans="1:4" ht="6.75" customHeight="1" x14ac:dyDescent="0.25">
      <c r="A376" s="19"/>
      <c r="B376" s="16"/>
      <c r="C376" s="5"/>
      <c r="D376" s="5"/>
    </row>
    <row r="377" spans="1:4" x14ac:dyDescent="0.25">
      <c r="A377" s="28" t="s">
        <v>24</v>
      </c>
      <c r="B377" s="28"/>
      <c r="C377" s="5" t="s">
        <v>19</v>
      </c>
      <c r="D377" s="7">
        <v>4.1000000000000003E-3</v>
      </c>
    </row>
    <row r="378" spans="1:4" x14ac:dyDescent="0.25">
      <c r="A378" s="28" t="s">
        <v>25</v>
      </c>
      <c r="B378" s="28"/>
      <c r="C378" s="5" t="s">
        <v>19</v>
      </c>
      <c r="D378" s="7">
        <v>4.0000000000000002E-4</v>
      </c>
    </row>
    <row r="379" spans="1:4" x14ac:dyDescent="0.25">
      <c r="A379" s="28" t="s">
        <v>26</v>
      </c>
      <c r="B379" s="28"/>
      <c r="C379" s="5" t="s">
        <v>19</v>
      </c>
      <c r="D379" s="7">
        <v>6.9999999999999999E-4</v>
      </c>
    </row>
    <row r="380" spans="1:4" x14ac:dyDescent="0.25">
      <c r="A380" s="28" t="s">
        <v>27</v>
      </c>
      <c r="B380" s="28"/>
      <c r="C380" s="5" t="s">
        <v>14</v>
      </c>
      <c r="D380" s="6">
        <v>0.25</v>
      </c>
    </row>
    <row r="381" spans="1:4" ht="39" customHeight="1" x14ac:dyDescent="0.25">
      <c r="A381" s="24" t="s">
        <v>60</v>
      </c>
      <c r="B381" s="25"/>
      <c r="C381" s="25"/>
      <c r="D381" s="25"/>
    </row>
    <row r="382" spans="1:4" ht="26.25" customHeight="1" x14ac:dyDescent="0.25">
      <c r="A382" s="25" t="s">
        <v>57</v>
      </c>
      <c r="B382" s="25"/>
      <c r="C382" s="25"/>
      <c r="D382" s="25"/>
    </row>
    <row r="383" spans="1:4" ht="6.75" customHeight="1" x14ac:dyDescent="0.25">
      <c r="A383" s="17"/>
      <c r="B383" s="17"/>
      <c r="C383" s="17"/>
      <c r="D383" s="17"/>
    </row>
    <row r="384" spans="1:4" x14ac:dyDescent="0.25">
      <c r="A384" s="27" t="s">
        <v>7</v>
      </c>
      <c r="B384" s="25"/>
      <c r="C384" s="25"/>
      <c r="D384" s="25"/>
    </row>
    <row r="385" spans="1:4" ht="6.75" customHeight="1" x14ac:dyDescent="0.25">
      <c r="A385" s="19"/>
      <c r="B385" s="17"/>
      <c r="C385" s="17"/>
      <c r="D385" s="17"/>
    </row>
    <row r="386" spans="1:4" ht="36.75" customHeight="1" x14ac:dyDescent="0.25">
      <c r="A386" s="25" t="s">
        <v>8</v>
      </c>
      <c r="B386" s="25"/>
      <c r="C386" s="25"/>
      <c r="D386" s="25"/>
    </row>
    <row r="387" spans="1:4" ht="6.75" customHeight="1" x14ac:dyDescent="0.25">
      <c r="A387" s="17"/>
      <c r="B387" s="17"/>
      <c r="C387" s="17"/>
      <c r="D387" s="17"/>
    </row>
    <row r="388" spans="1:4" ht="51" customHeight="1" x14ac:dyDescent="0.25">
      <c r="A388" s="25" t="s">
        <v>9</v>
      </c>
      <c r="B388" s="25"/>
      <c r="C388" s="25"/>
      <c r="D388" s="25"/>
    </row>
    <row r="389" spans="1:4" ht="6.75" customHeight="1" x14ac:dyDescent="0.25">
      <c r="A389" s="17"/>
      <c r="B389" s="17"/>
      <c r="C389" s="17"/>
      <c r="D389" s="17"/>
    </row>
    <row r="390" spans="1:4" ht="49.5" customHeight="1" x14ac:dyDescent="0.25">
      <c r="A390" s="25" t="s">
        <v>10</v>
      </c>
      <c r="B390" s="25"/>
      <c r="C390" s="25"/>
      <c r="D390" s="25"/>
    </row>
    <row r="391" spans="1:4" ht="6.75" customHeight="1" x14ac:dyDescent="0.25">
      <c r="A391" s="17"/>
      <c r="B391" s="17"/>
      <c r="C391" s="17"/>
      <c r="D391" s="17"/>
    </row>
    <row r="392" spans="1:4" ht="36.75" customHeight="1" x14ac:dyDescent="0.25">
      <c r="A392" s="25" t="s">
        <v>11</v>
      </c>
      <c r="B392" s="25"/>
      <c r="C392" s="25"/>
      <c r="D392" s="25"/>
    </row>
    <row r="393" spans="1:4" ht="6.75" customHeight="1" x14ac:dyDescent="0.25">
      <c r="A393" s="17"/>
      <c r="B393" s="17"/>
      <c r="C393" s="17"/>
      <c r="D393" s="17"/>
    </row>
    <row r="394" spans="1:4" x14ac:dyDescent="0.25">
      <c r="A394" s="27" t="s">
        <v>12</v>
      </c>
      <c r="B394" s="25"/>
      <c r="C394" s="25"/>
      <c r="D394" s="25"/>
    </row>
    <row r="395" spans="1:4" ht="6.75" customHeight="1" x14ac:dyDescent="0.25">
      <c r="A395" s="19"/>
      <c r="B395" s="17"/>
      <c r="C395" s="17"/>
      <c r="D395" s="17"/>
    </row>
    <row r="396" spans="1:4" x14ac:dyDescent="0.25">
      <c r="A396" s="28" t="s">
        <v>13</v>
      </c>
      <c r="B396" s="28"/>
      <c r="C396" s="5" t="s">
        <v>14</v>
      </c>
      <c r="D396" s="6">
        <v>77.489999999999995</v>
      </c>
    </row>
    <row r="397" spans="1:4" ht="24.75" customHeight="1" x14ac:dyDescent="0.25">
      <c r="A397" s="28" t="s">
        <v>45</v>
      </c>
      <c r="B397" s="28"/>
      <c r="C397" s="5" t="s">
        <v>14</v>
      </c>
      <c r="D397" s="6">
        <v>63.1</v>
      </c>
    </row>
    <row r="398" spans="1:4" ht="24.75" customHeight="1" x14ac:dyDescent="0.25">
      <c r="A398" s="28" t="s">
        <v>46</v>
      </c>
      <c r="B398" s="28"/>
      <c r="C398" s="5" t="s">
        <v>14</v>
      </c>
      <c r="D398" s="6">
        <v>50.85</v>
      </c>
    </row>
    <row r="399" spans="1:4" x14ac:dyDescent="0.25">
      <c r="A399" s="28" t="s">
        <v>30</v>
      </c>
      <c r="B399" s="28"/>
      <c r="C399" s="5" t="s">
        <v>36</v>
      </c>
      <c r="D399" s="7">
        <v>1.3109999999999999</v>
      </c>
    </row>
    <row r="400" spans="1:4" ht="23.25" customHeight="1" x14ac:dyDescent="0.25">
      <c r="A400" s="28" t="s">
        <v>123</v>
      </c>
      <c r="B400" s="28"/>
      <c r="C400" s="5" t="s">
        <v>19</v>
      </c>
      <c r="D400" s="7">
        <v>-4.4999999999999997E-3</v>
      </c>
    </row>
    <row r="401" spans="1:4" ht="14.25" customHeight="1" x14ac:dyDescent="0.25">
      <c r="A401" s="28" t="s">
        <v>124</v>
      </c>
      <c r="B401" s="28"/>
      <c r="C401" s="5" t="s">
        <v>36</v>
      </c>
      <c r="D401" s="7">
        <v>0.4284</v>
      </c>
    </row>
    <row r="402" spans="1:4" ht="24" customHeight="1" x14ac:dyDescent="0.25">
      <c r="A402" s="28" t="s">
        <v>126</v>
      </c>
      <c r="B402" s="28"/>
      <c r="C402" s="5" t="s">
        <v>36</v>
      </c>
      <c r="D402" s="7">
        <v>-5.3100000000000001E-2</v>
      </c>
    </row>
    <row r="403" spans="1:4" x14ac:dyDescent="0.25">
      <c r="A403" s="28" t="s">
        <v>20</v>
      </c>
      <c r="B403" s="28"/>
      <c r="C403" s="5" t="s">
        <v>36</v>
      </c>
      <c r="D403" s="7">
        <v>0.70420000000000005</v>
      </c>
    </row>
    <row r="404" spans="1:4" x14ac:dyDescent="0.25">
      <c r="A404" s="28" t="s">
        <v>21</v>
      </c>
      <c r="B404" s="28"/>
      <c r="C404" s="5" t="s">
        <v>36</v>
      </c>
      <c r="D404" s="7">
        <v>3.9849999999999999</v>
      </c>
    </row>
    <row r="405" spans="1:4" x14ac:dyDescent="0.25">
      <c r="A405" s="28" t="s">
        <v>22</v>
      </c>
      <c r="B405" s="28"/>
      <c r="C405" s="5" t="s">
        <v>36</v>
      </c>
      <c r="D405" s="7">
        <v>1.8190999999999999</v>
      </c>
    </row>
    <row r="406" spans="1:4" ht="6.75" customHeight="1" x14ac:dyDescent="0.25">
      <c r="A406" s="16"/>
      <c r="B406" s="16"/>
      <c r="C406" s="5"/>
      <c r="D406" s="7"/>
    </row>
    <row r="407" spans="1:4" x14ac:dyDescent="0.25">
      <c r="A407" s="27" t="s">
        <v>23</v>
      </c>
      <c r="B407" s="28"/>
      <c r="C407" s="5"/>
      <c r="D407" s="5"/>
    </row>
    <row r="408" spans="1:4" ht="6.75" customHeight="1" x14ac:dyDescent="0.25">
      <c r="A408" s="19"/>
      <c r="B408" s="16"/>
      <c r="C408" s="5"/>
      <c r="D408" s="5"/>
    </row>
    <row r="409" spans="1:4" x14ac:dyDescent="0.25">
      <c r="A409" s="28" t="s">
        <v>24</v>
      </c>
      <c r="B409" s="28"/>
      <c r="C409" s="5" t="s">
        <v>19</v>
      </c>
      <c r="D409" s="7">
        <v>4.1000000000000003E-3</v>
      </c>
    </row>
    <row r="410" spans="1:4" x14ac:dyDescent="0.25">
      <c r="A410" s="28" t="s">
        <v>25</v>
      </c>
      <c r="B410" s="28"/>
      <c r="C410" s="5" t="s">
        <v>19</v>
      </c>
      <c r="D410" s="7">
        <v>4.0000000000000002E-4</v>
      </c>
    </row>
    <row r="411" spans="1:4" x14ac:dyDescent="0.25">
      <c r="A411" s="28" t="s">
        <v>26</v>
      </c>
      <c r="B411" s="28"/>
      <c r="C411" s="5" t="s">
        <v>19</v>
      </c>
      <c r="D411" s="7">
        <v>6.9999999999999999E-4</v>
      </c>
    </row>
    <row r="412" spans="1:4" x14ac:dyDescent="0.25">
      <c r="A412" s="28" t="s">
        <v>27</v>
      </c>
      <c r="B412" s="28"/>
      <c r="C412" s="5" t="s">
        <v>14</v>
      </c>
      <c r="D412" s="6">
        <v>0.25</v>
      </c>
    </row>
    <row r="413" spans="1:4" ht="23.25" customHeight="1" x14ac:dyDescent="0.25">
      <c r="A413" s="24" t="s">
        <v>61</v>
      </c>
      <c r="B413" s="25"/>
      <c r="C413" s="25"/>
      <c r="D413" s="25"/>
    </row>
    <row r="414" spans="1:4" ht="27.75" customHeight="1" x14ac:dyDescent="0.25">
      <c r="A414" s="25" t="s">
        <v>57</v>
      </c>
      <c r="B414" s="25"/>
      <c r="C414" s="25"/>
      <c r="D414" s="25"/>
    </row>
    <row r="415" spans="1:4" ht="6.75" customHeight="1" x14ac:dyDescent="0.25">
      <c r="A415" s="17"/>
      <c r="B415" s="17"/>
      <c r="C415" s="17"/>
      <c r="D415" s="17"/>
    </row>
    <row r="416" spans="1:4" x14ac:dyDescent="0.25">
      <c r="A416" s="27" t="s">
        <v>7</v>
      </c>
      <c r="B416" s="25"/>
      <c r="C416" s="25"/>
      <c r="D416" s="25"/>
    </row>
    <row r="417" spans="1:4" ht="6.75" customHeight="1" x14ac:dyDescent="0.25">
      <c r="A417" s="19"/>
      <c r="B417" s="17"/>
      <c r="C417" s="17"/>
      <c r="D417" s="17"/>
    </row>
    <row r="418" spans="1:4" ht="36.75" customHeight="1" x14ac:dyDescent="0.25">
      <c r="A418" s="25" t="s">
        <v>8</v>
      </c>
      <c r="B418" s="25"/>
      <c r="C418" s="25"/>
      <c r="D418" s="25"/>
    </row>
    <row r="419" spans="1:4" ht="6.75" customHeight="1" x14ac:dyDescent="0.25">
      <c r="A419" s="17"/>
      <c r="B419" s="17"/>
      <c r="C419" s="17"/>
      <c r="D419" s="17"/>
    </row>
    <row r="420" spans="1:4" ht="51" customHeight="1" x14ac:dyDescent="0.25">
      <c r="A420" s="25" t="s">
        <v>9</v>
      </c>
      <c r="B420" s="25"/>
      <c r="C420" s="25"/>
      <c r="D420" s="25"/>
    </row>
    <row r="421" spans="1:4" ht="6.75" customHeight="1" x14ac:dyDescent="0.25">
      <c r="A421" s="17"/>
      <c r="B421" s="17"/>
      <c r="C421" s="17"/>
      <c r="D421" s="17"/>
    </row>
    <row r="422" spans="1:4" ht="49.5" customHeight="1" x14ac:dyDescent="0.25">
      <c r="A422" s="25" t="s">
        <v>10</v>
      </c>
      <c r="B422" s="25"/>
      <c r="C422" s="25"/>
      <c r="D422" s="25"/>
    </row>
    <row r="423" spans="1:4" ht="6.75" customHeight="1" x14ac:dyDescent="0.25">
      <c r="A423" s="17"/>
      <c r="B423" s="17"/>
      <c r="C423" s="17"/>
      <c r="D423" s="17"/>
    </row>
    <row r="424" spans="1:4" ht="36.75" customHeight="1" x14ac:dyDescent="0.25">
      <c r="A424" s="25" t="s">
        <v>11</v>
      </c>
      <c r="B424" s="25"/>
      <c r="C424" s="25"/>
      <c r="D424" s="25"/>
    </row>
    <row r="425" spans="1:4" ht="6.75" customHeight="1" x14ac:dyDescent="0.25">
      <c r="A425" s="17"/>
      <c r="B425" s="17"/>
      <c r="C425" s="17"/>
      <c r="D425" s="17"/>
    </row>
    <row r="426" spans="1:4" x14ac:dyDescent="0.25">
      <c r="A426" s="27" t="s">
        <v>12</v>
      </c>
      <c r="B426" s="25"/>
      <c r="C426" s="25"/>
      <c r="D426" s="25"/>
    </row>
    <row r="427" spans="1:4" ht="6.75" customHeight="1" x14ac:dyDescent="0.25">
      <c r="A427" s="19"/>
      <c r="B427" s="17"/>
      <c r="C427" s="17"/>
      <c r="D427" s="17"/>
    </row>
    <row r="428" spans="1:4" x14ac:dyDescent="0.25">
      <c r="A428" s="28" t="s">
        <v>13</v>
      </c>
      <c r="B428" s="28"/>
      <c r="C428" s="5" t="s">
        <v>14</v>
      </c>
      <c r="D428" s="6">
        <v>77.489999999999995</v>
      </c>
    </row>
    <row r="429" spans="1:4" ht="24" customHeight="1" x14ac:dyDescent="0.25">
      <c r="A429" s="28" t="s">
        <v>45</v>
      </c>
      <c r="B429" s="28"/>
      <c r="C429" s="5" t="s">
        <v>14</v>
      </c>
      <c r="D429" s="6">
        <v>63.1</v>
      </c>
    </row>
    <row r="430" spans="1:4" ht="24" customHeight="1" x14ac:dyDescent="0.25">
      <c r="A430" s="28" t="s">
        <v>46</v>
      </c>
      <c r="B430" s="28"/>
      <c r="C430" s="5" t="s">
        <v>14</v>
      </c>
      <c r="D430" s="6">
        <v>50.85</v>
      </c>
    </row>
    <row r="431" spans="1:4" ht="23.25" customHeight="1" x14ac:dyDescent="0.25">
      <c r="A431" s="28" t="s">
        <v>123</v>
      </c>
      <c r="B431" s="28"/>
      <c r="C431" s="5" t="s">
        <v>19</v>
      </c>
      <c r="D431" s="7">
        <v>-4.4999999999999997E-3</v>
      </c>
    </row>
    <row r="432" spans="1:4" ht="14.25" customHeight="1" x14ac:dyDescent="0.25">
      <c r="A432" s="28" t="s">
        <v>124</v>
      </c>
      <c r="B432" s="28"/>
      <c r="C432" s="5" t="s">
        <v>36</v>
      </c>
      <c r="D432" s="7">
        <v>0.30149999999999999</v>
      </c>
    </row>
    <row r="433" spans="1:4" ht="24" customHeight="1" x14ac:dyDescent="0.25">
      <c r="A433" s="28" t="s">
        <v>126</v>
      </c>
      <c r="B433" s="28"/>
      <c r="C433" s="5" t="s">
        <v>36</v>
      </c>
      <c r="D433" s="7">
        <v>-4.1200000000000001E-2</v>
      </c>
    </row>
    <row r="434" spans="1:4" x14ac:dyDescent="0.25">
      <c r="A434" s="28" t="s">
        <v>20</v>
      </c>
      <c r="B434" s="28"/>
      <c r="C434" s="5" t="s">
        <v>36</v>
      </c>
      <c r="D434" s="7">
        <v>0.54610000000000003</v>
      </c>
    </row>
    <row r="435" spans="1:4" ht="6.75" customHeight="1" x14ac:dyDescent="0.25">
      <c r="A435" s="16"/>
      <c r="B435" s="16"/>
      <c r="C435" s="5"/>
      <c r="D435" s="7"/>
    </row>
    <row r="436" spans="1:4" x14ac:dyDescent="0.25">
      <c r="A436" s="27" t="s">
        <v>23</v>
      </c>
      <c r="B436" s="28"/>
      <c r="C436" s="5"/>
      <c r="D436" s="5"/>
    </row>
    <row r="437" spans="1:4" ht="6.75" customHeight="1" x14ac:dyDescent="0.25">
      <c r="A437" s="19"/>
      <c r="B437" s="16"/>
      <c r="C437" s="5"/>
      <c r="D437" s="5"/>
    </row>
    <row r="438" spans="1:4" x14ac:dyDescent="0.25">
      <c r="A438" s="28" t="s">
        <v>24</v>
      </c>
      <c r="B438" s="28"/>
      <c r="C438" s="5" t="s">
        <v>19</v>
      </c>
      <c r="D438" s="7">
        <v>4.1000000000000003E-3</v>
      </c>
    </row>
    <row r="439" spans="1:4" x14ac:dyDescent="0.25">
      <c r="A439" s="28" t="s">
        <v>25</v>
      </c>
      <c r="B439" s="28"/>
      <c r="C439" s="5" t="s">
        <v>19</v>
      </c>
      <c r="D439" s="7">
        <v>4.0000000000000002E-4</v>
      </c>
    </row>
    <row r="440" spans="1:4" x14ac:dyDescent="0.25">
      <c r="A440" s="28" t="s">
        <v>26</v>
      </c>
      <c r="B440" s="28"/>
      <c r="C440" s="5" t="s">
        <v>19</v>
      </c>
      <c r="D440" s="7">
        <v>6.9999999999999999E-4</v>
      </c>
    </row>
    <row r="441" spans="1:4" x14ac:dyDescent="0.25">
      <c r="A441" s="28" t="s">
        <v>27</v>
      </c>
      <c r="B441" s="28"/>
      <c r="C441" s="5" t="s">
        <v>14</v>
      </c>
      <c r="D441" s="6">
        <v>0.25</v>
      </c>
    </row>
    <row r="442" spans="1:4" s="8" customFormat="1" ht="18" customHeight="1" x14ac:dyDescent="0.25">
      <c r="A442" s="24" t="s">
        <v>62</v>
      </c>
      <c r="B442" s="29"/>
      <c r="C442" s="29"/>
      <c r="D442" s="29"/>
    </row>
    <row r="443" spans="1:4" ht="36.75" customHeight="1" x14ac:dyDescent="0.25">
      <c r="A443" s="25" t="s">
        <v>63</v>
      </c>
      <c r="B443" s="25"/>
      <c r="C443" s="25"/>
      <c r="D443" s="25"/>
    </row>
    <row r="444" spans="1:4" ht="6.75" customHeight="1" x14ac:dyDescent="0.25">
      <c r="A444" s="17"/>
      <c r="B444" s="17"/>
      <c r="C444" s="17"/>
      <c r="D444" s="17"/>
    </row>
    <row r="445" spans="1:4" x14ac:dyDescent="0.25">
      <c r="A445" s="27" t="s">
        <v>7</v>
      </c>
      <c r="B445" s="25"/>
      <c r="C445" s="25"/>
      <c r="D445" s="25"/>
    </row>
    <row r="446" spans="1:4" ht="6.75" customHeight="1" x14ac:dyDescent="0.25">
      <c r="A446" s="19"/>
      <c r="B446" s="17"/>
      <c r="C446" s="17"/>
      <c r="D446" s="17"/>
    </row>
    <row r="447" spans="1:4" ht="39" customHeight="1" x14ac:dyDescent="0.25">
      <c r="A447" s="25" t="s">
        <v>8</v>
      </c>
      <c r="B447" s="25"/>
      <c r="C447" s="25"/>
      <c r="D447" s="25"/>
    </row>
    <row r="448" spans="1:4" ht="6.75" customHeight="1" x14ac:dyDescent="0.25">
      <c r="A448" s="17"/>
      <c r="B448" s="17"/>
      <c r="C448" s="17"/>
      <c r="D448" s="17"/>
    </row>
    <row r="449" spans="1:4" ht="48.75" customHeight="1" x14ac:dyDescent="0.25">
      <c r="A449" s="25" t="s">
        <v>9</v>
      </c>
      <c r="B449" s="25"/>
      <c r="C449" s="25"/>
      <c r="D449" s="25"/>
    </row>
    <row r="450" spans="1:4" ht="6.75" customHeight="1" x14ac:dyDescent="0.25">
      <c r="A450" s="17"/>
      <c r="B450" s="17"/>
      <c r="C450" s="17"/>
      <c r="D450" s="17"/>
    </row>
    <row r="451" spans="1:4" ht="25.5" customHeight="1" x14ac:dyDescent="0.25">
      <c r="A451" s="25" t="s">
        <v>64</v>
      </c>
      <c r="B451" s="25"/>
      <c r="C451" s="25"/>
      <c r="D451" s="25"/>
    </row>
    <row r="452" spans="1:4" ht="6.75" customHeight="1" x14ac:dyDescent="0.25">
      <c r="A452" s="17"/>
      <c r="B452" s="17"/>
      <c r="C452" s="17"/>
      <c r="D452" s="17"/>
    </row>
    <row r="453" spans="1:4" ht="38.25" customHeight="1" x14ac:dyDescent="0.25">
      <c r="A453" s="25" t="s">
        <v>11</v>
      </c>
      <c r="B453" s="25"/>
      <c r="C453" s="25"/>
      <c r="D453" s="25"/>
    </row>
    <row r="454" spans="1:4" ht="6.75" customHeight="1" x14ac:dyDescent="0.25">
      <c r="A454" s="17"/>
      <c r="B454" s="17"/>
      <c r="C454" s="17"/>
      <c r="D454" s="17"/>
    </row>
    <row r="455" spans="1:4" x14ac:dyDescent="0.25">
      <c r="A455" s="27" t="s">
        <v>12</v>
      </c>
      <c r="B455" s="25"/>
      <c r="C455" s="25"/>
      <c r="D455" s="25"/>
    </row>
    <row r="456" spans="1:4" ht="6.75" customHeight="1" x14ac:dyDescent="0.25">
      <c r="A456" s="19"/>
      <c r="B456" s="17"/>
      <c r="C456" s="17"/>
      <c r="D456" s="17"/>
    </row>
    <row r="457" spans="1:4" x14ac:dyDescent="0.25">
      <c r="A457" s="28" t="s">
        <v>13</v>
      </c>
      <c r="B457" s="28"/>
      <c r="C457" s="5" t="s">
        <v>14</v>
      </c>
      <c r="D457" s="6">
        <v>4.55</v>
      </c>
    </row>
    <row r="458" spans="1:4" ht="6.75" customHeight="1" x14ac:dyDescent="0.25">
      <c r="A458" s="9"/>
      <c r="B458" s="16"/>
      <c r="C458" s="5"/>
      <c r="D458" s="6"/>
    </row>
    <row r="459" spans="1:4" ht="18.75" x14ac:dyDescent="0.25">
      <c r="A459" s="18" t="s">
        <v>65</v>
      </c>
      <c r="B459" s="11"/>
      <c r="C459" s="11"/>
      <c r="D459" s="11"/>
    </row>
    <row r="460" spans="1:4" x14ac:dyDescent="0.25">
      <c r="A460" s="28" t="s">
        <v>66</v>
      </c>
      <c r="B460" s="28"/>
      <c r="C460" s="5" t="s">
        <v>36</v>
      </c>
      <c r="D460" s="12">
        <v>-0.6</v>
      </c>
    </row>
    <row r="461" spans="1:4" x14ac:dyDescent="0.25">
      <c r="A461" s="28" t="s">
        <v>67</v>
      </c>
      <c r="B461" s="28"/>
      <c r="C461" s="5" t="s">
        <v>68</v>
      </c>
      <c r="D461" s="6">
        <v>-1</v>
      </c>
    </row>
    <row r="462" spans="1:4" ht="18.75" x14ac:dyDescent="0.25">
      <c r="A462" s="18" t="s">
        <v>69</v>
      </c>
      <c r="B462" s="11"/>
      <c r="C462" s="11"/>
      <c r="D462" s="11"/>
    </row>
    <row r="463" spans="1:4" ht="38.25" customHeight="1" x14ac:dyDescent="0.25">
      <c r="A463" s="25" t="s">
        <v>8</v>
      </c>
      <c r="B463" s="25"/>
      <c r="C463" s="25"/>
      <c r="D463" s="25"/>
    </row>
    <row r="464" spans="1:4" ht="6.75" customHeight="1" x14ac:dyDescent="0.25">
      <c r="A464" s="17"/>
      <c r="B464" s="17"/>
      <c r="C464" s="17"/>
      <c r="D464" s="17"/>
    </row>
    <row r="465" spans="1:4" ht="39" customHeight="1" x14ac:dyDescent="0.25">
      <c r="A465" s="25" t="s">
        <v>70</v>
      </c>
      <c r="B465" s="25"/>
      <c r="C465" s="25"/>
      <c r="D465" s="25"/>
    </row>
    <row r="466" spans="1:4" ht="6.75" customHeight="1" x14ac:dyDescent="0.25">
      <c r="A466" s="17"/>
      <c r="B466" s="17"/>
      <c r="C466" s="17"/>
      <c r="D466" s="17"/>
    </row>
    <row r="467" spans="1:4" ht="39" customHeight="1" x14ac:dyDescent="0.25">
      <c r="A467" s="25" t="s">
        <v>11</v>
      </c>
      <c r="B467" s="25"/>
      <c r="C467" s="25"/>
      <c r="D467" s="25"/>
    </row>
    <row r="468" spans="1:4" ht="6.75" customHeight="1" x14ac:dyDescent="0.25">
      <c r="A468" s="17"/>
      <c r="B468" s="17"/>
      <c r="C468" s="17"/>
      <c r="D468" s="17"/>
    </row>
    <row r="469" spans="1:4" x14ac:dyDescent="0.25">
      <c r="A469" s="19" t="s">
        <v>71</v>
      </c>
      <c r="B469" s="13"/>
      <c r="C469" s="13"/>
      <c r="D469" s="13"/>
    </row>
    <row r="470" spans="1:4" x14ac:dyDescent="0.25">
      <c r="A470" s="28" t="s">
        <v>72</v>
      </c>
      <c r="B470" s="28"/>
      <c r="C470" s="5" t="s">
        <v>14</v>
      </c>
      <c r="D470" s="6">
        <v>15</v>
      </c>
    </row>
    <row r="471" spans="1:4" x14ac:dyDescent="0.25">
      <c r="A471" s="28" t="s">
        <v>73</v>
      </c>
      <c r="B471" s="28"/>
      <c r="C471" s="5" t="s">
        <v>14</v>
      </c>
      <c r="D471" s="6">
        <v>15</v>
      </c>
    </row>
    <row r="472" spans="1:4" x14ac:dyDescent="0.25">
      <c r="A472" s="28" t="s">
        <v>74</v>
      </c>
      <c r="B472" s="28"/>
      <c r="C472" s="5" t="s">
        <v>14</v>
      </c>
      <c r="D472" s="6">
        <v>15</v>
      </c>
    </row>
    <row r="473" spans="1:4" x14ac:dyDescent="0.25">
      <c r="A473" s="28" t="s">
        <v>75</v>
      </c>
      <c r="B473" s="28"/>
      <c r="C473" s="5" t="s">
        <v>14</v>
      </c>
      <c r="D473" s="6">
        <v>15</v>
      </c>
    </row>
    <row r="474" spans="1:4" x14ac:dyDescent="0.25">
      <c r="A474" s="28" t="s">
        <v>76</v>
      </c>
      <c r="B474" s="28"/>
      <c r="C474" s="5" t="s">
        <v>14</v>
      </c>
      <c r="D474" s="6">
        <v>15</v>
      </c>
    </row>
    <row r="475" spans="1:4" x14ac:dyDescent="0.25">
      <c r="A475" s="28" t="s">
        <v>77</v>
      </c>
      <c r="B475" s="28"/>
      <c r="C475" s="5" t="s">
        <v>14</v>
      </c>
      <c r="D475" s="6">
        <v>15</v>
      </c>
    </row>
    <row r="476" spans="1:4" x14ac:dyDescent="0.25">
      <c r="A476" s="28" t="s">
        <v>78</v>
      </c>
      <c r="B476" s="28"/>
      <c r="C476" s="5" t="s">
        <v>14</v>
      </c>
      <c r="D476" s="6">
        <v>15</v>
      </c>
    </row>
    <row r="477" spans="1:4" x14ac:dyDescent="0.25">
      <c r="A477" s="28" t="s">
        <v>79</v>
      </c>
      <c r="B477" s="28"/>
      <c r="C477" s="5" t="s">
        <v>14</v>
      </c>
      <c r="D477" s="6">
        <v>15</v>
      </c>
    </row>
    <row r="478" spans="1:4" x14ac:dyDescent="0.25">
      <c r="A478" s="28" t="s">
        <v>80</v>
      </c>
      <c r="B478" s="28"/>
      <c r="C478" s="5" t="s">
        <v>14</v>
      </c>
      <c r="D478" s="6">
        <v>15</v>
      </c>
    </row>
    <row r="479" spans="1:4" x14ac:dyDescent="0.25">
      <c r="A479" s="28" t="s">
        <v>81</v>
      </c>
      <c r="B479" s="28"/>
      <c r="C479" s="5" t="s">
        <v>14</v>
      </c>
      <c r="D479" s="6">
        <v>15</v>
      </c>
    </row>
    <row r="480" spans="1:4" x14ac:dyDescent="0.25">
      <c r="A480" s="28" t="s">
        <v>82</v>
      </c>
      <c r="B480" s="28"/>
      <c r="C480" s="5" t="s">
        <v>14</v>
      </c>
      <c r="D480" s="6">
        <v>15</v>
      </c>
    </row>
    <row r="481" spans="1:4" x14ac:dyDescent="0.25">
      <c r="A481" s="28" t="s">
        <v>83</v>
      </c>
      <c r="B481" s="28"/>
      <c r="C481" s="5" t="s">
        <v>14</v>
      </c>
      <c r="D481" s="6">
        <v>15</v>
      </c>
    </row>
    <row r="482" spans="1:4" x14ac:dyDescent="0.25">
      <c r="A482" s="28" t="s">
        <v>84</v>
      </c>
      <c r="B482" s="28"/>
      <c r="C482" s="5" t="s">
        <v>14</v>
      </c>
      <c r="D482" s="6">
        <v>30</v>
      </c>
    </row>
    <row r="483" spans="1:4" x14ac:dyDescent="0.25">
      <c r="A483" s="28" t="s">
        <v>85</v>
      </c>
      <c r="B483" s="28"/>
      <c r="C483" s="5" t="s">
        <v>14</v>
      </c>
      <c r="D483" s="6">
        <v>30</v>
      </c>
    </row>
    <row r="484" spans="1:4" x14ac:dyDescent="0.25">
      <c r="A484" s="28" t="s">
        <v>86</v>
      </c>
      <c r="B484" s="28"/>
      <c r="C484" s="5" t="s">
        <v>14</v>
      </c>
      <c r="D484" s="6">
        <v>30</v>
      </c>
    </row>
    <row r="485" spans="1:4" x14ac:dyDescent="0.25">
      <c r="A485" s="28" t="s">
        <v>87</v>
      </c>
      <c r="B485" s="28"/>
      <c r="C485" s="5" t="s">
        <v>14</v>
      </c>
      <c r="D485" s="6">
        <v>15</v>
      </c>
    </row>
    <row r="486" spans="1:4" ht="6.75" customHeight="1" x14ac:dyDescent="0.25">
      <c r="A486" s="16"/>
      <c r="B486" s="16"/>
      <c r="C486" s="5"/>
      <c r="D486" s="6"/>
    </row>
    <row r="487" spans="1:4" x14ac:dyDescent="0.25">
      <c r="A487" s="19" t="s">
        <v>88</v>
      </c>
      <c r="B487" s="13"/>
      <c r="C487" s="13"/>
      <c r="D487" s="13"/>
    </row>
    <row r="488" spans="1:4" x14ac:dyDescent="0.25">
      <c r="A488" s="28" t="s">
        <v>89</v>
      </c>
      <c r="B488" s="28"/>
      <c r="C488" s="5" t="s">
        <v>68</v>
      </c>
      <c r="D488" s="6">
        <v>1.5</v>
      </c>
    </row>
    <row r="489" spans="1:4" x14ac:dyDescent="0.25">
      <c r="A489" s="28" t="s">
        <v>90</v>
      </c>
      <c r="B489" s="28"/>
      <c r="C489" s="5" t="s">
        <v>14</v>
      </c>
      <c r="D489" s="6">
        <v>65</v>
      </c>
    </row>
    <row r="490" spans="1:4" x14ac:dyDescent="0.25">
      <c r="A490" s="28" t="s">
        <v>91</v>
      </c>
      <c r="B490" s="28"/>
      <c r="C490" s="5" t="s">
        <v>14</v>
      </c>
      <c r="D490" s="6">
        <v>185</v>
      </c>
    </row>
    <row r="491" spans="1:4" x14ac:dyDescent="0.25">
      <c r="A491" s="28" t="s">
        <v>92</v>
      </c>
      <c r="B491" s="28"/>
      <c r="C491" s="5" t="s">
        <v>14</v>
      </c>
      <c r="D491" s="6">
        <v>185</v>
      </c>
    </row>
    <row r="492" spans="1:4" x14ac:dyDescent="0.25">
      <c r="A492" s="28" t="s">
        <v>93</v>
      </c>
      <c r="B492" s="28"/>
      <c r="C492" s="5" t="s">
        <v>14</v>
      </c>
      <c r="D492" s="6">
        <v>415</v>
      </c>
    </row>
    <row r="493" spans="1:4" ht="6.75" customHeight="1" x14ac:dyDescent="0.25">
      <c r="A493" s="16"/>
      <c r="B493" s="16"/>
      <c r="C493" s="5"/>
      <c r="D493" s="6"/>
    </row>
    <row r="494" spans="1:4" x14ac:dyDescent="0.25">
      <c r="A494" s="19" t="s">
        <v>94</v>
      </c>
      <c r="B494" s="5"/>
      <c r="C494" s="5"/>
      <c r="D494" s="5"/>
    </row>
    <row r="495" spans="1:4" x14ac:dyDescent="0.25">
      <c r="A495" s="28" t="s">
        <v>95</v>
      </c>
      <c r="B495" s="28"/>
      <c r="C495" s="5" t="s">
        <v>14</v>
      </c>
      <c r="D495" s="6">
        <v>36.049999999999997</v>
      </c>
    </row>
    <row r="496" spans="1:4" x14ac:dyDescent="0.25">
      <c r="A496" s="28" t="s">
        <v>96</v>
      </c>
      <c r="B496" s="28"/>
      <c r="C496" s="5" t="s">
        <v>14</v>
      </c>
      <c r="D496" s="6">
        <v>30</v>
      </c>
    </row>
    <row r="497" spans="1:4" x14ac:dyDescent="0.25">
      <c r="A497" s="28" t="s">
        <v>97</v>
      </c>
      <c r="B497" s="28"/>
      <c r="C497" s="5" t="s">
        <v>14</v>
      </c>
      <c r="D497" s="6">
        <v>165</v>
      </c>
    </row>
    <row r="498" spans="1:4" ht="18" x14ac:dyDescent="0.25">
      <c r="A498" s="24" t="s">
        <v>98</v>
      </c>
      <c r="B498" s="24"/>
      <c r="C498" s="24"/>
      <c r="D498" s="24"/>
    </row>
    <row r="499" spans="1:4" ht="6.75" customHeight="1" x14ac:dyDescent="0.25">
      <c r="A499" s="18"/>
      <c r="B499" s="18"/>
      <c r="C499" s="18"/>
      <c r="D499" s="18"/>
    </row>
    <row r="500" spans="1:4" ht="39" customHeight="1" x14ac:dyDescent="0.25">
      <c r="A500" s="25" t="s">
        <v>8</v>
      </c>
      <c r="B500" s="25"/>
      <c r="C500" s="25"/>
      <c r="D500" s="25"/>
    </row>
    <row r="501" spans="1:4" ht="6.75" customHeight="1" x14ac:dyDescent="0.25">
      <c r="A501" s="17"/>
      <c r="B501" s="17"/>
      <c r="C501" s="17"/>
      <c r="D501" s="17"/>
    </row>
    <row r="502" spans="1:4" ht="51" customHeight="1" x14ac:dyDescent="0.25">
      <c r="A502" s="25" t="s">
        <v>9</v>
      </c>
      <c r="B502" s="25"/>
      <c r="C502" s="25"/>
      <c r="D502" s="25"/>
    </row>
    <row r="503" spans="1:4" ht="6.75" customHeight="1" x14ac:dyDescent="0.25">
      <c r="A503" s="17"/>
      <c r="B503" s="17"/>
      <c r="C503" s="17"/>
      <c r="D503" s="17"/>
    </row>
    <row r="504" spans="1:4" ht="26.25" customHeight="1" x14ac:dyDescent="0.25">
      <c r="A504" s="25" t="s">
        <v>64</v>
      </c>
      <c r="B504" s="25"/>
      <c r="C504" s="25"/>
      <c r="D504" s="25"/>
    </row>
    <row r="505" spans="1:4" ht="6.75" customHeight="1" x14ac:dyDescent="0.25">
      <c r="A505" s="17"/>
      <c r="B505" s="17"/>
      <c r="C505" s="17"/>
      <c r="D505" s="17"/>
    </row>
    <row r="506" spans="1:4" ht="38.25" customHeight="1" x14ac:dyDescent="0.25">
      <c r="A506" s="25" t="s">
        <v>11</v>
      </c>
      <c r="B506" s="25"/>
      <c r="C506" s="25"/>
      <c r="D506" s="25"/>
    </row>
    <row r="507" spans="1:4" ht="6.75" customHeight="1" x14ac:dyDescent="0.25">
      <c r="A507" s="17"/>
      <c r="B507" s="17"/>
      <c r="C507" s="17"/>
      <c r="D507" s="17"/>
    </row>
    <row r="508" spans="1:4" ht="25.5" customHeight="1" x14ac:dyDescent="0.25">
      <c r="A508" s="25" t="s">
        <v>99</v>
      </c>
      <c r="B508" s="25"/>
      <c r="C508" s="25"/>
      <c r="D508" s="25"/>
    </row>
    <row r="509" spans="1:4" x14ac:dyDescent="0.25">
      <c r="A509" s="28" t="s">
        <v>100</v>
      </c>
      <c r="B509" s="28"/>
      <c r="C509" s="5" t="s">
        <v>14</v>
      </c>
      <c r="D509" s="6">
        <v>111.66</v>
      </c>
    </row>
    <row r="510" spans="1:4" x14ac:dyDescent="0.25">
      <c r="A510" s="28" t="s">
        <v>101</v>
      </c>
      <c r="B510" s="28"/>
      <c r="C510" s="5" t="s">
        <v>14</v>
      </c>
      <c r="D510" s="6">
        <v>44.67</v>
      </c>
    </row>
    <row r="511" spans="1:4" x14ac:dyDescent="0.25">
      <c r="A511" s="28" t="s">
        <v>102</v>
      </c>
      <c r="B511" s="28"/>
      <c r="C511" s="5" t="s">
        <v>103</v>
      </c>
      <c r="D511" s="6">
        <v>1.1100000000000001</v>
      </c>
    </row>
    <row r="512" spans="1:4" x14ac:dyDescent="0.25">
      <c r="A512" s="28" t="s">
        <v>104</v>
      </c>
      <c r="B512" s="28"/>
      <c r="C512" s="5" t="s">
        <v>103</v>
      </c>
      <c r="D512" s="6">
        <v>0.66</v>
      </c>
    </row>
    <row r="513" spans="1:4" x14ac:dyDescent="0.25">
      <c r="A513" s="28" t="s">
        <v>105</v>
      </c>
      <c r="B513" s="28"/>
      <c r="C513" s="5" t="s">
        <v>103</v>
      </c>
      <c r="D513" s="6">
        <v>-0.66</v>
      </c>
    </row>
    <row r="514" spans="1:4" x14ac:dyDescent="0.25">
      <c r="A514" s="28" t="s">
        <v>106</v>
      </c>
      <c r="B514" s="28"/>
      <c r="C514" s="5"/>
      <c r="D514" s="14"/>
    </row>
    <row r="515" spans="1:4" x14ac:dyDescent="0.25">
      <c r="A515" s="28" t="s">
        <v>107</v>
      </c>
      <c r="B515" s="28"/>
      <c r="C515" s="5" t="s">
        <v>14</v>
      </c>
      <c r="D515" s="6">
        <v>0.56000000000000005</v>
      </c>
    </row>
    <row r="516" spans="1:4" x14ac:dyDescent="0.25">
      <c r="A516" s="28" t="s">
        <v>108</v>
      </c>
      <c r="B516" s="28"/>
      <c r="C516" s="5" t="s">
        <v>14</v>
      </c>
      <c r="D516" s="6">
        <v>1.1100000000000001</v>
      </c>
    </row>
    <row r="517" spans="1:4" x14ac:dyDescent="0.25">
      <c r="A517" s="28" t="s">
        <v>109</v>
      </c>
      <c r="B517" s="28"/>
      <c r="C517" s="5"/>
      <c r="D517" s="15"/>
    </row>
    <row r="518" spans="1:4" x14ac:dyDescent="0.25">
      <c r="A518" s="28" t="s">
        <v>110</v>
      </c>
      <c r="B518" s="28"/>
      <c r="C518" s="5"/>
      <c r="D518" s="14"/>
    </row>
    <row r="519" spans="1:4" x14ac:dyDescent="0.25">
      <c r="A519" s="28" t="s">
        <v>111</v>
      </c>
      <c r="B519" s="28"/>
      <c r="C519" s="5"/>
      <c r="D519" s="14"/>
    </row>
    <row r="520" spans="1:4" x14ac:dyDescent="0.25">
      <c r="A520" s="28" t="s">
        <v>112</v>
      </c>
      <c r="B520" s="28"/>
      <c r="C520" s="5" t="s">
        <v>14</v>
      </c>
      <c r="D520" s="14" t="s">
        <v>113</v>
      </c>
    </row>
    <row r="521" spans="1:4" x14ac:dyDescent="0.25">
      <c r="A521" s="28" t="s">
        <v>114</v>
      </c>
      <c r="B521" s="28"/>
      <c r="C521" s="5" t="s">
        <v>14</v>
      </c>
      <c r="D521" s="6">
        <v>4.47</v>
      </c>
    </row>
    <row r="522" spans="1:4" ht="23.45" customHeight="1" x14ac:dyDescent="0.25">
      <c r="A522" s="28" t="s">
        <v>115</v>
      </c>
      <c r="B522" s="25"/>
      <c r="C522" s="5" t="s">
        <v>14</v>
      </c>
      <c r="D522" s="6">
        <v>2.23</v>
      </c>
    </row>
    <row r="523" spans="1:4" ht="6.75" customHeight="1" x14ac:dyDescent="0.25">
      <c r="A523" s="16"/>
      <c r="B523" s="17"/>
      <c r="C523" s="5"/>
      <c r="D523" s="6"/>
    </row>
    <row r="524" spans="1:4" ht="18.75" x14ac:dyDescent="0.25">
      <c r="A524" s="18" t="s">
        <v>116</v>
      </c>
      <c r="B524" s="11"/>
      <c r="C524" s="11"/>
      <c r="D524" s="11"/>
    </row>
    <row r="525" spans="1:4" ht="6.75" customHeight="1" x14ac:dyDescent="0.25">
      <c r="A525" s="18"/>
      <c r="B525" s="11"/>
      <c r="C525" s="11"/>
      <c r="D525" s="11"/>
    </row>
    <row r="526" spans="1:4" ht="24.75" customHeight="1" x14ac:dyDescent="0.25">
      <c r="A526" s="28" t="s">
        <v>117</v>
      </c>
      <c r="B526" s="28"/>
      <c r="C526" s="28"/>
      <c r="D526" s="28"/>
    </row>
    <row r="527" spans="1:4" x14ac:dyDescent="0.25">
      <c r="A527" s="28" t="s">
        <v>118</v>
      </c>
      <c r="B527" s="28"/>
      <c r="C527" s="5"/>
      <c r="D527" s="14">
        <v>1.0306999999999999</v>
      </c>
    </row>
    <row r="528" spans="1:4" x14ac:dyDescent="0.25">
      <c r="A528" s="28" t="s">
        <v>119</v>
      </c>
      <c r="B528" s="28"/>
      <c r="C528" s="5"/>
      <c r="D528" s="14">
        <v>1.0145</v>
      </c>
    </row>
    <row r="529" spans="1:4" x14ac:dyDescent="0.25">
      <c r="A529" s="28" t="s">
        <v>120</v>
      </c>
      <c r="B529" s="28"/>
      <c r="C529" s="5"/>
      <c r="D529" s="14">
        <v>1.0204</v>
      </c>
    </row>
    <row r="530" spans="1:4" x14ac:dyDescent="0.25">
      <c r="A530" s="28" t="s">
        <v>121</v>
      </c>
      <c r="B530" s="28"/>
      <c r="C530" s="5"/>
      <c r="D530" s="14">
        <v>1.0044999999999999</v>
      </c>
    </row>
  </sheetData>
  <mergeCells count="381">
    <mergeCell ref="A338:B338"/>
    <mergeCell ref="A2:D2"/>
    <mergeCell ref="A243:B243"/>
    <mergeCell ref="A244:B244"/>
    <mergeCell ref="A245:B245"/>
    <mergeCell ref="A277:B277"/>
    <mergeCell ref="A276:B276"/>
    <mergeCell ref="A304:B304"/>
    <mergeCell ref="A140:B140"/>
    <mergeCell ref="A141:B141"/>
    <mergeCell ref="A142:B142"/>
    <mergeCell ref="A143:B143"/>
    <mergeCell ref="A179:B179"/>
    <mergeCell ref="A210:B210"/>
    <mergeCell ref="A529:B529"/>
    <mergeCell ref="A530:B530"/>
    <mergeCell ref="A30:B30"/>
    <mergeCell ref="A29:B29"/>
    <mergeCell ref="A28:B28"/>
    <mergeCell ref="A62:B62"/>
    <mergeCell ref="A63:B63"/>
    <mergeCell ref="A64:B64"/>
    <mergeCell ref="A99:B99"/>
    <mergeCell ref="A100:B100"/>
    <mergeCell ref="A520:B520"/>
    <mergeCell ref="A521:B521"/>
    <mergeCell ref="A522:B522"/>
    <mergeCell ref="A526:D526"/>
    <mergeCell ref="A527:B527"/>
    <mergeCell ref="A528:B528"/>
    <mergeCell ref="A514:B514"/>
    <mergeCell ref="A515:B515"/>
    <mergeCell ref="A516:B516"/>
    <mergeCell ref="A517:B517"/>
    <mergeCell ref="A518:B518"/>
    <mergeCell ref="A519:B519"/>
    <mergeCell ref="A508:D508"/>
    <mergeCell ref="A509:B509"/>
    <mergeCell ref="A510:B510"/>
    <mergeCell ref="A511:B511"/>
    <mergeCell ref="A512:B512"/>
    <mergeCell ref="A513:B513"/>
    <mergeCell ref="A497:B497"/>
    <mergeCell ref="A498:D498"/>
    <mergeCell ref="A500:D500"/>
    <mergeCell ref="A502:D502"/>
    <mergeCell ref="A504:D504"/>
    <mergeCell ref="A506:D506"/>
    <mergeCell ref="A489:B489"/>
    <mergeCell ref="A490:B490"/>
    <mergeCell ref="A491:B491"/>
    <mergeCell ref="A492:B492"/>
    <mergeCell ref="A495:B495"/>
    <mergeCell ref="A496:B496"/>
    <mergeCell ref="A481:B481"/>
    <mergeCell ref="A482:B482"/>
    <mergeCell ref="A483:B483"/>
    <mergeCell ref="A484:B484"/>
    <mergeCell ref="A485:B485"/>
    <mergeCell ref="A488:B488"/>
    <mergeCell ref="A475:B475"/>
    <mergeCell ref="A476:B476"/>
    <mergeCell ref="A477:B477"/>
    <mergeCell ref="A478:B478"/>
    <mergeCell ref="A479:B479"/>
    <mergeCell ref="A480:B480"/>
    <mergeCell ref="A467:D467"/>
    <mergeCell ref="A470:B470"/>
    <mergeCell ref="A471:B471"/>
    <mergeCell ref="A472:B472"/>
    <mergeCell ref="A473:B473"/>
    <mergeCell ref="A474:B474"/>
    <mergeCell ref="A455:D455"/>
    <mergeCell ref="A457:B457"/>
    <mergeCell ref="A460:B460"/>
    <mergeCell ref="A461:B461"/>
    <mergeCell ref="A463:D463"/>
    <mergeCell ref="A465:D465"/>
    <mergeCell ref="A443:D443"/>
    <mergeCell ref="A445:D445"/>
    <mergeCell ref="A447:D447"/>
    <mergeCell ref="A449:D449"/>
    <mergeCell ref="A451:D451"/>
    <mergeCell ref="A453:D453"/>
    <mergeCell ref="A436:B436"/>
    <mergeCell ref="A438:B438"/>
    <mergeCell ref="A439:B439"/>
    <mergeCell ref="A440:B440"/>
    <mergeCell ref="A441:B441"/>
    <mergeCell ref="A442:D442"/>
    <mergeCell ref="A424:D424"/>
    <mergeCell ref="A426:D426"/>
    <mergeCell ref="A428:B428"/>
    <mergeCell ref="A429:B429"/>
    <mergeCell ref="A430:B430"/>
    <mergeCell ref="A434:B434"/>
    <mergeCell ref="A431:B431"/>
    <mergeCell ref="A432:B432"/>
    <mergeCell ref="A433:B433"/>
    <mergeCell ref="A413:D413"/>
    <mergeCell ref="A414:D414"/>
    <mergeCell ref="A416:D416"/>
    <mergeCell ref="A418:D418"/>
    <mergeCell ref="A420:D420"/>
    <mergeCell ref="A422:D422"/>
    <mergeCell ref="A405:B405"/>
    <mergeCell ref="A407:B407"/>
    <mergeCell ref="A409:B409"/>
    <mergeCell ref="A410:B410"/>
    <mergeCell ref="A411:B411"/>
    <mergeCell ref="A412:B412"/>
    <mergeCell ref="A396:B396"/>
    <mergeCell ref="A397:B397"/>
    <mergeCell ref="A398:B398"/>
    <mergeCell ref="A399:B399"/>
    <mergeCell ref="A403:B403"/>
    <mergeCell ref="A404:B404"/>
    <mergeCell ref="A400:B400"/>
    <mergeCell ref="A401:B401"/>
    <mergeCell ref="A402:B402"/>
    <mergeCell ref="A384:D384"/>
    <mergeCell ref="A386:D386"/>
    <mergeCell ref="A388:D388"/>
    <mergeCell ref="A390:D390"/>
    <mergeCell ref="A392:D392"/>
    <mergeCell ref="A394:D394"/>
    <mergeCell ref="A377:B377"/>
    <mergeCell ref="A378:B378"/>
    <mergeCell ref="A379:B379"/>
    <mergeCell ref="A380:B380"/>
    <mergeCell ref="A381:D381"/>
    <mergeCell ref="A382:D382"/>
    <mergeCell ref="A366:B366"/>
    <mergeCell ref="A367:B367"/>
    <mergeCell ref="A371:B371"/>
    <mergeCell ref="A372:B372"/>
    <mergeCell ref="A373:B373"/>
    <mergeCell ref="A375:B375"/>
    <mergeCell ref="A368:B368"/>
    <mergeCell ref="A369:B369"/>
    <mergeCell ref="A370:B370"/>
    <mergeCell ref="A356:D356"/>
    <mergeCell ref="A358:D358"/>
    <mergeCell ref="A360:D360"/>
    <mergeCell ref="A362:D362"/>
    <mergeCell ref="A364:B364"/>
    <mergeCell ref="A365:B365"/>
    <mergeCell ref="A347:B347"/>
    <mergeCell ref="A348:B348"/>
    <mergeCell ref="A349:D349"/>
    <mergeCell ref="A350:D350"/>
    <mergeCell ref="A352:D352"/>
    <mergeCell ref="A354:D354"/>
    <mergeCell ref="A339:B339"/>
    <mergeCell ref="A340:B340"/>
    <mergeCell ref="A341:B341"/>
    <mergeCell ref="A343:B343"/>
    <mergeCell ref="A345:B345"/>
    <mergeCell ref="A346:B346"/>
    <mergeCell ref="A330:D330"/>
    <mergeCell ref="A332:D332"/>
    <mergeCell ref="A334:B334"/>
    <mergeCell ref="A335:B335"/>
    <mergeCell ref="A336:B336"/>
    <mergeCell ref="A337:B337"/>
    <mergeCell ref="A319:D319"/>
    <mergeCell ref="A320:D320"/>
    <mergeCell ref="A322:D322"/>
    <mergeCell ref="A324:D324"/>
    <mergeCell ref="A326:D326"/>
    <mergeCell ref="A328:D328"/>
    <mergeCell ref="A311:B311"/>
    <mergeCell ref="A313:B313"/>
    <mergeCell ref="A315:B315"/>
    <mergeCell ref="A316:B316"/>
    <mergeCell ref="A317:B317"/>
    <mergeCell ref="A318:B318"/>
    <mergeCell ref="A301:D301"/>
    <mergeCell ref="A303:B303"/>
    <mergeCell ref="A307:B307"/>
    <mergeCell ref="A308:B308"/>
    <mergeCell ref="A309:B309"/>
    <mergeCell ref="A310:B310"/>
    <mergeCell ref="A305:B305"/>
    <mergeCell ref="A306:B306"/>
    <mergeCell ref="A289:D289"/>
    <mergeCell ref="A291:D291"/>
    <mergeCell ref="A293:D293"/>
    <mergeCell ref="A295:D295"/>
    <mergeCell ref="A297:D297"/>
    <mergeCell ref="A299:D299"/>
    <mergeCell ref="A282:B282"/>
    <mergeCell ref="A284:B284"/>
    <mergeCell ref="A285:B285"/>
    <mergeCell ref="A286:B286"/>
    <mergeCell ref="A287:B287"/>
    <mergeCell ref="A288:D288"/>
    <mergeCell ref="A273:B273"/>
    <mergeCell ref="A274:B274"/>
    <mergeCell ref="A275:B275"/>
    <mergeCell ref="A278:B278"/>
    <mergeCell ref="A279:B279"/>
    <mergeCell ref="A280:B280"/>
    <mergeCell ref="A263:D263"/>
    <mergeCell ref="A265:D265"/>
    <mergeCell ref="A267:D267"/>
    <mergeCell ref="A269:D269"/>
    <mergeCell ref="A271:B271"/>
    <mergeCell ref="A272:B272"/>
    <mergeCell ref="A254:B254"/>
    <mergeCell ref="A255:B255"/>
    <mergeCell ref="A256:D256"/>
    <mergeCell ref="A257:D257"/>
    <mergeCell ref="A259:D259"/>
    <mergeCell ref="A261:D261"/>
    <mergeCell ref="A246:B246"/>
    <mergeCell ref="A247:B247"/>
    <mergeCell ref="A248:B248"/>
    <mergeCell ref="A250:B250"/>
    <mergeCell ref="A252:B252"/>
    <mergeCell ref="A253:B253"/>
    <mergeCell ref="A236:D236"/>
    <mergeCell ref="A238:B238"/>
    <mergeCell ref="A239:B239"/>
    <mergeCell ref="A240:B240"/>
    <mergeCell ref="A241:B241"/>
    <mergeCell ref="A242:B242"/>
    <mergeCell ref="A224:D224"/>
    <mergeCell ref="A226:D226"/>
    <mergeCell ref="A228:D228"/>
    <mergeCell ref="A230:D230"/>
    <mergeCell ref="A232:D232"/>
    <mergeCell ref="A234:D234"/>
    <mergeCell ref="A217:B217"/>
    <mergeCell ref="A219:B219"/>
    <mergeCell ref="A220:B220"/>
    <mergeCell ref="A221:B221"/>
    <mergeCell ref="A222:B222"/>
    <mergeCell ref="A223:D223"/>
    <mergeCell ref="A207:B207"/>
    <mergeCell ref="A208:B208"/>
    <mergeCell ref="A209:B209"/>
    <mergeCell ref="A213:B213"/>
    <mergeCell ref="A214:B214"/>
    <mergeCell ref="A215:B215"/>
    <mergeCell ref="A211:B211"/>
    <mergeCell ref="A212:B212"/>
    <mergeCell ref="A197:D197"/>
    <mergeCell ref="A199:D199"/>
    <mergeCell ref="A201:D201"/>
    <mergeCell ref="A203:D203"/>
    <mergeCell ref="A205:B205"/>
    <mergeCell ref="A206:B206"/>
    <mergeCell ref="A188:B188"/>
    <mergeCell ref="A189:B189"/>
    <mergeCell ref="A190:D190"/>
    <mergeCell ref="A191:D191"/>
    <mergeCell ref="A193:D193"/>
    <mergeCell ref="A195:D195"/>
    <mergeCell ref="A180:B180"/>
    <mergeCell ref="A181:B181"/>
    <mergeCell ref="A182:B182"/>
    <mergeCell ref="A184:B184"/>
    <mergeCell ref="A186:B186"/>
    <mergeCell ref="A187:B187"/>
    <mergeCell ref="A172:D172"/>
    <mergeCell ref="A174:B174"/>
    <mergeCell ref="A175:B175"/>
    <mergeCell ref="A176:B176"/>
    <mergeCell ref="A177:B177"/>
    <mergeCell ref="A178:B178"/>
    <mergeCell ref="A160:D160"/>
    <mergeCell ref="A162:D162"/>
    <mergeCell ref="A164:D164"/>
    <mergeCell ref="A166:D166"/>
    <mergeCell ref="A168:D168"/>
    <mergeCell ref="A170:D170"/>
    <mergeCell ref="A152:B152"/>
    <mergeCell ref="A153:B153"/>
    <mergeCell ref="A154:B154"/>
    <mergeCell ref="A155:D155"/>
    <mergeCell ref="A156:D156"/>
    <mergeCell ref="A158:D158"/>
    <mergeCell ref="A144:B144"/>
    <mergeCell ref="A145:B145"/>
    <mergeCell ref="A146:B146"/>
    <mergeCell ref="A147:B147"/>
    <mergeCell ref="A149:B149"/>
    <mergeCell ref="A151:B151"/>
    <mergeCell ref="A133:D133"/>
    <mergeCell ref="A135:B135"/>
    <mergeCell ref="A136:B136"/>
    <mergeCell ref="A137:B137"/>
    <mergeCell ref="A138:B138"/>
    <mergeCell ref="A139:B139"/>
    <mergeCell ref="A121:D121"/>
    <mergeCell ref="A123:D123"/>
    <mergeCell ref="A125:D125"/>
    <mergeCell ref="A127:D127"/>
    <mergeCell ref="A129:D129"/>
    <mergeCell ref="A131:D131"/>
    <mergeCell ref="A113:B113"/>
    <mergeCell ref="A114:B114"/>
    <mergeCell ref="A115:B115"/>
    <mergeCell ref="A116:D116"/>
    <mergeCell ref="A117:D117"/>
    <mergeCell ref="A119:D119"/>
    <mergeCell ref="A105:B105"/>
    <mergeCell ref="A106:B106"/>
    <mergeCell ref="A107:B107"/>
    <mergeCell ref="A108:B108"/>
    <mergeCell ref="A110:B110"/>
    <mergeCell ref="A112:B112"/>
    <mergeCell ref="A95:B95"/>
    <mergeCell ref="A96:B96"/>
    <mergeCell ref="A97:B97"/>
    <mergeCell ref="A98:B98"/>
    <mergeCell ref="A103:B103"/>
    <mergeCell ref="A104:B104"/>
    <mergeCell ref="A102:B102"/>
    <mergeCell ref="A101:B101"/>
    <mergeCell ref="A84:D84"/>
    <mergeCell ref="A86:D86"/>
    <mergeCell ref="A88:D88"/>
    <mergeCell ref="A90:D90"/>
    <mergeCell ref="A92:D92"/>
    <mergeCell ref="A94:B94"/>
    <mergeCell ref="A74:B74"/>
    <mergeCell ref="A75:D75"/>
    <mergeCell ref="A76:D76"/>
    <mergeCell ref="A78:D78"/>
    <mergeCell ref="A80:D80"/>
    <mergeCell ref="A82:D82"/>
    <mergeCell ref="A66:B66"/>
    <mergeCell ref="A67:B67"/>
    <mergeCell ref="A69:B69"/>
    <mergeCell ref="A71:B71"/>
    <mergeCell ref="A72:B72"/>
    <mergeCell ref="A73:B73"/>
    <mergeCell ref="A57:B57"/>
    <mergeCell ref="A58:B58"/>
    <mergeCell ref="A59:B59"/>
    <mergeCell ref="A60:B60"/>
    <mergeCell ref="A61:B61"/>
    <mergeCell ref="A65:B65"/>
    <mergeCell ref="A46:D46"/>
    <mergeCell ref="A48:D48"/>
    <mergeCell ref="A50:D50"/>
    <mergeCell ref="A52:D52"/>
    <mergeCell ref="A54:D54"/>
    <mergeCell ref="A56:B56"/>
    <mergeCell ref="A38:B38"/>
    <mergeCell ref="A39:B39"/>
    <mergeCell ref="A40:B40"/>
    <mergeCell ref="A41:D41"/>
    <mergeCell ref="A42:D42"/>
    <mergeCell ref="A44:D44"/>
    <mergeCell ref="A27:B27"/>
    <mergeCell ref="A31:B31"/>
    <mergeCell ref="A32:B32"/>
    <mergeCell ref="A33:B33"/>
    <mergeCell ref="A35:B35"/>
    <mergeCell ref="A37:B37"/>
    <mergeCell ref="A19:D19"/>
    <mergeCell ref="A21:D21"/>
    <mergeCell ref="A23:B23"/>
    <mergeCell ref="A24:B24"/>
    <mergeCell ref="A25:B25"/>
    <mergeCell ref="A26:B26"/>
    <mergeCell ref="A8:D8"/>
    <mergeCell ref="A9:D9"/>
    <mergeCell ref="A11:D11"/>
    <mergeCell ref="A13:D13"/>
    <mergeCell ref="A15:D15"/>
    <mergeCell ref="A17:D17"/>
    <mergeCell ref="A1:D1"/>
    <mergeCell ref="A3:D3"/>
    <mergeCell ref="A4:D4"/>
    <mergeCell ref="A5:D5"/>
    <mergeCell ref="A6:D6"/>
    <mergeCell ref="A7:D7"/>
  </mergeCells>
  <printOptions horizontalCentered="1"/>
  <pageMargins left="0.7" right="0.7" top="0.75" bottom="0.75" header="0.3" footer="0.3"/>
  <pageSetup scale="83" orientation="portrait" r:id="rId1"/>
  <rowBreaks count="18" manualBreakCount="18">
    <brk id="40" max="16383" man="1"/>
    <brk id="74" max="16383" man="1"/>
    <brk id="91" max="16383" man="1"/>
    <brk id="115" max="16383" man="1"/>
    <brk id="132" max="16383" man="1"/>
    <brk id="154" max="16383" man="1"/>
    <brk id="171" max="16383" man="1"/>
    <brk id="189" max="16383" man="1"/>
    <brk id="222" max="16383" man="1"/>
    <brk id="255" max="16383" man="1"/>
    <brk id="287" max="16383" man="1"/>
    <brk id="318" max="16383" man="1"/>
    <brk id="348" max="16383" man="1"/>
    <brk id="380" max="16383" man="1"/>
    <brk id="412" max="16383" man="1"/>
    <brk id="441" max="16383" man="1"/>
    <brk id="458" max="16383" man="1"/>
    <brk id="497"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352B-5A16-4927-9567-EED650F0FFDA}">
  <dimension ref="A1:D494"/>
  <sheetViews>
    <sheetView zoomScaleNormal="100" zoomScaleSheetLayoutView="130" workbookViewId="0">
      <selection sqref="A1:D1"/>
    </sheetView>
  </sheetViews>
  <sheetFormatPr defaultColWidth="8.85546875" defaultRowHeight="15" x14ac:dyDescent="0.25"/>
  <cols>
    <col min="1" max="1" width="58.28515625" style="4" customWidth="1"/>
    <col min="2" max="2" width="16.42578125" style="4" customWidth="1"/>
    <col min="3" max="3" width="6.28515625" style="4" customWidth="1"/>
    <col min="4" max="4" width="10.42578125" style="4" customWidth="1"/>
    <col min="5" max="16384" width="8.85546875" style="4"/>
  </cols>
  <sheetData>
    <row r="1" spans="1:4" ht="23.25" x14ac:dyDescent="0.25">
      <c r="A1" s="26" t="s">
        <v>225</v>
      </c>
      <c r="B1" s="26"/>
      <c r="C1" s="26"/>
      <c r="D1" s="26"/>
    </row>
    <row r="2" spans="1:4" ht="20.25" x14ac:dyDescent="0.25">
      <c r="A2" s="228" t="s">
        <v>224</v>
      </c>
      <c r="B2" s="228"/>
      <c r="C2" s="228"/>
      <c r="D2" s="228"/>
    </row>
    <row r="3" spans="1:4" ht="18" x14ac:dyDescent="0.25">
      <c r="A3" s="20" t="s">
        <v>0</v>
      </c>
      <c r="B3" s="20"/>
      <c r="C3" s="20"/>
      <c r="D3" s="20"/>
    </row>
    <row r="4" spans="1:4" ht="15.75" x14ac:dyDescent="0.25">
      <c r="A4" s="21" t="s">
        <v>1</v>
      </c>
      <c r="B4" s="21"/>
      <c r="C4" s="21"/>
      <c r="D4" s="21"/>
    </row>
    <row r="5" spans="1:4" x14ac:dyDescent="0.25">
      <c r="A5" s="22" t="s">
        <v>2</v>
      </c>
      <c r="B5" s="22"/>
      <c r="C5" s="22"/>
      <c r="D5" s="22"/>
    </row>
    <row r="6" spans="1:4" x14ac:dyDescent="0.25">
      <c r="A6" s="22" t="s">
        <v>3</v>
      </c>
      <c r="B6" s="22"/>
      <c r="C6" s="22"/>
      <c r="D6" s="22"/>
    </row>
    <row r="7" spans="1:4" x14ac:dyDescent="0.25">
      <c r="A7" s="23" t="s">
        <v>4</v>
      </c>
      <c r="B7" s="23"/>
      <c r="C7" s="23"/>
      <c r="D7" s="23"/>
    </row>
    <row r="8" spans="1:4" x14ac:dyDescent="0.25">
      <c r="A8" s="24" t="s">
        <v>5</v>
      </c>
      <c r="B8" s="25"/>
      <c r="C8" s="25"/>
      <c r="D8" s="25"/>
    </row>
    <row r="9" spans="1:4" ht="87.75" customHeight="1" x14ac:dyDescent="0.25">
      <c r="A9" s="25" t="s">
        <v>6</v>
      </c>
      <c r="B9" s="25"/>
      <c r="C9" s="25"/>
      <c r="D9" s="25"/>
    </row>
    <row r="10" spans="1:4" ht="6.75" customHeight="1" x14ac:dyDescent="0.25">
      <c r="A10" s="1"/>
      <c r="B10" s="1"/>
      <c r="C10" s="1"/>
      <c r="D10" s="1"/>
    </row>
    <row r="11" spans="1:4" x14ac:dyDescent="0.25">
      <c r="A11" s="27" t="s">
        <v>7</v>
      </c>
      <c r="B11" s="25"/>
      <c r="C11" s="25"/>
      <c r="D11" s="25"/>
    </row>
    <row r="12" spans="1:4" ht="6.75" customHeight="1" x14ac:dyDescent="0.25">
      <c r="A12" s="2"/>
      <c r="B12" s="1"/>
      <c r="C12" s="1"/>
      <c r="D12" s="1"/>
    </row>
    <row r="13" spans="1:4" ht="38.450000000000003" customHeight="1" x14ac:dyDescent="0.25">
      <c r="A13" s="25" t="s">
        <v>8</v>
      </c>
      <c r="B13" s="25"/>
      <c r="C13" s="25"/>
      <c r="D13" s="25"/>
    </row>
    <row r="14" spans="1:4" ht="6.75" customHeight="1" x14ac:dyDescent="0.25">
      <c r="A14" s="1"/>
      <c r="B14" s="1"/>
      <c r="C14" s="1"/>
      <c r="D14" s="1"/>
    </row>
    <row r="15" spans="1:4" ht="49.15" customHeight="1" x14ac:dyDescent="0.25">
      <c r="A15" s="25" t="s">
        <v>9</v>
      </c>
      <c r="B15" s="25"/>
      <c r="C15" s="25"/>
      <c r="D15" s="25"/>
    </row>
    <row r="16" spans="1:4" ht="6.75" customHeight="1" x14ac:dyDescent="0.25">
      <c r="A16" s="1"/>
      <c r="B16" s="1"/>
      <c r="C16" s="1"/>
      <c r="D16" s="1"/>
    </row>
    <row r="17" spans="1:4" ht="50.45" customHeight="1" x14ac:dyDescent="0.25">
      <c r="A17" s="25" t="s">
        <v>10</v>
      </c>
      <c r="B17" s="25"/>
      <c r="C17" s="25"/>
      <c r="D17" s="25"/>
    </row>
    <row r="18" spans="1:4" ht="6.75" customHeight="1" x14ac:dyDescent="0.25">
      <c r="A18" s="1"/>
      <c r="B18" s="1"/>
      <c r="C18" s="1"/>
      <c r="D18" s="1"/>
    </row>
    <row r="19" spans="1:4" ht="40.15" customHeight="1" x14ac:dyDescent="0.25">
      <c r="A19" s="25" t="s">
        <v>11</v>
      </c>
      <c r="B19" s="25"/>
      <c r="C19" s="25"/>
      <c r="D19" s="25"/>
    </row>
    <row r="20" spans="1:4" ht="6.75" customHeight="1" x14ac:dyDescent="0.25">
      <c r="A20" s="1"/>
      <c r="B20" s="1"/>
      <c r="C20" s="1"/>
      <c r="D20" s="1"/>
    </row>
    <row r="21" spans="1:4" x14ac:dyDescent="0.25">
      <c r="A21" s="27" t="s">
        <v>12</v>
      </c>
      <c r="B21" s="25"/>
      <c r="C21" s="25"/>
      <c r="D21" s="25"/>
    </row>
    <row r="22" spans="1:4" ht="6.75" customHeight="1" x14ac:dyDescent="0.25">
      <c r="A22" s="2"/>
      <c r="B22" s="1"/>
      <c r="C22" s="1"/>
      <c r="D22" s="1"/>
    </row>
    <row r="23" spans="1:4" x14ac:dyDescent="0.25">
      <c r="A23" s="28" t="s">
        <v>13</v>
      </c>
      <c r="B23" s="28"/>
      <c r="C23" s="5" t="s">
        <v>14</v>
      </c>
      <c r="D23" s="6">
        <v>30.84</v>
      </c>
    </row>
    <row r="24" spans="1:4" ht="25.15" customHeight="1" x14ac:dyDescent="0.25">
      <c r="A24" s="28" t="s">
        <v>15</v>
      </c>
      <c r="B24" s="28"/>
      <c r="C24" s="5" t="s">
        <v>14</v>
      </c>
      <c r="D24" s="6">
        <v>0.56000000000000005</v>
      </c>
    </row>
    <row r="25" spans="1:4" ht="25.15" customHeight="1" x14ac:dyDescent="0.25">
      <c r="A25" s="28" t="s">
        <v>16</v>
      </c>
      <c r="B25" s="28"/>
      <c r="C25" s="5" t="s">
        <v>14</v>
      </c>
      <c r="D25" s="6">
        <v>0.28999999999999998</v>
      </c>
    </row>
    <row r="26" spans="1:4" x14ac:dyDescent="0.25">
      <c r="A26" s="28" t="s">
        <v>17</v>
      </c>
      <c r="B26" s="28"/>
      <c r="C26" s="5" t="s">
        <v>14</v>
      </c>
      <c r="D26" s="6">
        <v>0.42</v>
      </c>
    </row>
    <row r="27" spans="1:4" x14ac:dyDescent="0.25">
      <c r="A27" s="28" t="s">
        <v>18</v>
      </c>
      <c r="B27" s="28"/>
      <c r="C27" s="5" t="s">
        <v>19</v>
      </c>
      <c r="D27" s="7">
        <v>2.9999999999999997E-4</v>
      </c>
    </row>
    <row r="28" spans="1:4" x14ac:dyDescent="0.25">
      <c r="A28" s="28" t="s">
        <v>20</v>
      </c>
      <c r="B28" s="28"/>
      <c r="C28" s="5" t="s">
        <v>19</v>
      </c>
      <c r="D28" s="7">
        <v>1.4E-3</v>
      </c>
    </row>
    <row r="29" spans="1:4" x14ac:dyDescent="0.25">
      <c r="A29" s="28" t="s">
        <v>21</v>
      </c>
      <c r="B29" s="28"/>
      <c r="C29" s="5" t="s">
        <v>19</v>
      </c>
      <c r="D29" s="7">
        <v>8.9999999999999993E-3</v>
      </c>
    </row>
    <row r="30" spans="1:4" x14ac:dyDescent="0.25">
      <c r="A30" s="28" t="s">
        <v>22</v>
      </c>
      <c r="B30" s="28"/>
      <c r="C30" s="5" t="s">
        <v>19</v>
      </c>
      <c r="D30" s="7">
        <v>5.0000000000000001E-3</v>
      </c>
    </row>
    <row r="31" spans="1:4" ht="6.75" customHeight="1" x14ac:dyDescent="0.25">
      <c r="A31" s="3"/>
      <c r="B31" s="3"/>
      <c r="C31" s="5"/>
      <c r="D31" s="7"/>
    </row>
    <row r="32" spans="1:4" x14ac:dyDescent="0.25">
      <c r="A32" s="27" t="s">
        <v>23</v>
      </c>
      <c r="B32" s="28"/>
      <c r="C32" s="5"/>
      <c r="D32" s="5"/>
    </row>
    <row r="33" spans="1:4" ht="6.75" customHeight="1" x14ac:dyDescent="0.25">
      <c r="A33" s="2"/>
      <c r="B33" s="3"/>
      <c r="C33" s="5"/>
      <c r="D33" s="5"/>
    </row>
    <row r="34" spans="1:4" x14ac:dyDescent="0.25">
      <c r="A34" s="28" t="s">
        <v>24</v>
      </c>
      <c r="B34" s="28"/>
      <c r="C34" s="5" t="s">
        <v>19</v>
      </c>
      <c r="D34" s="7">
        <v>3.0000000000000001E-3</v>
      </c>
    </row>
    <row r="35" spans="1:4" x14ac:dyDescent="0.25">
      <c r="A35" s="28" t="s">
        <v>25</v>
      </c>
      <c r="B35" s="28"/>
      <c r="C35" s="5" t="s">
        <v>19</v>
      </c>
      <c r="D35" s="7">
        <v>4.0000000000000002E-4</v>
      </c>
    </row>
    <row r="36" spans="1:4" x14ac:dyDescent="0.25">
      <c r="A36" s="28" t="s">
        <v>26</v>
      </c>
      <c r="B36" s="28"/>
      <c r="C36" s="5" t="s">
        <v>19</v>
      </c>
      <c r="D36" s="7">
        <v>5.0000000000000001E-4</v>
      </c>
    </row>
    <row r="37" spans="1:4" x14ac:dyDescent="0.25">
      <c r="A37" s="28" t="s">
        <v>27</v>
      </c>
      <c r="B37" s="28"/>
      <c r="C37" s="5" t="s">
        <v>14</v>
      </c>
      <c r="D37" s="6">
        <v>0.25</v>
      </c>
    </row>
    <row r="38" spans="1:4" s="8" customFormat="1" ht="18" customHeight="1" x14ac:dyDescent="0.25">
      <c r="A38" s="24" t="s">
        <v>28</v>
      </c>
      <c r="B38" s="29"/>
      <c r="C38" s="29"/>
      <c r="D38" s="29"/>
    </row>
    <row r="39" spans="1:4" ht="78.75" customHeight="1" x14ac:dyDescent="0.25">
      <c r="A39" s="25" t="s">
        <v>29</v>
      </c>
      <c r="B39" s="25"/>
      <c r="C39" s="25"/>
      <c r="D39" s="25"/>
    </row>
    <row r="40" spans="1:4" ht="6.75" customHeight="1" x14ac:dyDescent="0.25">
      <c r="A40" s="1"/>
      <c r="B40" s="1"/>
      <c r="C40" s="1"/>
      <c r="D40" s="1"/>
    </row>
    <row r="41" spans="1:4" x14ac:dyDescent="0.25">
      <c r="A41" s="27" t="s">
        <v>7</v>
      </c>
      <c r="B41" s="25"/>
      <c r="C41" s="25"/>
      <c r="D41" s="25"/>
    </row>
    <row r="42" spans="1:4" ht="6.75" customHeight="1" x14ac:dyDescent="0.25">
      <c r="A42" s="2"/>
      <c r="B42" s="1"/>
      <c r="C42" s="1"/>
      <c r="D42" s="1"/>
    </row>
    <row r="43" spans="1:4" ht="36" customHeight="1" x14ac:dyDescent="0.25">
      <c r="A43" s="25" t="s">
        <v>8</v>
      </c>
      <c r="B43" s="25"/>
      <c r="C43" s="25"/>
      <c r="D43" s="25"/>
    </row>
    <row r="44" spans="1:4" ht="6.75" customHeight="1" x14ac:dyDescent="0.25">
      <c r="A44" s="1"/>
      <c r="B44" s="1"/>
      <c r="C44" s="1"/>
      <c r="D44" s="1"/>
    </row>
    <row r="45" spans="1:4" ht="48" customHeight="1" x14ac:dyDescent="0.25">
      <c r="A45" s="25" t="s">
        <v>9</v>
      </c>
      <c r="B45" s="25"/>
      <c r="C45" s="25"/>
      <c r="D45" s="25"/>
    </row>
    <row r="46" spans="1:4" ht="6.75" customHeight="1" x14ac:dyDescent="0.25">
      <c r="A46" s="1"/>
      <c r="B46" s="1"/>
      <c r="C46" s="1"/>
      <c r="D46" s="1"/>
    </row>
    <row r="47" spans="1:4" ht="49.9" customHeight="1" x14ac:dyDescent="0.25">
      <c r="A47" s="25" t="s">
        <v>10</v>
      </c>
      <c r="B47" s="25"/>
      <c r="C47" s="25"/>
      <c r="D47" s="25"/>
    </row>
    <row r="48" spans="1:4" ht="6.75" customHeight="1" x14ac:dyDescent="0.25">
      <c r="A48" s="1"/>
      <c r="B48" s="1"/>
      <c r="C48" s="1"/>
      <c r="D48" s="1"/>
    </row>
    <row r="49" spans="1:4" ht="36.6" customHeight="1" x14ac:dyDescent="0.25">
      <c r="A49" s="25" t="s">
        <v>11</v>
      </c>
      <c r="B49" s="25"/>
      <c r="C49" s="25"/>
      <c r="D49" s="25"/>
    </row>
    <row r="50" spans="1:4" ht="6.75" customHeight="1" x14ac:dyDescent="0.25">
      <c r="A50" s="1"/>
      <c r="B50" s="1"/>
      <c r="C50" s="1"/>
      <c r="D50" s="1"/>
    </row>
    <row r="51" spans="1:4" x14ac:dyDescent="0.25">
      <c r="A51" s="27" t="s">
        <v>12</v>
      </c>
      <c r="B51" s="25"/>
      <c r="C51" s="25"/>
      <c r="D51" s="25"/>
    </row>
    <row r="52" spans="1:4" ht="6.75" customHeight="1" x14ac:dyDescent="0.25">
      <c r="A52" s="2"/>
      <c r="B52" s="1"/>
      <c r="C52" s="1"/>
      <c r="D52" s="1"/>
    </row>
    <row r="53" spans="1:4" x14ac:dyDescent="0.25">
      <c r="A53" s="28" t="s">
        <v>13</v>
      </c>
      <c r="B53" s="28"/>
      <c r="C53" s="5" t="s">
        <v>14</v>
      </c>
      <c r="D53" s="6">
        <v>16.61</v>
      </c>
    </row>
    <row r="54" spans="1:4" ht="24" customHeight="1" x14ac:dyDescent="0.25">
      <c r="A54" s="28" t="s">
        <v>15</v>
      </c>
      <c r="B54" s="28"/>
      <c r="C54" s="5" t="s">
        <v>14</v>
      </c>
      <c r="D54" s="6">
        <v>1.1200000000000001</v>
      </c>
    </row>
    <row r="55" spans="1:4" ht="24" customHeight="1" x14ac:dyDescent="0.25">
      <c r="A55" s="28" t="s">
        <v>16</v>
      </c>
      <c r="B55" s="28"/>
      <c r="C55" s="5" t="s">
        <v>14</v>
      </c>
      <c r="D55" s="6">
        <v>0.57999999999999996</v>
      </c>
    </row>
    <row r="56" spans="1:4" x14ac:dyDescent="0.25">
      <c r="A56" s="28" t="s">
        <v>17</v>
      </c>
      <c r="B56" s="28"/>
      <c r="C56" s="5" t="s">
        <v>14</v>
      </c>
      <c r="D56" s="6">
        <v>0.42</v>
      </c>
    </row>
    <row r="57" spans="1:4" x14ac:dyDescent="0.25">
      <c r="A57" s="28" t="s">
        <v>30</v>
      </c>
      <c r="B57" s="28"/>
      <c r="C57" s="5" t="s">
        <v>19</v>
      </c>
      <c r="D57" s="7">
        <v>1.77E-2</v>
      </c>
    </row>
    <row r="58" spans="1:4" x14ac:dyDescent="0.25">
      <c r="A58" s="28" t="s">
        <v>18</v>
      </c>
      <c r="B58" s="28"/>
      <c r="C58" s="5" t="s">
        <v>19</v>
      </c>
      <c r="D58" s="7">
        <v>2.0000000000000001E-4</v>
      </c>
    </row>
    <row r="59" spans="1:4" x14ac:dyDescent="0.25">
      <c r="A59" s="28" t="s">
        <v>20</v>
      </c>
      <c r="B59" s="28"/>
      <c r="C59" s="5" t="s">
        <v>19</v>
      </c>
      <c r="D59" s="7">
        <v>1.5E-3</v>
      </c>
    </row>
    <row r="60" spans="1:4" x14ac:dyDescent="0.25">
      <c r="A60" s="28" t="s">
        <v>21</v>
      </c>
      <c r="B60" s="28"/>
      <c r="C60" s="5" t="s">
        <v>19</v>
      </c>
      <c r="D60" s="7">
        <v>8.0999999999999996E-3</v>
      </c>
    </row>
    <row r="61" spans="1:4" x14ac:dyDescent="0.25">
      <c r="A61" s="28" t="s">
        <v>22</v>
      </c>
      <c r="B61" s="28"/>
      <c r="C61" s="5" t="s">
        <v>19</v>
      </c>
      <c r="D61" s="7">
        <v>4.4000000000000003E-3</v>
      </c>
    </row>
    <row r="62" spans="1:4" ht="6.75" customHeight="1" x14ac:dyDescent="0.25">
      <c r="A62" s="3"/>
      <c r="B62" s="3"/>
      <c r="C62" s="5"/>
      <c r="D62" s="7"/>
    </row>
    <row r="63" spans="1:4" x14ac:dyDescent="0.25">
      <c r="A63" s="27" t="s">
        <v>23</v>
      </c>
      <c r="B63" s="28"/>
      <c r="C63" s="3"/>
      <c r="D63" s="3"/>
    </row>
    <row r="64" spans="1:4" ht="6.75" customHeight="1" x14ac:dyDescent="0.25">
      <c r="A64" s="2"/>
      <c r="B64" s="3"/>
      <c r="C64" s="3"/>
      <c r="D64" s="3"/>
    </row>
    <row r="65" spans="1:4" x14ac:dyDescent="0.25">
      <c r="A65" s="28" t="s">
        <v>24</v>
      </c>
      <c r="B65" s="28"/>
      <c r="C65" s="5" t="s">
        <v>19</v>
      </c>
      <c r="D65" s="7">
        <v>3.0000000000000001E-3</v>
      </c>
    </row>
    <row r="66" spans="1:4" x14ac:dyDescent="0.25">
      <c r="A66" s="28" t="s">
        <v>25</v>
      </c>
      <c r="B66" s="28"/>
      <c r="C66" s="5" t="s">
        <v>19</v>
      </c>
      <c r="D66" s="7">
        <v>4.0000000000000002E-4</v>
      </c>
    </row>
    <row r="67" spans="1:4" x14ac:dyDescent="0.25">
      <c r="A67" s="28" t="s">
        <v>26</v>
      </c>
      <c r="B67" s="28"/>
      <c r="C67" s="5" t="s">
        <v>19</v>
      </c>
      <c r="D67" s="7">
        <v>5.0000000000000001E-4</v>
      </c>
    </row>
    <row r="68" spans="1:4" x14ac:dyDescent="0.25">
      <c r="A68" s="28" t="s">
        <v>27</v>
      </c>
      <c r="B68" s="28"/>
      <c r="C68" s="5" t="s">
        <v>14</v>
      </c>
      <c r="D68" s="6">
        <v>0.25</v>
      </c>
    </row>
    <row r="69" spans="1:4" s="8" customFormat="1" ht="18" customHeight="1" x14ac:dyDescent="0.25">
      <c r="A69" s="24" t="s">
        <v>31</v>
      </c>
      <c r="B69" s="29"/>
      <c r="C69" s="29"/>
      <c r="D69" s="29"/>
    </row>
    <row r="70" spans="1:4" ht="78.75" customHeight="1" x14ac:dyDescent="0.25">
      <c r="A70" s="25" t="s">
        <v>32</v>
      </c>
      <c r="B70" s="25"/>
      <c r="C70" s="25"/>
      <c r="D70" s="25"/>
    </row>
    <row r="71" spans="1:4" ht="6.75" customHeight="1" x14ac:dyDescent="0.25">
      <c r="A71" s="1"/>
      <c r="B71" s="1"/>
      <c r="C71" s="1"/>
      <c r="D71" s="1"/>
    </row>
    <row r="72" spans="1:4" x14ac:dyDescent="0.25">
      <c r="A72" s="27" t="s">
        <v>7</v>
      </c>
      <c r="B72" s="25"/>
      <c r="C72" s="25"/>
      <c r="D72" s="25"/>
    </row>
    <row r="73" spans="1:4" ht="6.75" customHeight="1" x14ac:dyDescent="0.25">
      <c r="A73" s="2"/>
      <c r="B73" s="1"/>
      <c r="C73" s="1"/>
      <c r="D73" s="1"/>
    </row>
    <row r="74" spans="1:4" ht="42" customHeight="1" x14ac:dyDescent="0.25">
      <c r="A74" s="25" t="s">
        <v>8</v>
      </c>
      <c r="B74" s="25"/>
      <c r="C74" s="25"/>
      <c r="D74" s="25"/>
    </row>
    <row r="75" spans="1:4" ht="6.75" customHeight="1" x14ac:dyDescent="0.25">
      <c r="A75" s="1"/>
      <c r="B75" s="1"/>
      <c r="C75" s="1"/>
      <c r="D75" s="1"/>
    </row>
    <row r="76" spans="1:4" ht="52.5" customHeight="1" x14ac:dyDescent="0.25">
      <c r="A76" s="25" t="s">
        <v>9</v>
      </c>
      <c r="B76" s="25"/>
      <c r="C76" s="25"/>
      <c r="D76" s="25"/>
    </row>
    <row r="77" spans="1:4" ht="6.75" customHeight="1" x14ac:dyDescent="0.25">
      <c r="A77" s="1"/>
      <c r="B77" s="1"/>
      <c r="C77" s="1"/>
      <c r="D77" s="1"/>
    </row>
    <row r="78" spans="1:4" ht="51.75" customHeight="1" x14ac:dyDescent="0.25">
      <c r="A78" s="25" t="s">
        <v>10</v>
      </c>
      <c r="B78" s="25"/>
      <c r="C78" s="25"/>
      <c r="D78" s="25"/>
    </row>
    <row r="79" spans="1:4" ht="6.75" customHeight="1" x14ac:dyDescent="0.25">
      <c r="A79" s="1"/>
      <c r="B79" s="1"/>
      <c r="C79" s="1"/>
      <c r="D79" s="1"/>
    </row>
    <row r="80" spans="1:4" ht="78.75" customHeight="1" x14ac:dyDescent="0.25">
      <c r="A80" s="25" t="s">
        <v>33</v>
      </c>
      <c r="B80" s="25"/>
      <c r="C80" s="25"/>
      <c r="D80" s="25"/>
    </row>
    <row r="81" spans="1:4" ht="6.75" customHeight="1" x14ac:dyDescent="0.25">
      <c r="A81" s="1"/>
      <c r="B81" s="1"/>
      <c r="C81" s="1"/>
      <c r="D81" s="1"/>
    </row>
    <row r="82" spans="1:4" ht="77.25" customHeight="1" x14ac:dyDescent="0.25">
      <c r="A82" s="25" t="s">
        <v>34</v>
      </c>
      <c r="B82" s="25"/>
      <c r="C82" s="25"/>
      <c r="D82" s="25"/>
    </row>
    <row r="83" spans="1:4" ht="6.75" customHeight="1" x14ac:dyDescent="0.25">
      <c r="A83" s="1"/>
      <c r="B83" s="1"/>
      <c r="C83" s="1"/>
      <c r="D83" s="1"/>
    </row>
    <row r="84" spans="1:4" ht="41.25" customHeight="1" x14ac:dyDescent="0.25">
      <c r="A84" s="25" t="s">
        <v>11</v>
      </c>
      <c r="B84" s="25"/>
      <c r="C84" s="25"/>
      <c r="D84" s="25"/>
    </row>
    <row r="85" spans="1:4" ht="6.75" customHeight="1" x14ac:dyDescent="0.25">
      <c r="A85" s="1"/>
      <c r="B85" s="1"/>
      <c r="C85" s="1"/>
      <c r="D85" s="1"/>
    </row>
    <row r="86" spans="1:4" x14ac:dyDescent="0.25">
      <c r="A86" s="27" t="s">
        <v>12</v>
      </c>
      <c r="B86" s="25"/>
      <c r="C86" s="25"/>
      <c r="D86" s="25"/>
    </row>
    <row r="87" spans="1:4" ht="6.75" customHeight="1" x14ac:dyDescent="0.25">
      <c r="A87" s="2"/>
      <c r="B87" s="1"/>
      <c r="C87" s="1"/>
      <c r="D87" s="1"/>
    </row>
    <row r="88" spans="1:4" x14ac:dyDescent="0.25">
      <c r="A88" s="28" t="s">
        <v>13</v>
      </c>
      <c r="B88" s="28"/>
      <c r="C88" s="5" t="s">
        <v>14</v>
      </c>
      <c r="D88" s="6">
        <v>113.62</v>
      </c>
    </row>
    <row r="89" spans="1:4" ht="26.25" customHeight="1" x14ac:dyDescent="0.25">
      <c r="A89" s="28" t="s">
        <v>15</v>
      </c>
      <c r="B89" s="28"/>
      <c r="C89" s="5" t="s">
        <v>14</v>
      </c>
      <c r="D89" s="6">
        <v>14.23</v>
      </c>
    </row>
    <row r="90" spans="1:4" ht="25.5" customHeight="1" x14ac:dyDescent="0.25">
      <c r="A90" s="28" t="s">
        <v>35</v>
      </c>
      <c r="B90" s="28"/>
      <c r="C90" s="5" t="s">
        <v>14</v>
      </c>
      <c r="D90" s="6">
        <v>7.62</v>
      </c>
    </row>
    <row r="91" spans="1:4" x14ac:dyDescent="0.25">
      <c r="A91" s="28" t="s">
        <v>30</v>
      </c>
      <c r="B91" s="28"/>
      <c r="C91" s="5" t="s">
        <v>36</v>
      </c>
      <c r="D91" s="7">
        <v>4.2012999999999998</v>
      </c>
    </row>
    <row r="92" spans="1:4" x14ac:dyDescent="0.25">
      <c r="A92" s="28" t="s">
        <v>18</v>
      </c>
      <c r="B92" s="28"/>
      <c r="C92" s="5" t="s">
        <v>36</v>
      </c>
      <c r="D92" s="7">
        <v>0.14549999999999999</v>
      </c>
    </row>
    <row r="93" spans="1:4" x14ac:dyDescent="0.25">
      <c r="A93" s="28" t="s">
        <v>37</v>
      </c>
      <c r="B93" s="28"/>
      <c r="C93" s="5" t="s">
        <v>36</v>
      </c>
      <c r="D93" s="7">
        <v>4.8300000000000003E-2</v>
      </c>
    </row>
    <row r="94" spans="1:4" x14ac:dyDescent="0.25">
      <c r="A94" s="28" t="s">
        <v>20</v>
      </c>
      <c r="B94" s="28"/>
      <c r="C94" s="5" t="s">
        <v>36</v>
      </c>
      <c r="D94" s="7">
        <v>0.42199999999999999</v>
      </c>
    </row>
    <row r="95" spans="1:4" x14ac:dyDescent="0.25">
      <c r="A95" s="28" t="s">
        <v>21</v>
      </c>
      <c r="B95" s="28"/>
      <c r="C95" s="5" t="s">
        <v>36</v>
      </c>
      <c r="D95" s="7">
        <v>4.7381000000000002</v>
      </c>
    </row>
    <row r="96" spans="1:4" ht="25.5" customHeight="1" x14ac:dyDescent="0.25">
      <c r="A96" s="28" t="s">
        <v>38</v>
      </c>
      <c r="B96" s="28"/>
      <c r="C96" s="5" t="s">
        <v>36</v>
      </c>
      <c r="D96" s="7">
        <v>2.5701999999999998</v>
      </c>
    </row>
    <row r="97" spans="1:4" x14ac:dyDescent="0.25">
      <c r="A97" s="28" t="s">
        <v>39</v>
      </c>
      <c r="B97" s="28"/>
      <c r="C97" s="5" t="s">
        <v>36</v>
      </c>
      <c r="D97" s="7">
        <v>4.7712000000000003</v>
      </c>
    </row>
    <row r="98" spans="1:4" ht="23.25" customHeight="1" x14ac:dyDescent="0.25">
      <c r="A98" s="28" t="s">
        <v>40</v>
      </c>
      <c r="B98" s="28"/>
      <c r="C98" s="5" t="s">
        <v>36</v>
      </c>
      <c r="D98" s="7">
        <v>2.5962000000000001</v>
      </c>
    </row>
    <row r="99" spans="1:4" ht="6.75" customHeight="1" x14ac:dyDescent="0.25">
      <c r="A99" s="3"/>
      <c r="B99" s="3"/>
      <c r="C99" s="5"/>
      <c r="D99" s="7"/>
    </row>
    <row r="100" spans="1:4" x14ac:dyDescent="0.25">
      <c r="A100" s="27" t="s">
        <v>23</v>
      </c>
      <c r="B100" s="28"/>
      <c r="C100" s="5"/>
      <c r="D100" s="5"/>
    </row>
    <row r="101" spans="1:4" ht="6.75" customHeight="1" x14ac:dyDescent="0.25">
      <c r="A101" s="2"/>
      <c r="B101" s="3"/>
      <c r="C101" s="5"/>
      <c r="D101" s="5"/>
    </row>
    <row r="102" spans="1:4" x14ac:dyDescent="0.25">
      <c r="A102" s="28" t="s">
        <v>24</v>
      </c>
      <c r="B102" s="28"/>
      <c r="C102" s="5" t="s">
        <v>19</v>
      </c>
      <c r="D102" s="7">
        <v>3.0000000000000001E-3</v>
      </c>
    </row>
    <row r="103" spans="1:4" x14ac:dyDescent="0.25">
      <c r="A103" s="28" t="s">
        <v>25</v>
      </c>
      <c r="B103" s="28"/>
      <c r="C103" s="5" t="s">
        <v>19</v>
      </c>
      <c r="D103" s="7">
        <v>4.0000000000000002E-4</v>
      </c>
    </row>
    <row r="104" spans="1:4" x14ac:dyDescent="0.25">
      <c r="A104" s="28" t="s">
        <v>26</v>
      </c>
      <c r="B104" s="28"/>
      <c r="C104" s="5" t="s">
        <v>19</v>
      </c>
      <c r="D104" s="7">
        <v>5.0000000000000001E-4</v>
      </c>
    </row>
    <row r="105" spans="1:4" x14ac:dyDescent="0.25">
      <c r="A105" s="28" t="s">
        <v>27</v>
      </c>
      <c r="B105" s="28"/>
      <c r="C105" s="5" t="s">
        <v>14</v>
      </c>
      <c r="D105" s="6">
        <v>0.25</v>
      </c>
    </row>
    <row r="106" spans="1:4" s="8" customFormat="1" ht="18" customHeight="1" x14ac:dyDescent="0.25">
      <c r="A106" s="24" t="s">
        <v>41</v>
      </c>
      <c r="B106" s="29"/>
      <c r="C106" s="29"/>
      <c r="D106" s="29"/>
    </row>
    <row r="107" spans="1:4" ht="77.25" customHeight="1" x14ac:dyDescent="0.25">
      <c r="A107" s="25" t="s">
        <v>42</v>
      </c>
      <c r="B107" s="25"/>
      <c r="C107" s="25"/>
      <c r="D107" s="25"/>
    </row>
    <row r="108" spans="1:4" ht="6.75" customHeight="1" x14ac:dyDescent="0.25">
      <c r="A108" s="1"/>
      <c r="B108" s="1"/>
      <c r="C108" s="1"/>
      <c r="D108" s="1"/>
    </row>
    <row r="109" spans="1:4" x14ac:dyDescent="0.25">
      <c r="A109" s="27" t="s">
        <v>7</v>
      </c>
      <c r="B109" s="25"/>
      <c r="C109" s="25"/>
      <c r="D109" s="25"/>
    </row>
    <row r="110" spans="1:4" ht="6.75" customHeight="1" x14ac:dyDescent="0.25">
      <c r="A110" s="2"/>
      <c r="B110" s="1"/>
      <c r="C110" s="1"/>
      <c r="D110" s="1"/>
    </row>
    <row r="111" spans="1:4" ht="42" customHeight="1" x14ac:dyDescent="0.25">
      <c r="A111" s="25" t="s">
        <v>8</v>
      </c>
      <c r="B111" s="25"/>
      <c r="C111" s="25"/>
      <c r="D111" s="25"/>
    </row>
    <row r="112" spans="1:4" ht="6.75" customHeight="1" x14ac:dyDescent="0.25">
      <c r="A112" s="1"/>
      <c r="B112" s="1"/>
      <c r="C112" s="1"/>
      <c r="D112" s="1"/>
    </row>
    <row r="113" spans="1:4" ht="51" customHeight="1" x14ac:dyDescent="0.25">
      <c r="A113" s="25" t="s">
        <v>9</v>
      </c>
      <c r="B113" s="25"/>
      <c r="C113" s="25"/>
      <c r="D113" s="25"/>
    </row>
    <row r="114" spans="1:4" ht="6.75" customHeight="1" x14ac:dyDescent="0.25">
      <c r="A114" s="1"/>
      <c r="B114" s="1"/>
      <c r="C114" s="1"/>
      <c r="D114" s="1"/>
    </row>
    <row r="115" spans="1:4" ht="52.5" customHeight="1" x14ac:dyDescent="0.25">
      <c r="A115" s="25" t="s">
        <v>10</v>
      </c>
      <c r="B115" s="25"/>
      <c r="C115" s="25"/>
      <c r="D115" s="25"/>
    </row>
    <row r="116" spans="1:4" ht="6.75" customHeight="1" x14ac:dyDescent="0.25">
      <c r="A116" s="1"/>
      <c r="B116" s="1"/>
      <c r="C116" s="1"/>
      <c r="D116" s="1"/>
    </row>
    <row r="117" spans="1:4" ht="77.25" customHeight="1" x14ac:dyDescent="0.25">
      <c r="A117" s="25" t="s">
        <v>33</v>
      </c>
      <c r="B117" s="25"/>
      <c r="C117" s="25"/>
      <c r="D117" s="25"/>
    </row>
    <row r="118" spans="1:4" ht="6.75" customHeight="1" x14ac:dyDescent="0.25">
      <c r="A118" s="1"/>
      <c r="B118" s="1"/>
      <c r="C118" s="1"/>
      <c r="D118" s="1"/>
    </row>
    <row r="119" spans="1:4" ht="78" customHeight="1" x14ac:dyDescent="0.25">
      <c r="A119" s="25" t="s">
        <v>34</v>
      </c>
      <c r="B119" s="25"/>
      <c r="C119" s="25"/>
      <c r="D119" s="25"/>
    </row>
    <row r="120" spans="1:4" ht="6.75" customHeight="1" x14ac:dyDescent="0.25">
      <c r="A120" s="1"/>
      <c r="B120" s="1"/>
      <c r="C120" s="1"/>
      <c r="D120" s="1"/>
    </row>
    <row r="121" spans="1:4" ht="41.25" customHeight="1" x14ac:dyDescent="0.25">
      <c r="A121" s="25" t="s">
        <v>11</v>
      </c>
      <c r="B121" s="25"/>
      <c r="C121" s="25"/>
      <c r="D121" s="25"/>
    </row>
    <row r="122" spans="1:4" ht="6.75" customHeight="1" x14ac:dyDescent="0.25">
      <c r="A122" s="1"/>
      <c r="B122" s="1"/>
      <c r="C122" s="1"/>
      <c r="D122" s="1"/>
    </row>
    <row r="123" spans="1:4" x14ac:dyDescent="0.25">
      <c r="A123" s="27" t="s">
        <v>12</v>
      </c>
      <c r="B123" s="25"/>
      <c r="C123" s="25"/>
      <c r="D123" s="25"/>
    </row>
    <row r="124" spans="1:4" ht="6.75" customHeight="1" x14ac:dyDescent="0.25">
      <c r="A124" s="2"/>
      <c r="B124" s="1"/>
      <c r="C124" s="1"/>
      <c r="D124" s="1"/>
    </row>
    <row r="125" spans="1:4" x14ac:dyDescent="0.25">
      <c r="A125" s="28" t="s">
        <v>13</v>
      </c>
      <c r="B125" s="28"/>
      <c r="C125" s="5" t="s">
        <v>14</v>
      </c>
      <c r="D125" s="6">
        <v>959.65</v>
      </c>
    </row>
    <row r="126" spans="1:4" ht="26.25" customHeight="1" x14ac:dyDescent="0.25">
      <c r="A126" s="28" t="s">
        <v>15</v>
      </c>
      <c r="B126" s="28"/>
      <c r="C126" s="5" t="s">
        <v>14</v>
      </c>
      <c r="D126" s="6">
        <v>163.21</v>
      </c>
    </row>
    <row r="127" spans="1:4" ht="26.25" customHeight="1" x14ac:dyDescent="0.25">
      <c r="A127" s="28" t="s">
        <v>35</v>
      </c>
      <c r="B127" s="28"/>
      <c r="C127" s="5" t="s">
        <v>14</v>
      </c>
      <c r="D127" s="6">
        <v>78.099999999999994</v>
      </c>
    </row>
    <row r="128" spans="1:4" x14ac:dyDescent="0.25">
      <c r="A128" s="28" t="s">
        <v>30</v>
      </c>
      <c r="B128" s="28"/>
      <c r="C128" s="5" t="s">
        <v>36</v>
      </c>
      <c r="D128" s="7">
        <v>4.2343000000000002</v>
      </c>
    </row>
    <row r="129" spans="1:4" x14ac:dyDescent="0.25">
      <c r="A129" s="28" t="s">
        <v>18</v>
      </c>
      <c r="B129" s="28"/>
      <c r="C129" s="5" t="s">
        <v>36</v>
      </c>
      <c r="D129" s="7">
        <v>0.10100000000000001</v>
      </c>
    </row>
    <row r="130" spans="1:4" x14ac:dyDescent="0.25">
      <c r="A130" s="28" t="s">
        <v>37</v>
      </c>
      <c r="B130" s="28"/>
      <c r="C130" s="5" t="s">
        <v>36</v>
      </c>
      <c r="D130" s="7">
        <v>6.3100000000000003E-2</v>
      </c>
    </row>
    <row r="131" spans="1:4" x14ac:dyDescent="0.25">
      <c r="A131" s="28" t="s">
        <v>20</v>
      </c>
      <c r="B131" s="28"/>
      <c r="C131" s="5" t="s">
        <v>36</v>
      </c>
      <c r="D131" s="7">
        <v>0.56559999999999999</v>
      </c>
    </row>
    <row r="132" spans="1:4" x14ac:dyDescent="0.25">
      <c r="A132" s="28" t="s">
        <v>21</v>
      </c>
      <c r="B132" s="28"/>
      <c r="C132" s="5" t="s">
        <v>36</v>
      </c>
      <c r="D132" s="7">
        <v>3.4689000000000001</v>
      </c>
    </row>
    <row r="133" spans="1:4" ht="26.25" customHeight="1" x14ac:dyDescent="0.25">
      <c r="A133" s="28" t="s">
        <v>38</v>
      </c>
      <c r="B133" s="28"/>
      <c r="C133" s="5" t="s">
        <v>36</v>
      </c>
      <c r="D133" s="7">
        <v>1.7835000000000001</v>
      </c>
    </row>
    <row r="134" spans="1:4" ht="6.75" customHeight="1" x14ac:dyDescent="0.25">
      <c r="A134" s="3"/>
      <c r="B134" s="3"/>
      <c r="C134" s="5"/>
      <c r="D134" s="7"/>
    </row>
    <row r="135" spans="1:4" x14ac:dyDescent="0.25">
      <c r="A135" s="27" t="s">
        <v>23</v>
      </c>
      <c r="B135" s="28"/>
      <c r="C135" s="5"/>
      <c r="D135" s="5"/>
    </row>
    <row r="136" spans="1:4" ht="6.75" customHeight="1" x14ac:dyDescent="0.25">
      <c r="A136" s="2"/>
      <c r="B136" s="3"/>
      <c r="C136" s="5"/>
      <c r="D136" s="5"/>
    </row>
    <row r="137" spans="1:4" x14ac:dyDescent="0.25">
      <c r="A137" s="28" t="s">
        <v>24</v>
      </c>
      <c r="B137" s="28"/>
      <c r="C137" s="5" t="s">
        <v>19</v>
      </c>
      <c r="D137" s="7">
        <v>3.0000000000000001E-3</v>
      </c>
    </row>
    <row r="138" spans="1:4" x14ac:dyDescent="0.25">
      <c r="A138" s="28" t="s">
        <v>25</v>
      </c>
      <c r="B138" s="28"/>
      <c r="C138" s="5" t="s">
        <v>19</v>
      </c>
      <c r="D138" s="7">
        <v>4.0000000000000002E-4</v>
      </c>
    </row>
    <row r="139" spans="1:4" x14ac:dyDescent="0.25">
      <c r="A139" s="28" t="s">
        <v>26</v>
      </c>
      <c r="B139" s="28"/>
      <c r="C139" s="5" t="s">
        <v>19</v>
      </c>
      <c r="D139" s="7">
        <v>5.0000000000000001E-4</v>
      </c>
    </row>
    <row r="140" spans="1:4" x14ac:dyDescent="0.25">
      <c r="A140" s="28" t="s">
        <v>27</v>
      </c>
      <c r="B140" s="28"/>
      <c r="C140" s="5" t="s">
        <v>14</v>
      </c>
      <c r="D140" s="6">
        <v>0.25</v>
      </c>
    </row>
    <row r="141" spans="1:4" s="8" customFormat="1" ht="18" customHeight="1" x14ac:dyDescent="0.25">
      <c r="A141" s="24" t="s">
        <v>43</v>
      </c>
      <c r="B141" s="29"/>
      <c r="C141" s="29"/>
      <c r="D141" s="29"/>
    </row>
    <row r="142" spans="1:4" ht="77.25" customHeight="1" x14ac:dyDescent="0.25">
      <c r="A142" s="25" t="s">
        <v>44</v>
      </c>
      <c r="B142" s="25"/>
      <c r="C142" s="25"/>
      <c r="D142" s="25"/>
    </row>
    <row r="143" spans="1:4" ht="6.75" customHeight="1" x14ac:dyDescent="0.25">
      <c r="A143" s="1"/>
      <c r="B143" s="1"/>
      <c r="C143" s="1"/>
      <c r="D143" s="1"/>
    </row>
    <row r="144" spans="1:4" x14ac:dyDescent="0.25">
      <c r="A144" s="27" t="s">
        <v>7</v>
      </c>
      <c r="B144" s="25"/>
      <c r="C144" s="25"/>
      <c r="D144" s="25"/>
    </row>
    <row r="145" spans="1:4" ht="6.75" customHeight="1" x14ac:dyDescent="0.25">
      <c r="A145" s="2"/>
      <c r="B145" s="1"/>
      <c r="C145" s="1"/>
      <c r="D145" s="1"/>
    </row>
    <row r="146" spans="1:4" ht="40.5" customHeight="1" x14ac:dyDescent="0.25">
      <c r="A146" s="25" t="s">
        <v>8</v>
      </c>
      <c r="B146" s="25"/>
      <c r="C146" s="25"/>
      <c r="D146" s="25"/>
    </row>
    <row r="147" spans="1:4" ht="6.75" customHeight="1" x14ac:dyDescent="0.25">
      <c r="A147" s="1"/>
      <c r="B147" s="1"/>
      <c r="C147" s="1"/>
      <c r="D147" s="1"/>
    </row>
    <row r="148" spans="1:4" ht="52.5" customHeight="1" x14ac:dyDescent="0.25">
      <c r="A148" s="25" t="s">
        <v>9</v>
      </c>
      <c r="B148" s="25"/>
      <c r="C148" s="25"/>
      <c r="D148" s="25"/>
    </row>
    <row r="149" spans="1:4" ht="6.75" customHeight="1" x14ac:dyDescent="0.25">
      <c r="A149" s="1"/>
      <c r="B149" s="1"/>
      <c r="C149" s="1"/>
      <c r="D149" s="1"/>
    </row>
    <row r="150" spans="1:4" ht="54.75" customHeight="1" x14ac:dyDescent="0.25">
      <c r="A150" s="25" t="s">
        <v>10</v>
      </c>
      <c r="B150" s="25"/>
      <c r="C150" s="25"/>
      <c r="D150" s="25"/>
    </row>
    <row r="151" spans="1:4" ht="6.75" customHeight="1" x14ac:dyDescent="0.25">
      <c r="A151" s="1"/>
      <c r="B151" s="1"/>
      <c r="C151" s="1"/>
      <c r="D151" s="1"/>
    </row>
    <row r="152" spans="1:4" ht="78" customHeight="1" x14ac:dyDescent="0.25">
      <c r="A152" s="25" t="s">
        <v>33</v>
      </c>
      <c r="B152" s="25"/>
      <c r="C152" s="25"/>
      <c r="D152" s="25"/>
    </row>
    <row r="153" spans="1:4" ht="6.75" customHeight="1" x14ac:dyDescent="0.25">
      <c r="A153" s="1"/>
      <c r="B153" s="1"/>
      <c r="C153" s="1"/>
      <c r="D153" s="1"/>
    </row>
    <row r="154" spans="1:4" ht="76.5" customHeight="1" x14ac:dyDescent="0.25">
      <c r="A154" s="25" t="s">
        <v>34</v>
      </c>
      <c r="B154" s="25"/>
      <c r="C154" s="25"/>
      <c r="D154" s="25"/>
    </row>
    <row r="155" spans="1:4" ht="6.75" customHeight="1" x14ac:dyDescent="0.25">
      <c r="A155" s="1"/>
      <c r="B155" s="1"/>
      <c r="C155" s="1"/>
      <c r="D155" s="1"/>
    </row>
    <row r="156" spans="1:4" ht="42" customHeight="1" x14ac:dyDescent="0.25">
      <c r="A156" s="25" t="s">
        <v>11</v>
      </c>
      <c r="B156" s="25"/>
      <c r="C156" s="25"/>
      <c r="D156" s="25"/>
    </row>
    <row r="157" spans="1:4" ht="6.75" customHeight="1" x14ac:dyDescent="0.25">
      <c r="A157" s="1"/>
      <c r="B157" s="1"/>
      <c r="C157" s="1"/>
      <c r="D157" s="1"/>
    </row>
    <row r="158" spans="1:4" x14ac:dyDescent="0.25">
      <c r="A158" s="27" t="s">
        <v>12</v>
      </c>
      <c r="B158" s="25"/>
      <c r="C158" s="25"/>
      <c r="D158" s="25"/>
    </row>
    <row r="159" spans="1:4" ht="6.75" customHeight="1" x14ac:dyDescent="0.25">
      <c r="A159" s="2"/>
      <c r="B159" s="1"/>
      <c r="C159" s="1"/>
      <c r="D159" s="1"/>
    </row>
    <row r="160" spans="1:4" x14ac:dyDescent="0.25">
      <c r="A160" s="28" t="s">
        <v>13</v>
      </c>
      <c r="B160" s="28"/>
      <c r="C160" s="5" t="s">
        <v>14</v>
      </c>
      <c r="D160" s="6">
        <v>9965.0499999999993</v>
      </c>
    </row>
    <row r="161" spans="1:4" ht="27.75" customHeight="1" x14ac:dyDescent="0.25">
      <c r="A161" s="28" t="s">
        <v>45</v>
      </c>
      <c r="B161" s="28"/>
      <c r="C161" s="5" t="s">
        <v>14</v>
      </c>
      <c r="D161" s="6">
        <v>677.63</v>
      </c>
    </row>
    <row r="162" spans="1:4" ht="27.75" customHeight="1" x14ac:dyDescent="0.25">
      <c r="A162" s="28" t="s">
        <v>46</v>
      </c>
      <c r="B162" s="28"/>
      <c r="C162" s="5" t="s">
        <v>14</v>
      </c>
      <c r="D162" s="6">
        <v>333.81</v>
      </c>
    </row>
    <row r="163" spans="1:4" x14ac:dyDescent="0.25">
      <c r="A163" s="28" t="s">
        <v>30</v>
      </c>
      <c r="B163" s="28"/>
      <c r="C163" s="5" t="s">
        <v>36</v>
      </c>
      <c r="D163" s="7">
        <v>1.8512</v>
      </c>
    </row>
    <row r="164" spans="1:4" x14ac:dyDescent="0.25">
      <c r="A164" s="28" t="s">
        <v>18</v>
      </c>
      <c r="B164" s="28"/>
      <c r="C164" s="5" t="s">
        <v>36</v>
      </c>
      <c r="D164" s="7">
        <v>0.1019</v>
      </c>
    </row>
    <row r="165" spans="1:4" x14ac:dyDescent="0.25">
      <c r="A165" s="28" t="s">
        <v>20</v>
      </c>
      <c r="B165" s="28"/>
      <c r="C165" s="5" t="s">
        <v>36</v>
      </c>
      <c r="D165" s="7">
        <v>0.60540000000000005</v>
      </c>
    </row>
    <row r="166" spans="1:4" x14ac:dyDescent="0.25">
      <c r="A166" s="28" t="s">
        <v>21</v>
      </c>
      <c r="B166" s="28"/>
      <c r="C166" s="5" t="s">
        <v>36</v>
      </c>
      <c r="D166" s="7">
        <v>3.5680000000000001</v>
      </c>
    </row>
    <row r="167" spans="1:4" x14ac:dyDescent="0.25">
      <c r="A167" s="28" t="s">
        <v>47</v>
      </c>
      <c r="B167" s="28"/>
      <c r="C167" s="5" t="s">
        <v>36</v>
      </c>
      <c r="D167" s="7">
        <v>1.7994000000000001</v>
      </c>
    </row>
    <row r="168" spans="1:4" ht="6.75" customHeight="1" x14ac:dyDescent="0.25">
      <c r="A168" s="3"/>
      <c r="B168" s="3"/>
      <c r="C168" s="5"/>
      <c r="D168" s="7"/>
    </row>
    <row r="169" spans="1:4" x14ac:dyDescent="0.25">
      <c r="A169" s="27" t="s">
        <v>23</v>
      </c>
      <c r="B169" s="28"/>
      <c r="C169" s="5"/>
      <c r="D169" s="5"/>
    </row>
    <row r="170" spans="1:4" ht="6.75" customHeight="1" x14ac:dyDescent="0.25">
      <c r="A170" s="2"/>
      <c r="B170" s="3"/>
      <c r="C170" s="5"/>
      <c r="D170" s="5"/>
    </row>
    <row r="171" spans="1:4" x14ac:dyDescent="0.25">
      <c r="A171" s="28" t="s">
        <v>24</v>
      </c>
      <c r="B171" s="28"/>
      <c r="C171" s="5" t="s">
        <v>19</v>
      </c>
      <c r="D171" s="7">
        <v>3.0000000000000001E-3</v>
      </c>
    </row>
    <row r="172" spans="1:4" x14ac:dyDescent="0.25">
      <c r="A172" s="28" t="s">
        <v>25</v>
      </c>
      <c r="B172" s="28"/>
      <c r="C172" s="5" t="s">
        <v>19</v>
      </c>
      <c r="D172" s="7">
        <v>4.0000000000000002E-4</v>
      </c>
    </row>
    <row r="173" spans="1:4" x14ac:dyDescent="0.25">
      <c r="A173" s="28" t="s">
        <v>26</v>
      </c>
      <c r="B173" s="28"/>
      <c r="C173" s="5" t="s">
        <v>19</v>
      </c>
      <c r="D173" s="7">
        <v>5.0000000000000001E-4</v>
      </c>
    </row>
    <row r="174" spans="1:4" x14ac:dyDescent="0.25">
      <c r="A174" s="28" t="s">
        <v>27</v>
      </c>
      <c r="B174" s="28"/>
      <c r="C174" s="5" t="s">
        <v>14</v>
      </c>
      <c r="D174" s="6">
        <v>0.25</v>
      </c>
    </row>
    <row r="175" spans="1:4" s="8" customFormat="1" ht="18" customHeight="1" x14ac:dyDescent="0.25">
      <c r="A175" s="24" t="s">
        <v>48</v>
      </c>
      <c r="B175" s="29"/>
      <c r="C175" s="29"/>
      <c r="D175" s="29"/>
    </row>
    <row r="176" spans="1:4" ht="77.25" customHeight="1" x14ac:dyDescent="0.25">
      <c r="A176" s="25" t="s">
        <v>49</v>
      </c>
      <c r="B176" s="25"/>
      <c r="C176" s="25"/>
      <c r="D176" s="25"/>
    </row>
    <row r="177" spans="1:4" ht="6.75" customHeight="1" x14ac:dyDescent="0.25">
      <c r="A177" s="1"/>
      <c r="B177" s="1"/>
      <c r="C177" s="1"/>
      <c r="D177" s="1"/>
    </row>
    <row r="178" spans="1:4" x14ac:dyDescent="0.25">
      <c r="A178" s="27" t="s">
        <v>7</v>
      </c>
      <c r="B178" s="25"/>
      <c r="C178" s="25"/>
      <c r="D178" s="25"/>
    </row>
    <row r="179" spans="1:4" ht="6.75" customHeight="1" x14ac:dyDescent="0.25">
      <c r="A179" s="2"/>
      <c r="B179" s="1"/>
      <c r="C179" s="1"/>
      <c r="D179" s="1"/>
    </row>
    <row r="180" spans="1:4" ht="40.5" customHeight="1" x14ac:dyDescent="0.25">
      <c r="A180" s="25" t="s">
        <v>8</v>
      </c>
      <c r="B180" s="25"/>
      <c r="C180" s="25"/>
      <c r="D180" s="25"/>
    </row>
    <row r="181" spans="1:4" ht="6.75" customHeight="1" x14ac:dyDescent="0.25">
      <c r="A181" s="1"/>
      <c r="B181" s="1"/>
      <c r="C181" s="1"/>
      <c r="D181" s="1"/>
    </row>
    <row r="182" spans="1:4" ht="51.75" customHeight="1" x14ac:dyDescent="0.25">
      <c r="A182" s="25" t="s">
        <v>9</v>
      </c>
      <c r="B182" s="25"/>
      <c r="C182" s="25"/>
      <c r="D182" s="25"/>
    </row>
    <row r="183" spans="1:4" ht="6.75" customHeight="1" x14ac:dyDescent="0.25">
      <c r="A183" s="1"/>
      <c r="B183" s="1"/>
      <c r="C183" s="1"/>
      <c r="D183" s="1"/>
    </row>
    <row r="184" spans="1:4" ht="52.5" customHeight="1" x14ac:dyDescent="0.25">
      <c r="A184" s="25" t="s">
        <v>10</v>
      </c>
      <c r="B184" s="25"/>
      <c r="C184" s="25"/>
      <c r="D184" s="25"/>
    </row>
    <row r="185" spans="1:4" ht="6.75" customHeight="1" x14ac:dyDescent="0.25">
      <c r="A185" s="1"/>
      <c r="B185" s="1"/>
      <c r="C185" s="1"/>
      <c r="D185" s="1"/>
    </row>
    <row r="186" spans="1:4" ht="39.75" customHeight="1" x14ac:dyDescent="0.25">
      <c r="A186" s="25" t="s">
        <v>11</v>
      </c>
      <c r="B186" s="25"/>
      <c r="C186" s="25"/>
      <c r="D186" s="25"/>
    </row>
    <row r="187" spans="1:4" ht="6.75" customHeight="1" x14ac:dyDescent="0.25">
      <c r="A187" s="1"/>
      <c r="B187" s="1"/>
      <c r="C187" s="1"/>
      <c r="D187" s="1"/>
    </row>
    <row r="188" spans="1:4" x14ac:dyDescent="0.25">
      <c r="A188" s="27" t="s">
        <v>12</v>
      </c>
      <c r="B188" s="25"/>
      <c r="C188" s="25"/>
      <c r="D188" s="25"/>
    </row>
    <row r="189" spans="1:4" ht="6.75" customHeight="1" x14ac:dyDescent="0.25">
      <c r="A189" s="2"/>
      <c r="B189" s="1"/>
      <c r="C189" s="1"/>
      <c r="D189" s="1"/>
    </row>
    <row r="190" spans="1:4" x14ac:dyDescent="0.25">
      <c r="A190" s="28" t="s">
        <v>50</v>
      </c>
      <c r="B190" s="28"/>
      <c r="C190" s="5" t="s">
        <v>14</v>
      </c>
      <c r="D190" s="6">
        <v>6.46</v>
      </c>
    </row>
    <row r="191" spans="1:4" ht="27" customHeight="1" x14ac:dyDescent="0.25">
      <c r="A191" s="28" t="s">
        <v>45</v>
      </c>
      <c r="B191" s="28"/>
      <c r="C191" s="5" t="s">
        <v>14</v>
      </c>
      <c r="D191" s="6">
        <v>0.21</v>
      </c>
    </row>
    <row r="192" spans="1:4" ht="27" customHeight="1" x14ac:dyDescent="0.25">
      <c r="A192" s="28" t="s">
        <v>46</v>
      </c>
      <c r="B192" s="28"/>
      <c r="C192" s="5" t="s">
        <v>14</v>
      </c>
      <c r="D192" s="6">
        <v>0.12</v>
      </c>
    </row>
    <row r="193" spans="1:4" x14ac:dyDescent="0.25">
      <c r="A193" s="28" t="s">
        <v>30</v>
      </c>
      <c r="B193" s="28"/>
      <c r="C193" s="5" t="s">
        <v>19</v>
      </c>
      <c r="D193" s="7">
        <v>1.5900000000000001E-2</v>
      </c>
    </row>
    <row r="194" spans="1:4" x14ac:dyDescent="0.25">
      <c r="A194" s="28" t="s">
        <v>18</v>
      </c>
      <c r="B194" s="28"/>
      <c r="C194" s="5" t="s">
        <v>19</v>
      </c>
      <c r="D194" s="7">
        <v>2.9999999999999997E-4</v>
      </c>
    </row>
    <row r="195" spans="1:4" x14ac:dyDescent="0.25">
      <c r="A195" s="28" t="s">
        <v>20</v>
      </c>
      <c r="B195" s="28"/>
      <c r="C195" s="5" t="s">
        <v>19</v>
      </c>
      <c r="D195" s="7">
        <v>1.5E-3</v>
      </c>
    </row>
    <row r="196" spans="1:4" x14ac:dyDescent="0.25">
      <c r="A196" s="28" t="s">
        <v>21</v>
      </c>
      <c r="B196" s="28"/>
      <c r="C196" s="5" t="s">
        <v>19</v>
      </c>
      <c r="D196" s="7">
        <v>7.7999999999999996E-3</v>
      </c>
    </row>
    <row r="197" spans="1:4" x14ac:dyDescent="0.25">
      <c r="A197" s="28" t="s">
        <v>22</v>
      </c>
      <c r="B197" s="28"/>
      <c r="C197" s="5" t="s">
        <v>19</v>
      </c>
      <c r="D197" s="7">
        <v>4.4000000000000003E-3</v>
      </c>
    </row>
    <row r="198" spans="1:4" ht="6.75" customHeight="1" x14ac:dyDescent="0.25">
      <c r="A198" s="3"/>
      <c r="B198" s="3"/>
      <c r="C198" s="5"/>
      <c r="D198" s="7"/>
    </row>
    <row r="199" spans="1:4" x14ac:dyDescent="0.25">
      <c r="A199" s="27" t="s">
        <v>23</v>
      </c>
      <c r="B199" s="28"/>
      <c r="C199" s="5"/>
      <c r="D199" s="5"/>
    </row>
    <row r="200" spans="1:4" ht="6.75" customHeight="1" x14ac:dyDescent="0.25">
      <c r="A200" s="2"/>
      <c r="B200" s="3"/>
      <c r="C200" s="5"/>
      <c r="D200" s="5"/>
    </row>
    <row r="201" spans="1:4" x14ac:dyDescent="0.25">
      <c r="A201" s="28" t="s">
        <v>24</v>
      </c>
      <c r="B201" s="28"/>
      <c r="C201" s="5" t="s">
        <v>19</v>
      </c>
      <c r="D201" s="7">
        <v>3.0000000000000001E-3</v>
      </c>
    </row>
    <row r="202" spans="1:4" x14ac:dyDescent="0.25">
      <c r="A202" s="28" t="s">
        <v>25</v>
      </c>
      <c r="B202" s="28"/>
      <c r="C202" s="5" t="s">
        <v>19</v>
      </c>
      <c r="D202" s="7">
        <v>4.0000000000000002E-4</v>
      </c>
    </row>
    <row r="203" spans="1:4" x14ac:dyDescent="0.25">
      <c r="A203" s="28" t="s">
        <v>26</v>
      </c>
      <c r="B203" s="28"/>
      <c r="C203" s="5" t="s">
        <v>19</v>
      </c>
      <c r="D203" s="7">
        <v>5.0000000000000001E-4</v>
      </c>
    </row>
    <row r="204" spans="1:4" x14ac:dyDescent="0.25">
      <c r="A204" s="28" t="s">
        <v>27</v>
      </c>
      <c r="B204" s="28"/>
      <c r="C204" s="5" t="s">
        <v>14</v>
      </c>
      <c r="D204" s="6">
        <v>0.25</v>
      </c>
    </row>
    <row r="205" spans="1:4" s="8" customFormat="1" ht="18" customHeight="1" x14ac:dyDescent="0.25">
      <c r="A205" s="24" t="s">
        <v>51</v>
      </c>
      <c r="B205" s="29"/>
      <c r="C205" s="29"/>
      <c r="D205" s="29"/>
    </row>
    <row r="206" spans="1:4" ht="63.75" customHeight="1" x14ac:dyDescent="0.25">
      <c r="A206" s="25" t="s">
        <v>52</v>
      </c>
      <c r="B206" s="25"/>
      <c r="C206" s="25"/>
      <c r="D206" s="25"/>
    </row>
    <row r="207" spans="1:4" ht="6.75" customHeight="1" x14ac:dyDescent="0.25">
      <c r="A207" s="1"/>
      <c r="B207" s="1"/>
      <c r="C207" s="1"/>
      <c r="D207" s="1"/>
    </row>
    <row r="208" spans="1:4" x14ac:dyDescent="0.25">
      <c r="A208" s="27" t="s">
        <v>7</v>
      </c>
      <c r="B208" s="25"/>
      <c r="C208" s="25"/>
      <c r="D208" s="25"/>
    </row>
    <row r="209" spans="1:4" ht="6.75" customHeight="1" x14ac:dyDescent="0.25">
      <c r="A209" s="2"/>
      <c r="B209" s="1"/>
      <c r="C209" s="1"/>
      <c r="D209" s="1"/>
    </row>
    <row r="210" spans="1:4" ht="39.75" customHeight="1" x14ac:dyDescent="0.25">
      <c r="A210" s="25" t="s">
        <v>8</v>
      </c>
      <c r="B210" s="25"/>
      <c r="C210" s="25"/>
      <c r="D210" s="25"/>
    </row>
    <row r="211" spans="1:4" ht="6.75" customHeight="1" x14ac:dyDescent="0.25">
      <c r="A211" s="1"/>
      <c r="B211" s="1"/>
      <c r="C211" s="1"/>
      <c r="D211" s="1"/>
    </row>
    <row r="212" spans="1:4" ht="50.25" customHeight="1" x14ac:dyDescent="0.25">
      <c r="A212" s="25" t="s">
        <v>9</v>
      </c>
      <c r="B212" s="25"/>
      <c r="C212" s="25"/>
      <c r="D212" s="25"/>
    </row>
    <row r="213" spans="1:4" ht="6.75" customHeight="1" x14ac:dyDescent="0.25">
      <c r="A213" s="1"/>
      <c r="B213" s="1"/>
      <c r="C213" s="1"/>
      <c r="D213" s="1"/>
    </row>
    <row r="214" spans="1:4" ht="50.25" customHeight="1" x14ac:dyDescent="0.25">
      <c r="A214" s="25" t="s">
        <v>10</v>
      </c>
      <c r="B214" s="25"/>
      <c r="C214" s="25"/>
      <c r="D214" s="25"/>
    </row>
    <row r="215" spans="1:4" ht="6.75" customHeight="1" x14ac:dyDescent="0.25">
      <c r="A215" s="1"/>
      <c r="B215" s="1"/>
      <c r="C215" s="1"/>
      <c r="D215" s="1"/>
    </row>
    <row r="216" spans="1:4" ht="39.75" customHeight="1" x14ac:dyDescent="0.25">
      <c r="A216" s="25" t="s">
        <v>11</v>
      </c>
      <c r="B216" s="25"/>
      <c r="C216" s="25"/>
      <c r="D216" s="25"/>
    </row>
    <row r="217" spans="1:4" ht="6.75" customHeight="1" x14ac:dyDescent="0.25">
      <c r="A217" s="1"/>
      <c r="B217" s="1"/>
      <c r="C217" s="1"/>
      <c r="D217" s="1"/>
    </row>
    <row r="218" spans="1:4" x14ac:dyDescent="0.25">
      <c r="A218" s="27" t="s">
        <v>12</v>
      </c>
      <c r="B218" s="25"/>
      <c r="C218" s="25"/>
      <c r="D218" s="25"/>
    </row>
    <row r="219" spans="1:4" ht="6.75" customHeight="1" x14ac:dyDescent="0.25">
      <c r="A219" s="2"/>
      <c r="B219" s="1"/>
      <c r="C219" s="1"/>
      <c r="D219" s="1"/>
    </row>
    <row r="220" spans="1:4" x14ac:dyDescent="0.25">
      <c r="A220" s="28" t="s">
        <v>50</v>
      </c>
      <c r="B220" s="28"/>
      <c r="C220" s="5" t="s">
        <v>14</v>
      </c>
      <c r="D220" s="6">
        <v>2.11</v>
      </c>
    </row>
    <row r="221" spans="1:4" ht="26.25" customHeight="1" x14ac:dyDescent="0.25">
      <c r="A221" s="28" t="s">
        <v>45</v>
      </c>
      <c r="B221" s="28"/>
      <c r="C221" s="5" t="s">
        <v>14</v>
      </c>
      <c r="D221" s="6">
        <v>0.06</v>
      </c>
    </row>
    <row r="222" spans="1:4" ht="26.25" customHeight="1" x14ac:dyDescent="0.25">
      <c r="A222" s="28" t="s">
        <v>46</v>
      </c>
      <c r="B222" s="28"/>
      <c r="C222" s="5" t="s">
        <v>14</v>
      </c>
      <c r="D222" s="6">
        <v>0.03</v>
      </c>
    </row>
    <row r="223" spans="1:4" x14ac:dyDescent="0.25">
      <c r="A223" s="28" t="s">
        <v>30</v>
      </c>
      <c r="B223" s="28"/>
      <c r="C223" s="5" t="s">
        <v>36</v>
      </c>
      <c r="D223" s="7">
        <v>16.995000000000001</v>
      </c>
    </row>
    <row r="224" spans="1:4" x14ac:dyDescent="0.25">
      <c r="A224" s="28" t="s">
        <v>18</v>
      </c>
      <c r="B224" s="28"/>
      <c r="C224" s="5" t="s">
        <v>36</v>
      </c>
      <c r="D224" s="7">
        <v>7.7899999999999997E-2</v>
      </c>
    </row>
    <row r="225" spans="1:4" x14ac:dyDescent="0.25">
      <c r="A225" s="28" t="s">
        <v>20</v>
      </c>
      <c r="B225" s="28"/>
      <c r="C225" s="5" t="s">
        <v>36</v>
      </c>
      <c r="D225" s="7">
        <v>0.5272</v>
      </c>
    </row>
    <row r="226" spans="1:4" x14ac:dyDescent="0.25">
      <c r="A226" s="28" t="s">
        <v>21</v>
      </c>
      <c r="B226" s="28"/>
      <c r="C226" s="5" t="s">
        <v>36</v>
      </c>
      <c r="D226" s="7">
        <v>2.5242</v>
      </c>
    </row>
    <row r="227" spans="1:4" x14ac:dyDescent="0.25">
      <c r="A227" s="28" t="s">
        <v>22</v>
      </c>
      <c r="B227" s="28"/>
      <c r="C227" s="5" t="s">
        <v>36</v>
      </c>
      <c r="D227" s="7">
        <v>1.3754999999999999</v>
      </c>
    </row>
    <row r="228" spans="1:4" ht="6.75" customHeight="1" x14ac:dyDescent="0.25">
      <c r="A228" s="3"/>
      <c r="B228" s="3"/>
      <c r="C228" s="5"/>
      <c r="D228" s="7"/>
    </row>
    <row r="229" spans="1:4" x14ac:dyDescent="0.25">
      <c r="A229" s="27" t="s">
        <v>23</v>
      </c>
      <c r="B229" s="28"/>
      <c r="C229" s="5"/>
      <c r="D229" s="5"/>
    </row>
    <row r="230" spans="1:4" ht="6.75" customHeight="1" x14ac:dyDescent="0.25">
      <c r="A230" s="2"/>
      <c r="B230" s="3"/>
      <c r="C230" s="5"/>
      <c r="D230" s="5"/>
    </row>
    <row r="231" spans="1:4" x14ac:dyDescent="0.25">
      <c r="A231" s="28" t="s">
        <v>24</v>
      </c>
      <c r="B231" s="28"/>
      <c r="C231" s="5" t="s">
        <v>19</v>
      </c>
      <c r="D231" s="7">
        <v>3.0000000000000001E-3</v>
      </c>
    </row>
    <row r="232" spans="1:4" x14ac:dyDescent="0.25">
      <c r="A232" s="28" t="s">
        <v>25</v>
      </c>
      <c r="B232" s="28"/>
      <c r="C232" s="5" t="s">
        <v>19</v>
      </c>
      <c r="D232" s="7">
        <v>4.0000000000000002E-4</v>
      </c>
    </row>
    <row r="233" spans="1:4" x14ac:dyDescent="0.25">
      <c r="A233" s="28" t="s">
        <v>26</v>
      </c>
      <c r="B233" s="28"/>
      <c r="C233" s="5" t="s">
        <v>19</v>
      </c>
      <c r="D233" s="7">
        <v>5.0000000000000001E-4</v>
      </c>
    </row>
    <row r="234" spans="1:4" x14ac:dyDescent="0.25">
      <c r="A234" s="28" t="s">
        <v>27</v>
      </c>
      <c r="B234" s="28"/>
      <c r="C234" s="5" t="s">
        <v>14</v>
      </c>
      <c r="D234" s="6">
        <v>0.25</v>
      </c>
    </row>
    <row r="235" spans="1:4" s="8" customFormat="1" ht="18" customHeight="1" x14ac:dyDescent="0.25">
      <c r="A235" s="24" t="s">
        <v>53</v>
      </c>
      <c r="B235" s="29"/>
      <c r="C235" s="29"/>
      <c r="D235" s="29"/>
    </row>
    <row r="236" spans="1:4" ht="52.5" customHeight="1" x14ac:dyDescent="0.25">
      <c r="A236" s="25" t="s">
        <v>54</v>
      </c>
      <c r="B236" s="25"/>
      <c r="C236" s="25"/>
      <c r="D236" s="25"/>
    </row>
    <row r="237" spans="1:4" ht="6.75" customHeight="1" x14ac:dyDescent="0.25">
      <c r="A237" s="1"/>
      <c r="B237" s="1"/>
      <c r="C237" s="1"/>
      <c r="D237" s="1"/>
    </row>
    <row r="238" spans="1:4" x14ac:dyDescent="0.25">
      <c r="A238" s="27" t="s">
        <v>7</v>
      </c>
      <c r="B238" s="25"/>
      <c r="C238" s="25"/>
      <c r="D238" s="25"/>
    </row>
    <row r="239" spans="1:4" ht="6.75" customHeight="1" x14ac:dyDescent="0.25">
      <c r="A239" s="2"/>
      <c r="B239" s="1"/>
      <c r="C239" s="1"/>
      <c r="D239" s="1"/>
    </row>
    <row r="240" spans="1:4" ht="37.5" customHeight="1" x14ac:dyDescent="0.25">
      <c r="A240" s="25" t="s">
        <v>8</v>
      </c>
      <c r="B240" s="25"/>
      <c r="C240" s="25"/>
      <c r="D240" s="25"/>
    </row>
    <row r="241" spans="1:4" ht="6.75" customHeight="1" x14ac:dyDescent="0.25">
      <c r="A241" s="1"/>
      <c r="B241" s="1"/>
      <c r="C241" s="1"/>
      <c r="D241" s="1"/>
    </row>
    <row r="242" spans="1:4" ht="51" customHeight="1" x14ac:dyDescent="0.25">
      <c r="A242" s="25" t="s">
        <v>9</v>
      </c>
      <c r="B242" s="25"/>
      <c r="C242" s="25"/>
      <c r="D242" s="25"/>
    </row>
    <row r="243" spans="1:4" ht="6.75" customHeight="1" x14ac:dyDescent="0.25">
      <c r="A243" s="1"/>
      <c r="B243" s="1"/>
      <c r="C243" s="1"/>
      <c r="D243" s="1"/>
    </row>
    <row r="244" spans="1:4" ht="51" customHeight="1" x14ac:dyDescent="0.25">
      <c r="A244" s="25" t="s">
        <v>55</v>
      </c>
      <c r="B244" s="25"/>
      <c r="C244" s="25"/>
      <c r="D244" s="25"/>
    </row>
    <row r="245" spans="1:4" ht="6.75" customHeight="1" x14ac:dyDescent="0.25">
      <c r="A245" s="1"/>
      <c r="B245" s="1"/>
      <c r="C245" s="1"/>
      <c r="D245" s="1"/>
    </row>
    <row r="246" spans="1:4" ht="37.5" customHeight="1" x14ac:dyDescent="0.25">
      <c r="A246" s="25" t="s">
        <v>11</v>
      </c>
      <c r="B246" s="25"/>
      <c r="C246" s="25"/>
      <c r="D246" s="25"/>
    </row>
    <row r="247" spans="1:4" ht="6.75" customHeight="1" x14ac:dyDescent="0.25">
      <c r="A247" s="1"/>
      <c r="B247" s="1"/>
      <c r="C247" s="1"/>
      <c r="D247" s="1"/>
    </row>
    <row r="248" spans="1:4" x14ac:dyDescent="0.25">
      <c r="A248" s="27" t="s">
        <v>12</v>
      </c>
      <c r="B248" s="25"/>
      <c r="C248" s="25"/>
      <c r="D248" s="25"/>
    </row>
    <row r="249" spans="1:4" ht="6.75" customHeight="1" x14ac:dyDescent="0.25">
      <c r="A249" s="2"/>
      <c r="B249" s="1"/>
      <c r="C249" s="1"/>
      <c r="D249" s="1"/>
    </row>
    <row r="250" spans="1:4" x14ac:dyDescent="0.25">
      <c r="A250" s="28" t="s">
        <v>50</v>
      </c>
      <c r="B250" s="28"/>
      <c r="C250" s="5" t="s">
        <v>14</v>
      </c>
      <c r="D250" s="6">
        <v>3.13</v>
      </c>
    </row>
    <row r="251" spans="1:4" ht="24" customHeight="1" x14ac:dyDescent="0.25">
      <c r="A251" s="28" t="s">
        <v>45</v>
      </c>
      <c r="B251" s="28"/>
      <c r="C251" s="5" t="s">
        <v>14</v>
      </c>
      <c r="D251" s="6">
        <v>0.21</v>
      </c>
    </row>
    <row r="252" spans="1:4" ht="24" customHeight="1" x14ac:dyDescent="0.25">
      <c r="A252" s="28" t="s">
        <v>46</v>
      </c>
      <c r="B252" s="28"/>
      <c r="C252" s="5" t="s">
        <v>14</v>
      </c>
      <c r="D252" s="6">
        <v>0.11</v>
      </c>
    </row>
    <row r="253" spans="1:4" x14ac:dyDescent="0.25">
      <c r="A253" s="28" t="s">
        <v>30</v>
      </c>
      <c r="B253" s="28"/>
      <c r="C253" s="5" t="s">
        <v>36</v>
      </c>
      <c r="D253" s="7">
        <v>46.752499999999998</v>
      </c>
    </row>
    <row r="254" spans="1:4" x14ac:dyDescent="0.25">
      <c r="A254" s="28" t="s">
        <v>18</v>
      </c>
      <c r="B254" s="28"/>
      <c r="C254" s="5" t="s">
        <v>36</v>
      </c>
      <c r="D254" s="7">
        <v>7.5300000000000006E-2</v>
      </c>
    </row>
    <row r="255" spans="1:4" x14ac:dyDescent="0.25">
      <c r="A255" s="28" t="s">
        <v>20</v>
      </c>
      <c r="B255" s="28"/>
      <c r="C255" s="5" t="s">
        <v>36</v>
      </c>
      <c r="D255" s="7">
        <v>6.0999999999999999E-2</v>
      </c>
    </row>
    <row r="256" spans="1:4" x14ac:dyDescent="0.25">
      <c r="A256" s="28" t="s">
        <v>21</v>
      </c>
      <c r="B256" s="28"/>
      <c r="C256" s="5" t="s">
        <v>36</v>
      </c>
      <c r="D256" s="7">
        <v>2.7690000000000001</v>
      </c>
    </row>
    <row r="257" spans="1:4" x14ac:dyDescent="0.25">
      <c r="A257" s="28" t="s">
        <v>22</v>
      </c>
      <c r="B257" s="28"/>
      <c r="C257" s="5" t="s">
        <v>36</v>
      </c>
      <c r="D257" s="7">
        <v>1.3301000000000001</v>
      </c>
    </row>
    <row r="258" spans="1:4" ht="6.75" customHeight="1" x14ac:dyDescent="0.25">
      <c r="A258" s="3"/>
      <c r="B258" s="3"/>
      <c r="C258" s="5"/>
      <c r="D258" s="7"/>
    </row>
    <row r="259" spans="1:4" x14ac:dyDescent="0.25">
      <c r="A259" s="27" t="s">
        <v>23</v>
      </c>
      <c r="B259" s="28"/>
      <c r="C259" s="5"/>
      <c r="D259" s="5"/>
    </row>
    <row r="260" spans="1:4" ht="6.75" customHeight="1" x14ac:dyDescent="0.25">
      <c r="A260" s="2"/>
      <c r="B260" s="3"/>
      <c r="C260" s="5"/>
      <c r="D260" s="5"/>
    </row>
    <row r="261" spans="1:4" x14ac:dyDescent="0.25">
      <c r="A261" s="28" t="s">
        <v>24</v>
      </c>
      <c r="B261" s="28"/>
      <c r="C261" s="5" t="s">
        <v>19</v>
      </c>
      <c r="D261" s="7">
        <v>3.0000000000000001E-3</v>
      </c>
    </row>
    <row r="262" spans="1:4" x14ac:dyDescent="0.25">
      <c r="A262" s="28" t="s">
        <v>25</v>
      </c>
      <c r="B262" s="28"/>
      <c r="C262" s="5" t="s">
        <v>19</v>
      </c>
      <c r="D262" s="7">
        <v>4.0000000000000002E-4</v>
      </c>
    </row>
    <row r="263" spans="1:4" x14ac:dyDescent="0.25">
      <c r="A263" s="28" t="s">
        <v>26</v>
      </c>
      <c r="B263" s="28"/>
      <c r="C263" s="5" t="s">
        <v>19</v>
      </c>
      <c r="D263" s="7">
        <v>5.0000000000000001E-4</v>
      </c>
    </row>
    <row r="264" spans="1:4" x14ac:dyDescent="0.25">
      <c r="A264" s="28" t="s">
        <v>27</v>
      </c>
      <c r="B264" s="28"/>
      <c r="C264" s="5" t="s">
        <v>14</v>
      </c>
      <c r="D264" s="6">
        <v>0.25</v>
      </c>
    </row>
    <row r="265" spans="1:4" x14ac:dyDescent="0.25">
      <c r="A265" s="24" t="s">
        <v>56</v>
      </c>
      <c r="B265" s="25"/>
      <c r="C265" s="25"/>
      <c r="D265" s="25"/>
    </row>
    <row r="266" spans="1:4" ht="29.25" customHeight="1" x14ac:dyDescent="0.25">
      <c r="A266" s="25" t="s">
        <v>57</v>
      </c>
      <c r="B266" s="25"/>
      <c r="C266" s="25"/>
      <c r="D266" s="25"/>
    </row>
    <row r="267" spans="1:4" ht="6.75" customHeight="1" x14ac:dyDescent="0.25">
      <c r="A267" s="1"/>
      <c r="B267" s="1"/>
      <c r="C267" s="1"/>
      <c r="D267" s="1"/>
    </row>
    <row r="268" spans="1:4" x14ac:dyDescent="0.25">
      <c r="A268" s="27" t="s">
        <v>7</v>
      </c>
      <c r="B268" s="25"/>
      <c r="C268" s="25"/>
      <c r="D268" s="25"/>
    </row>
    <row r="269" spans="1:4" ht="6.75" customHeight="1" x14ac:dyDescent="0.25">
      <c r="A269" s="2"/>
      <c r="B269" s="1"/>
      <c r="C269" s="1"/>
      <c r="D269" s="1"/>
    </row>
    <row r="270" spans="1:4" ht="39" customHeight="1" x14ac:dyDescent="0.25">
      <c r="A270" s="25" t="s">
        <v>8</v>
      </c>
      <c r="B270" s="25"/>
      <c r="C270" s="25"/>
      <c r="D270" s="25"/>
    </row>
    <row r="271" spans="1:4" ht="6.75" customHeight="1" x14ac:dyDescent="0.25">
      <c r="A271" s="1"/>
      <c r="B271" s="1"/>
      <c r="C271" s="1"/>
      <c r="D271" s="1"/>
    </row>
    <row r="272" spans="1:4" ht="49.5" customHeight="1" x14ac:dyDescent="0.25">
      <c r="A272" s="25" t="s">
        <v>9</v>
      </c>
      <c r="B272" s="25"/>
      <c r="C272" s="25"/>
      <c r="D272" s="25"/>
    </row>
    <row r="273" spans="1:4" ht="6.75" customHeight="1" x14ac:dyDescent="0.25">
      <c r="A273" s="1"/>
      <c r="B273" s="1"/>
      <c r="C273" s="1"/>
      <c r="D273" s="1"/>
    </row>
    <row r="274" spans="1:4" ht="50.25" customHeight="1" x14ac:dyDescent="0.25">
      <c r="A274" s="25" t="s">
        <v>10</v>
      </c>
      <c r="B274" s="25"/>
      <c r="C274" s="25"/>
      <c r="D274" s="25"/>
    </row>
    <row r="275" spans="1:4" ht="6.75" customHeight="1" x14ac:dyDescent="0.25">
      <c r="A275" s="1"/>
      <c r="B275" s="1"/>
      <c r="C275" s="1"/>
      <c r="D275" s="1"/>
    </row>
    <row r="276" spans="1:4" ht="37.5" customHeight="1" x14ac:dyDescent="0.25">
      <c r="A276" s="25" t="s">
        <v>11</v>
      </c>
      <c r="B276" s="25"/>
      <c r="C276" s="25"/>
      <c r="D276" s="25"/>
    </row>
    <row r="277" spans="1:4" ht="6.75" customHeight="1" x14ac:dyDescent="0.25">
      <c r="A277" s="1"/>
      <c r="B277" s="1"/>
      <c r="C277" s="1"/>
      <c r="D277" s="1"/>
    </row>
    <row r="278" spans="1:4" x14ac:dyDescent="0.25">
      <c r="A278" s="27" t="s">
        <v>12</v>
      </c>
      <c r="B278" s="25"/>
      <c r="C278" s="25"/>
      <c r="D278" s="25"/>
    </row>
    <row r="279" spans="1:4" ht="6.75" customHeight="1" x14ac:dyDescent="0.25">
      <c r="A279" s="2"/>
      <c r="B279" s="1"/>
      <c r="C279" s="1"/>
      <c r="D279" s="1"/>
    </row>
    <row r="280" spans="1:4" x14ac:dyDescent="0.25">
      <c r="A280" s="28" t="s">
        <v>30</v>
      </c>
      <c r="B280" s="28"/>
      <c r="C280" s="5" t="s">
        <v>36</v>
      </c>
      <c r="D280" s="7">
        <v>2.3426999999999998</v>
      </c>
    </row>
    <row r="281" spans="1:4" x14ac:dyDescent="0.25">
      <c r="A281" s="28" t="s">
        <v>20</v>
      </c>
      <c r="B281" s="28"/>
      <c r="C281" s="5" t="s">
        <v>36</v>
      </c>
      <c r="D281" s="7">
        <v>0.72760000000000002</v>
      </c>
    </row>
    <row r="282" spans="1:4" ht="24" customHeight="1" x14ac:dyDescent="0.25">
      <c r="A282" s="28" t="s">
        <v>45</v>
      </c>
      <c r="B282" s="28"/>
      <c r="C282" s="5" t="s">
        <v>14</v>
      </c>
      <c r="D282" s="6">
        <v>63.1</v>
      </c>
    </row>
    <row r="283" spans="1:4" ht="24" customHeight="1" x14ac:dyDescent="0.25">
      <c r="A283" s="28" t="s">
        <v>46</v>
      </c>
      <c r="B283" s="28"/>
      <c r="C283" s="5" t="s">
        <v>14</v>
      </c>
      <c r="D283" s="6">
        <v>50.85</v>
      </c>
    </row>
    <row r="284" spans="1:4" x14ac:dyDescent="0.25">
      <c r="A284" s="28" t="s">
        <v>21</v>
      </c>
      <c r="B284" s="28"/>
      <c r="C284" s="5" t="s">
        <v>36</v>
      </c>
      <c r="D284" s="7">
        <v>3.5680000000000001</v>
      </c>
    </row>
    <row r="285" spans="1:4" x14ac:dyDescent="0.25">
      <c r="A285" s="28" t="s">
        <v>22</v>
      </c>
      <c r="B285" s="28"/>
      <c r="C285" s="5" t="s">
        <v>36</v>
      </c>
      <c r="D285" s="7">
        <v>2.2039</v>
      </c>
    </row>
    <row r="286" spans="1:4" ht="6.75" customHeight="1" x14ac:dyDescent="0.25">
      <c r="A286" s="3"/>
      <c r="B286" s="3"/>
      <c r="C286" s="5"/>
      <c r="D286" s="7"/>
    </row>
    <row r="287" spans="1:4" x14ac:dyDescent="0.25">
      <c r="A287" s="27" t="s">
        <v>23</v>
      </c>
      <c r="B287" s="28"/>
      <c r="C287" s="5"/>
      <c r="D287" s="5"/>
    </row>
    <row r="288" spans="1:4" ht="6.75" customHeight="1" x14ac:dyDescent="0.25">
      <c r="A288" s="2"/>
      <c r="B288" s="3"/>
      <c r="C288" s="5"/>
      <c r="D288" s="5"/>
    </row>
    <row r="289" spans="1:4" x14ac:dyDescent="0.25">
      <c r="A289" s="28" t="s">
        <v>24</v>
      </c>
      <c r="B289" s="28"/>
      <c r="C289" s="5" t="s">
        <v>19</v>
      </c>
      <c r="D289" s="7">
        <v>3.0000000000000001E-3</v>
      </c>
    </row>
    <row r="290" spans="1:4" x14ac:dyDescent="0.25">
      <c r="A290" s="28" t="s">
        <v>25</v>
      </c>
      <c r="B290" s="28"/>
      <c r="C290" s="5" t="s">
        <v>19</v>
      </c>
      <c r="D290" s="7">
        <v>4.0000000000000002E-4</v>
      </c>
    </row>
    <row r="291" spans="1:4" x14ac:dyDescent="0.25">
      <c r="A291" s="28" t="s">
        <v>26</v>
      </c>
      <c r="B291" s="28"/>
      <c r="C291" s="5" t="s">
        <v>19</v>
      </c>
      <c r="D291" s="7">
        <v>5.0000000000000001E-4</v>
      </c>
    </row>
    <row r="292" spans="1:4" x14ac:dyDescent="0.25">
      <c r="A292" s="28" t="s">
        <v>27</v>
      </c>
      <c r="B292" s="28"/>
      <c r="C292" s="5" t="s">
        <v>14</v>
      </c>
      <c r="D292" s="6">
        <v>0.25</v>
      </c>
    </row>
    <row r="293" spans="1:4" x14ac:dyDescent="0.25">
      <c r="A293" s="24" t="s">
        <v>58</v>
      </c>
      <c r="B293" s="25"/>
      <c r="C293" s="25"/>
      <c r="D293" s="25"/>
    </row>
    <row r="294" spans="1:4" ht="27" customHeight="1" x14ac:dyDescent="0.25">
      <c r="A294" s="25" t="s">
        <v>57</v>
      </c>
      <c r="B294" s="25"/>
      <c r="C294" s="25"/>
      <c r="D294" s="25"/>
    </row>
    <row r="295" spans="1:4" ht="6.75" customHeight="1" x14ac:dyDescent="0.25">
      <c r="A295" s="1"/>
      <c r="B295" s="1"/>
      <c r="C295" s="1"/>
      <c r="D295" s="1"/>
    </row>
    <row r="296" spans="1:4" x14ac:dyDescent="0.25">
      <c r="A296" s="27" t="s">
        <v>7</v>
      </c>
      <c r="B296" s="25"/>
      <c r="C296" s="25"/>
      <c r="D296" s="25"/>
    </row>
    <row r="297" spans="1:4" ht="6.75" customHeight="1" x14ac:dyDescent="0.25">
      <c r="A297" s="2"/>
      <c r="B297" s="1"/>
      <c r="C297" s="1"/>
      <c r="D297" s="1"/>
    </row>
    <row r="298" spans="1:4" ht="39" customHeight="1" x14ac:dyDescent="0.25">
      <c r="A298" s="25" t="s">
        <v>8</v>
      </c>
      <c r="B298" s="25"/>
      <c r="C298" s="25"/>
      <c r="D298" s="25"/>
    </row>
    <row r="299" spans="1:4" ht="6.75" customHeight="1" x14ac:dyDescent="0.25">
      <c r="A299" s="1"/>
      <c r="B299" s="1"/>
      <c r="C299" s="1"/>
      <c r="D299" s="1"/>
    </row>
    <row r="300" spans="1:4" ht="49.5" customHeight="1" x14ac:dyDescent="0.25">
      <c r="A300" s="25" t="s">
        <v>9</v>
      </c>
      <c r="B300" s="25"/>
      <c r="C300" s="25"/>
      <c r="D300" s="25"/>
    </row>
    <row r="301" spans="1:4" ht="6.75" customHeight="1" x14ac:dyDescent="0.25">
      <c r="A301" s="1"/>
      <c r="B301" s="1"/>
      <c r="C301" s="1"/>
      <c r="D301" s="1"/>
    </row>
    <row r="302" spans="1:4" ht="50.25" customHeight="1" x14ac:dyDescent="0.25">
      <c r="A302" s="25" t="s">
        <v>10</v>
      </c>
      <c r="B302" s="25"/>
      <c r="C302" s="25"/>
      <c r="D302" s="25"/>
    </row>
    <row r="303" spans="1:4" ht="6.75" customHeight="1" x14ac:dyDescent="0.25">
      <c r="A303" s="1"/>
      <c r="B303" s="1"/>
      <c r="C303" s="1"/>
      <c r="D303" s="1"/>
    </row>
    <row r="304" spans="1:4" ht="39" customHeight="1" x14ac:dyDescent="0.25">
      <c r="A304" s="25" t="s">
        <v>11</v>
      </c>
      <c r="B304" s="25"/>
      <c r="C304" s="25"/>
      <c r="D304" s="25"/>
    </row>
    <row r="305" spans="1:4" ht="6.75" customHeight="1" x14ac:dyDescent="0.25">
      <c r="A305" s="1"/>
      <c r="B305" s="1"/>
      <c r="C305" s="1"/>
      <c r="D305" s="1"/>
    </row>
    <row r="306" spans="1:4" x14ac:dyDescent="0.25">
      <c r="A306" s="27" t="s">
        <v>12</v>
      </c>
      <c r="B306" s="25"/>
      <c r="C306" s="25"/>
      <c r="D306" s="25"/>
    </row>
    <row r="307" spans="1:4" ht="6.75" customHeight="1" x14ac:dyDescent="0.25">
      <c r="A307" s="2"/>
      <c r="B307" s="1"/>
      <c r="C307" s="1"/>
      <c r="D307" s="1"/>
    </row>
    <row r="308" spans="1:4" x14ac:dyDescent="0.25">
      <c r="A308" s="28" t="s">
        <v>30</v>
      </c>
      <c r="B308" s="28"/>
      <c r="C308" s="5" t="s">
        <v>36</v>
      </c>
      <c r="D308" s="7">
        <v>1.8185</v>
      </c>
    </row>
    <row r="309" spans="1:4" ht="24" customHeight="1" x14ac:dyDescent="0.25">
      <c r="A309" s="28" t="s">
        <v>45</v>
      </c>
      <c r="B309" s="28"/>
      <c r="C309" s="5" t="s">
        <v>14</v>
      </c>
      <c r="D309" s="6">
        <v>63.1</v>
      </c>
    </row>
    <row r="310" spans="1:4" ht="24" customHeight="1" x14ac:dyDescent="0.25">
      <c r="A310" s="28" t="s">
        <v>46</v>
      </c>
      <c r="B310" s="28"/>
      <c r="C310" s="5" t="s">
        <v>14</v>
      </c>
      <c r="D310" s="6">
        <v>50.85</v>
      </c>
    </row>
    <row r="311" spans="1:4" x14ac:dyDescent="0.25">
      <c r="A311" s="28" t="s">
        <v>18</v>
      </c>
      <c r="B311" s="28"/>
      <c r="C311" s="5" t="s">
        <v>36</v>
      </c>
      <c r="D311" s="7">
        <v>0.12479999999999999</v>
      </c>
    </row>
    <row r="312" spans="1:4" x14ac:dyDescent="0.25">
      <c r="A312" s="28" t="s">
        <v>20</v>
      </c>
      <c r="B312" s="28"/>
      <c r="C312" s="5" t="s">
        <v>36</v>
      </c>
      <c r="D312" s="7">
        <v>0.68959999999999999</v>
      </c>
    </row>
    <row r="313" spans="1:4" x14ac:dyDescent="0.25">
      <c r="A313" s="28" t="s">
        <v>21</v>
      </c>
      <c r="B313" s="28"/>
      <c r="C313" s="5" t="s">
        <v>36</v>
      </c>
      <c r="D313" s="7">
        <v>3.5680000000000001</v>
      </c>
    </row>
    <row r="314" spans="1:4" x14ac:dyDescent="0.25">
      <c r="A314" s="28" t="s">
        <v>22</v>
      </c>
      <c r="B314" s="28"/>
      <c r="C314" s="5" t="s">
        <v>36</v>
      </c>
      <c r="D314" s="7">
        <v>2.2039</v>
      </c>
    </row>
    <row r="315" spans="1:4" ht="6.75" customHeight="1" x14ac:dyDescent="0.25">
      <c r="A315" s="3"/>
      <c r="B315" s="3"/>
      <c r="C315" s="5"/>
      <c r="D315" s="7"/>
    </row>
    <row r="316" spans="1:4" x14ac:dyDescent="0.25">
      <c r="A316" s="27" t="s">
        <v>23</v>
      </c>
      <c r="B316" s="28"/>
      <c r="C316" s="5"/>
      <c r="D316" s="5"/>
    </row>
    <row r="317" spans="1:4" ht="6.75" customHeight="1" x14ac:dyDescent="0.25">
      <c r="A317" s="2"/>
      <c r="B317" s="3"/>
      <c r="C317" s="5"/>
      <c r="D317" s="5"/>
    </row>
    <row r="318" spans="1:4" x14ac:dyDescent="0.25">
      <c r="A318" s="28" t="s">
        <v>24</v>
      </c>
      <c r="B318" s="28"/>
      <c r="C318" s="5" t="s">
        <v>19</v>
      </c>
      <c r="D318" s="7">
        <v>3.0000000000000001E-3</v>
      </c>
    </row>
    <row r="319" spans="1:4" x14ac:dyDescent="0.25">
      <c r="A319" s="28" t="s">
        <v>25</v>
      </c>
      <c r="B319" s="28"/>
      <c r="C319" s="5" t="s">
        <v>19</v>
      </c>
      <c r="D319" s="7">
        <v>4.0000000000000002E-4</v>
      </c>
    </row>
    <row r="320" spans="1:4" x14ac:dyDescent="0.25">
      <c r="A320" s="28" t="s">
        <v>26</v>
      </c>
      <c r="B320" s="28"/>
      <c r="C320" s="5" t="s">
        <v>19</v>
      </c>
      <c r="D320" s="7">
        <v>5.0000000000000001E-4</v>
      </c>
    </row>
    <row r="321" spans="1:4" x14ac:dyDescent="0.25">
      <c r="A321" s="28" t="s">
        <v>27</v>
      </c>
      <c r="B321" s="28"/>
      <c r="C321" s="5" t="s">
        <v>14</v>
      </c>
      <c r="D321" s="6">
        <v>0.25</v>
      </c>
    </row>
    <row r="322" spans="1:4" x14ac:dyDescent="0.25">
      <c r="A322" s="24" t="s">
        <v>59</v>
      </c>
      <c r="B322" s="25"/>
      <c r="C322" s="25"/>
      <c r="D322" s="25"/>
    </row>
    <row r="323" spans="1:4" ht="26.25" customHeight="1" x14ac:dyDescent="0.25">
      <c r="A323" s="25" t="s">
        <v>57</v>
      </c>
      <c r="B323" s="25"/>
      <c r="C323" s="25"/>
      <c r="D323" s="25"/>
    </row>
    <row r="324" spans="1:4" ht="6.75" customHeight="1" x14ac:dyDescent="0.25">
      <c r="A324" s="1"/>
      <c r="B324" s="1"/>
      <c r="C324" s="1"/>
      <c r="D324" s="1"/>
    </row>
    <row r="325" spans="1:4" x14ac:dyDescent="0.25">
      <c r="A325" s="27" t="s">
        <v>7</v>
      </c>
      <c r="B325" s="25"/>
      <c r="C325" s="25"/>
      <c r="D325" s="25"/>
    </row>
    <row r="326" spans="1:4" ht="6.75" customHeight="1" x14ac:dyDescent="0.25">
      <c r="A326" s="2"/>
      <c r="B326" s="1"/>
      <c r="C326" s="1"/>
      <c r="D326" s="1"/>
    </row>
    <row r="327" spans="1:4" ht="36.75" customHeight="1" x14ac:dyDescent="0.25">
      <c r="A327" s="25" t="s">
        <v>8</v>
      </c>
      <c r="B327" s="25"/>
      <c r="C327" s="25"/>
      <c r="D327" s="25"/>
    </row>
    <row r="328" spans="1:4" ht="6.75" customHeight="1" x14ac:dyDescent="0.25">
      <c r="A328" s="1"/>
      <c r="B328" s="1"/>
      <c r="C328" s="1"/>
      <c r="D328" s="1"/>
    </row>
    <row r="329" spans="1:4" ht="48" customHeight="1" x14ac:dyDescent="0.25">
      <c r="A329" s="25" t="s">
        <v>9</v>
      </c>
      <c r="B329" s="25"/>
      <c r="C329" s="25"/>
      <c r="D329" s="25"/>
    </row>
    <row r="330" spans="1:4" ht="6.75" customHeight="1" x14ac:dyDescent="0.25">
      <c r="A330" s="1"/>
      <c r="B330" s="1"/>
      <c r="C330" s="1"/>
      <c r="D330" s="1"/>
    </row>
    <row r="331" spans="1:4" ht="49.5" customHeight="1" x14ac:dyDescent="0.25">
      <c r="A331" s="25" t="s">
        <v>10</v>
      </c>
      <c r="B331" s="25"/>
      <c r="C331" s="25"/>
      <c r="D331" s="25"/>
    </row>
    <row r="332" spans="1:4" ht="6.75" customHeight="1" x14ac:dyDescent="0.25">
      <c r="A332" s="1"/>
      <c r="B332" s="1"/>
      <c r="C332" s="1"/>
      <c r="D332" s="1"/>
    </row>
    <row r="333" spans="1:4" ht="38.25" customHeight="1" x14ac:dyDescent="0.25">
      <c r="A333" s="25" t="s">
        <v>11</v>
      </c>
      <c r="B333" s="25"/>
      <c r="C333" s="25"/>
      <c r="D333" s="25"/>
    </row>
    <row r="334" spans="1:4" ht="6.75" customHeight="1" x14ac:dyDescent="0.25">
      <c r="A334" s="1"/>
      <c r="B334" s="1"/>
      <c r="C334" s="1"/>
      <c r="D334" s="1"/>
    </row>
    <row r="335" spans="1:4" x14ac:dyDescent="0.25">
      <c r="A335" s="27" t="s">
        <v>12</v>
      </c>
      <c r="B335" s="25"/>
      <c r="C335" s="25"/>
      <c r="D335" s="25"/>
    </row>
    <row r="336" spans="1:4" ht="6.75" customHeight="1" x14ac:dyDescent="0.25">
      <c r="A336" s="2"/>
      <c r="B336" s="1"/>
      <c r="C336" s="1"/>
      <c r="D336" s="1"/>
    </row>
    <row r="337" spans="1:4" x14ac:dyDescent="0.25">
      <c r="A337" s="28" t="s">
        <v>30</v>
      </c>
      <c r="B337" s="28"/>
      <c r="C337" s="5" t="s">
        <v>36</v>
      </c>
      <c r="D337" s="7">
        <v>10.4085</v>
      </c>
    </row>
    <row r="338" spans="1:4" ht="23.25" customHeight="1" x14ac:dyDescent="0.25">
      <c r="A338" s="28" t="s">
        <v>45</v>
      </c>
      <c r="B338" s="28"/>
      <c r="C338" s="5" t="s">
        <v>14</v>
      </c>
      <c r="D338" s="6">
        <v>63.1</v>
      </c>
    </row>
    <row r="339" spans="1:4" ht="23.25" customHeight="1" x14ac:dyDescent="0.25">
      <c r="A339" s="28" t="s">
        <v>46</v>
      </c>
      <c r="B339" s="28"/>
      <c r="C339" s="5" t="s">
        <v>14</v>
      </c>
      <c r="D339" s="6">
        <v>50.85</v>
      </c>
    </row>
    <row r="340" spans="1:4" x14ac:dyDescent="0.25">
      <c r="A340" s="28" t="s">
        <v>18</v>
      </c>
      <c r="B340" s="28"/>
      <c r="C340" s="5" t="s">
        <v>36</v>
      </c>
      <c r="D340" s="7">
        <v>0.10299999999999999</v>
      </c>
    </row>
    <row r="341" spans="1:4" x14ac:dyDescent="0.25">
      <c r="A341" s="28" t="s">
        <v>20</v>
      </c>
      <c r="B341" s="28"/>
      <c r="C341" s="5" t="s">
        <v>36</v>
      </c>
      <c r="D341" s="7">
        <v>0.49020000000000002</v>
      </c>
    </row>
    <row r="342" spans="1:4" x14ac:dyDescent="0.25">
      <c r="A342" s="28" t="s">
        <v>21</v>
      </c>
      <c r="B342" s="28"/>
      <c r="C342" s="5" t="s">
        <v>36</v>
      </c>
      <c r="D342" s="7">
        <v>3.9849999999999999</v>
      </c>
    </row>
    <row r="343" spans="1:4" x14ac:dyDescent="0.25">
      <c r="A343" s="28" t="s">
        <v>22</v>
      </c>
      <c r="B343" s="28"/>
      <c r="C343" s="5" t="s">
        <v>36</v>
      </c>
      <c r="D343" s="7">
        <v>1.8191999999999999</v>
      </c>
    </row>
    <row r="344" spans="1:4" ht="6.75" customHeight="1" x14ac:dyDescent="0.25">
      <c r="A344" s="3"/>
      <c r="B344" s="3"/>
      <c r="C344" s="5"/>
      <c r="D344" s="7"/>
    </row>
    <row r="345" spans="1:4" x14ac:dyDescent="0.25">
      <c r="A345" s="27" t="s">
        <v>23</v>
      </c>
      <c r="B345" s="28"/>
      <c r="C345" s="5"/>
      <c r="D345" s="5"/>
    </row>
    <row r="346" spans="1:4" ht="6.75" customHeight="1" x14ac:dyDescent="0.25">
      <c r="A346" s="2"/>
      <c r="B346" s="3"/>
      <c r="C346" s="5"/>
      <c r="D346" s="5"/>
    </row>
    <row r="347" spans="1:4" x14ac:dyDescent="0.25">
      <c r="A347" s="28" t="s">
        <v>24</v>
      </c>
      <c r="B347" s="28"/>
      <c r="C347" s="5" t="s">
        <v>19</v>
      </c>
      <c r="D347" s="7">
        <v>3.0000000000000001E-3</v>
      </c>
    </row>
    <row r="348" spans="1:4" x14ac:dyDescent="0.25">
      <c r="A348" s="28" t="s">
        <v>25</v>
      </c>
      <c r="B348" s="28"/>
      <c r="C348" s="5" t="s">
        <v>19</v>
      </c>
      <c r="D348" s="7">
        <v>4.0000000000000002E-4</v>
      </c>
    </row>
    <row r="349" spans="1:4" x14ac:dyDescent="0.25">
      <c r="A349" s="28" t="s">
        <v>26</v>
      </c>
      <c r="B349" s="28"/>
      <c r="C349" s="5" t="s">
        <v>19</v>
      </c>
      <c r="D349" s="7">
        <v>5.0000000000000001E-4</v>
      </c>
    </row>
    <row r="350" spans="1:4" x14ac:dyDescent="0.25">
      <c r="A350" s="28" t="s">
        <v>27</v>
      </c>
      <c r="B350" s="28"/>
      <c r="C350" s="5" t="s">
        <v>14</v>
      </c>
      <c r="D350" s="6">
        <v>0.25</v>
      </c>
    </row>
    <row r="351" spans="1:4" x14ac:dyDescent="0.25">
      <c r="A351" s="24" t="s">
        <v>60</v>
      </c>
      <c r="B351" s="25"/>
      <c r="C351" s="25"/>
      <c r="D351" s="25"/>
    </row>
    <row r="352" spans="1:4" ht="26.25" customHeight="1" x14ac:dyDescent="0.25">
      <c r="A352" s="25" t="s">
        <v>57</v>
      </c>
      <c r="B352" s="25"/>
      <c r="C352" s="25"/>
      <c r="D352" s="25"/>
    </row>
    <row r="353" spans="1:4" ht="6.75" customHeight="1" x14ac:dyDescent="0.25">
      <c r="A353" s="1"/>
      <c r="B353" s="1"/>
      <c r="C353" s="1"/>
      <c r="D353" s="1"/>
    </row>
    <row r="354" spans="1:4" x14ac:dyDescent="0.25">
      <c r="A354" s="27" t="s">
        <v>7</v>
      </c>
      <c r="B354" s="25"/>
      <c r="C354" s="25"/>
      <c r="D354" s="25"/>
    </row>
    <row r="355" spans="1:4" ht="6.75" customHeight="1" x14ac:dyDescent="0.25">
      <c r="A355" s="2"/>
      <c r="B355" s="1"/>
      <c r="C355" s="1"/>
      <c r="D355" s="1"/>
    </row>
    <row r="356" spans="1:4" ht="36.75" customHeight="1" x14ac:dyDescent="0.25">
      <c r="A356" s="25" t="s">
        <v>8</v>
      </c>
      <c r="B356" s="25"/>
      <c r="C356" s="25"/>
      <c r="D356" s="25"/>
    </row>
    <row r="357" spans="1:4" ht="6.75" customHeight="1" x14ac:dyDescent="0.25">
      <c r="A357" s="1"/>
      <c r="B357" s="1"/>
      <c r="C357" s="1"/>
      <c r="D357" s="1"/>
    </row>
    <row r="358" spans="1:4" ht="51" customHeight="1" x14ac:dyDescent="0.25">
      <c r="A358" s="25" t="s">
        <v>9</v>
      </c>
      <c r="B358" s="25"/>
      <c r="C358" s="25"/>
      <c r="D358" s="25"/>
    </row>
    <row r="359" spans="1:4" ht="6.75" customHeight="1" x14ac:dyDescent="0.25">
      <c r="A359" s="1"/>
      <c r="B359" s="1"/>
      <c r="C359" s="1"/>
      <c r="D359" s="1"/>
    </row>
    <row r="360" spans="1:4" ht="49.5" customHeight="1" x14ac:dyDescent="0.25">
      <c r="A360" s="25" t="s">
        <v>10</v>
      </c>
      <c r="B360" s="25"/>
      <c r="C360" s="25"/>
      <c r="D360" s="25"/>
    </row>
    <row r="361" spans="1:4" ht="6.75" customHeight="1" x14ac:dyDescent="0.25">
      <c r="A361" s="1"/>
      <c r="B361" s="1"/>
      <c r="C361" s="1"/>
      <c r="D361" s="1"/>
    </row>
    <row r="362" spans="1:4" ht="36.75" customHeight="1" x14ac:dyDescent="0.25">
      <c r="A362" s="25" t="s">
        <v>11</v>
      </c>
      <c r="B362" s="25"/>
      <c r="C362" s="25"/>
      <c r="D362" s="25"/>
    </row>
    <row r="363" spans="1:4" ht="6.75" customHeight="1" x14ac:dyDescent="0.25">
      <c r="A363" s="1"/>
      <c r="B363" s="1"/>
      <c r="C363" s="1"/>
      <c r="D363" s="1"/>
    </row>
    <row r="364" spans="1:4" x14ac:dyDescent="0.25">
      <c r="A364" s="27" t="s">
        <v>12</v>
      </c>
      <c r="B364" s="25"/>
      <c r="C364" s="25"/>
      <c r="D364" s="25"/>
    </row>
    <row r="365" spans="1:4" ht="6.75" customHeight="1" x14ac:dyDescent="0.25">
      <c r="A365" s="2"/>
      <c r="B365" s="1"/>
      <c r="C365" s="1"/>
      <c r="D365" s="1"/>
    </row>
    <row r="366" spans="1:4" x14ac:dyDescent="0.25">
      <c r="A366" s="28" t="s">
        <v>13</v>
      </c>
      <c r="B366" s="28"/>
      <c r="C366" s="5" t="s">
        <v>14</v>
      </c>
      <c r="D366" s="6">
        <v>77.489999999999995</v>
      </c>
    </row>
    <row r="367" spans="1:4" ht="24.75" customHeight="1" x14ac:dyDescent="0.25">
      <c r="A367" s="28" t="s">
        <v>45</v>
      </c>
      <c r="B367" s="28"/>
      <c r="C367" s="5" t="s">
        <v>14</v>
      </c>
      <c r="D367" s="6">
        <v>63.1</v>
      </c>
    </row>
    <row r="368" spans="1:4" ht="24.75" customHeight="1" x14ac:dyDescent="0.25">
      <c r="A368" s="28" t="s">
        <v>46</v>
      </c>
      <c r="B368" s="28"/>
      <c r="C368" s="5" t="s">
        <v>14</v>
      </c>
      <c r="D368" s="6">
        <v>50.85</v>
      </c>
    </row>
    <row r="369" spans="1:4" x14ac:dyDescent="0.25">
      <c r="A369" s="28" t="s">
        <v>30</v>
      </c>
      <c r="B369" s="28"/>
      <c r="C369" s="5" t="s">
        <v>36</v>
      </c>
      <c r="D369" s="7">
        <v>1.3109999999999999</v>
      </c>
    </row>
    <row r="370" spans="1:4" x14ac:dyDescent="0.25">
      <c r="A370" s="28" t="s">
        <v>20</v>
      </c>
      <c r="B370" s="28"/>
      <c r="C370" s="5" t="s">
        <v>36</v>
      </c>
      <c r="D370" s="7">
        <v>0.70420000000000005</v>
      </c>
    </row>
    <row r="371" spans="1:4" x14ac:dyDescent="0.25">
      <c r="A371" s="28" t="s">
        <v>21</v>
      </c>
      <c r="B371" s="28"/>
      <c r="C371" s="5" t="s">
        <v>36</v>
      </c>
      <c r="D371" s="7">
        <v>3.9849999999999999</v>
      </c>
    </row>
    <row r="372" spans="1:4" x14ac:dyDescent="0.25">
      <c r="A372" s="28" t="s">
        <v>22</v>
      </c>
      <c r="B372" s="28"/>
      <c r="C372" s="5" t="s">
        <v>36</v>
      </c>
      <c r="D372" s="7">
        <v>1.8190999999999999</v>
      </c>
    </row>
    <row r="373" spans="1:4" ht="6.75" customHeight="1" x14ac:dyDescent="0.25">
      <c r="A373" s="3"/>
      <c r="B373" s="3"/>
      <c r="C373" s="5"/>
      <c r="D373" s="7"/>
    </row>
    <row r="374" spans="1:4" x14ac:dyDescent="0.25">
      <c r="A374" s="27" t="s">
        <v>23</v>
      </c>
      <c r="B374" s="28"/>
      <c r="C374" s="5"/>
      <c r="D374" s="5"/>
    </row>
    <row r="375" spans="1:4" ht="6.75" customHeight="1" x14ac:dyDescent="0.25">
      <c r="A375" s="2"/>
      <c r="B375" s="3"/>
      <c r="C375" s="5"/>
      <c r="D375" s="5"/>
    </row>
    <row r="376" spans="1:4" x14ac:dyDescent="0.25">
      <c r="A376" s="28" t="s">
        <v>24</v>
      </c>
      <c r="B376" s="28"/>
      <c r="C376" s="5" t="s">
        <v>19</v>
      </c>
      <c r="D376" s="7">
        <v>3.0000000000000001E-3</v>
      </c>
    </row>
    <row r="377" spans="1:4" x14ac:dyDescent="0.25">
      <c r="A377" s="28" t="s">
        <v>25</v>
      </c>
      <c r="B377" s="28"/>
      <c r="C377" s="5" t="s">
        <v>19</v>
      </c>
      <c r="D377" s="7">
        <v>4.0000000000000002E-4</v>
      </c>
    </row>
    <row r="378" spans="1:4" x14ac:dyDescent="0.25">
      <c r="A378" s="28" t="s">
        <v>26</v>
      </c>
      <c r="B378" s="28"/>
      <c r="C378" s="5" t="s">
        <v>19</v>
      </c>
      <c r="D378" s="7">
        <v>5.0000000000000001E-4</v>
      </c>
    </row>
    <row r="379" spans="1:4" x14ac:dyDescent="0.25">
      <c r="A379" s="28" t="s">
        <v>27</v>
      </c>
      <c r="B379" s="28"/>
      <c r="C379" s="5" t="s">
        <v>14</v>
      </c>
      <c r="D379" s="6">
        <v>0.25</v>
      </c>
    </row>
    <row r="380" spans="1:4" x14ac:dyDescent="0.25">
      <c r="A380" s="24" t="s">
        <v>61</v>
      </c>
      <c r="B380" s="25"/>
      <c r="C380" s="25"/>
      <c r="D380" s="25"/>
    </row>
    <row r="381" spans="1:4" ht="27.75" customHeight="1" x14ac:dyDescent="0.25">
      <c r="A381" s="25" t="s">
        <v>57</v>
      </c>
      <c r="B381" s="25"/>
      <c r="C381" s="25"/>
      <c r="D381" s="25"/>
    </row>
    <row r="382" spans="1:4" ht="6.75" customHeight="1" x14ac:dyDescent="0.25">
      <c r="A382" s="1"/>
      <c r="B382" s="1"/>
      <c r="C382" s="1"/>
      <c r="D382" s="1"/>
    </row>
    <row r="383" spans="1:4" x14ac:dyDescent="0.25">
      <c r="A383" s="27" t="s">
        <v>7</v>
      </c>
      <c r="B383" s="25"/>
      <c r="C383" s="25"/>
      <c r="D383" s="25"/>
    </row>
    <row r="384" spans="1:4" ht="6.75" customHeight="1" x14ac:dyDescent="0.25">
      <c r="A384" s="2"/>
      <c r="B384" s="1"/>
      <c r="C384" s="1"/>
      <c r="D384" s="1"/>
    </row>
    <row r="385" spans="1:4" ht="36.75" customHeight="1" x14ac:dyDescent="0.25">
      <c r="A385" s="25" t="s">
        <v>8</v>
      </c>
      <c r="B385" s="25"/>
      <c r="C385" s="25"/>
      <c r="D385" s="25"/>
    </row>
    <row r="386" spans="1:4" ht="6.75" customHeight="1" x14ac:dyDescent="0.25">
      <c r="A386" s="1"/>
      <c r="B386" s="1"/>
      <c r="C386" s="1"/>
      <c r="D386" s="1"/>
    </row>
    <row r="387" spans="1:4" ht="51" customHeight="1" x14ac:dyDescent="0.25">
      <c r="A387" s="25" t="s">
        <v>9</v>
      </c>
      <c r="B387" s="25"/>
      <c r="C387" s="25"/>
      <c r="D387" s="25"/>
    </row>
    <row r="388" spans="1:4" ht="6.75" customHeight="1" x14ac:dyDescent="0.25">
      <c r="A388" s="1"/>
      <c r="B388" s="1"/>
      <c r="C388" s="1"/>
      <c r="D388" s="1"/>
    </row>
    <row r="389" spans="1:4" ht="49.5" customHeight="1" x14ac:dyDescent="0.25">
      <c r="A389" s="25" t="s">
        <v>10</v>
      </c>
      <c r="B389" s="25"/>
      <c r="C389" s="25"/>
      <c r="D389" s="25"/>
    </row>
    <row r="390" spans="1:4" ht="6.75" customHeight="1" x14ac:dyDescent="0.25">
      <c r="A390" s="1"/>
      <c r="B390" s="1"/>
      <c r="C390" s="1"/>
      <c r="D390" s="1"/>
    </row>
    <row r="391" spans="1:4" ht="36.75" customHeight="1" x14ac:dyDescent="0.25">
      <c r="A391" s="25" t="s">
        <v>11</v>
      </c>
      <c r="B391" s="25"/>
      <c r="C391" s="25"/>
      <c r="D391" s="25"/>
    </row>
    <row r="392" spans="1:4" ht="6.75" customHeight="1" x14ac:dyDescent="0.25">
      <c r="A392" s="1"/>
      <c r="B392" s="1"/>
      <c r="C392" s="1"/>
      <c r="D392" s="1"/>
    </row>
    <row r="393" spans="1:4" x14ac:dyDescent="0.25">
      <c r="A393" s="27" t="s">
        <v>12</v>
      </c>
      <c r="B393" s="25"/>
      <c r="C393" s="25"/>
      <c r="D393" s="25"/>
    </row>
    <row r="394" spans="1:4" ht="6.75" customHeight="1" x14ac:dyDescent="0.25">
      <c r="A394" s="2"/>
      <c r="B394" s="1"/>
      <c r="C394" s="1"/>
      <c r="D394" s="1"/>
    </row>
    <row r="395" spans="1:4" x14ac:dyDescent="0.25">
      <c r="A395" s="28" t="s">
        <v>13</v>
      </c>
      <c r="B395" s="28"/>
      <c r="C395" s="5" t="s">
        <v>14</v>
      </c>
      <c r="D395" s="6">
        <v>77.489999999999995</v>
      </c>
    </row>
    <row r="396" spans="1:4" ht="24" customHeight="1" x14ac:dyDescent="0.25">
      <c r="A396" s="28" t="s">
        <v>45</v>
      </c>
      <c r="B396" s="28"/>
      <c r="C396" s="5" t="s">
        <v>14</v>
      </c>
      <c r="D396" s="6">
        <v>63.1</v>
      </c>
    </row>
    <row r="397" spans="1:4" ht="24" customHeight="1" x14ac:dyDescent="0.25">
      <c r="A397" s="28" t="s">
        <v>46</v>
      </c>
      <c r="B397" s="28"/>
      <c r="C397" s="5" t="s">
        <v>14</v>
      </c>
      <c r="D397" s="6">
        <v>50.85</v>
      </c>
    </row>
    <row r="398" spans="1:4" x14ac:dyDescent="0.25">
      <c r="A398" s="28" t="s">
        <v>20</v>
      </c>
      <c r="B398" s="28"/>
      <c r="C398" s="5" t="s">
        <v>36</v>
      </c>
      <c r="D398" s="7">
        <v>0.54610000000000003</v>
      </c>
    </row>
    <row r="399" spans="1:4" ht="6.75" customHeight="1" x14ac:dyDescent="0.25">
      <c r="A399" s="3"/>
      <c r="B399" s="3"/>
      <c r="C399" s="5"/>
      <c r="D399" s="7"/>
    </row>
    <row r="400" spans="1:4" x14ac:dyDescent="0.25">
      <c r="A400" s="27" t="s">
        <v>23</v>
      </c>
      <c r="B400" s="28"/>
      <c r="C400" s="5"/>
      <c r="D400" s="5"/>
    </row>
    <row r="401" spans="1:4" ht="6.75" customHeight="1" x14ac:dyDescent="0.25">
      <c r="A401" s="2"/>
      <c r="B401" s="3"/>
      <c r="C401" s="5"/>
      <c r="D401" s="5"/>
    </row>
    <row r="402" spans="1:4" x14ac:dyDescent="0.25">
      <c r="A402" s="28" t="s">
        <v>24</v>
      </c>
      <c r="B402" s="28"/>
      <c r="C402" s="5" t="s">
        <v>19</v>
      </c>
      <c r="D402" s="7">
        <v>3.0000000000000001E-3</v>
      </c>
    </row>
    <row r="403" spans="1:4" x14ac:dyDescent="0.25">
      <c r="A403" s="28" t="s">
        <v>25</v>
      </c>
      <c r="B403" s="28"/>
      <c r="C403" s="5" t="s">
        <v>19</v>
      </c>
      <c r="D403" s="7">
        <v>4.0000000000000002E-4</v>
      </c>
    </row>
    <row r="404" spans="1:4" x14ac:dyDescent="0.25">
      <c r="A404" s="28" t="s">
        <v>26</v>
      </c>
      <c r="B404" s="28"/>
      <c r="C404" s="5" t="s">
        <v>19</v>
      </c>
      <c r="D404" s="7">
        <v>5.0000000000000001E-4</v>
      </c>
    </row>
    <row r="405" spans="1:4" x14ac:dyDescent="0.25">
      <c r="A405" s="28" t="s">
        <v>27</v>
      </c>
      <c r="B405" s="28"/>
      <c r="C405" s="5" t="s">
        <v>14</v>
      </c>
      <c r="D405" s="6">
        <v>0.25</v>
      </c>
    </row>
    <row r="406" spans="1:4" s="8" customFormat="1" ht="18" customHeight="1" x14ac:dyDescent="0.25">
      <c r="A406" s="24" t="s">
        <v>62</v>
      </c>
      <c r="B406" s="29"/>
      <c r="C406" s="29"/>
      <c r="D406" s="29"/>
    </row>
    <row r="407" spans="1:4" ht="36.75" customHeight="1" x14ac:dyDescent="0.25">
      <c r="A407" s="25" t="s">
        <v>63</v>
      </c>
      <c r="B407" s="25"/>
      <c r="C407" s="25"/>
      <c r="D407" s="25"/>
    </row>
    <row r="408" spans="1:4" ht="6.75" customHeight="1" x14ac:dyDescent="0.25">
      <c r="A408" s="1"/>
      <c r="B408" s="1"/>
      <c r="C408" s="1"/>
      <c r="D408" s="1"/>
    </row>
    <row r="409" spans="1:4" x14ac:dyDescent="0.25">
      <c r="A409" s="27" t="s">
        <v>7</v>
      </c>
      <c r="B409" s="25"/>
      <c r="C409" s="25"/>
      <c r="D409" s="25"/>
    </row>
    <row r="410" spans="1:4" ht="6.75" customHeight="1" x14ac:dyDescent="0.25">
      <c r="A410" s="2"/>
      <c r="B410" s="1"/>
      <c r="C410" s="1"/>
      <c r="D410" s="1"/>
    </row>
    <row r="411" spans="1:4" ht="39" customHeight="1" x14ac:dyDescent="0.25">
      <c r="A411" s="25" t="s">
        <v>8</v>
      </c>
      <c r="B411" s="25"/>
      <c r="C411" s="25"/>
      <c r="D411" s="25"/>
    </row>
    <row r="412" spans="1:4" ht="6.75" customHeight="1" x14ac:dyDescent="0.25">
      <c r="A412" s="1"/>
      <c r="B412" s="1"/>
      <c r="C412" s="1"/>
      <c r="D412" s="1"/>
    </row>
    <row r="413" spans="1:4" ht="48.75" customHeight="1" x14ac:dyDescent="0.25">
      <c r="A413" s="25" t="s">
        <v>9</v>
      </c>
      <c r="B413" s="25"/>
      <c r="C413" s="25"/>
      <c r="D413" s="25"/>
    </row>
    <row r="414" spans="1:4" ht="6.75" customHeight="1" x14ac:dyDescent="0.25">
      <c r="A414" s="1"/>
      <c r="B414" s="1"/>
      <c r="C414" s="1"/>
      <c r="D414" s="1"/>
    </row>
    <row r="415" spans="1:4" ht="25.5" customHeight="1" x14ac:dyDescent="0.25">
      <c r="A415" s="25" t="s">
        <v>64</v>
      </c>
      <c r="B415" s="25"/>
      <c r="C415" s="25"/>
      <c r="D415" s="25"/>
    </row>
    <row r="416" spans="1:4" ht="6.75" customHeight="1" x14ac:dyDescent="0.25">
      <c r="A416" s="1"/>
      <c r="B416" s="1"/>
      <c r="C416" s="1"/>
      <c r="D416" s="1"/>
    </row>
    <row r="417" spans="1:4" ht="38.25" customHeight="1" x14ac:dyDescent="0.25">
      <c r="A417" s="25" t="s">
        <v>11</v>
      </c>
      <c r="B417" s="25"/>
      <c r="C417" s="25"/>
      <c r="D417" s="25"/>
    </row>
    <row r="418" spans="1:4" ht="6.75" customHeight="1" x14ac:dyDescent="0.25">
      <c r="A418" s="1"/>
      <c r="B418" s="1"/>
      <c r="C418" s="1"/>
      <c r="D418" s="1"/>
    </row>
    <row r="419" spans="1:4" x14ac:dyDescent="0.25">
      <c r="A419" s="27" t="s">
        <v>12</v>
      </c>
      <c r="B419" s="25"/>
      <c r="C419" s="25"/>
      <c r="D419" s="25"/>
    </row>
    <row r="420" spans="1:4" ht="6.75" customHeight="1" x14ac:dyDescent="0.25">
      <c r="A420" s="2"/>
      <c r="B420" s="1"/>
      <c r="C420" s="1"/>
      <c r="D420" s="1"/>
    </row>
    <row r="421" spans="1:4" x14ac:dyDescent="0.25">
      <c r="A421" s="28" t="s">
        <v>13</v>
      </c>
      <c r="B421" s="28"/>
      <c r="C421" s="5" t="s">
        <v>14</v>
      </c>
      <c r="D421" s="6">
        <v>4.55</v>
      </c>
    </row>
    <row r="422" spans="1:4" ht="6.75" customHeight="1" x14ac:dyDescent="0.25">
      <c r="A422" s="9"/>
      <c r="B422" s="3"/>
      <c r="C422" s="5"/>
      <c r="D422" s="6"/>
    </row>
    <row r="423" spans="1:4" ht="18.75" x14ac:dyDescent="0.25">
      <c r="A423" s="10" t="s">
        <v>65</v>
      </c>
      <c r="B423" s="11"/>
      <c r="C423" s="11"/>
      <c r="D423" s="11"/>
    </row>
    <row r="424" spans="1:4" x14ac:dyDescent="0.25">
      <c r="A424" s="28" t="s">
        <v>66</v>
      </c>
      <c r="B424" s="28"/>
      <c r="C424" s="5" t="s">
        <v>36</v>
      </c>
      <c r="D424" s="12">
        <v>-0.6</v>
      </c>
    </row>
    <row r="425" spans="1:4" x14ac:dyDescent="0.25">
      <c r="A425" s="28" t="s">
        <v>67</v>
      </c>
      <c r="B425" s="28"/>
      <c r="C425" s="5" t="s">
        <v>68</v>
      </c>
      <c r="D425" s="6">
        <v>-1</v>
      </c>
    </row>
    <row r="426" spans="1:4" ht="18.75" x14ac:dyDescent="0.25">
      <c r="A426" s="10" t="s">
        <v>69</v>
      </c>
      <c r="B426" s="11"/>
      <c r="C426" s="11"/>
      <c r="D426" s="11"/>
    </row>
    <row r="427" spans="1:4" ht="38.25" customHeight="1" x14ac:dyDescent="0.25">
      <c r="A427" s="25" t="s">
        <v>8</v>
      </c>
      <c r="B427" s="25"/>
      <c r="C427" s="25"/>
      <c r="D427" s="25"/>
    </row>
    <row r="428" spans="1:4" ht="6.75" customHeight="1" x14ac:dyDescent="0.25">
      <c r="A428" s="1"/>
      <c r="B428" s="1"/>
      <c r="C428" s="1"/>
      <c r="D428" s="1"/>
    </row>
    <row r="429" spans="1:4" ht="39" customHeight="1" x14ac:dyDescent="0.25">
      <c r="A429" s="25" t="s">
        <v>70</v>
      </c>
      <c r="B429" s="25"/>
      <c r="C429" s="25"/>
      <c r="D429" s="25"/>
    </row>
    <row r="430" spans="1:4" ht="6.75" customHeight="1" x14ac:dyDescent="0.25">
      <c r="A430" s="1"/>
      <c r="B430" s="1"/>
      <c r="C430" s="1"/>
      <c r="D430" s="1"/>
    </row>
    <row r="431" spans="1:4" ht="39" customHeight="1" x14ac:dyDescent="0.25">
      <c r="A431" s="25" t="s">
        <v>11</v>
      </c>
      <c r="B431" s="25"/>
      <c r="C431" s="25"/>
      <c r="D431" s="25"/>
    </row>
    <row r="432" spans="1:4" ht="6.75" customHeight="1" x14ac:dyDescent="0.25">
      <c r="A432" s="1"/>
      <c r="B432" s="1"/>
      <c r="C432" s="1"/>
      <c r="D432" s="1"/>
    </row>
    <row r="433" spans="1:4" x14ac:dyDescent="0.25">
      <c r="A433" s="2" t="s">
        <v>71</v>
      </c>
      <c r="B433" s="13"/>
      <c r="C433" s="13"/>
      <c r="D433" s="13"/>
    </row>
    <row r="434" spans="1:4" x14ac:dyDescent="0.25">
      <c r="A434" s="28" t="s">
        <v>72</v>
      </c>
      <c r="B434" s="28"/>
      <c r="C434" s="5" t="s">
        <v>14</v>
      </c>
      <c r="D434" s="6">
        <v>15</v>
      </c>
    </row>
    <row r="435" spans="1:4" x14ac:dyDescent="0.25">
      <c r="A435" s="28" t="s">
        <v>73</v>
      </c>
      <c r="B435" s="28"/>
      <c r="C435" s="5" t="s">
        <v>14</v>
      </c>
      <c r="D435" s="6">
        <v>15</v>
      </c>
    </row>
    <row r="436" spans="1:4" x14ac:dyDescent="0.25">
      <c r="A436" s="28" t="s">
        <v>74</v>
      </c>
      <c r="B436" s="28"/>
      <c r="C436" s="5" t="s">
        <v>14</v>
      </c>
      <c r="D436" s="6">
        <v>15</v>
      </c>
    </row>
    <row r="437" spans="1:4" x14ac:dyDescent="0.25">
      <c r="A437" s="28" t="s">
        <v>75</v>
      </c>
      <c r="B437" s="28"/>
      <c r="C437" s="5" t="s">
        <v>14</v>
      </c>
      <c r="D437" s="6">
        <v>15</v>
      </c>
    </row>
    <row r="438" spans="1:4" x14ac:dyDescent="0.25">
      <c r="A438" s="28" t="s">
        <v>76</v>
      </c>
      <c r="B438" s="28"/>
      <c r="C438" s="5" t="s">
        <v>14</v>
      </c>
      <c r="D438" s="6">
        <v>15</v>
      </c>
    </row>
    <row r="439" spans="1:4" x14ac:dyDescent="0.25">
      <c r="A439" s="28" t="s">
        <v>77</v>
      </c>
      <c r="B439" s="28"/>
      <c r="C439" s="5" t="s">
        <v>14</v>
      </c>
      <c r="D439" s="6">
        <v>15</v>
      </c>
    </row>
    <row r="440" spans="1:4" x14ac:dyDescent="0.25">
      <c r="A440" s="28" t="s">
        <v>78</v>
      </c>
      <c r="B440" s="28"/>
      <c r="C440" s="5" t="s">
        <v>14</v>
      </c>
      <c r="D440" s="6">
        <v>15</v>
      </c>
    </row>
    <row r="441" spans="1:4" x14ac:dyDescent="0.25">
      <c r="A441" s="28" t="s">
        <v>79</v>
      </c>
      <c r="B441" s="28"/>
      <c r="C441" s="5" t="s">
        <v>14</v>
      </c>
      <c r="D441" s="6">
        <v>15</v>
      </c>
    </row>
    <row r="442" spans="1:4" x14ac:dyDescent="0.25">
      <c r="A442" s="28" t="s">
        <v>80</v>
      </c>
      <c r="B442" s="28"/>
      <c r="C442" s="5" t="s">
        <v>14</v>
      </c>
      <c r="D442" s="6">
        <v>15</v>
      </c>
    </row>
    <row r="443" spans="1:4" x14ac:dyDescent="0.25">
      <c r="A443" s="28" t="s">
        <v>81</v>
      </c>
      <c r="B443" s="28"/>
      <c r="C443" s="5" t="s">
        <v>14</v>
      </c>
      <c r="D443" s="6">
        <v>15</v>
      </c>
    </row>
    <row r="444" spans="1:4" x14ac:dyDescent="0.25">
      <c r="A444" s="28" t="s">
        <v>82</v>
      </c>
      <c r="B444" s="28"/>
      <c r="C444" s="5" t="s">
        <v>14</v>
      </c>
      <c r="D444" s="6">
        <v>15</v>
      </c>
    </row>
    <row r="445" spans="1:4" x14ac:dyDescent="0.25">
      <c r="A445" s="28" t="s">
        <v>83</v>
      </c>
      <c r="B445" s="28"/>
      <c r="C445" s="5" t="s">
        <v>14</v>
      </c>
      <c r="D445" s="6">
        <v>15</v>
      </c>
    </row>
    <row r="446" spans="1:4" x14ac:dyDescent="0.25">
      <c r="A446" s="28" t="s">
        <v>84</v>
      </c>
      <c r="B446" s="28"/>
      <c r="C446" s="5" t="s">
        <v>14</v>
      </c>
      <c r="D446" s="6">
        <v>30</v>
      </c>
    </row>
    <row r="447" spans="1:4" x14ac:dyDescent="0.25">
      <c r="A447" s="28" t="s">
        <v>85</v>
      </c>
      <c r="B447" s="28"/>
      <c r="C447" s="5" t="s">
        <v>14</v>
      </c>
      <c r="D447" s="6">
        <v>30</v>
      </c>
    </row>
    <row r="448" spans="1:4" x14ac:dyDescent="0.25">
      <c r="A448" s="28" t="s">
        <v>86</v>
      </c>
      <c r="B448" s="28"/>
      <c r="C448" s="5" t="s">
        <v>14</v>
      </c>
      <c r="D448" s="6">
        <v>30</v>
      </c>
    </row>
    <row r="449" spans="1:4" x14ac:dyDescent="0.25">
      <c r="A449" s="28" t="s">
        <v>87</v>
      </c>
      <c r="B449" s="28"/>
      <c r="C449" s="5" t="s">
        <v>14</v>
      </c>
      <c r="D449" s="6">
        <v>15</v>
      </c>
    </row>
    <row r="450" spans="1:4" ht="6.75" customHeight="1" x14ac:dyDescent="0.25">
      <c r="A450" s="3"/>
      <c r="B450" s="3"/>
      <c r="C450" s="5"/>
      <c r="D450" s="6"/>
    </row>
    <row r="451" spans="1:4" x14ac:dyDescent="0.25">
      <c r="A451" s="2" t="s">
        <v>88</v>
      </c>
      <c r="B451" s="13"/>
      <c r="C451" s="13"/>
      <c r="D451" s="13"/>
    </row>
    <row r="452" spans="1:4" x14ac:dyDescent="0.25">
      <c r="A452" s="28" t="s">
        <v>89</v>
      </c>
      <c r="B452" s="28"/>
      <c r="C452" s="5" t="s">
        <v>68</v>
      </c>
      <c r="D452" s="6">
        <v>1.5</v>
      </c>
    </row>
    <row r="453" spans="1:4" x14ac:dyDescent="0.25">
      <c r="A453" s="28" t="s">
        <v>90</v>
      </c>
      <c r="B453" s="28"/>
      <c r="C453" s="5" t="s">
        <v>14</v>
      </c>
      <c r="D453" s="6">
        <v>65</v>
      </c>
    </row>
    <row r="454" spans="1:4" x14ac:dyDescent="0.25">
      <c r="A454" s="28" t="s">
        <v>91</v>
      </c>
      <c r="B454" s="28"/>
      <c r="C454" s="5" t="s">
        <v>14</v>
      </c>
      <c r="D454" s="6">
        <v>185</v>
      </c>
    </row>
    <row r="455" spans="1:4" x14ac:dyDescent="0.25">
      <c r="A455" s="28" t="s">
        <v>92</v>
      </c>
      <c r="B455" s="28"/>
      <c r="C455" s="5" t="s">
        <v>14</v>
      </c>
      <c r="D455" s="6">
        <v>185</v>
      </c>
    </row>
    <row r="456" spans="1:4" x14ac:dyDescent="0.25">
      <c r="A456" s="28" t="s">
        <v>93</v>
      </c>
      <c r="B456" s="28"/>
      <c r="C456" s="5" t="s">
        <v>14</v>
      </c>
      <c r="D456" s="6">
        <v>415</v>
      </c>
    </row>
    <row r="457" spans="1:4" ht="6.75" customHeight="1" x14ac:dyDescent="0.25">
      <c r="A457" s="3"/>
      <c r="B457" s="3"/>
      <c r="C457" s="5"/>
      <c r="D457" s="6"/>
    </row>
    <row r="458" spans="1:4" x14ac:dyDescent="0.25">
      <c r="A458" s="2" t="s">
        <v>94</v>
      </c>
      <c r="B458" s="5"/>
      <c r="C458" s="5"/>
      <c r="D458" s="5"/>
    </row>
    <row r="459" spans="1:4" x14ac:dyDescent="0.25">
      <c r="A459" s="28" t="s">
        <v>95</v>
      </c>
      <c r="B459" s="28"/>
      <c r="C459" s="5" t="s">
        <v>14</v>
      </c>
      <c r="D459" s="6">
        <v>36.049999999999997</v>
      </c>
    </row>
    <row r="460" spans="1:4" x14ac:dyDescent="0.25">
      <c r="A460" s="28" t="s">
        <v>96</v>
      </c>
      <c r="B460" s="28"/>
      <c r="C460" s="5" t="s">
        <v>14</v>
      </c>
      <c r="D460" s="6">
        <v>30</v>
      </c>
    </row>
    <row r="461" spans="1:4" x14ac:dyDescent="0.25">
      <c r="A461" s="28" t="s">
        <v>97</v>
      </c>
      <c r="B461" s="28"/>
      <c r="C461" s="5" t="s">
        <v>14</v>
      </c>
      <c r="D461" s="6">
        <v>165</v>
      </c>
    </row>
    <row r="462" spans="1:4" ht="18" x14ac:dyDescent="0.25">
      <c r="A462" s="24" t="s">
        <v>98</v>
      </c>
      <c r="B462" s="24"/>
      <c r="C462" s="24"/>
      <c r="D462" s="24"/>
    </row>
    <row r="463" spans="1:4" ht="6.75" customHeight="1" x14ac:dyDescent="0.25">
      <c r="A463" s="10"/>
      <c r="B463" s="10"/>
      <c r="C463" s="10"/>
      <c r="D463" s="10"/>
    </row>
    <row r="464" spans="1:4" ht="39" customHeight="1" x14ac:dyDescent="0.25">
      <c r="A464" s="25" t="s">
        <v>8</v>
      </c>
      <c r="B464" s="25"/>
      <c r="C464" s="25"/>
      <c r="D464" s="25"/>
    </row>
    <row r="465" spans="1:4" ht="6.75" customHeight="1" x14ac:dyDescent="0.25">
      <c r="A465" s="1"/>
      <c r="B465" s="1"/>
      <c r="C465" s="1"/>
      <c r="D465" s="1"/>
    </row>
    <row r="466" spans="1:4" ht="51" customHeight="1" x14ac:dyDescent="0.25">
      <c r="A466" s="25" t="s">
        <v>9</v>
      </c>
      <c r="B466" s="25"/>
      <c r="C466" s="25"/>
      <c r="D466" s="25"/>
    </row>
    <row r="467" spans="1:4" ht="6.75" customHeight="1" x14ac:dyDescent="0.25">
      <c r="A467" s="1"/>
      <c r="B467" s="1"/>
      <c r="C467" s="1"/>
      <c r="D467" s="1"/>
    </row>
    <row r="468" spans="1:4" ht="26.25" customHeight="1" x14ac:dyDescent="0.25">
      <c r="A468" s="25" t="s">
        <v>64</v>
      </c>
      <c r="B468" s="25"/>
      <c r="C468" s="25"/>
      <c r="D468" s="25"/>
    </row>
    <row r="469" spans="1:4" ht="6.75" customHeight="1" x14ac:dyDescent="0.25">
      <c r="A469" s="1"/>
      <c r="B469" s="1"/>
      <c r="C469" s="1"/>
      <c r="D469" s="1"/>
    </row>
    <row r="470" spans="1:4" ht="38.25" customHeight="1" x14ac:dyDescent="0.25">
      <c r="A470" s="25" t="s">
        <v>11</v>
      </c>
      <c r="B470" s="25"/>
      <c r="C470" s="25"/>
      <c r="D470" s="25"/>
    </row>
    <row r="471" spans="1:4" ht="6.75" customHeight="1" x14ac:dyDescent="0.25">
      <c r="A471" s="1"/>
      <c r="B471" s="1"/>
      <c r="C471" s="1"/>
      <c r="D471" s="1"/>
    </row>
    <row r="472" spans="1:4" ht="25.5" customHeight="1" x14ac:dyDescent="0.25">
      <c r="A472" s="25" t="s">
        <v>99</v>
      </c>
      <c r="B472" s="25"/>
      <c r="C472" s="25"/>
      <c r="D472" s="25"/>
    </row>
    <row r="473" spans="1:4" x14ac:dyDescent="0.25">
      <c r="A473" s="28" t="s">
        <v>100</v>
      </c>
      <c r="B473" s="28"/>
      <c r="C473" s="5" t="s">
        <v>14</v>
      </c>
      <c r="D473" s="6">
        <v>111.66</v>
      </c>
    </row>
    <row r="474" spans="1:4" x14ac:dyDescent="0.25">
      <c r="A474" s="28" t="s">
        <v>101</v>
      </c>
      <c r="B474" s="28"/>
      <c r="C474" s="5" t="s">
        <v>14</v>
      </c>
      <c r="D474" s="6">
        <v>44.67</v>
      </c>
    </row>
    <row r="475" spans="1:4" x14ac:dyDescent="0.25">
      <c r="A475" s="28" t="s">
        <v>102</v>
      </c>
      <c r="B475" s="28"/>
      <c r="C475" s="5" t="s">
        <v>103</v>
      </c>
      <c r="D475" s="6">
        <v>1.1100000000000001</v>
      </c>
    </row>
    <row r="476" spans="1:4" x14ac:dyDescent="0.25">
      <c r="A476" s="28" t="s">
        <v>104</v>
      </c>
      <c r="B476" s="28"/>
      <c r="C476" s="5" t="s">
        <v>103</v>
      </c>
      <c r="D476" s="6">
        <v>0.66</v>
      </c>
    </row>
    <row r="477" spans="1:4" x14ac:dyDescent="0.25">
      <c r="A477" s="28" t="s">
        <v>105</v>
      </c>
      <c r="B477" s="28"/>
      <c r="C477" s="5" t="s">
        <v>103</v>
      </c>
      <c r="D477" s="6">
        <v>-0.66</v>
      </c>
    </row>
    <row r="478" spans="1:4" x14ac:dyDescent="0.25">
      <c r="A478" s="28" t="s">
        <v>106</v>
      </c>
      <c r="B478" s="28"/>
      <c r="C478" s="5"/>
      <c r="D478" s="14"/>
    </row>
    <row r="479" spans="1:4" x14ac:dyDescent="0.25">
      <c r="A479" s="28" t="s">
        <v>107</v>
      </c>
      <c r="B479" s="28"/>
      <c r="C479" s="5" t="s">
        <v>14</v>
      </c>
      <c r="D479" s="6">
        <v>0.56000000000000005</v>
      </c>
    </row>
    <row r="480" spans="1:4" x14ac:dyDescent="0.25">
      <c r="A480" s="28" t="s">
        <v>108</v>
      </c>
      <c r="B480" s="28"/>
      <c r="C480" s="5" t="s">
        <v>14</v>
      </c>
      <c r="D480" s="6">
        <v>1.1100000000000001</v>
      </c>
    </row>
    <row r="481" spans="1:4" x14ac:dyDescent="0.25">
      <c r="A481" s="28" t="s">
        <v>109</v>
      </c>
      <c r="B481" s="28"/>
      <c r="C481" s="5"/>
      <c r="D481" s="15"/>
    </row>
    <row r="482" spans="1:4" x14ac:dyDescent="0.25">
      <c r="A482" s="28" t="s">
        <v>110</v>
      </c>
      <c r="B482" s="28"/>
      <c r="C482" s="5"/>
      <c r="D482" s="14"/>
    </row>
    <row r="483" spans="1:4" x14ac:dyDescent="0.25">
      <c r="A483" s="28" t="s">
        <v>111</v>
      </c>
      <c r="B483" s="28"/>
      <c r="C483" s="5"/>
      <c r="D483" s="14"/>
    </row>
    <row r="484" spans="1:4" x14ac:dyDescent="0.25">
      <c r="A484" s="28" t="s">
        <v>112</v>
      </c>
      <c r="B484" s="28"/>
      <c r="C484" s="5" t="s">
        <v>14</v>
      </c>
      <c r="D484" s="14" t="s">
        <v>113</v>
      </c>
    </row>
    <row r="485" spans="1:4" x14ac:dyDescent="0.25">
      <c r="A485" s="28" t="s">
        <v>114</v>
      </c>
      <c r="B485" s="28"/>
      <c r="C485" s="5" t="s">
        <v>14</v>
      </c>
      <c r="D485" s="6">
        <v>4.47</v>
      </c>
    </row>
    <row r="486" spans="1:4" ht="23.45" customHeight="1" x14ac:dyDescent="0.25">
      <c r="A486" s="28" t="s">
        <v>115</v>
      </c>
      <c r="B486" s="25"/>
      <c r="C486" s="5" t="s">
        <v>14</v>
      </c>
      <c r="D486" s="6">
        <v>2.23</v>
      </c>
    </row>
    <row r="487" spans="1:4" ht="6.75" customHeight="1" x14ac:dyDescent="0.25">
      <c r="A487" s="3"/>
      <c r="B487" s="1"/>
      <c r="C487" s="5"/>
      <c r="D487" s="6"/>
    </row>
    <row r="488" spans="1:4" ht="18.75" x14ac:dyDescent="0.25">
      <c r="A488" s="10" t="s">
        <v>116</v>
      </c>
      <c r="B488" s="11"/>
      <c r="C488" s="11"/>
      <c r="D488" s="11"/>
    </row>
    <row r="489" spans="1:4" ht="6.75" customHeight="1" x14ac:dyDescent="0.25">
      <c r="A489" s="10"/>
      <c r="B489" s="11"/>
      <c r="C489" s="11"/>
      <c r="D489" s="11"/>
    </row>
    <row r="490" spans="1:4" ht="24.75" customHeight="1" x14ac:dyDescent="0.25">
      <c r="A490" s="28" t="s">
        <v>117</v>
      </c>
      <c r="B490" s="28"/>
      <c r="C490" s="28"/>
      <c r="D490" s="28"/>
    </row>
    <row r="491" spans="1:4" x14ac:dyDescent="0.25">
      <c r="A491" s="28" t="s">
        <v>118</v>
      </c>
      <c r="B491" s="28"/>
      <c r="C491" s="5"/>
      <c r="D491" s="14">
        <v>1.0306999999999999</v>
      </c>
    </row>
    <row r="492" spans="1:4" x14ac:dyDescent="0.25">
      <c r="A492" s="28" t="s">
        <v>119</v>
      </c>
      <c r="B492" s="28"/>
      <c r="C492" s="5"/>
      <c r="D492" s="14">
        <v>1.0145</v>
      </c>
    </row>
    <row r="493" spans="1:4" x14ac:dyDescent="0.25">
      <c r="A493" s="28" t="s">
        <v>120</v>
      </c>
      <c r="B493" s="28"/>
      <c r="C493" s="5"/>
      <c r="D493" s="14">
        <v>1.0204</v>
      </c>
    </row>
    <row r="494" spans="1:4" x14ac:dyDescent="0.25">
      <c r="A494" s="28" t="s">
        <v>121</v>
      </c>
      <c r="B494" s="28"/>
      <c r="C494" s="5"/>
      <c r="D494" s="14">
        <v>1.0044999999999999</v>
      </c>
    </row>
  </sheetData>
  <mergeCells count="345">
    <mergeCell ref="A494:B494"/>
    <mergeCell ref="A485:B485"/>
    <mergeCell ref="A486:B486"/>
    <mergeCell ref="A490:D490"/>
    <mergeCell ref="A491:B491"/>
    <mergeCell ref="A492:B492"/>
    <mergeCell ref="A493:B493"/>
    <mergeCell ref="A479:B479"/>
    <mergeCell ref="A480:B480"/>
    <mergeCell ref="A481:B481"/>
    <mergeCell ref="A482:B482"/>
    <mergeCell ref="A483:B483"/>
    <mergeCell ref="A484:B484"/>
    <mergeCell ref="A473:B473"/>
    <mergeCell ref="A474:B474"/>
    <mergeCell ref="A475:B475"/>
    <mergeCell ref="A476:B476"/>
    <mergeCell ref="A477:B477"/>
    <mergeCell ref="A478:B478"/>
    <mergeCell ref="A462:D462"/>
    <mergeCell ref="A464:D464"/>
    <mergeCell ref="A466:D466"/>
    <mergeCell ref="A468:D468"/>
    <mergeCell ref="A470:D470"/>
    <mergeCell ref="A472:D472"/>
    <mergeCell ref="A454:B454"/>
    <mergeCell ref="A455:B455"/>
    <mergeCell ref="A456:B456"/>
    <mergeCell ref="A459:B459"/>
    <mergeCell ref="A460:B460"/>
    <mergeCell ref="A461:B461"/>
    <mergeCell ref="A446:B446"/>
    <mergeCell ref="A447:B447"/>
    <mergeCell ref="A448:B448"/>
    <mergeCell ref="A449:B449"/>
    <mergeCell ref="A452:B452"/>
    <mergeCell ref="A453:B453"/>
    <mergeCell ref="A440:B440"/>
    <mergeCell ref="A441:B441"/>
    <mergeCell ref="A442:B442"/>
    <mergeCell ref="A443:B443"/>
    <mergeCell ref="A444:B444"/>
    <mergeCell ref="A445:B445"/>
    <mergeCell ref="A434:B434"/>
    <mergeCell ref="A435:B435"/>
    <mergeCell ref="A436:B436"/>
    <mergeCell ref="A437:B437"/>
    <mergeCell ref="A438:B438"/>
    <mergeCell ref="A439:B439"/>
    <mergeCell ref="A421:B421"/>
    <mergeCell ref="A424:B424"/>
    <mergeCell ref="A425:B425"/>
    <mergeCell ref="A427:D427"/>
    <mergeCell ref="A429:D429"/>
    <mergeCell ref="A431:D431"/>
    <mergeCell ref="A409:D409"/>
    <mergeCell ref="A411:D411"/>
    <mergeCell ref="A413:D413"/>
    <mergeCell ref="A415:D415"/>
    <mergeCell ref="A417:D417"/>
    <mergeCell ref="A419:D419"/>
    <mergeCell ref="A402:B402"/>
    <mergeCell ref="A403:B403"/>
    <mergeCell ref="A404:B404"/>
    <mergeCell ref="A405:B405"/>
    <mergeCell ref="A406:D406"/>
    <mergeCell ref="A407:D407"/>
    <mergeCell ref="A393:D393"/>
    <mergeCell ref="A395:B395"/>
    <mergeCell ref="A396:B396"/>
    <mergeCell ref="A397:B397"/>
    <mergeCell ref="A398:B398"/>
    <mergeCell ref="A400:B400"/>
    <mergeCell ref="A381:D381"/>
    <mergeCell ref="A383:D383"/>
    <mergeCell ref="A385:D385"/>
    <mergeCell ref="A387:D387"/>
    <mergeCell ref="A389:D389"/>
    <mergeCell ref="A391:D391"/>
    <mergeCell ref="A374:B374"/>
    <mergeCell ref="A376:B376"/>
    <mergeCell ref="A377:B377"/>
    <mergeCell ref="A378:B378"/>
    <mergeCell ref="A379:B379"/>
    <mergeCell ref="A380:D380"/>
    <mergeCell ref="A367:B367"/>
    <mergeCell ref="A368:B368"/>
    <mergeCell ref="A369:B369"/>
    <mergeCell ref="A370:B370"/>
    <mergeCell ref="A371:B371"/>
    <mergeCell ref="A372:B372"/>
    <mergeCell ref="A356:D356"/>
    <mergeCell ref="A358:D358"/>
    <mergeCell ref="A360:D360"/>
    <mergeCell ref="A362:D362"/>
    <mergeCell ref="A364:D364"/>
    <mergeCell ref="A366:B366"/>
    <mergeCell ref="A348:B348"/>
    <mergeCell ref="A349:B349"/>
    <mergeCell ref="A350:B350"/>
    <mergeCell ref="A351:D351"/>
    <mergeCell ref="A352:D352"/>
    <mergeCell ref="A354:D354"/>
    <mergeCell ref="A340:B340"/>
    <mergeCell ref="A341:B341"/>
    <mergeCell ref="A342:B342"/>
    <mergeCell ref="A343:B343"/>
    <mergeCell ref="A345:B345"/>
    <mergeCell ref="A347:B347"/>
    <mergeCell ref="A331:D331"/>
    <mergeCell ref="A333:D333"/>
    <mergeCell ref="A335:D335"/>
    <mergeCell ref="A337:B337"/>
    <mergeCell ref="A338:B338"/>
    <mergeCell ref="A339:B339"/>
    <mergeCell ref="A321:B321"/>
    <mergeCell ref="A322:D322"/>
    <mergeCell ref="A323:D323"/>
    <mergeCell ref="A325:D325"/>
    <mergeCell ref="A327:D327"/>
    <mergeCell ref="A329:D329"/>
    <mergeCell ref="A313:B313"/>
    <mergeCell ref="A314:B314"/>
    <mergeCell ref="A316:B316"/>
    <mergeCell ref="A318:B318"/>
    <mergeCell ref="A319:B319"/>
    <mergeCell ref="A320:B320"/>
    <mergeCell ref="A306:D306"/>
    <mergeCell ref="A308:B308"/>
    <mergeCell ref="A309:B309"/>
    <mergeCell ref="A310:B310"/>
    <mergeCell ref="A311:B311"/>
    <mergeCell ref="A312:B312"/>
    <mergeCell ref="A294:D294"/>
    <mergeCell ref="A296:D296"/>
    <mergeCell ref="A298:D298"/>
    <mergeCell ref="A300:D300"/>
    <mergeCell ref="A302:D302"/>
    <mergeCell ref="A304:D304"/>
    <mergeCell ref="A287:B287"/>
    <mergeCell ref="A289:B289"/>
    <mergeCell ref="A290:B290"/>
    <mergeCell ref="A291:B291"/>
    <mergeCell ref="A292:B292"/>
    <mergeCell ref="A293:D293"/>
    <mergeCell ref="A280:B280"/>
    <mergeCell ref="A281:B281"/>
    <mergeCell ref="A282:B282"/>
    <mergeCell ref="A283:B283"/>
    <mergeCell ref="A284:B284"/>
    <mergeCell ref="A285:B285"/>
    <mergeCell ref="A268:D268"/>
    <mergeCell ref="A270:D270"/>
    <mergeCell ref="A272:D272"/>
    <mergeCell ref="A274:D274"/>
    <mergeCell ref="A276:D276"/>
    <mergeCell ref="A278:D278"/>
    <mergeCell ref="A261:B261"/>
    <mergeCell ref="A262:B262"/>
    <mergeCell ref="A263:B263"/>
    <mergeCell ref="A264:B264"/>
    <mergeCell ref="A265:D265"/>
    <mergeCell ref="A266:D266"/>
    <mergeCell ref="A253:B253"/>
    <mergeCell ref="A254:B254"/>
    <mergeCell ref="A255:B255"/>
    <mergeCell ref="A256:B256"/>
    <mergeCell ref="A257:B257"/>
    <mergeCell ref="A259:B259"/>
    <mergeCell ref="A244:D244"/>
    <mergeCell ref="A246:D246"/>
    <mergeCell ref="A248:D248"/>
    <mergeCell ref="A250:B250"/>
    <mergeCell ref="A251:B251"/>
    <mergeCell ref="A252:B252"/>
    <mergeCell ref="A234:B234"/>
    <mergeCell ref="A235:D235"/>
    <mergeCell ref="A236:D236"/>
    <mergeCell ref="A238:D238"/>
    <mergeCell ref="A240:D240"/>
    <mergeCell ref="A242:D242"/>
    <mergeCell ref="A226:B226"/>
    <mergeCell ref="A227:B227"/>
    <mergeCell ref="A229:B229"/>
    <mergeCell ref="A231:B231"/>
    <mergeCell ref="A232:B232"/>
    <mergeCell ref="A233:B233"/>
    <mergeCell ref="A220:B220"/>
    <mergeCell ref="A221:B221"/>
    <mergeCell ref="A222:B222"/>
    <mergeCell ref="A223:B223"/>
    <mergeCell ref="A224:B224"/>
    <mergeCell ref="A225:B225"/>
    <mergeCell ref="A208:D208"/>
    <mergeCell ref="A210:D210"/>
    <mergeCell ref="A212:D212"/>
    <mergeCell ref="A214:D214"/>
    <mergeCell ref="A216:D216"/>
    <mergeCell ref="A218:D218"/>
    <mergeCell ref="A201:B201"/>
    <mergeCell ref="A202:B202"/>
    <mergeCell ref="A203:B203"/>
    <mergeCell ref="A204:B204"/>
    <mergeCell ref="A205:D205"/>
    <mergeCell ref="A206:D206"/>
    <mergeCell ref="A193:B193"/>
    <mergeCell ref="A194:B194"/>
    <mergeCell ref="A195:B195"/>
    <mergeCell ref="A196:B196"/>
    <mergeCell ref="A197:B197"/>
    <mergeCell ref="A199:B199"/>
    <mergeCell ref="A184:D184"/>
    <mergeCell ref="A186:D186"/>
    <mergeCell ref="A188:D188"/>
    <mergeCell ref="A190:B190"/>
    <mergeCell ref="A191:B191"/>
    <mergeCell ref="A192:B192"/>
    <mergeCell ref="A174:B174"/>
    <mergeCell ref="A175:D175"/>
    <mergeCell ref="A176:D176"/>
    <mergeCell ref="A178:D178"/>
    <mergeCell ref="A180:D180"/>
    <mergeCell ref="A182:D182"/>
    <mergeCell ref="A166:B166"/>
    <mergeCell ref="A167:B167"/>
    <mergeCell ref="A169:B169"/>
    <mergeCell ref="A171:B171"/>
    <mergeCell ref="A172:B172"/>
    <mergeCell ref="A173:B173"/>
    <mergeCell ref="A160:B160"/>
    <mergeCell ref="A161:B161"/>
    <mergeCell ref="A162:B162"/>
    <mergeCell ref="A163:B163"/>
    <mergeCell ref="A164:B164"/>
    <mergeCell ref="A165:B165"/>
    <mergeCell ref="A148:D148"/>
    <mergeCell ref="A150:D150"/>
    <mergeCell ref="A152:D152"/>
    <mergeCell ref="A154:D154"/>
    <mergeCell ref="A156:D156"/>
    <mergeCell ref="A158:D158"/>
    <mergeCell ref="A139:B139"/>
    <mergeCell ref="A140:B140"/>
    <mergeCell ref="A141:D141"/>
    <mergeCell ref="A142:D142"/>
    <mergeCell ref="A144:D144"/>
    <mergeCell ref="A146:D146"/>
    <mergeCell ref="A131:B131"/>
    <mergeCell ref="A132:B132"/>
    <mergeCell ref="A133:B133"/>
    <mergeCell ref="A135:B135"/>
    <mergeCell ref="A137:B137"/>
    <mergeCell ref="A138:B138"/>
    <mergeCell ref="A125:B125"/>
    <mergeCell ref="A126:B126"/>
    <mergeCell ref="A127:B127"/>
    <mergeCell ref="A128:B128"/>
    <mergeCell ref="A129:B129"/>
    <mergeCell ref="A130:B130"/>
    <mergeCell ref="A113:D113"/>
    <mergeCell ref="A115:D115"/>
    <mergeCell ref="A117:D117"/>
    <mergeCell ref="A119:D119"/>
    <mergeCell ref="A121:D121"/>
    <mergeCell ref="A123:D123"/>
    <mergeCell ref="A104:B104"/>
    <mergeCell ref="A105:B105"/>
    <mergeCell ref="A106:D106"/>
    <mergeCell ref="A107:D107"/>
    <mergeCell ref="A109:D109"/>
    <mergeCell ref="A111:D111"/>
    <mergeCell ref="A96:B96"/>
    <mergeCell ref="A97:B97"/>
    <mergeCell ref="A98:B98"/>
    <mergeCell ref="A100:B100"/>
    <mergeCell ref="A102:B102"/>
    <mergeCell ref="A103:B103"/>
    <mergeCell ref="A90:B90"/>
    <mergeCell ref="A91:B91"/>
    <mergeCell ref="A92:B92"/>
    <mergeCell ref="A93:B93"/>
    <mergeCell ref="A94:B94"/>
    <mergeCell ref="A95:B95"/>
    <mergeCell ref="A80:D80"/>
    <mergeCell ref="A82:D82"/>
    <mergeCell ref="A84:D84"/>
    <mergeCell ref="A86:D86"/>
    <mergeCell ref="A88:B88"/>
    <mergeCell ref="A89:B89"/>
    <mergeCell ref="A69:D69"/>
    <mergeCell ref="A70:D70"/>
    <mergeCell ref="A72:D72"/>
    <mergeCell ref="A74:D74"/>
    <mergeCell ref="A76:D76"/>
    <mergeCell ref="A78:D78"/>
    <mergeCell ref="A61:B61"/>
    <mergeCell ref="A63:B63"/>
    <mergeCell ref="A65:B65"/>
    <mergeCell ref="A66:B66"/>
    <mergeCell ref="A67:B67"/>
    <mergeCell ref="A68:B68"/>
    <mergeCell ref="A55:B55"/>
    <mergeCell ref="A56:B56"/>
    <mergeCell ref="A57:B57"/>
    <mergeCell ref="A58:B58"/>
    <mergeCell ref="A59:B59"/>
    <mergeCell ref="A60:B60"/>
    <mergeCell ref="A45:D45"/>
    <mergeCell ref="A47:D47"/>
    <mergeCell ref="A49:D49"/>
    <mergeCell ref="A51:D51"/>
    <mergeCell ref="A53:B53"/>
    <mergeCell ref="A54:B54"/>
    <mergeCell ref="A36:B36"/>
    <mergeCell ref="A37:B37"/>
    <mergeCell ref="A38:D38"/>
    <mergeCell ref="A39:D39"/>
    <mergeCell ref="A41:D41"/>
    <mergeCell ref="A43:D43"/>
    <mergeCell ref="A28:B28"/>
    <mergeCell ref="A29:B29"/>
    <mergeCell ref="A30:B30"/>
    <mergeCell ref="A32:B32"/>
    <mergeCell ref="A34:B34"/>
    <mergeCell ref="A35:B35"/>
    <mergeCell ref="A24:B24"/>
    <mergeCell ref="A25:B25"/>
    <mergeCell ref="A26:B26"/>
    <mergeCell ref="A27:B27"/>
    <mergeCell ref="A9:D9"/>
    <mergeCell ref="A11:D11"/>
    <mergeCell ref="A13:D13"/>
    <mergeCell ref="A15:D15"/>
    <mergeCell ref="A17:D17"/>
    <mergeCell ref="A19:D19"/>
    <mergeCell ref="A3:D3"/>
    <mergeCell ref="A4:D4"/>
    <mergeCell ref="A5:D5"/>
    <mergeCell ref="A6:D6"/>
    <mergeCell ref="A7:D7"/>
    <mergeCell ref="A8:D8"/>
    <mergeCell ref="A1:D1"/>
    <mergeCell ref="A21:D21"/>
    <mergeCell ref="A23:B23"/>
    <mergeCell ref="A2:D2"/>
  </mergeCells>
  <pageMargins left="0.7" right="0.7" top="0.75" bottom="0.75" header="0.3" footer="0.3"/>
  <pageSetup scale="95" orientation="portrait" r:id="rId1"/>
  <rowBreaks count="18" manualBreakCount="18">
    <brk id="37" max="16383" man="1"/>
    <brk id="68" max="16383" man="1"/>
    <brk id="85" max="16383" man="1"/>
    <brk id="105" max="16383" man="1"/>
    <brk id="122" max="16383" man="1"/>
    <brk id="140" max="16383" man="1"/>
    <brk id="157" max="16383" man="1"/>
    <brk id="174" max="16383" man="1"/>
    <brk id="204" max="16383" man="1"/>
    <brk id="234" max="16383" man="1"/>
    <brk id="264" max="16383" man="1"/>
    <brk id="292" max="16383" man="1"/>
    <brk id="321" max="16383" man="1"/>
    <brk id="350" max="16383" man="1"/>
    <brk id="379" max="16383" man="1"/>
    <brk id="405" max="16383" man="1"/>
    <brk id="422" max="16383" man="1"/>
    <brk id="461" max="16383" man="1"/>
  </rowBreaks>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515E4-8450-4302-839A-E16DE79DA8E6}">
  <sheetPr>
    <pageSetUpPr fitToPage="1"/>
  </sheetPr>
  <dimension ref="A1:T971"/>
  <sheetViews>
    <sheetView showGridLines="0" topLeftCell="C1" zoomScale="85" zoomScaleNormal="85" zoomScaleSheetLayoutView="85" workbookViewId="0">
      <selection activeCell="C1" sqref="C1"/>
    </sheetView>
  </sheetViews>
  <sheetFormatPr defaultColWidth="9.28515625" defaultRowHeight="12.75" x14ac:dyDescent="0.2"/>
  <cols>
    <col min="1" max="1" width="9" style="46" hidden="1" customWidth="1"/>
    <col min="2" max="2" width="4.7109375" style="46" hidden="1" customWidth="1"/>
    <col min="3" max="3" width="3.42578125" style="66" customWidth="1"/>
    <col min="4" max="4" width="34.7109375" style="46" customWidth="1"/>
    <col min="5" max="5" width="13.28515625" style="46" customWidth="1"/>
    <col min="6" max="6" width="26.7109375" style="46" customWidth="1"/>
    <col min="7" max="7" width="10.28515625" style="46" bestFit="1" customWidth="1"/>
    <col min="8" max="8" width="18.28515625" style="46" customWidth="1"/>
    <col min="9" max="9" width="12.7109375" style="46" customWidth="1"/>
    <col min="10" max="10" width="14.28515625" style="46" bestFit="1" customWidth="1"/>
    <col min="11" max="11" width="18.7109375" style="46" bestFit="1" customWidth="1"/>
    <col min="12" max="12" width="13.5703125" style="46" bestFit="1" customWidth="1"/>
    <col min="13" max="13" width="15.7109375" style="46" customWidth="1"/>
    <col min="14" max="14" width="22.28515625" style="46" customWidth="1"/>
    <col min="15" max="15" width="14.42578125" style="46" customWidth="1"/>
    <col min="16" max="16384" width="9.28515625" style="46"/>
  </cols>
  <sheetData>
    <row r="1" spans="3:15" s="34" customFormat="1" ht="21.75" x14ac:dyDescent="0.2">
      <c r="C1" s="30"/>
      <c r="D1" s="31"/>
      <c r="E1" s="31"/>
      <c r="F1" s="31"/>
      <c r="G1" s="31"/>
      <c r="H1" s="31"/>
      <c r="I1" s="31"/>
      <c r="J1" s="31"/>
      <c r="K1" s="31"/>
      <c r="L1" s="32"/>
      <c r="M1" s="33"/>
    </row>
    <row r="2" spans="3:15" s="34" customFormat="1" ht="18" x14ac:dyDescent="0.25">
      <c r="C2" s="36"/>
      <c r="D2" s="37"/>
      <c r="E2" s="37"/>
      <c r="F2" s="37"/>
      <c r="G2" s="37"/>
      <c r="H2" s="37"/>
      <c r="I2" s="37"/>
      <c r="J2" s="37"/>
      <c r="K2" s="37"/>
      <c r="L2" s="32"/>
      <c r="M2" s="33"/>
    </row>
    <row r="3" spans="3:15" s="34" customFormat="1" ht="18" x14ac:dyDescent="0.25">
      <c r="C3" s="38"/>
      <c r="D3" s="38"/>
      <c r="E3" s="38"/>
      <c r="F3" s="38"/>
      <c r="G3" s="38"/>
      <c r="H3" s="38"/>
      <c r="I3" s="38"/>
      <c r="J3" s="38"/>
      <c r="K3" s="38"/>
      <c r="L3" s="32"/>
      <c r="M3" s="33"/>
    </row>
    <row r="4" spans="3:15" s="34" customFormat="1" ht="18" x14ac:dyDescent="0.25">
      <c r="C4" s="36"/>
      <c r="D4" s="37"/>
      <c r="E4" s="37"/>
      <c r="F4" s="37"/>
      <c r="G4" s="37"/>
      <c r="H4" s="37"/>
      <c r="I4" s="39"/>
      <c r="J4" s="39"/>
      <c r="K4" s="39"/>
      <c r="L4" s="32"/>
      <c r="M4" s="33"/>
    </row>
    <row r="5" spans="3:15" s="34" customFormat="1" ht="15.75" x14ac:dyDescent="0.25">
      <c r="C5" s="40"/>
      <c r="E5" s="41"/>
      <c r="L5" s="32"/>
      <c r="M5" s="33"/>
    </row>
    <row r="6" spans="3:15" s="34" customFormat="1" x14ac:dyDescent="0.2">
      <c r="C6" s="40"/>
      <c r="L6" s="32"/>
      <c r="M6" s="33"/>
    </row>
    <row r="7" spans="3:15" s="34" customFormat="1" ht="9.75" customHeight="1" x14ac:dyDescent="0.2">
      <c r="C7" s="40"/>
      <c r="L7" s="32"/>
      <c r="M7" s="33"/>
    </row>
    <row r="8" spans="3:15" s="34" customFormat="1" ht="2.25" customHeight="1" x14ac:dyDescent="0.2">
      <c r="C8" s="40"/>
      <c r="M8" s="33"/>
      <c r="N8" s="35"/>
      <c r="O8" s="35"/>
    </row>
    <row r="9" spans="3:15" s="35" customFormat="1" ht="2.25" customHeight="1" x14ac:dyDescent="0.2">
      <c r="C9" s="42"/>
    </row>
    <row r="10" spans="3:15" s="35" customFormat="1" ht="2.25" customHeight="1" x14ac:dyDescent="0.25">
      <c r="C10" s="42"/>
      <c r="D10" s="43"/>
      <c r="E10" s="43"/>
      <c r="F10" s="43"/>
      <c r="G10" s="43"/>
      <c r="H10" s="43"/>
      <c r="I10" s="43"/>
      <c r="J10" s="43"/>
      <c r="K10" s="43"/>
      <c r="L10" s="43"/>
      <c r="M10" s="43"/>
      <c r="N10" s="44"/>
      <c r="O10" s="44"/>
    </row>
    <row r="11" spans="3:15" s="35" customFormat="1" ht="2.25" customHeight="1" x14ac:dyDescent="0.25">
      <c r="C11" s="42"/>
      <c r="D11" s="43"/>
      <c r="E11" s="43"/>
      <c r="F11" s="43"/>
      <c r="G11" s="43"/>
      <c r="H11" s="43"/>
      <c r="I11" s="43"/>
      <c r="J11" s="43"/>
      <c r="K11" s="43"/>
      <c r="L11" s="43"/>
      <c r="M11" s="43"/>
      <c r="N11" s="43"/>
      <c r="O11" s="43"/>
    </row>
    <row r="12" spans="3:15" s="35" customFormat="1" ht="149.25" customHeight="1" x14ac:dyDescent="0.2">
      <c r="C12" s="42"/>
      <c r="D12" s="45" t="s">
        <v>127</v>
      </c>
      <c r="E12" s="45"/>
      <c r="F12" s="45"/>
      <c r="G12" s="45"/>
      <c r="H12" s="45"/>
      <c r="I12" s="45"/>
      <c r="J12" s="45"/>
      <c r="K12" s="45"/>
      <c r="L12" s="45"/>
      <c r="M12" s="45"/>
      <c r="N12" s="45"/>
    </row>
    <row r="13" spans="3:15" s="35" customFormat="1" ht="13.5" customHeight="1" x14ac:dyDescent="0.2">
      <c r="C13" s="47"/>
      <c r="D13" s="35" t="s">
        <v>128</v>
      </c>
    </row>
    <row r="14" spans="3:15" s="35" customFormat="1" x14ac:dyDescent="0.2">
      <c r="C14" s="42"/>
    </row>
    <row r="15" spans="3:15" s="35" customFormat="1" ht="27.75" hidden="1" customHeight="1" x14ac:dyDescent="0.2">
      <c r="C15" s="42"/>
    </row>
    <row r="16" spans="3:15" s="35" customFormat="1" hidden="1" x14ac:dyDescent="0.2">
      <c r="C16" s="42"/>
    </row>
    <row r="17" spans="2:14" s="35" customFormat="1" hidden="1" x14ac:dyDescent="0.2">
      <c r="C17" s="42"/>
    </row>
    <row r="18" spans="2:14" s="35" customFormat="1" hidden="1" x14ac:dyDescent="0.2">
      <c r="C18" s="42"/>
    </row>
    <row r="19" spans="2:14" s="35" customFormat="1" hidden="1" x14ac:dyDescent="0.2">
      <c r="C19" s="42"/>
    </row>
    <row r="20" spans="2:14" s="35" customFormat="1" hidden="1" x14ac:dyDescent="0.2">
      <c r="C20" s="42"/>
    </row>
    <row r="21" spans="2:14" s="35" customFormat="1" hidden="1" x14ac:dyDescent="0.2">
      <c r="C21" s="42"/>
    </row>
    <row r="22" spans="2:14" s="35" customFormat="1" hidden="1" x14ac:dyDescent="0.2">
      <c r="C22" s="42"/>
    </row>
    <row r="23" spans="2:14" s="35" customFormat="1" hidden="1" x14ac:dyDescent="0.2">
      <c r="C23" s="42"/>
    </row>
    <row r="24" spans="2:14" s="35" customFormat="1" hidden="1" x14ac:dyDescent="0.2">
      <c r="C24" s="42"/>
    </row>
    <row r="25" spans="2:14" s="35" customFormat="1" hidden="1" x14ac:dyDescent="0.2">
      <c r="C25" s="42"/>
    </row>
    <row r="26" spans="2:14" s="35" customFormat="1" hidden="1" x14ac:dyDescent="0.2">
      <c r="C26" s="42"/>
    </row>
    <row r="27" spans="2:14" s="35" customFormat="1" hidden="1" x14ac:dyDescent="0.2">
      <c r="C27" s="42"/>
    </row>
    <row r="28" spans="2:14" s="35" customFormat="1" ht="15.75" x14ac:dyDescent="0.25">
      <c r="C28" s="42"/>
      <c r="D28" s="48" t="s">
        <v>129</v>
      </c>
    </row>
    <row r="29" spans="2:14" s="35" customFormat="1" ht="78" customHeight="1" x14ac:dyDescent="0.2">
      <c r="C29" s="42"/>
      <c r="D29" s="49" t="s">
        <v>130</v>
      </c>
      <c r="E29" s="50"/>
      <c r="F29" s="51"/>
      <c r="G29" s="52" t="s">
        <v>131</v>
      </c>
      <c r="H29" s="53" t="s">
        <v>132</v>
      </c>
      <c r="I29" s="53" t="s">
        <v>133</v>
      </c>
      <c r="J29" s="53" t="s">
        <v>134</v>
      </c>
      <c r="K29" s="53" t="s">
        <v>135</v>
      </c>
      <c r="L29" s="53" t="s">
        <v>136</v>
      </c>
      <c r="M29" s="54" t="s">
        <v>137</v>
      </c>
      <c r="N29" s="55" t="s">
        <v>138</v>
      </c>
    </row>
    <row r="30" spans="2:14" s="35" customFormat="1" ht="15" x14ac:dyDescent="0.25">
      <c r="B30" s="35">
        <v>1</v>
      </c>
      <c r="C30" s="56">
        <v>1</v>
      </c>
      <c r="D30" s="57" t="s">
        <v>5</v>
      </c>
      <c r="E30" s="58"/>
      <c r="F30" s="59"/>
      <c r="G30" s="60" t="str">
        <f>IF(ISERROR(VLOOKUP(D30, '[1]4. Billing Det. for Def-Var'!$A$16:$B$50, 2, FALSE)),"", VLOOKUP(D30,'[1]4. Billing Det. for Def-Var'!$A$16:$B$50, 2, FALSE))</f>
        <v>kWh</v>
      </c>
      <c r="H30" s="61" t="s">
        <v>139</v>
      </c>
      <c r="I30" s="62">
        <v>1.0306999999999999</v>
      </c>
      <c r="J30" s="63">
        <f t="shared" ref="J30:J49" si="0">IF(ISBLANK(I30),"", I30)</f>
        <v>1.0306999999999999</v>
      </c>
      <c r="K30" s="64">
        <v>750</v>
      </c>
      <c r="L30" s="64"/>
      <c r="M30" s="61"/>
      <c r="N30" s="65"/>
    </row>
    <row r="31" spans="2:14" s="35" customFormat="1" ht="15" x14ac:dyDescent="0.25">
      <c r="B31" s="35">
        <v>2</v>
      </c>
      <c r="C31" s="56">
        <v>2</v>
      </c>
      <c r="D31" s="57" t="s">
        <v>28</v>
      </c>
      <c r="E31" s="58"/>
      <c r="F31" s="59"/>
      <c r="G31" s="60" t="str">
        <f>IF(ISERROR(VLOOKUP(D31, '[1]4. Billing Det. for Def-Var'!$A$16:$B$50, 2, FALSE)),"", VLOOKUP(D31,'[1]4. Billing Det. for Def-Var'!$A$16:$B$50, 2, FALSE))</f>
        <v>kWh</v>
      </c>
      <c r="H31" s="61" t="s">
        <v>139</v>
      </c>
      <c r="I31" s="62">
        <v>1.0306999999999999</v>
      </c>
      <c r="J31" s="63">
        <f t="shared" si="0"/>
        <v>1.0306999999999999</v>
      </c>
      <c r="K31" s="64">
        <v>2000</v>
      </c>
      <c r="L31" s="64"/>
      <c r="M31" s="61"/>
      <c r="N31" s="65"/>
    </row>
    <row r="32" spans="2:14" s="35" customFormat="1" ht="15" x14ac:dyDescent="0.25">
      <c r="B32" s="35">
        <v>3</v>
      </c>
      <c r="C32" s="56">
        <v>3</v>
      </c>
      <c r="D32" s="57" t="s">
        <v>31</v>
      </c>
      <c r="E32" s="58"/>
      <c r="F32" s="59"/>
      <c r="G32" s="60" t="str">
        <f>IF(ISERROR(VLOOKUP(D32, '[1]4. Billing Det. for Def-Var'!$A$16:$B$50, 2, FALSE)),"", VLOOKUP(D32,'[1]4. Billing Det. for Def-Var'!$A$16:$B$50, 2, FALSE))</f>
        <v>kW</v>
      </c>
      <c r="H32" s="61" t="s">
        <v>140</v>
      </c>
      <c r="I32" s="62">
        <v>1.0306999999999999</v>
      </c>
      <c r="J32" s="63">
        <f t="shared" si="0"/>
        <v>1.0306999999999999</v>
      </c>
      <c r="K32" s="64">
        <v>20000</v>
      </c>
      <c r="L32" s="64">
        <v>60</v>
      </c>
      <c r="M32" s="61"/>
      <c r="N32" s="65"/>
    </row>
    <row r="33" spans="2:14" s="35" customFormat="1" ht="15" x14ac:dyDescent="0.25">
      <c r="B33" s="35">
        <v>4</v>
      </c>
      <c r="C33" s="56">
        <v>4</v>
      </c>
      <c r="D33" s="57" t="s">
        <v>41</v>
      </c>
      <c r="E33" s="58"/>
      <c r="F33" s="59"/>
      <c r="G33" s="60" t="str">
        <f>IF(ISERROR(VLOOKUP(D33, '[1]4. Billing Det. for Def-Var'!$A$16:$B$50, 2, FALSE)),"", VLOOKUP(D33,'[1]4. Billing Det. for Def-Var'!$A$16:$B$50, 2, FALSE))</f>
        <v>kW</v>
      </c>
      <c r="H33" s="61" t="s">
        <v>140</v>
      </c>
      <c r="I33" s="62">
        <v>1.0306999999999999</v>
      </c>
      <c r="J33" s="63">
        <f t="shared" si="0"/>
        <v>1.0306999999999999</v>
      </c>
      <c r="K33" s="64">
        <v>800000</v>
      </c>
      <c r="L33" s="64">
        <v>2000</v>
      </c>
      <c r="M33" s="61"/>
      <c r="N33" s="65"/>
    </row>
    <row r="34" spans="2:14" s="35" customFormat="1" ht="15" x14ac:dyDescent="0.25">
      <c r="B34" s="35">
        <v>5</v>
      </c>
      <c r="C34" s="56">
        <v>5</v>
      </c>
      <c r="D34" s="57" t="s">
        <v>43</v>
      </c>
      <c r="E34" s="58"/>
      <c r="F34" s="59"/>
      <c r="G34" s="60" t="str">
        <f>IF(ISERROR(VLOOKUP(D34, '[1]4. Billing Det. for Def-Var'!$A$16:$B$50, 2, FALSE)),"", VLOOKUP(D34,'[1]4. Billing Det. for Def-Var'!$A$16:$B$50, 2, FALSE))</f>
        <v>kW</v>
      </c>
      <c r="H34" s="61" t="s">
        <v>140</v>
      </c>
      <c r="I34" s="62">
        <v>1.0306999999999999</v>
      </c>
      <c r="J34" s="63">
        <f t="shared" si="0"/>
        <v>1.0306999999999999</v>
      </c>
      <c r="K34" s="64">
        <v>6600000</v>
      </c>
      <c r="L34" s="64">
        <v>16000</v>
      </c>
      <c r="M34" s="61"/>
      <c r="N34" s="65"/>
    </row>
    <row r="35" spans="2:14" s="35" customFormat="1" ht="15" x14ac:dyDescent="0.25">
      <c r="B35" s="35">
        <v>6</v>
      </c>
      <c r="C35" s="56">
        <v>6</v>
      </c>
      <c r="D35" s="57" t="s">
        <v>48</v>
      </c>
      <c r="E35" s="58"/>
      <c r="F35" s="59"/>
      <c r="G35" s="60" t="str">
        <f>IF(ISERROR(VLOOKUP(D35, '[1]4. Billing Det. for Def-Var'!$A$16:$B$50, 2, FALSE)),"", VLOOKUP(D35,'[1]4. Billing Det. for Def-Var'!$A$16:$B$50, 2, FALSE))</f>
        <v>kWh</v>
      </c>
      <c r="H35" s="61" t="s">
        <v>139</v>
      </c>
      <c r="I35" s="62">
        <v>1.0306999999999999</v>
      </c>
      <c r="J35" s="63">
        <f t="shared" si="0"/>
        <v>1.0306999999999999</v>
      </c>
      <c r="K35" s="64">
        <v>100</v>
      </c>
      <c r="L35" s="64"/>
      <c r="M35" s="61"/>
      <c r="N35" s="67">
        <v>1</v>
      </c>
    </row>
    <row r="36" spans="2:14" s="35" customFormat="1" ht="15" x14ac:dyDescent="0.25">
      <c r="B36" s="35">
        <v>7</v>
      </c>
      <c r="C36" s="56">
        <v>7</v>
      </c>
      <c r="D36" s="57" t="s">
        <v>51</v>
      </c>
      <c r="E36" s="58"/>
      <c r="F36" s="59"/>
      <c r="G36" s="60" t="str">
        <f>IF(ISERROR(VLOOKUP(D36, '[1]4. Billing Det. for Def-Var'!$A$16:$B$50, 2, FALSE)),"", VLOOKUP(D36,'[1]4. Billing Det. for Def-Var'!$A$16:$B$50, 2, FALSE))</f>
        <v>kW</v>
      </c>
      <c r="H36" s="61" t="s">
        <v>140</v>
      </c>
      <c r="I36" s="62">
        <v>1.0306999999999999</v>
      </c>
      <c r="J36" s="63">
        <f t="shared" si="0"/>
        <v>1.0306999999999999</v>
      </c>
      <c r="K36" s="64">
        <v>400000</v>
      </c>
      <c r="L36" s="64">
        <v>700</v>
      </c>
      <c r="M36" s="61"/>
      <c r="N36" s="67">
        <v>547</v>
      </c>
    </row>
    <row r="37" spans="2:14" s="35" customFormat="1" ht="15" x14ac:dyDescent="0.25">
      <c r="B37" s="35">
        <v>8</v>
      </c>
      <c r="C37" s="56">
        <v>8</v>
      </c>
      <c r="D37" s="57" t="s">
        <v>53</v>
      </c>
      <c r="E37" s="58"/>
      <c r="F37" s="59"/>
      <c r="G37" s="60" t="str">
        <f>IF(ISERROR(VLOOKUP(D37, '[1]4. Billing Det. for Def-Var'!$A$16:$B$50, 2, FALSE)),"", VLOOKUP(D37,'[1]4. Billing Det. for Def-Var'!$A$16:$B$50, 2, FALSE))</f>
        <v>kW</v>
      </c>
      <c r="H37" s="61" t="s">
        <v>139</v>
      </c>
      <c r="I37" s="62">
        <v>1.0306999999999999</v>
      </c>
      <c r="J37" s="63">
        <f t="shared" si="0"/>
        <v>1.0306999999999999</v>
      </c>
      <c r="K37" s="64">
        <v>10000</v>
      </c>
      <c r="L37" s="64">
        <v>29</v>
      </c>
      <c r="M37" s="61"/>
      <c r="N37" s="67">
        <v>1</v>
      </c>
    </row>
    <row r="38" spans="2:14" s="35" customFormat="1" ht="15" x14ac:dyDescent="0.25">
      <c r="B38" s="35">
        <v>9</v>
      </c>
      <c r="C38" s="56">
        <v>9</v>
      </c>
      <c r="D38" s="57" t="s">
        <v>56</v>
      </c>
      <c r="E38" s="58"/>
      <c r="F38" s="59"/>
      <c r="G38" s="60" t="str">
        <f>IF(ISERROR(VLOOKUP(D38, '[1]4. Billing Det. for Def-Var'!$A$16:$B$50, 2, FALSE)),"", VLOOKUP(D38,'[1]4. Billing Det. for Def-Var'!$A$16:$B$50, 2, FALSE))</f>
        <v>kW</v>
      </c>
      <c r="H38" s="61" t="s">
        <v>140</v>
      </c>
      <c r="I38" s="62">
        <v>1.0306999999999999</v>
      </c>
      <c r="J38" s="63">
        <f t="shared" si="0"/>
        <v>1.0306999999999999</v>
      </c>
      <c r="K38" s="64">
        <v>1382000</v>
      </c>
      <c r="L38" s="64">
        <v>2574</v>
      </c>
      <c r="M38" s="61"/>
      <c r="N38" s="65"/>
    </row>
    <row r="39" spans="2:14" s="35" customFormat="1" ht="15" x14ac:dyDescent="0.25">
      <c r="B39" s="35">
        <v>10</v>
      </c>
      <c r="C39" s="56">
        <v>10</v>
      </c>
      <c r="D39" s="57" t="s">
        <v>58</v>
      </c>
      <c r="E39" s="58"/>
      <c r="F39" s="59"/>
      <c r="G39" s="60" t="str">
        <f>IF(ISERROR(VLOOKUP(D39, '[1]4. Billing Det. for Def-Var'!$A$16:$B$50, 2, FALSE)),"", VLOOKUP(D39,'[1]4. Billing Det. for Def-Var'!$A$16:$B$50, 2, FALSE))</f>
        <v>kW</v>
      </c>
      <c r="H39" s="61" t="s">
        <v>140</v>
      </c>
      <c r="I39" s="62">
        <v>1.0306999999999999</v>
      </c>
      <c r="J39" s="63">
        <f t="shared" si="0"/>
        <v>1.0306999999999999</v>
      </c>
      <c r="K39" s="64"/>
      <c r="L39" s="64">
        <v>8280</v>
      </c>
      <c r="M39" s="61"/>
      <c r="N39" s="65"/>
    </row>
    <row r="40" spans="2:14" s="35" customFormat="1" ht="15" x14ac:dyDescent="0.25">
      <c r="B40" s="35">
        <v>11</v>
      </c>
      <c r="C40" s="56">
        <v>11</v>
      </c>
      <c r="D40" s="57" t="s">
        <v>59</v>
      </c>
      <c r="E40" s="58"/>
      <c r="F40" s="59"/>
      <c r="G40" s="60" t="str">
        <f>IF(ISERROR(VLOOKUP(D40, '[1]4. Billing Det. for Def-Var'!$A$16:$B$50, 2, FALSE)),"", VLOOKUP(D40,'[1]4. Billing Det. for Def-Var'!$A$16:$B$50, 2, FALSE))</f>
        <v>kW</v>
      </c>
      <c r="H40" s="61" t="s">
        <v>140</v>
      </c>
      <c r="I40" s="62">
        <v>1.0306999999999999</v>
      </c>
      <c r="J40" s="63">
        <f t="shared" si="0"/>
        <v>1.0306999999999999</v>
      </c>
      <c r="K40" s="64">
        <v>50000</v>
      </c>
      <c r="L40" s="64">
        <v>27</v>
      </c>
      <c r="M40" s="61"/>
      <c r="N40" s="65"/>
    </row>
    <row r="41" spans="2:14" s="35" customFormat="1" ht="15" x14ac:dyDescent="0.25">
      <c r="B41" s="35">
        <v>12</v>
      </c>
      <c r="C41" s="56">
        <v>12</v>
      </c>
      <c r="D41" s="57" t="s">
        <v>60</v>
      </c>
      <c r="E41" s="58"/>
      <c r="F41" s="59"/>
      <c r="G41" s="60" t="str">
        <f>IF(ISERROR(VLOOKUP(D41, '[1]4. Billing Det. for Def-Var'!$A$16:$B$50, 2, FALSE)),"", VLOOKUP(D41,'[1]4. Billing Det. for Def-Var'!$A$16:$B$50, 2, FALSE))</f>
        <v>kW</v>
      </c>
      <c r="H41" s="61" t="s">
        <v>140</v>
      </c>
      <c r="I41" s="62">
        <v>1.0306999999999999</v>
      </c>
      <c r="J41" s="63">
        <f t="shared" si="0"/>
        <v>1.0306999999999999</v>
      </c>
      <c r="K41" s="64">
        <v>1300000</v>
      </c>
      <c r="L41" s="64">
        <v>2340</v>
      </c>
      <c r="M41" s="61"/>
      <c r="N41" s="65"/>
    </row>
    <row r="42" spans="2:14" s="35" customFormat="1" ht="15" x14ac:dyDescent="0.25">
      <c r="B42" s="35">
        <v>13</v>
      </c>
      <c r="C42" s="56">
        <v>13</v>
      </c>
      <c r="D42" s="57" t="s">
        <v>61</v>
      </c>
      <c r="E42" s="58"/>
      <c r="F42" s="59"/>
      <c r="G42" s="60" t="str">
        <f>IF(ISERROR(VLOOKUP(D42, '[1]4. Billing Det. for Def-Var'!$A$16:$B$50, 2, FALSE)),"", VLOOKUP(D42,'[1]4. Billing Det. for Def-Var'!$A$16:$B$50, 2, FALSE))</f>
        <v>kW</v>
      </c>
      <c r="H42" s="61" t="s">
        <v>140</v>
      </c>
      <c r="I42" s="62">
        <v>1.0306999999999999</v>
      </c>
      <c r="J42" s="63">
        <f t="shared" si="0"/>
        <v>1.0306999999999999</v>
      </c>
      <c r="K42" s="64">
        <v>1990000</v>
      </c>
      <c r="L42" s="64">
        <v>4050</v>
      </c>
      <c r="M42" s="61"/>
      <c r="N42" s="65"/>
    </row>
    <row r="43" spans="2:14" s="35" customFormat="1" ht="15" x14ac:dyDescent="0.25">
      <c r="B43" s="35">
        <v>14</v>
      </c>
      <c r="C43" s="56" t="str">
        <f>IF(ISERROR(VLOOKUP(D43, D30:O49, 42, FALSE)),"", VLOOKUP(D43, D30:O49, 42, FALSE))</f>
        <v/>
      </c>
      <c r="D43" s="68" t="s">
        <v>5</v>
      </c>
      <c r="E43" s="69"/>
      <c r="F43" s="70"/>
      <c r="G43" s="60" t="str">
        <f>IF(ISERROR(VLOOKUP(D43, '[1]4. Billing Det. for Def-Var'!$A$16:$B$50, 2, FALSE)),"", VLOOKUP(D43,'[1]4. Billing Det. for Def-Var'!$A$16:$B$50, 2, FALSE))</f>
        <v>kWh</v>
      </c>
      <c r="H43" s="61" t="s">
        <v>139</v>
      </c>
      <c r="I43" s="62">
        <v>1.0306999999999999</v>
      </c>
      <c r="J43" s="63">
        <f t="shared" si="0"/>
        <v>1.0306999999999999</v>
      </c>
      <c r="K43" s="64">
        <v>328</v>
      </c>
      <c r="L43" s="64"/>
      <c r="M43" s="61"/>
      <c r="N43" s="65"/>
    </row>
    <row r="44" spans="2:14" s="35" customFormat="1" ht="15" x14ac:dyDescent="0.25">
      <c r="B44" s="35">
        <v>15</v>
      </c>
      <c r="C44" s="56" t="str">
        <f>IF(ISERROR(VLOOKUP(D44, D30:O49, 42, FALSE)),"", VLOOKUP(D44, D30:O49, 42, FALSE))</f>
        <v/>
      </c>
      <c r="D44" s="68" t="s">
        <v>28</v>
      </c>
      <c r="E44" s="69"/>
      <c r="F44" s="70"/>
      <c r="G44" s="60" t="str">
        <f>IF(ISERROR(VLOOKUP(D44, '[1]4. Billing Det. for Def-Var'!$A$16:$B$50, 2, FALSE)),"", VLOOKUP(D44,'[1]4. Billing Det. for Def-Var'!$A$16:$B$50, 2, FALSE))</f>
        <v>kWh</v>
      </c>
      <c r="H44" s="61" t="s">
        <v>141</v>
      </c>
      <c r="I44" s="62">
        <v>1.0306999999999999</v>
      </c>
      <c r="J44" s="63">
        <f t="shared" si="0"/>
        <v>1.0306999999999999</v>
      </c>
      <c r="K44" s="64">
        <v>20000</v>
      </c>
      <c r="L44" s="64"/>
      <c r="M44" s="61"/>
      <c r="N44" s="65"/>
    </row>
    <row r="45" spans="2:14" s="35" customFormat="1" ht="15" x14ac:dyDescent="0.25">
      <c r="B45" s="35">
        <v>16</v>
      </c>
      <c r="C45" s="56" t="str">
        <f>IF(ISERROR(VLOOKUP(D45, D30:O49, 42, FALSE)),"", VLOOKUP(D45, D30:O49, 42, FALSE))</f>
        <v/>
      </c>
      <c r="D45" s="68" t="s">
        <v>58</v>
      </c>
      <c r="E45" s="69"/>
      <c r="F45" s="70"/>
      <c r="G45" s="60" t="str">
        <f>IF(ISERROR(VLOOKUP(D45, '[1]4. Billing Det. for Def-Var'!$A$16:$B$50, 2, FALSE)),"", VLOOKUP(D45,'[1]4. Billing Det. for Def-Var'!$A$16:$B$50, 2, FALSE))</f>
        <v>kW</v>
      </c>
      <c r="H45" s="61" t="s">
        <v>140</v>
      </c>
      <c r="I45" s="62">
        <v>1.0306999999999999</v>
      </c>
      <c r="J45" s="63">
        <f t="shared" si="0"/>
        <v>1.0306999999999999</v>
      </c>
      <c r="K45" s="64">
        <v>5253646</v>
      </c>
      <c r="L45" s="64">
        <v>8280</v>
      </c>
      <c r="M45" s="61"/>
      <c r="N45" s="65"/>
    </row>
    <row r="46" spans="2:14" s="35" customFormat="1" ht="15" x14ac:dyDescent="0.25">
      <c r="B46" s="35">
        <v>17</v>
      </c>
      <c r="C46" s="56" t="str">
        <f>IF(ISERROR(VLOOKUP(D43, D30:O49, 42, FALSE)),"", VLOOKUP(D43, D30:O49, 42, FALSE))</f>
        <v/>
      </c>
      <c r="D46" s="68" t="s">
        <v>142</v>
      </c>
      <c r="E46" s="69"/>
      <c r="F46" s="70"/>
      <c r="G46" s="60" t="str">
        <f>IF(ISERROR(VLOOKUP(D46, '[1]4. Billing Det. for Def-Var'!$A$16:$B$50, 2, FALSE)),"", VLOOKUP(D46,'[1]4. Billing Det. for Def-Var'!$A$16:$B$50, 2, FALSE))</f>
        <v/>
      </c>
      <c r="H46" s="61"/>
      <c r="I46" s="62">
        <v>1.0306999999999999</v>
      </c>
      <c r="J46" s="63">
        <f t="shared" si="0"/>
        <v>1.0306999999999999</v>
      </c>
      <c r="K46" s="64"/>
      <c r="L46" s="64"/>
      <c r="M46" s="61"/>
      <c r="N46" s="65"/>
    </row>
    <row r="47" spans="2:14" s="35" customFormat="1" ht="15" x14ac:dyDescent="0.25">
      <c r="B47" s="35">
        <v>18</v>
      </c>
      <c r="C47" s="56" t="str">
        <f>IF(ISERROR(VLOOKUP(D44, D30:O49, 42, FALSE)),"", VLOOKUP(D44, D30:O49, 42, FALSE))</f>
        <v/>
      </c>
      <c r="D47" s="68" t="s">
        <v>142</v>
      </c>
      <c r="E47" s="69"/>
      <c r="F47" s="70"/>
      <c r="G47" s="60" t="str">
        <f>IF(ISERROR(VLOOKUP(D47, '[1]4. Billing Det. for Def-Var'!$A$16:$B$50, 2, FALSE)),"", VLOOKUP(D47,'[1]4. Billing Det. for Def-Var'!$A$16:$B$50, 2, FALSE))</f>
        <v/>
      </c>
      <c r="H47" s="61"/>
      <c r="I47" s="62">
        <v>1.0306999999999999</v>
      </c>
      <c r="J47" s="63">
        <f t="shared" si="0"/>
        <v>1.0306999999999999</v>
      </c>
      <c r="K47" s="64"/>
      <c r="L47" s="64"/>
      <c r="M47" s="61"/>
      <c r="N47" s="65"/>
    </row>
    <row r="48" spans="2:14" s="35" customFormat="1" ht="15" x14ac:dyDescent="0.25">
      <c r="B48" s="35">
        <v>19</v>
      </c>
      <c r="C48" s="56" t="str">
        <f>IF(ISERROR(VLOOKUP(D45, D30:O49, 42, FALSE)),"", VLOOKUP(D45, D30:O49, 42, FALSE))</f>
        <v/>
      </c>
      <c r="D48" s="68" t="s">
        <v>142</v>
      </c>
      <c r="E48" s="69"/>
      <c r="F48" s="70"/>
      <c r="G48" s="60" t="str">
        <f>IF(ISERROR(VLOOKUP(D48, '[1]4. Billing Det. for Def-Var'!$A$16:$B$50, 2, FALSE)),"", VLOOKUP(D48,'[1]4. Billing Det. for Def-Var'!$A$16:$B$50, 2, FALSE))</f>
        <v/>
      </c>
      <c r="H48" s="61"/>
      <c r="I48" s="62">
        <v>1.0306999999999999</v>
      </c>
      <c r="J48" s="63">
        <f t="shared" si="0"/>
        <v>1.0306999999999999</v>
      </c>
      <c r="K48" s="64"/>
      <c r="L48" s="64"/>
      <c r="M48" s="61"/>
      <c r="N48" s="65"/>
    </row>
    <row r="49" spans="2:15" s="35" customFormat="1" ht="15" x14ac:dyDescent="0.25">
      <c r="B49" s="35">
        <v>20</v>
      </c>
      <c r="C49" s="56" t="str">
        <f>IF(ISERROR(VLOOKUP(D46, D30:O49, 42, FALSE)),"", VLOOKUP(D46, D30:O49, 42, FALSE))</f>
        <v/>
      </c>
      <c r="D49" s="68" t="s">
        <v>142</v>
      </c>
      <c r="E49" s="69"/>
      <c r="F49" s="70"/>
      <c r="G49" s="60" t="str">
        <f>IF(ISERROR(VLOOKUP(D49, '[1]4. Billing Det. for Def-Var'!$A$16:$B$50, 2, FALSE)),"", VLOOKUP(D49,'[1]4. Billing Det. for Def-Var'!$A$16:$B$50, 2, FALSE))</f>
        <v/>
      </c>
      <c r="H49" s="61"/>
      <c r="I49" s="62">
        <v>1.0306999999999999</v>
      </c>
      <c r="J49" s="63">
        <f t="shared" si="0"/>
        <v>1.0306999999999999</v>
      </c>
      <c r="K49" s="64"/>
      <c r="L49" s="64"/>
      <c r="M49" s="61"/>
      <c r="N49" s="65"/>
    </row>
    <row r="50" spans="2:15" s="35" customFormat="1" x14ac:dyDescent="0.2">
      <c r="C50" s="42"/>
    </row>
    <row r="51" spans="2:15" s="35" customFormat="1" ht="15.75" x14ac:dyDescent="0.25">
      <c r="C51" s="42"/>
      <c r="D51" s="48" t="s">
        <v>143</v>
      </c>
    </row>
    <row r="52" spans="2:15" s="35" customFormat="1" ht="12.75" customHeight="1" x14ac:dyDescent="0.2">
      <c r="C52" s="42"/>
      <c r="D52" s="71" t="s">
        <v>130</v>
      </c>
      <c r="E52" s="72"/>
      <c r="F52" s="73"/>
      <c r="G52" s="74" t="s">
        <v>131</v>
      </c>
      <c r="H52" s="75" t="s">
        <v>144</v>
      </c>
      <c r="I52" s="75"/>
      <c r="J52" s="75"/>
      <c r="K52" s="75"/>
      <c r="L52" s="75"/>
      <c r="M52" s="75"/>
      <c r="N52" s="75" t="s">
        <v>145</v>
      </c>
      <c r="O52" s="75"/>
    </row>
    <row r="53" spans="2:15" s="35" customFormat="1" x14ac:dyDescent="0.2">
      <c r="C53" s="42"/>
      <c r="D53" s="76"/>
      <c r="E53" s="77"/>
      <c r="F53" s="78"/>
      <c r="G53" s="74"/>
      <c r="H53" s="79" t="s">
        <v>146</v>
      </c>
      <c r="I53" s="79"/>
      <c r="J53" s="79" t="s">
        <v>147</v>
      </c>
      <c r="K53" s="79"/>
      <c r="L53" s="79" t="s">
        <v>148</v>
      </c>
      <c r="M53" s="79"/>
      <c r="N53" s="79" t="s">
        <v>149</v>
      </c>
      <c r="O53" s="79"/>
    </row>
    <row r="54" spans="2:15" s="35" customFormat="1" x14ac:dyDescent="0.2">
      <c r="C54" s="42"/>
      <c r="D54" s="80"/>
      <c r="E54" s="81"/>
      <c r="F54" s="82"/>
      <c r="G54" s="74"/>
      <c r="H54" s="83" t="s">
        <v>14</v>
      </c>
      <c r="I54" s="83" t="s">
        <v>68</v>
      </c>
      <c r="J54" s="83" t="s">
        <v>14</v>
      </c>
      <c r="K54" s="83" t="s">
        <v>68</v>
      </c>
      <c r="L54" s="83" t="s">
        <v>14</v>
      </c>
      <c r="M54" s="83" t="s">
        <v>68</v>
      </c>
      <c r="N54" s="83" t="s">
        <v>14</v>
      </c>
      <c r="O54" s="83" t="s">
        <v>68</v>
      </c>
    </row>
    <row r="55" spans="2:15" s="35" customFormat="1" ht="15" x14ac:dyDescent="0.2">
      <c r="B55" s="35" t="str">
        <f>H30</f>
        <v>RPP</v>
      </c>
      <c r="C55" s="42">
        <v>1</v>
      </c>
      <c r="D55" s="84" t="str">
        <f t="shared" ref="D55:D74" si="1">IF(ISBLANK(D30), "", IF(D30 = "Add additional scenarios if required", "", IF(M30="YES", D30 &amp; " - " &amp; H30 &amp; " - Interval Customers", D30 &amp; " - " &amp;H30)))</f>
        <v>RESIDENTIAL SERVICE CLASSIFICATION - RPP</v>
      </c>
      <c r="E55" s="84"/>
      <c r="F55" s="84"/>
      <c r="G55" s="85" t="str">
        <f t="shared" ref="G55:G69" si="2">IF(ISBLANK(G30), "", G30)</f>
        <v>kWh</v>
      </c>
      <c r="H55" s="86">
        <f>IF(LEN($G55)&gt;1, (SUMPRODUCT(--($C$78:$C$2000=$B30), --($A$78:$A$2000=$D30), --($B$78:$B$2000="ST_A"), $L$78:$L$2000)), "")</f>
        <v>1.0599999999999987</v>
      </c>
      <c r="I55" s="87">
        <f>IF(LEN($G55)&gt;1, (SUMPRODUCT(--($C$78:$C$2000=$B30), --($A$78:$A$2000=$D30), --($B$78:$B$2000="ST_A"), $M$78:$M$2000)), "")</f>
        <v>3.4606594841658463E-2</v>
      </c>
      <c r="J55" s="86">
        <f>IF(LEN($G55)&gt;1, (SUMPRODUCT(--($C$78:$C$2000=$B30), --($A$78:$A$2000=$D30), --($B$78:$B$2000="ST_B"), $L$78:$L$2000)), "")</f>
        <v>2.4750000000000014</v>
      </c>
      <c r="K55" s="87">
        <f>IF(LEN($G55)&gt;1, (SUMPRODUCT(--($C$78:$C$2000=$B30), --($A$78:$A$2000=$D30), --($B$78:$B$2000="ST_B"), $M$78:$M$2000)), "")</f>
        <v>7.1793188624855189E-2</v>
      </c>
      <c r="L55" s="86">
        <f>IF(LEN($G55)&gt;1, (SUMPRODUCT(--($C$78:$C$2000=$B30), --($A$78:$A$2000=$D30), --($B$78:$B$2000="ST_C"), $L$78:$L$2000)), "")</f>
        <v>2.5523025000000032</v>
      </c>
      <c r="M55" s="87">
        <f>IF(LEN($G55)&gt;1, (SUMPRODUCT(--($C$78:$C$2000=$B30), --($A$78:$A$2000=$D30), --($B$78:$B$2000="ST_C"), $M$78:$M$2000)), "")</f>
        <v>5.6443055993853998E-2</v>
      </c>
      <c r="N55" s="86">
        <f>IF(LEN($G55)&gt;1, (SUMPRODUCT(--($C$78:$C$2000=$B30), --($A$78:$A$2000=$D30), --($B$78:$B$2000=$B55&amp;"_TOTAL"), $L$78:$L$2000)), "")</f>
        <v>2.5854824325000152</v>
      </c>
      <c r="O55" s="87">
        <f>IF(LEN($G55)&gt;1, (SUMPRODUCT(--($C$78:$C$2000=$B30), --($A$78:$A$2000=$D30), --($B$78:$B$2000=$B55&amp;"_TOTAL"), $M$78:$M$2000)), "")</f>
        <v>2.1600600564320872E-2</v>
      </c>
    </row>
    <row r="56" spans="2:15" s="35" customFormat="1" ht="15" x14ac:dyDescent="0.2">
      <c r="B56" s="35" t="str">
        <f t="shared" ref="B56:B74" si="3">H31</f>
        <v>RPP</v>
      </c>
      <c r="C56" s="42">
        <v>2</v>
      </c>
      <c r="D56" s="84" t="str">
        <f t="shared" si="1"/>
        <v>GENERAL SERVICE LESS THAN 50 KW SERVICE CLASSIFICATION - RPP</v>
      </c>
      <c r="E56" s="84"/>
      <c r="F56" s="84"/>
      <c r="G56" s="85" t="str">
        <f t="shared" si="2"/>
        <v>kWh</v>
      </c>
      <c r="H56" s="86">
        <f t="shared" ref="H56:H74" si="4">IF(LEN($G56)&gt;1, (SUMPRODUCT(--($C$78:$C$2000=$B31), --($A$78:$A$2000=$D31), --($B$78:$B$2000="ST_A"), $L$78:$L$2000)), "")</f>
        <v>1.769999999999996</v>
      </c>
      <c r="I56" s="87">
        <f t="shared" ref="I56:I74" si="5">IF(LEN($G56)&gt;1, (SUMPRODUCT(--($C$78:$C$2000=$B31), --($A$78:$A$2000=$D31), --($B$78:$B$2000="ST_A"), $M$78:$M$2000)), "")</f>
        <v>3.4077782056218635E-2</v>
      </c>
      <c r="J56" s="86">
        <f t="shared" ref="J56:J74" si="6">IF(LEN($G56)&gt;1, (SUMPRODUCT(--($C$78:$C$2000=$B31), --($A$78:$A$2000=$D31), --($B$78:$B$2000="ST_B"), $L$78:$L$2000)), "")</f>
        <v>5.7600000000000051</v>
      </c>
      <c r="K56" s="87">
        <f t="shared" ref="K56:K74" si="7">IF(LEN($G56)&gt;1, (SUMPRODUCT(--($C$78:$C$2000=$B31), --($A$78:$A$2000=$D31), --($B$78:$B$2000="ST_B"), $M$78:$M$2000)), "")</f>
        <v>9.4003890063756257E-2</v>
      </c>
      <c r="L56" s="86">
        <f t="shared" ref="L56:L74" si="8">IF(LEN($G56)&gt;1, (SUMPRODUCT(--($C$78:$C$2000=$B31), --($A$78:$A$2000=$D31), --($B$78:$B$2000="ST_C"), $L$78:$L$2000)), "")</f>
        <v>5.96614000000001</v>
      </c>
      <c r="M56" s="87">
        <f t="shared" ref="M56:M74" si="9">IF(LEN($G56)&gt;1, (SUMPRODUCT(--($C$78:$C$2000=$B31), --($A$78:$A$2000=$D31), --($B$78:$B$2000="ST_C"), $M$78:$M$2000)), "")</f>
        <v>6.8706295196130918E-2</v>
      </c>
      <c r="N56" s="86">
        <f t="shared" ref="N56:N74" si="10">IF(LEN($G56)&gt;1, (SUMPRODUCT(--($C$78:$C$2000=$B31), --($A$78:$A$2000=$D31), --($B$78:$B$2000=$B56&amp;"_TOTAL"), $L$78:$L$2000)), "")</f>
        <v>6.0436998199999721</v>
      </c>
      <c r="O56" s="87">
        <f t="shared" ref="O56:O74" si="11">IF(LEN($G56)&gt;1, (SUMPRODUCT(--($C$78:$C$2000=$B31), --($A$78:$A$2000=$D31), --($B$78:$B$2000=$B56&amp;"_TOTAL"), $M$78:$M$2000)), "")</f>
        <v>2.123749238586476E-2</v>
      </c>
    </row>
    <row r="57" spans="2:15" s="35" customFormat="1" ht="15" x14ac:dyDescent="0.2">
      <c r="B57" s="35" t="str">
        <f t="shared" si="3"/>
        <v>Non-RPP (Other)</v>
      </c>
      <c r="C57" s="42">
        <v>3</v>
      </c>
      <c r="D57" s="84" t="str">
        <f t="shared" si="1"/>
        <v>GENERAL SERVICE 50 TO 999 KW SERVICE CLASSIFICATION - Non-RPP (Other)</v>
      </c>
      <c r="E57" s="84"/>
      <c r="F57" s="84"/>
      <c r="G57" s="85" t="str">
        <f t="shared" si="2"/>
        <v>kW</v>
      </c>
      <c r="H57" s="86">
        <f t="shared" si="4"/>
        <v>12.539999999999964</v>
      </c>
      <c r="I57" s="87">
        <f t="shared" si="5"/>
        <v>3.3439286628551827E-2</v>
      </c>
      <c r="J57" s="86">
        <f t="shared" si="6"/>
        <v>-91.28000000000003</v>
      </c>
      <c r="K57" s="87">
        <f t="shared" si="7"/>
        <v>-0.20630579726522774</v>
      </c>
      <c r="L57" s="86">
        <f t="shared" si="8"/>
        <v>-88.190000000000055</v>
      </c>
      <c r="M57" s="87">
        <f t="shared" si="9"/>
        <v>-0.10046043893203691</v>
      </c>
      <c r="N57" s="86">
        <f t="shared" si="10"/>
        <v>-99.654700000000048</v>
      </c>
      <c r="O57" s="87">
        <f t="shared" si="11"/>
        <v>-2.987591214862521E-2</v>
      </c>
    </row>
    <row r="58" spans="2:15" s="35" customFormat="1" ht="15" x14ac:dyDescent="0.2">
      <c r="B58" s="35" t="str">
        <f t="shared" si="3"/>
        <v>Non-RPP (Other)</v>
      </c>
      <c r="C58" s="42">
        <v>4</v>
      </c>
      <c r="D58" s="84" t="str">
        <f t="shared" si="1"/>
        <v>GENERAL SERVICE 1,000 TO 4,999 KW SERVICE CLASSIFICATION - Non-RPP (Other)</v>
      </c>
      <c r="E58" s="84"/>
      <c r="F58" s="84"/>
      <c r="G58" s="85" t="str">
        <f t="shared" si="2"/>
        <v>kW</v>
      </c>
      <c r="H58" s="86">
        <f t="shared" si="4"/>
        <v>323.29999999999927</v>
      </c>
      <c r="I58" s="87">
        <f t="shared" si="5"/>
        <v>3.4591376657614838E-2</v>
      </c>
      <c r="J58" s="86">
        <f t="shared" si="6"/>
        <v>-3641.4999999999982</v>
      </c>
      <c r="K58" s="87">
        <f t="shared" si="7"/>
        <v>-0.30279067988418856</v>
      </c>
      <c r="L58" s="86">
        <f t="shared" si="8"/>
        <v>-3557.8999999999978</v>
      </c>
      <c r="M58" s="87">
        <f t="shared" si="9"/>
        <v>-0.15849758950376111</v>
      </c>
      <c r="N58" s="86">
        <f t="shared" si="10"/>
        <v>-4020.4270000000106</v>
      </c>
      <c r="O58" s="87">
        <f t="shared" si="11"/>
        <v>-3.3756600630334567E-2</v>
      </c>
    </row>
    <row r="59" spans="2:15" s="35" customFormat="1" ht="15" x14ac:dyDescent="0.2">
      <c r="B59" s="35" t="str">
        <f t="shared" si="3"/>
        <v>Non-RPP (Other)</v>
      </c>
      <c r="C59" s="42">
        <v>5</v>
      </c>
      <c r="D59" s="84" t="str">
        <f t="shared" si="1"/>
        <v>LARGE USE SERVICE CLASSIFICATION - Non-RPP (Other)</v>
      </c>
      <c r="E59" s="84"/>
      <c r="F59" s="84"/>
      <c r="G59" s="85" t="str">
        <f t="shared" si="2"/>
        <v>kW</v>
      </c>
      <c r="H59" s="86">
        <f t="shared" si="4"/>
        <v>1357.6299999999974</v>
      </c>
      <c r="I59" s="87">
        <f t="shared" si="5"/>
        <v>3.4599824761978475E-2</v>
      </c>
      <c r="J59" s="86">
        <f t="shared" si="6"/>
        <v>16808.829999999987</v>
      </c>
      <c r="K59" s="87">
        <f t="shared" si="7"/>
        <v>0.3353953970412113</v>
      </c>
      <c r="L59" s="86">
        <f t="shared" si="8"/>
        <v>17520.829999999987</v>
      </c>
      <c r="M59" s="87">
        <f t="shared" si="9"/>
        <v>0.12951256352800336</v>
      </c>
      <c r="N59" s="86">
        <f t="shared" si="10"/>
        <v>19798.537900000112</v>
      </c>
      <c r="O59" s="87">
        <f t="shared" si="11"/>
        <v>2.137659788874479E-2</v>
      </c>
    </row>
    <row r="60" spans="2:15" s="35" customFormat="1" ht="15" x14ac:dyDescent="0.2">
      <c r="B60" s="35" t="str">
        <f t="shared" si="3"/>
        <v>RPP</v>
      </c>
      <c r="C60" s="42">
        <v>6</v>
      </c>
      <c r="D60" s="84" t="str">
        <f t="shared" si="1"/>
        <v>UNMETERED SCATTERED LOAD SERVICE CLASSIFICATION - RPP</v>
      </c>
      <c r="E60" s="84"/>
      <c r="F60" s="84"/>
      <c r="G60" s="85" t="str">
        <f t="shared" si="2"/>
        <v>kWh</v>
      </c>
      <c r="H60" s="86">
        <f t="shared" si="4"/>
        <v>0.27000000000000135</v>
      </c>
      <c r="I60" s="87">
        <f t="shared" si="5"/>
        <v>3.3292231812577233E-2</v>
      </c>
      <c r="J60" s="86">
        <f t="shared" si="6"/>
        <v>2.000000000000135E-2</v>
      </c>
      <c r="K60" s="87">
        <f t="shared" si="7"/>
        <v>2.3350293040341665E-3</v>
      </c>
      <c r="L60" s="86">
        <f t="shared" si="8"/>
        <v>3.0307000000000528E-2</v>
      </c>
      <c r="M60" s="87">
        <f t="shared" si="9"/>
        <v>3.0886586801327442E-3</v>
      </c>
      <c r="N60" s="86">
        <f t="shared" si="10"/>
        <v>3.0700990999999789E-2</v>
      </c>
      <c r="O60" s="87">
        <f t="shared" si="11"/>
        <v>1.5341958314643227E-3</v>
      </c>
    </row>
    <row r="61" spans="2:15" s="35" customFormat="1" ht="15" x14ac:dyDescent="0.2">
      <c r="B61" s="35" t="str">
        <f t="shared" si="3"/>
        <v>Non-RPP (Other)</v>
      </c>
      <c r="C61" s="42">
        <v>7</v>
      </c>
      <c r="D61" s="84" t="str">
        <f t="shared" si="1"/>
        <v>STREET LIGHTING SERVICE CLASSIFICATION - Non-RPP (Other)</v>
      </c>
      <c r="E61" s="84"/>
      <c r="F61" s="84"/>
      <c r="G61" s="85" t="str">
        <f t="shared" si="2"/>
        <v>kW</v>
      </c>
      <c r="H61" s="86">
        <f t="shared" si="4"/>
        <v>446.10999999999876</v>
      </c>
      <c r="I61" s="87">
        <f t="shared" si="5"/>
        <v>3.5255050068003238E-2</v>
      </c>
      <c r="J61" s="86">
        <f t="shared" si="6"/>
        <v>-1685.6100000000006</v>
      </c>
      <c r="K61" s="87">
        <f t="shared" si="7"/>
        <v>-0.12300768647529174</v>
      </c>
      <c r="L61" s="86">
        <f t="shared" si="8"/>
        <v>-1666.5699999999997</v>
      </c>
      <c r="M61" s="87">
        <f t="shared" si="9"/>
        <v>-0.10153319962666106</v>
      </c>
      <c r="N61" s="86">
        <f t="shared" si="10"/>
        <v>-1883.2240999999995</v>
      </c>
      <c r="O61" s="87">
        <f t="shared" si="11"/>
        <v>-2.8721012340675728E-2</v>
      </c>
    </row>
    <row r="62" spans="2:15" s="35" customFormat="1" ht="15" x14ac:dyDescent="0.2">
      <c r="B62" s="35" t="str">
        <f t="shared" si="3"/>
        <v>RPP</v>
      </c>
      <c r="C62" s="42">
        <v>8</v>
      </c>
      <c r="D62" s="84" t="str">
        <f t="shared" si="1"/>
        <v>SENTINEL LIGHTING SERVICE CLASSIFICATION - RPP</v>
      </c>
      <c r="E62" s="84"/>
      <c r="F62" s="84"/>
      <c r="G62" s="85" t="str">
        <f t="shared" si="2"/>
        <v>kW</v>
      </c>
      <c r="H62" s="86">
        <f t="shared" si="4"/>
        <v>46.591200000000072</v>
      </c>
      <c r="I62" s="87">
        <f t="shared" si="5"/>
        <v>3.5493154355135607E-2</v>
      </c>
      <c r="J62" s="86">
        <f t="shared" si="6"/>
        <v>63.518500000000131</v>
      </c>
      <c r="K62" s="87">
        <f t="shared" si="7"/>
        <v>4.7216975974153849E-2</v>
      </c>
      <c r="L62" s="86">
        <f t="shared" si="8"/>
        <v>64.600199999999859</v>
      </c>
      <c r="M62" s="87">
        <f t="shared" si="9"/>
        <v>4.4154794748165589E-2</v>
      </c>
      <c r="N62" s="86">
        <f t="shared" si="10"/>
        <v>65.440002599999843</v>
      </c>
      <c r="O62" s="87">
        <f t="shared" si="11"/>
        <v>2.6557268599136308E-2</v>
      </c>
    </row>
    <row r="63" spans="2:15" s="35" customFormat="1" ht="15" x14ac:dyDescent="0.2">
      <c r="B63" s="35" t="str">
        <f t="shared" si="3"/>
        <v>Non-RPP (Other)</v>
      </c>
      <c r="C63" s="42">
        <v>9</v>
      </c>
      <c r="D63" s="84" t="str">
        <f t="shared" si="1"/>
        <v>EMBEDDED DISTRIBUTOR SERVICE CLASSIFICATION - HYDRO ONE CND - Non-RPP (Other)</v>
      </c>
      <c r="E63" s="84"/>
      <c r="F63" s="84"/>
      <c r="G63" s="85" t="str">
        <f t="shared" si="2"/>
        <v>kW</v>
      </c>
      <c r="H63" s="86">
        <f t="shared" si="4"/>
        <v>206.6921999999995</v>
      </c>
      <c r="I63" s="87">
        <f t="shared" si="5"/>
        <v>3.4812094167792393E-2</v>
      </c>
      <c r="J63" s="86">
        <f t="shared" si="6"/>
        <v>-7149.1202000000003</v>
      </c>
      <c r="K63" s="87">
        <f t="shared" si="7"/>
        <v>-0.71868250150223123</v>
      </c>
      <c r="L63" s="86">
        <f t="shared" si="8"/>
        <v>-7077.8203999999969</v>
      </c>
      <c r="M63" s="87">
        <f t="shared" si="9"/>
        <v>-0.28616786398894395</v>
      </c>
      <c r="N63" s="86">
        <f t="shared" si="10"/>
        <v>-7997.9370519999939</v>
      </c>
      <c r="O63" s="87">
        <f t="shared" si="11"/>
        <v>-4.2122172608880945E-2</v>
      </c>
    </row>
    <row r="64" spans="2:15" s="35" customFormat="1" ht="15" x14ac:dyDescent="0.2">
      <c r="B64" s="35" t="str">
        <f t="shared" si="3"/>
        <v>Non-RPP (Other)</v>
      </c>
      <c r="C64" s="42">
        <v>10</v>
      </c>
      <c r="D64" s="84" t="str">
        <f t="shared" si="1"/>
        <v>EMBEDDED DISTRIBUTOR SERVICE CLASSIFICATION - WATERLOO - Non-RPP (Other)</v>
      </c>
      <c r="E64" s="84"/>
      <c r="F64" s="84"/>
      <c r="G64" s="85" t="str">
        <f t="shared" si="2"/>
        <v>kW</v>
      </c>
      <c r="H64" s="86">
        <f t="shared" si="4"/>
        <v>515.84400000000096</v>
      </c>
      <c r="I64" s="87">
        <f t="shared" si="5"/>
        <v>3.5198494249788159E-2</v>
      </c>
      <c r="J64" s="86">
        <f t="shared" si="6"/>
        <v>1699.0560000000005</v>
      </c>
      <c r="K64" s="87">
        <f t="shared" si="7"/>
        <v>8.3667606989319188E-2</v>
      </c>
      <c r="L64" s="86">
        <f t="shared" si="8"/>
        <v>1928.4120000000112</v>
      </c>
      <c r="M64" s="87">
        <f t="shared" si="9"/>
        <v>2.8413658686659019E-2</v>
      </c>
      <c r="N64" s="86">
        <f t="shared" si="10"/>
        <v>2179.1055600000109</v>
      </c>
      <c r="O64" s="87">
        <f t="shared" si="11"/>
        <v>2.8413554023725699E-2</v>
      </c>
    </row>
    <row r="65" spans="1:15" s="35" customFormat="1" ht="15" x14ac:dyDescent="0.2">
      <c r="B65" s="35" t="str">
        <f t="shared" si="3"/>
        <v>Non-RPP (Other)</v>
      </c>
      <c r="C65" s="42">
        <v>11</v>
      </c>
      <c r="D65" s="84" t="str">
        <f t="shared" si="1"/>
        <v>EMBEDDED DISTRIBUTOR SERVICE CLASSIFICATION - BRANTFORD - Non-RPP (Other)</v>
      </c>
      <c r="E65" s="84"/>
      <c r="F65" s="84"/>
      <c r="G65" s="85" t="str">
        <f t="shared" si="2"/>
        <v>kW</v>
      </c>
      <c r="H65" s="86">
        <f t="shared" si="4"/>
        <v>9.6336000000000013</v>
      </c>
      <c r="I65" s="87">
        <f t="shared" si="5"/>
        <v>2.4999876734123815E-2</v>
      </c>
      <c r="J65" s="86">
        <f t="shared" si="6"/>
        <v>-239.9084</v>
      </c>
      <c r="K65" s="87">
        <f t="shared" si="7"/>
        <v>-0.50001854943424229</v>
      </c>
      <c r="L65" s="86">
        <f t="shared" si="8"/>
        <v>-238.35590000000008</v>
      </c>
      <c r="M65" s="87">
        <f t="shared" si="9"/>
        <v>-0.37538732760919241</v>
      </c>
      <c r="N65" s="86">
        <f t="shared" si="10"/>
        <v>-269.34216699999979</v>
      </c>
      <c r="O65" s="87">
        <f t="shared" si="11"/>
        <v>-4.0957219469021623E-2</v>
      </c>
    </row>
    <row r="66" spans="1:15" s="35" customFormat="1" ht="15" x14ac:dyDescent="0.2">
      <c r="B66" s="35" t="str">
        <f t="shared" si="3"/>
        <v>Non-RPP (Other)</v>
      </c>
      <c r="C66" s="42">
        <v>12</v>
      </c>
      <c r="D66" s="84" t="str">
        <f t="shared" si="1"/>
        <v>EMBEDDED DISTRIBUTOR SERVICE CLASSIFICATION - HYDRO ONE #1 - Non-RPP (Other)</v>
      </c>
      <c r="E66" s="84"/>
      <c r="F66" s="84"/>
      <c r="G66" s="85" t="str">
        <f t="shared" si="2"/>
        <v>kW</v>
      </c>
      <c r="H66" s="86">
        <f t="shared" si="4"/>
        <v>107.72599999999966</v>
      </c>
      <c r="I66" s="87">
        <f t="shared" si="5"/>
        <v>3.418295174227505E-2</v>
      </c>
      <c r="J66" s="86">
        <f t="shared" si="6"/>
        <v>-6874.5739999999996</v>
      </c>
      <c r="K66" s="87">
        <f t="shared" si="7"/>
        <v>-1.0095142518470483</v>
      </c>
      <c r="L66" s="86">
        <f t="shared" si="8"/>
        <v>-6740.0240000000013</v>
      </c>
      <c r="M66" s="87">
        <f t="shared" si="9"/>
        <v>-0.33272850023705591</v>
      </c>
      <c r="N66" s="86">
        <f t="shared" si="10"/>
        <v>-7616.2271199999959</v>
      </c>
      <c r="O66" s="87">
        <f t="shared" si="11"/>
        <v>-4.3469435781115617E-2</v>
      </c>
    </row>
    <row r="67" spans="1:15" s="35" customFormat="1" ht="15" x14ac:dyDescent="0.2">
      <c r="B67" s="35" t="str">
        <f t="shared" si="3"/>
        <v>Non-RPP (Other)</v>
      </c>
      <c r="C67" s="42">
        <v>13</v>
      </c>
      <c r="D67" s="84" t="str">
        <f t="shared" si="1"/>
        <v>EMBEDDED DISTRIBUTOR SERVICE CLASSIFICATION - HYDRO ONE #2 - Non-RPP (Other)</v>
      </c>
      <c r="E67" s="84"/>
      <c r="F67" s="84"/>
      <c r="G67" s="85" t="str">
        <f t="shared" si="2"/>
        <v>kW</v>
      </c>
      <c r="H67" s="86">
        <f t="shared" si="4"/>
        <v>2.6599999999999966</v>
      </c>
      <c r="I67" s="87">
        <f t="shared" si="5"/>
        <v>1.4090475685983667E-2</v>
      </c>
      <c r="J67" s="86">
        <f t="shared" si="6"/>
        <v>-11105.615</v>
      </c>
      <c r="K67" s="87">
        <f t="shared" si="7"/>
        <v>-1.9803253402520515</v>
      </c>
      <c r="L67" s="86">
        <f t="shared" si="8"/>
        <v>-11105.615</v>
      </c>
      <c r="M67" s="87">
        <f t="shared" si="9"/>
        <v>-1.9803253402520515</v>
      </c>
      <c r="N67" s="86">
        <f t="shared" si="10"/>
        <v>-12549.344949999999</v>
      </c>
      <c r="O67" s="87">
        <f t="shared" si="11"/>
        <v>-5.2397784015327582E-2</v>
      </c>
    </row>
    <row r="68" spans="1:15" s="35" customFormat="1" ht="15" x14ac:dyDescent="0.2">
      <c r="B68" s="35" t="str">
        <f t="shared" si="3"/>
        <v>RPP</v>
      </c>
      <c r="C68" s="42">
        <v>14</v>
      </c>
      <c r="D68" s="84" t="str">
        <f t="shared" si="1"/>
        <v>RESIDENTIAL SERVICE CLASSIFICATION - RPP</v>
      </c>
      <c r="E68" s="84"/>
      <c r="F68" s="84"/>
      <c r="G68" s="85" t="str">
        <f t="shared" si="2"/>
        <v>kWh</v>
      </c>
      <c r="H68" s="86">
        <f t="shared" si="4"/>
        <v>1.0599999999999987</v>
      </c>
      <c r="I68" s="87">
        <f t="shared" si="5"/>
        <v>3.4606594841658463E-2</v>
      </c>
      <c r="J68" s="86">
        <f t="shared" si="6"/>
        <v>1.705999999999996</v>
      </c>
      <c r="K68" s="87">
        <f t="shared" si="7"/>
        <v>5.2406738228131078E-2</v>
      </c>
      <c r="L68" s="86">
        <f t="shared" si="8"/>
        <v>1.7398069599999957</v>
      </c>
      <c r="M68" s="87">
        <f t="shared" si="9"/>
        <v>4.6703427064977182E-2</v>
      </c>
      <c r="N68" s="86">
        <f t="shared" si="10"/>
        <v>1.7624244504800117</v>
      </c>
      <c r="O68" s="87">
        <f t="shared" si="11"/>
        <v>2.5108372572962976E-2</v>
      </c>
    </row>
    <row r="69" spans="1:15" s="35" customFormat="1" ht="15" x14ac:dyDescent="0.2">
      <c r="B69" s="35" t="str">
        <f t="shared" si="3"/>
        <v>Non-RPP (Retailer)</v>
      </c>
      <c r="C69" s="42">
        <v>15</v>
      </c>
      <c r="D69" s="84" t="str">
        <f t="shared" si="1"/>
        <v>GENERAL SERVICE LESS THAN 50 KW SERVICE CLASSIFICATION - Non-RPP (Retailer)</v>
      </c>
      <c r="E69" s="84"/>
      <c r="F69" s="84"/>
      <c r="G69" s="85" t="str">
        <f t="shared" si="2"/>
        <v>kWh</v>
      </c>
      <c r="H69" s="86">
        <f t="shared" si="4"/>
        <v>12.569999999999993</v>
      </c>
      <c r="I69" s="87">
        <f t="shared" si="5"/>
        <v>3.4941902485128129E-2</v>
      </c>
      <c r="J69" s="86">
        <f t="shared" si="6"/>
        <v>-259.44000000000005</v>
      </c>
      <c r="K69" s="87">
        <f t="shared" si="7"/>
        <v>-0.6116415588089682</v>
      </c>
      <c r="L69" s="86">
        <f t="shared" si="8"/>
        <v>-257.37860000000001</v>
      </c>
      <c r="M69" s="87">
        <f t="shared" si="9"/>
        <v>-0.37861843092419412</v>
      </c>
      <c r="N69" s="86">
        <f t="shared" si="10"/>
        <v>-290.83781799999997</v>
      </c>
      <c r="O69" s="87">
        <f t="shared" si="11"/>
        <v>-9.3471487010232598E-2</v>
      </c>
    </row>
    <row r="70" spans="1:15" s="35" customFormat="1" ht="15" x14ac:dyDescent="0.2">
      <c r="B70" s="35" t="str">
        <f t="shared" si="3"/>
        <v>Non-RPP (Other)</v>
      </c>
      <c r="C70" s="42">
        <v>16</v>
      </c>
      <c r="D70" s="84" t="str">
        <f t="shared" si="1"/>
        <v>EMBEDDED DISTRIBUTOR SERVICE CLASSIFICATION - WATERLOO - Non-RPP (Other)</v>
      </c>
      <c r="E70" s="84"/>
      <c r="F70" s="84"/>
      <c r="G70" s="85" t="str">
        <f>IF(ISBLANK(G45), "", G45)</f>
        <v>kW</v>
      </c>
      <c r="H70" s="86">
        <f t="shared" si="4"/>
        <v>515.84400000000096</v>
      </c>
      <c r="I70" s="87">
        <f t="shared" si="5"/>
        <v>3.5198494249788159E-2</v>
      </c>
      <c r="J70" s="86">
        <f t="shared" si="6"/>
        <v>1699.0560000000005</v>
      </c>
      <c r="K70" s="87">
        <f t="shared" si="7"/>
        <v>8.3667606989319188E-2</v>
      </c>
      <c r="L70" s="86">
        <f t="shared" si="8"/>
        <v>1928.4120000000112</v>
      </c>
      <c r="M70" s="87">
        <f t="shared" si="9"/>
        <v>2.8413658686659019E-2</v>
      </c>
      <c r="N70" s="86">
        <f t="shared" si="10"/>
        <v>2179.1055599999381</v>
      </c>
      <c r="O70" s="87">
        <f t="shared" si="11"/>
        <v>3.1478537254512433E-3</v>
      </c>
    </row>
    <row r="71" spans="1:15" s="35" customFormat="1" ht="15" x14ac:dyDescent="0.2">
      <c r="B71" s="35">
        <f t="shared" si="3"/>
        <v>0</v>
      </c>
      <c r="C71" s="42">
        <v>17</v>
      </c>
      <c r="D71" s="84" t="str">
        <f t="shared" si="1"/>
        <v/>
      </c>
      <c r="E71" s="84"/>
      <c r="F71" s="84"/>
      <c r="G71" s="85" t="str">
        <f>IF(ISBLANK(G46), "", G46)</f>
        <v/>
      </c>
      <c r="H71" s="86" t="str">
        <f t="shared" si="4"/>
        <v/>
      </c>
      <c r="I71" s="87" t="str">
        <f t="shared" si="5"/>
        <v/>
      </c>
      <c r="J71" s="86" t="str">
        <f t="shared" si="6"/>
        <v/>
      </c>
      <c r="K71" s="87" t="str">
        <f t="shared" si="7"/>
        <v/>
      </c>
      <c r="L71" s="86" t="str">
        <f t="shared" si="8"/>
        <v/>
      </c>
      <c r="M71" s="87" t="str">
        <f t="shared" si="9"/>
        <v/>
      </c>
      <c r="N71" s="86" t="str">
        <f t="shared" si="10"/>
        <v/>
      </c>
      <c r="O71" s="87" t="str">
        <f t="shared" si="11"/>
        <v/>
      </c>
    </row>
    <row r="72" spans="1:15" s="35" customFormat="1" ht="15" x14ac:dyDescent="0.2">
      <c r="B72" s="35">
        <f t="shared" si="3"/>
        <v>0</v>
      </c>
      <c r="C72" s="42">
        <v>18</v>
      </c>
      <c r="D72" s="84" t="str">
        <f t="shared" si="1"/>
        <v/>
      </c>
      <c r="E72" s="84"/>
      <c r="F72" s="84"/>
      <c r="G72" s="85" t="str">
        <f>IF(ISBLANK(G47), "", G47)</f>
        <v/>
      </c>
      <c r="H72" s="86" t="str">
        <f t="shared" si="4"/>
        <v/>
      </c>
      <c r="I72" s="87" t="str">
        <f t="shared" si="5"/>
        <v/>
      </c>
      <c r="J72" s="86" t="str">
        <f t="shared" si="6"/>
        <v/>
      </c>
      <c r="K72" s="87" t="str">
        <f t="shared" si="7"/>
        <v/>
      </c>
      <c r="L72" s="86" t="str">
        <f t="shared" si="8"/>
        <v/>
      </c>
      <c r="M72" s="87" t="str">
        <f t="shared" si="9"/>
        <v/>
      </c>
      <c r="N72" s="86" t="str">
        <f t="shared" si="10"/>
        <v/>
      </c>
      <c r="O72" s="87" t="str">
        <f t="shared" si="11"/>
        <v/>
      </c>
    </row>
    <row r="73" spans="1:15" s="35" customFormat="1" ht="15" x14ac:dyDescent="0.2">
      <c r="B73" s="35">
        <f t="shared" si="3"/>
        <v>0</v>
      </c>
      <c r="C73" s="42">
        <v>19</v>
      </c>
      <c r="D73" s="84" t="str">
        <f t="shared" si="1"/>
        <v/>
      </c>
      <c r="E73" s="84"/>
      <c r="F73" s="84"/>
      <c r="G73" s="85" t="str">
        <f>IF(ISBLANK(G48), "", G48)</f>
        <v/>
      </c>
      <c r="H73" s="86" t="str">
        <f t="shared" si="4"/>
        <v/>
      </c>
      <c r="I73" s="87" t="str">
        <f t="shared" si="5"/>
        <v/>
      </c>
      <c r="J73" s="86" t="str">
        <f t="shared" si="6"/>
        <v/>
      </c>
      <c r="K73" s="87" t="str">
        <f t="shared" si="7"/>
        <v/>
      </c>
      <c r="L73" s="86" t="str">
        <f t="shared" si="8"/>
        <v/>
      </c>
      <c r="M73" s="87" t="str">
        <f t="shared" si="9"/>
        <v/>
      </c>
      <c r="N73" s="86" t="str">
        <f t="shared" si="10"/>
        <v/>
      </c>
      <c r="O73" s="87" t="str">
        <f t="shared" si="11"/>
        <v/>
      </c>
    </row>
    <row r="74" spans="1:15" s="35" customFormat="1" ht="15" x14ac:dyDescent="0.2">
      <c r="B74" s="35">
        <f t="shared" si="3"/>
        <v>0</v>
      </c>
      <c r="C74" s="42">
        <v>20</v>
      </c>
      <c r="D74" s="84" t="str">
        <f t="shared" si="1"/>
        <v/>
      </c>
      <c r="E74" s="84"/>
      <c r="F74" s="84"/>
      <c r="G74" s="85" t="str">
        <f>IF(ISBLANK(G49), "", G49)</f>
        <v/>
      </c>
      <c r="H74" s="86" t="str">
        <f t="shared" si="4"/>
        <v/>
      </c>
      <c r="I74" s="87" t="str">
        <f t="shared" si="5"/>
        <v/>
      </c>
      <c r="J74" s="86" t="str">
        <f t="shared" si="6"/>
        <v/>
      </c>
      <c r="K74" s="87" t="str">
        <f t="shared" si="7"/>
        <v/>
      </c>
      <c r="L74" s="86" t="str">
        <f t="shared" si="8"/>
        <v/>
      </c>
      <c r="M74" s="87" t="str">
        <f t="shared" si="9"/>
        <v/>
      </c>
      <c r="N74" s="86" t="str">
        <f t="shared" si="10"/>
        <v/>
      </c>
      <c r="O74" s="87" t="str">
        <f t="shared" si="11"/>
        <v/>
      </c>
    </row>
    <row r="75" spans="1:15" s="35" customFormat="1" x14ac:dyDescent="0.2">
      <c r="C75" s="42"/>
    </row>
    <row r="76" spans="1:15" ht="5.25" customHeight="1" x14ac:dyDescent="0.2">
      <c r="A76" s="88"/>
      <c r="B76" s="88"/>
      <c r="C76" s="89"/>
      <c r="D76" s="88"/>
      <c r="E76" s="88"/>
      <c r="F76" s="88"/>
      <c r="G76" s="88"/>
      <c r="H76" s="88"/>
      <c r="I76" s="88"/>
      <c r="J76" s="88"/>
      <c r="K76" s="88"/>
      <c r="L76" s="88"/>
      <c r="M76" s="88"/>
      <c r="N76" s="88"/>
      <c r="O76" s="88"/>
    </row>
    <row r="77" spans="1:15" s="35" customFormat="1" x14ac:dyDescent="0.2">
      <c r="C77" s="42"/>
    </row>
    <row r="78" spans="1:15" x14ac:dyDescent="0.2">
      <c r="C78" s="46"/>
      <c r="D78" s="90" t="s">
        <v>150</v>
      </c>
      <c r="E78" s="91" t="str">
        <f>D30</f>
        <v>RESIDENTIAL SERVICE CLASSIFICATION</v>
      </c>
      <c r="F78" s="91"/>
      <c r="G78" s="91"/>
      <c r="H78" s="91"/>
      <c r="I78" s="91"/>
      <c r="J78" s="91"/>
      <c r="K78" s="46" t="str">
        <f>IF(N30="DEMAND - INTERVAL","RTSR - INTERVAL METERED","")</f>
        <v/>
      </c>
    </row>
    <row r="79" spans="1:15" x14ac:dyDescent="0.2">
      <c r="C79" s="46"/>
      <c r="D79" s="90" t="s">
        <v>151</v>
      </c>
      <c r="E79" s="92" t="str">
        <f>H30</f>
        <v>RPP</v>
      </c>
      <c r="F79" s="92"/>
      <c r="G79" s="92"/>
      <c r="H79" s="93"/>
      <c r="I79" s="93"/>
    </row>
    <row r="80" spans="1:15" ht="15.75" x14ac:dyDescent="0.2">
      <c r="C80" s="46"/>
      <c r="D80" s="90" t="s">
        <v>152</v>
      </c>
      <c r="E80" s="94">
        <f>K30</f>
        <v>750</v>
      </c>
      <c r="F80" s="95" t="s">
        <v>153</v>
      </c>
      <c r="J80" s="96"/>
      <c r="K80" s="96"/>
      <c r="L80" s="96"/>
      <c r="M80" s="96"/>
      <c r="N80" s="96"/>
    </row>
    <row r="81" spans="1:13" ht="15.75" x14ac:dyDescent="0.25">
      <c r="C81" s="46"/>
      <c r="D81" s="90" t="s">
        <v>154</v>
      </c>
      <c r="E81" s="94">
        <f>L30</f>
        <v>0</v>
      </c>
      <c r="F81" s="97" t="s">
        <v>155</v>
      </c>
      <c r="G81" s="98"/>
      <c r="H81" s="99"/>
      <c r="I81" s="99"/>
      <c r="J81" s="99"/>
    </row>
    <row r="82" spans="1:13" x14ac:dyDescent="0.2">
      <c r="C82" s="46"/>
      <c r="D82" s="90" t="s">
        <v>156</v>
      </c>
      <c r="E82" s="100">
        <f>I30</f>
        <v>1.0306999999999999</v>
      </c>
    </row>
    <row r="83" spans="1:13" x14ac:dyDescent="0.2">
      <c r="C83" s="46"/>
      <c r="D83" s="90" t="s">
        <v>157</v>
      </c>
      <c r="E83" s="100">
        <f>J30</f>
        <v>1.0306999999999999</v>
      </c>
    </row>
    <row r="84" spans="1:13" x14ac:dyDescent="0.2">
      <c r="C84" s="46"/>
    </row>
    <row r="85" spans="1:13" x14ac:dyDescent="0.2">
      <c r="C85" s="46"/>
      <c r="E85" s="95"/>
      <c r="F85" s="101" t="s">
        <v>204</v>
      </c>
      <c r="G85" s="102"/>
      <c r="H85" s="103"/>
      <c r="I85" s="101" t="s">
        <v>205</v>
      </c>
      <c r="J85" s="102"/>
      <c r="K85" s="103"/>
      <c r="L85" s="101" t="s">
        <v>158</v>
      </c>
      <c r="M85" s="103"/>
    </row>
    <row r="86" spans="1:13" x14ac:dyDescent="0.2">
      <c r="C86" s="46"/>
      <c r="E86" s="104"/>
      <c r="F86" s="105" t="s">
        <v>159</v>
      </c>
      <c r="G86" s="105" t="s">
        <v>160</v>
      </c>
      <c r="H86" s="106" t="s">
        <v>161</v>
      </c>
      <c r="I86" s="105" t="s">
        <v>159</v>
      </c>
      <c r="J86" s="107" t="s">
        <v>160</v>
      </c>
      <c r="K86" s="106" t="s">
        <v>161</v>
      </c>
      <c r="L86" s="108" t="s">
        <v>162</v>
      </c>
      <c r="M86" s="109" t="s">
        <v>163</v>
      </c>
    </row>
    <row r="87" spans="1:13" x14ac:dyDescent="0.2">
      <c r="C87" s="46"/>
      <c r="E87" s="110"/>
      <c r="F87" s="111" t="s">
        <v>164</v>
      </c>
      <c r="G87" s="111"/>
      <c r="H87" s="112" t="s">
        <v>164</v>
      </c>
      <c r="I87" s="111" t="s">
        <v>164</v>
      </c>
      <c r="J87" s="112"/>
      <c r="K87" s="112" t="s">
        <v>164</v>
      </c>
      <c r="L87" s="113"/>
      <c r="M87" s="114"/>
    </row>
    <row r="88" spans="1:13" x14ac:dyDescent="0.2">
      <c r="A88" s="46" t="str">
        <f>$E78</f>
        <v>RESIDENTIAL SERVICE CLASSIFICATION</v>
      </c>
      <c r="C88" s="115"/>
      <c r="D88" s="116" t="s">
        <v>165</v>
      </c>
      <c r="E88" s="117"/>
      <c r="F88" s="118">
        <v>29.78</v>
      </c>
      <c r="G88" s="119">
        <v>1</v>
      </c>
      <c r="H88" s="120">
        <f>G88*F88</f>
        <v>29.78</v>
      </c>
      <c r="I88" s="121">
        <f>'Proposed Tariff'!D23</f>
        <v>30.84</v>
      </c>
      <c r="J88" s="122">
        <f>G88</f>
        <v>1</v>
      </c>
      <c r="K88" s="123">
        <f>J88*I88</f>
        <v>30.84</v>
      </c>
      <c r="L88" s="124">
        <f t="shared" ref="L88:L109" si="12">K88-H88</f>
        <v>1.0599999999999987</v>
      </c>
      <c r="M88" s="125">
        <f>IF(ISERROR(L88/H88), "", L88/H88)</f>
        <v>3.5594358629952944E-2</v>
      </c>
    </row>
    <row r="89" spans="1:13" x14ac:dyDescent="0.2">
      <c r="A89" s="46" t="str">
        <f>A88</f>
        <v>RESIDENTIAL SERVICE CLASSIFICATION</v>
      </c>
      <c r="C89" s="115"/>
      <c r="D89" s="116" t="s">
        <v>30</v>
      </c>
      <c r="E89" s="117"/>
      <c r="F89" s="126">
        <v>0</v>
      </c>
      <c r="G89" s="119">
        <f>IF($E81&gt;0, $E81, $E80)</f>
        <v>750</v>
      </c>
      <c r="H89" s="120">
        <f t="shared" ref="H89:H101" si="13">G89*F89</f>
        <v>0</v>
      </c>
      <c r="I89" s="127">
        <v>0</v>
      </c>
      <c r="J89" s="122">
        <f>IF($E81&gt;0, $E81, $E80)</f>
        <v>750</v>
      </c>
      <c r="K89" s="123">
        <f>J89*I89</f>
        <v>0</v>
      </c>
      <c r="L89" s="124">
        <f t="shared" si="12"/>
        <v>0</v>
      </c>
      <c r="M89" s="125" t="str">
        <f t="shared" ref="M89:M99" si="14">IF(ISERROR(L89/H89), "", L89/H89)</f>
        <v/>
      </c>
    </row>
    <row r="90" spans="1:13" hidden="1" x14ac:dyDescent="0.2">
      <c r="A90" s="46" t="str">
        <f t="shared" ref="A90:A131" si="15">A89</f>
        <v>RESIDENTIAL SERVICE CLASSIFICATION</v>
      </c>
      <c r="C90" s="115"/>
      <c r="D90" s="116" t="s">
        <v>166</v>
      </c>
      <c r="E90" s="117"/>
      <c r="F90" s="126"/>
      <c r="G90" s="119">
        <f>IF($E81&gt;0, $E81, $E80)</f>
        <v>750</v>
      </c>
      <c r="H90" s="120">
        <v>0</v>
      </c>
      <c r="I90" s="127"/>
      <c r="J90" s="122">
        <f>IF($E81&gt;0, $E81, $E80)</f>
        <v>750</v>
      </c>
      <c r="K90" s="123">
        <v>0</v>
      </c>
      <c r="L90" s="124"/>
      <c r="M90" s="125"/>
    </row>
    <row r="91" spans="1:13" hidden="1" x14ac:dyDescent="0.2">
      <c r="A91" s="46" t="str">
        <f t="shared" si="15"/>
        <v>RESIDENTIAL SERVICE CLASSIFICATION</v>
      </c>
      <c r="C91" s="115"/>
      <c r="D91" s="116" t="s">
        <v>167</v>
      </c>
      <c r="E91" s="117"/>
      <c r="F91" s="126"/>
      <c r="G91" s="119">
        <f>IF($E81&gt;0, $E81, $E80)</f>
        <v>750</v>
      </c>
      <c r="H91" s="120">
        <v>0</v>
      </c>
      <c r="I91" s="127"/>
      <c r="J91" s="128">
        <f>IF($E81&gt;0, $E81, $E80)</f>
        <v>750</v>
      </c>
      <c r="K91" s="123">
        <v>0</v>
      </c>
      <c r="L91" s="124">
        <f>K91-H91</f>
        <v>0</v>
      </c>
      <c r="M91" s="125" t="str">
        <f>IF(ISERROR(L91/H91), "", L91/H91)</f>
        <v/>
      </c>
    </row>
    <row r="92" spans="1:13" x14ac:dyDescent="0.2">
      <c r="A92" s="46" t="str">
        <f t="shared" si="15"/>
        <v>RESIDENTIAL SERVICE CLASSIFICATION</v>
      </c>
      <c r="C92" s="115"/>
      <c r="D92" s="116" t="s">
        <v>168</v>
      </c>
      <c r="E92" s="117"/>
      <c r="F92" s="118">
        <v>0.85000000000000009</v>
      </c>
      <c r="G92" s="119">
        <v>1</v>
      </c>
      <c r="H92" s="120">
        <f t="shared" si="13"/>
        <v>0.85000000000000009</v>
      </c>
      <c r="I92" s="121">
        <f>'Proposed Tariff'!D24+'Proposed Tariff'!D25</f>
        <v>0.85000000000000009</v>
      </c>
      <c r="J92" s="122">
        <f>G92</f>
        <v>1</v>
      </c>
      <c r="K92" s="123">
        <f t="shared" ref="K92:K99" si="16">J92*I92</f>
        <v>0.85000000000000009</v>
      </c>
      <c r="L92" s="124">
        <f t="shared" si="12"/>
        <v>0</v>
      </c>
      <c r="M92" s="125">
        <f t="shared" si="14"/>
        <v>0</v>
      </c>
    </row>
    <row r="93" spans="1:13" x14ac:dyDescent="0.2">
      <c r="A93" s="46" t="str">
        <f t="shared" si="15"/>
        <v>RESIDENTIAL SERVICE CLASSIFICATION</v>
      </c>
      <c r="C93" s="115"/>
      <c r="D93" s="116" t="s">
        <v>169</v>
      </c>
      <c r="E93" s="117"/>
      <c r="F93" s="126">
        <v>0</v>
      </c>
      <c r="G93" s="119">
        <f>IF($E81&gt;0, $E81, $E80)</f>
        <v>750</v>
      </c>
      <c r="H93" s="120">
        <f t="shared" si="13"/>
        <v>0</v>
      </c>
      <c r="I93" s="127">
        <v>0</v>
      </c>
      <c r="J93" s="122">
        <f>IF($E81&gt;0, $E81, $E80)</f>
        <v>750</v>
      </c>
      <c r="K93" s="123">
        <f t="shared" si="16"/>
        <v>0</v>
      </c>
      <c r="L93" s="124">
        <f t="shared" si="12"/>
        <v>0</v>
      </c>
      <c r="M93" s="125" t="str">
        <f t="shared" si="14"/>
        <v/>
      </c>
    </row>
    <row r="94" spans="1:13" x14ac:dyDescent="0.2">
      <c r="A94" s="46" t="str">
        <f t="shared" si="15"/>
        <v>RESIDENTIAL SERVICE CLASSIFICATION</v>
      </c>
      <c r="B94" s="46" t="s">
        <v>170</v>
      </c>
      <c r="C94" s="115">
        <f>B30</f>
        <v>1</v>
      </c>
      <c r="D94" s="129" t="s">
        <v>171</v>
      </c>
      <c r="E94" s="130"/>
      <c r="F94" s="131"/>
      <c r="G94" s="132"/>
      <c r="H94" s="133">
        <f>SUM(H88:H93)</f>
        <v>30.630000000000003</v>
      </c>
      <c r="I94" s="134"/>
      <c r="J94" s="135"/>
      <c r="K94" s="133">
        <f>SUM(K88:K93)</f>
        <v>31.69</v>
      </c>
      <c r="L94" s="136">
        <f t="shared" si="12"/>
        <v>1.0599999999999987</v>
      </c>
      <c r="M94" s="137">
        <f>IF((H94)=0,"",(L94/H94))</f>
        <v>3.4606594841658463E-2</v>
      </c>
    </row>
    <row r="95" spans="1:13" x14ac:dyDescent="0.2">
      <c r="A95" s="46" t="str">
        <f t="shared" si="15"/>
        <v>RESIDENTIAL SERVICE CLASSIFICATION</v>
      </c>
      <c r="C95" s="115"/>
      <c r="D95" s="138" t="s">
        <v>172</v>
      </c>
      <c r="E95" s="117"/>
      <c r="F95" s="126">
        <f>IF((E80*12&gt;=150000), 0, IF(E79="RPP",(F111*0.64+F112*0.18+F113*0.18),IF(E79="Non-RPP (Retailer)",F114,F115)))</f>
        <v>9.2899999999999996E-2</v>
      </c>
      <c r="G95" s="139">
        <f>IF(F95=0, 0, $E80*E82-E80)</f>
        <v>23.024999999999977</v>
      </c>
      <c r="H95" s="120">
        <f>G95*F95</f>
        <v>2.1390224999999976</v>
      </c>
      <c r="I95" s="127">
        <f>IF((E80*12&gt;=150000), 0, IF(E79="RPP",(I111*0.64+I112*0.18+I113*0.18),IF(E79="Non-RPP (Retailer)",I114,I115)))</f>
        <v>9.2899999999999996E-2</v>
      </c>
      <c r="J95" s="140">
        <f>IF(I95=0, 0, E80*E83-E80)</f>
        <v>23.024999999999977</v>
      </c>
      <c r="K95" s="123">
        <f>J95*I95</f>
        <v>2.1390224999999976</v>
      </c>
      <c r="L95" s="124">
        <f>K95-H95</f>
        <v>0</v>
      </c>
      <c r="M95" s="125">
        <f>IF(ISERROR(L95/H95), "", L95/H95)</f>
        <v>0</v>
      </c>
    </row>
    <row r="96" spans="1:13" ht="25.5" x14ac:dyDescent="0.2">
      <c r="A96" s="46" t="str">
        <f t="shared" si="15"/>
        <v>RESIDENTIAL SERVICE CLASSIFICATION</v>
      </c>
      <c r="C96" s="115"/>
      <c r="D96" s="138" t="s">
        <v>173</v>
      </c>
      <c r="E96" s="117"/>
      <c r="F96" s="126">
        <v>1.4E-3</v>
      </c>
      <c r="G96" s="141">
        <f>IF($E81&gt;0, $E81, $E80)</f>
        <v>750</v>
      </c>
      <c r="H96" s="120">
        <f t="shared" si="13"/>
        <v>1.05</v>
      </c>
      <c r="I96" s="127">
        <f>'Proposed Tariff'!D31+'Proposed Tariff'!D29</f>
        <v>3.4000000000000002E-3</v>
      </c>
      <c r="J96" s="142">
        <f>IF($E81&gt;0, $E81, $E80)</f>
        <v>750</v>
      </c>
      <c r="K96" s="123">
        <f t="shared" si="16"/>
        <v>2.5500000000000003</v>
      </c>
      <c r="L96" s="124">
        <f t="shared" si="12"/>
        <v>1.5000000000000002</v>
      </c>
      <c r="M96" s="125">
        <f t="shared" si="14"/>
        <v>1.4285714285714288</v>
      </c>
    </row>
    <row r="97" spans="1:14" x14ac:dyDescent="0.2">
      <c r="A97" s="46" t="str">
        <f t="shared" si="15"/>
        <v>RESIDENTIAL SERVICE CLASSIFICATION</v>
      </c>
      <c r="C97" s="115"/>
      <c r="D97" s="138" t="s">
        <v>174</v>
      </c>
      <c r="E97" s="117"/>
      <c r="F97" s="126">
        <v>0</v>
      </c>
      <c r="G97" s="141">
        <f>IF($E81&gt;0, $E81, $E80)</f>
        <v>750</v>
      </c>
      <c r="H97" s="120">
        <f>G97*F97</f>
        <v>0</v>
      </c>
      <c r="I97" s="127">
        <f>'Proposed Tariff'!D30</f>
        <v>-1E-4</v>
      </c>
      <c r="J97" s="142">
        <f>IF($E81&gt;0, $E81, $E80)</f>
        <v>750</v>
      </c>
      <c r="K97" s="123">
        <f>J97*I97</f>
        <v>-7.4999999999999997E-2</v>
      </c>
      <c r="L97" s="124">
        <f t="shared" si="12"/>
        <v>-7.4999999999999997E-2</v>
      </c>
      <c r="M97" s="125" t="str">
        <f t="shared" si="14"/>
        <v/>
      </c>
    </row>
    <row r="98" spans="1:14" x14ac:dyDescent="0.2">
      <c r="A98" s="46" t="str">
        <f t="shared" si="15"/>
        <v>RESIDENTIAL SERVICE CLASSIFICATION</v>
      </c>
      <c r="C98" s="115"/>
      <c r="D98" s="138" t="s">
        <v>175</v>
      </c>
      <c r="E98" s="117"/>
      <c r="F98" s="126">
        <v>0</v>
      </c>
      <c r="G98" s="141">
        <f>E80</f>
        <v>750</v>
      </c>
      <c r="H98" s="120">
        <f>G98*F98</f>
        <v>0</v>
      </c>
      <c r="I98" s="127"/>
      <c r="J98" s="142">
        <f>E80</f>
        <v>750</v>
      </c>
      <c r="K98" s="123">
        <f t="shared" si="16"/>
        <v>0</v>
      </c>
      <c r="L98" s="124">
        <f t="shared" si="12"/>
        <v>0</v>
      </c>
      <c r="M98" s="125" t="str">
        <f t="shared" si="14"/>
        <v/>
      </c>
    </row>
    <row r="99" spans="1:14" x14ac:dyDescent="0.2">
      <c r="A99" s="46" t="str">
        <f t="shared" si="15"/>
        <v>RESIDENTIAL SERVICE CLASSIFICATION</v>
      </c>
      <c r="C99" s="115"/>
      <c r="D99" s="116" t="s">
        <v>176</v>
      </c>
      <c r="E99" s="117"/>
      <c r="F99" s="126">
        <v>2.9999999999999997E-4</v>
      </c>
      <c r="G99" s="141">
        <f>IF($E81&gt;0, $E81, $E80)</f>
        <v>750</v>
      </c>
      <c r="H99" s="120">
        <f t="shared" si="13"/>
        <v>0.22499999999999998</v>
      </c>
      <c r="I99" s="127">
        <v>2.9999999999999997E-4</v>
      </c>
      <c r="J99" s="142">
        <f>IF($E81&gt;0, $E81, $E80)</f>
        <v>750</v>
      </c>
      <c r="K99" s="123">
        <f t="shared" si="16"/>
        <v>0.22499999999999998</v>
      </c>
      <c r="L99" s="124">
        <f t="shared" si="12"/>
        <v>0</v>
      </c>
      <c r="M99" s="125">
        <f t="shared" si="14"/>
        <v>0</v>
      </c>
    </row>
    <row r="100" spans="1:14" ht="25.5" x14ac:dyDescent="0.2">
      <c r="A100" s="46" t="str">
        <f t="shared" si="15"/>
        <v>RESIDENTIAL SERVICE CLASSIFICATION</v>
      </c>
      <c r="C100" s="115"/>
      <c r="D100" s="138" t="s">
        <v>177</v>
      </c>
      <c r="E100" s="117"/>
      <c r="F100" s="143">
        <f>IF(OR(ISNUMBER(SEARCH("RESIDENTIAL", E78))=TRUE, ISNUMBER(SEARCH("GENERAL SERVICE LESS THAN 50", E78))=TRUE), 0.43, 0)</f>
        <v>0.43</v>
      </c>
      <c r="G100" s="119">
        <v>1</v>
      </c>
      <c r="H100" s="120">
        <f>G100*F100</f>
        <v>0.43</v>
      </c>
      <c r="I100" s="144">
        <f>IF(OR(ISNUMBER(SEARCH("RESIDENTIAL", E78))=TRUE, ISNUMBER(SEARCH("GENERAL SERVICE LESS THAN 50", E78))=TRUE), SME, 0)</f>
        <v>0.42</v>
      </c>
      <c r="J100" s="128">
        <v>1</v>
      </c>
      <c r="K100" s="123">
        <f>J100*I100</f>
        <v>0.42</v>
      </c>
      <c r="L100" s="124">
        <f t="shared" si="12"/>
        <v>-1.0000000000000009E-2</v>
      </c>
      <c r="M100" s="125">
        <f>IF(ISERROR(L100/H100), "", L100/H100)</f>
        <v>-2.3255813953488393E-2</v>
      </c>
    </row>
    <row r="101" spans="1:14" x14ac:dyDescent="0.2">
      <c r="A101" s="46" t="str">
        <f t="shared" si="15"/>
        <v>RESIDENTIAL SERVICE CLASSIFICATION</v>
      </c>
      <c r="C101" s="115"/>
      <c r="D101" s="116" t="s">
        <v>178</v>
      </c>
      <c r="E101" s="117"/>
      <c r="F101" s="118">
        <v>0</v>
      </c>
      <c r="G101" s="119">
        <v>1</v>
      </c>
      <c r="H101" s="120">
        <f t="shared" si="13"/>
        <v>0</v>
      </c>
      <c r="I101" s="121">
        <v>0</v>
      </c>
      <c r="J101" s="128">
        <v>1</v>
      </c>
      <c r="K101" s="123">
        <f>J101*I101</f>
        <v>0</v>
      </c>
      <c r="L101" s="124">
        <f>K101-H101</f>
        <v>0</v>
      </c>
      <c r="M101" s="125" t="str">
        <f>IF(ISERROR(L101/H101), "", L101/H101)</f>
        <v/>
      </c>
    </row>
    <row r="102" spans="1:14" x14ac:dyDescent="0.2">
      <c r="A102" s="46" t="str">
        <f t="shared" si="15"/>
        <v>RESIDENTIAL SERVICE CLASSIFICATION</v>
      </c>
      <c r="C102" s="115"/>
      <c r="D102" s="116" t="s">
        <v>179</v>
      </c>
      <c r="E102" s="117"/>
      <c r="F102" s="126">
        <v>0</v>
      </c>
      <c r="G102" s="141">
        <f>IF($E81&gt;0, $E81, $E80)</f>
        <v>750</v>
      </c>
      <c r="H102" s="120">
        <f>G102*F102</f>
        <v>0</v>
      </c>
      <c r="I102" s="127">
        <v>0</v>
      </c>
      <c r="J102" s="142">
        <f>IF($E81&gt;0, $E81, $E80)</f>
        <v>750</v>
      </c>
      <c r="K102" s="123">
        <f>J102*I102</f>
        <v>0</v>
      </c>
      <c r="L102" s="124">
        <f t="shared" si="12"/>
        <v>0</v>
      </c>
      <c r="M102" s="125" t="str">
        <f>IF(ISERROR(L102/H102), "", L102/H102)</f>
        <v/>
      </c>
    </row>
    <row r="103" spans="1:14" ht="25.5" x14ac:dyDescent="0.2">
      <c r="A103" s="46" t="str">
        <f t="shared" si="15"/>
        <v>RESIDENTIAL SERVICE CLASSIFICATION</v>
      </c>
      <c r="B103" s="46" t="s">
        <v>180</v>
      </c>
      <c r="C103" s="115">
        <f>B30</f>
        <v>1</v>
      </c>
      <c r="D103" s="145" t="s">
        <v>181</v>
      </c>
      <c r="E103" s="146"/>
      <c r="F103" s="147"/>
      <c r="G103" s="148"/>
      <c r="H103" s="149">
        <f>SUM(H94:H102)</f>
        <v>34.474022499999997</v>
      </c>
      <c r="I103" s="150"/>
      <c r="J103" s="151"/>
      <c r="K103" s="149">
        <f>SUM(K94:K102)</f>
        <v>36.949022499999998</v>
      </c>
      <c r="L103" s="136">
        <f t="shared" si="12"/>
        <v>2.4750000000000014</v>
      </c>
      <c r="M103" s="137">
        <f>IF((H103)=0,"",(L103/H103))</f>
        <v>7.1793188624855189E-2</v>
      </c>
    </row>
    <row r="104" spans="1:14" x14ac:dyDescent="0.2">
      <c r="A104" s="46" t="str">
        <f t="shared" si="15"/>
        <v>RESIDENTIAL SERVICE CLASSIFICATION</v>
      </c>
      <c r="C104" s="115"/>
      <c r="D104" s="152" t="s">
        <v>182</v>
      </c>
      <c r="E104" s="117"/>
      <c r="F104" s="126">
        <v>8.6999999999999994E-3</v>
      </c>
      <c r="G104" s="139">
        <f>IF($E81&gt;0, $E81, $E80*$E82)</f>
        <v>773.02499999999998</v>
      </c>
      <c r="H104" s="120">
        <f>G104*F104</f>
        <v>6.7253174999999992</v>
      </c>
      <c r="I104" s="153">
        <v>8.9999999999999993E-3</v>
      </c>
      <c r="J104" s="140">
        <f>IF($E81&gt;0, $E81, $E80*$E83)</f>
        <v>773.02499999999998</v>
      </c>
      <c r="K104" s="123">
        <f>J104*I104</f>
        <v>6.9572249999999993</v>
      </c>
      <c r="L104" s="124">
        <f t="shared" si="12"/>
        <v>0.23190750000000016</v>
      </c>
      <c r="M104" s="125">
        <f>IF(ISERROR(L104/H104), "", L104/H104)</f>
        <v>3.4482758620689682E-2</v>
      </c>
      <c r="N104" s="154" t="str">
        <f>IF(ISERROR(ABS(M104)), "", IF(ABS(M104)&gt;=4%, "In the manager's summary, discuss the reasoning for the change in RTSR rates", ""))</f>
        <v/>
      </c>
    </row>
    <row r="105" spans="1:14" ht="25.5" x14ac:dyDescent="0.2">
      <c r="A105" s="46" t="str">
        <f t="shared" si="15"/>
        <v>RESIDENTIAL SERVICE CLASSIFICATION</v>
      </c>
      <c r="C105" s="115"/>
      <c r="D105" s="155" t="s">
        <v>183</v>
      </c>
      <c r="E105" s="117"/>
      <c r="F105" s="126">
        <v>5.1999999999999998E-3</v>
      </c>
      <c r="G105" s="139">
        <f>IF($E81&gt;0, $E81, $E80*$E82)</f>
        <v>773.02499999999998</v>
      </c>
      <c r="H105" s="120">
        <f>G105*F105</f>
        <v>4.01973</v>
      </c>
      <c r="I105" s="153">
        <v>5.0000000000000001E-3</v>
      </c>
      <c r="J105" s="140">
        <f>IF($E81&gt;0, $E81, $E80*$E83)</f>
        <v>773.02499999999998</v>
      </c>
      <c r="K105" s="123">
        <f>J105*I105</f>
        <v>3.8651249999999999</v>
      </c>
      <c r="L105" s="124">
        <f t="shared" si="12"/>
        <v>-0.1546050000000001</v>
      </c>
      <c r="M105" s="125">
        <f>IF(ISERROR(L105/H105), "", L105/H105)</f>
        <v>-3.8461538461538484E-2</v>
      </c>
      <c r="N105" s="154" t="str">
        <f>IF(ISERROR(ABS(M105)), "", IF(ABS(M105)&gt;=4%, "In the manager's summary, discuss the reasoning for the change in RTSR rates", ""))</f>
        <v/>
      </c>
    </row>
    <row r="106" spans="1:14" ht="25.5" x14ac:dyDescent="0.2">
      <c r="A106" s="46" t="str">
        <f t="shared" si="15"/>
        <v>RESIDENTIAL SERVICE CLASSIFICATION</v>
      </c>
      <c r="B106" s="46" t="s">
        <v>184</v>
      </c>
      <c r="C106" s="115">
        <f>B30</f>
        <v>1</v>
      </c>
      <c r="D106" s="145" t="s">
        <v>185</v>
      </c>
      <c r="E106" s="130"/>
      <c r="F106" s="147"/>
      <c r="G106" s="148"/>
      <c r="H106" s="149">
        <f>SUM(H103:H105)</f>
        <v>45.219069999999995</v>
      </c>
      <c r="I106" s="150"/>
      <c r="J106" s="135"/>
      <c r="K106" s="149">
        <f>SUM(K103:K105)</f>
        <v>47.771372499999998</v>
      </c>
      <c r="L106" s="136">
        <f t="shared" si="12"/>
        <v>2.5523025000000032</v>
      </c>
      <c r="M106" s="137">
        <f>IF((H106)=0,"",(L106/H106))</f>
        <v>5.6443055993853998E-2</v>
      </c>
    </row>
    <row r="107" spans="1:14" ht="25.5" x14ac:dyDescent="0.2">
      <c r="A107" s="46" t="str">
        <f t="shared" si="15"/>
        <v>RESIDENTIAL SERVICE CLASSIFICATION</v>
      </c>
      <c r="C107" s="115"/>
      <c r="D107" s="156" t="s">
        <v>186</v>
      </c>
      <c r="E107" s="117"/>
      <c r="F107" s="126">
        <f>IF(AND('[1]1. Information Sheet'!$F$26:$H$26&gt;='[1]17. Regulatory Charges'!$D$14,'[1]1. Information Sheet'!$F$26:$H$26&lt;'[1]17. Regulatory Charges'!$E$14),'[1]17. Regulatory Charges'!$D$15+'[1]17. Regulatory Charges'!$D$16,'[1]17. Regulatory Charges'!$E$15+'[1]17. Regulatory Charges'!$E$16)</f>
        <v>3.4000000000000002E-3</v>
      </c>
      <c r="G107" s="139">
        <f>E80*E82</f>
        <v>773.02499999999998</v>
      </c>
      <c r="H107" s="157">
        <f t="shared" ref="H107:H113" si="17">G107*F107</f>
        <v>2.628285</v>
      </c>
      <c r="I107" s="127">
        <f>'[1]17. Regulatory Charges'!$E$15+'[1]17. Regulatory Charges'!$E$16</f>
        <v>3.4000000000000002E-3</v>
      </c>
      <c r="J107" s="140">
        <f>E80*E83</f>
        <v>773.02499999999998</v>
      </c>
      <c r="K107" s="123">
        <f t="shared" ref="K107:K113" si="18">J107*I107</f>
        <v>2.628285</v>
      </c>
      <c r="L107" s="124">
        <f t="shared" si="12"/>
        <v>0</v>
      </c>
      <c r="M107" s="125">
        <f t="shared" ref="M107:M115" si="19">IF(ISERROR(L107/H107), "", L107/H107)</f>
        <v>0</v>
      </c>
    </row>
    <row r="108" spans="1:14" ht="25.5" x14ac:dyDescent="0.2">
      <c r="A108" s="46" t="str">
        <f t="shared" si="15"/>
        <v>RESIDENTIAL SERVICE CLASSIFICATION</v>
      </c>
      <c r="C108" s="115"/>
      <c r="D108" s="156" t="s">
        <v>187</v>
      </c>
      <c r="E108" s="117"/>
      <c r="F108" s="126">
        <f>IF(AND('[1]1. Information Sheet'!$F$26:$H$26&gt;='[1]17. Regulatory Charges'!$D$14,'[1]1. Information Sheet'!$F$26:$H$26&lt;'[1]17. Regulatory Charges'!$D$14),'[1]17. Regulatory Charges'!$D$17,'[1]17. Regulatory Charges'!$E$17)</f>
        <v>5.0000000000000001E-4</v>
      </c>
      <c r="G108" s="139">
        <f>E80*E82</f>
        <v>773.02499999999998</v>
      </c>
      <c r="H108" s="157">
        <f t="shared" si="17"/>
        <v>0.38651249999999998</v>
      </c>
      <c r="I108" s="127">
        <f>'[1]17. Regulatory Charges'!$E$17</f>
        <v>5.0000000000000001E-4</v>
      </c>
      <c r="J108" s="140">
        <f>E80*E83</f>
        <v>773.02499999999998</v>
      </c>
      <c r="K108" s="123">
        <f t="shared" si="18"/>
        <v>0.38651249999999998</v>
      </c>
      <c r="L108" s="124">
        <f t="shared" si="12"/>
        <v>0</v>
      </c>
      <c r="M108" s="125">
        <f t="shared" si="19"/>
        <v>0</v>
      </c>
    </row>
    <row r="109" spans="1:14" x14ac:dyDescent="0.2">
      <c r="A109" s="46" t="str">
        <f t="shared" si="15"/>
        <v>RESIDENTIAL SERVICE CLASSIFICATION</v>
      </c>
      <c r="C109" s="115"/>
      <c r="D109" s="158" t="s">
        <v>188</v>
      </c>
      <c r="E109" s="117"/>
      <c r="F109" s="143">
        <f>IF(AND('[1]1. Information Sheet'!$F$26:$H$26&gt;='[1]17. Regulatory Charges'!$D$14,'[1]1. Information Sheet'!$F$26:$H$26&lt;'[1]17. Regulatory Charges'!$D$14),'[1]17. Regulatory Charges'!$D$18,'[1]17. Regulatory Charges'!$E$18)</f>
        <v>0.25</v>
      </c>
      <c r="G109" s="119">
        <v>1</v>
      </c>
      <c r="H109" s="157">
        <f t="shared" si="17"/>
        <v>0.25</v>
      </c>
      <c r="I109" s="144">
        <f>'[1]17. Regulatory Charges'!$E$18</f>
        <v>0.25</v>
      </c>
      <c r="J109" s="122">
        <v>1</v>
      </c>
      <c r="K109" s="123">
        <f t="shared" si="18"/>
        <v>0.25</v>
      </c>
      <c r="L109" s="124">
        <f t="shared" si="12"/>
        <v>0</v>
      </c>
      <c r="M109" s="125">
        <f t="shared" si="19"/>
        <v>0</v>
      </c>
    </row>
    <row r="110" spans="1:14" ht="25.5" hidden="1" x14ac:dyDescent="0.2">
      <c r="A110" s="46" t="str">
        <f t="shared" si="15"/>
        <v>RESIDENTIAL SERVICE CLASSIFICATION</v>
      </c>
      <c r="C110" s="115"/>
      <c r="D110" s="156" t="s">
        <v>189</v>
      </c>
      <c r="E110" s="117"/>
      <c r="F110" s="126"/>
      <c r="G110" s="139"/>
      <c r="H110" s="157"/>
      <c r="I110" s="127"/>
      <c r="J110" s="140"/>
      <c r="K110" s="123"/>
      <c r="L110" s="124"/>
      <c r="M110" s="125"/>
    </row>
    <row r="111" spans="1:14" x14ac:dyDescent="0.2">
      <c r="A111" s="46" t="str">
        <f t="shared" si="15"/>
        <v>RESIDENTIAL SERVICE CLASSIFICATION</v>
      </c>
      <c r="B111" s="46" t="s">
        <v>139</v>
      </c>
      <c r="C111" s="115"/>
      <c r="D111" s="158" t="s">
        <v>190</v>
      </c>
      <c r="E111" s="117"/>
      <c r="F111" s="159">
        <f>OffPeak</f>
        <v>7.3999999999999996E-2</v>
      </c>
      <c r="G111" s="160">
        <f>IF(AND(E80*12&gt;=150000),0.64*E80*E82,0.64*E80)</f>
        <v>480</v>
      </c>
      <c r="H111" s="157">
        <f t="shared" si="17"/>
        <v>35.519999999999996</v>
      </c>
      <c r="I111" s="161">
        <f>OffPeak</f>
        <v>7.3999999999999996E-2</v>
      </c>
      <c r="J111" s="162">
        <f>IF(AND(E80*12&gt;=150000),0.64*E80*E83,0.64*E80)</f>
        <v>480</v>
      </c>
      <c r="K111" s="123">
        <f t="shared" si="18"/>
        <v>35.519999999999996</v>
      </c>
      <c r="L111" s="124">
        <f>K111-H111</f>
        <v>0</v>
      </c>
      <c r="M111" s="125">
        <f t="shared" si="19"/>
        <v>0</v>
      </c>
    </row>
    <row r="112" spans="1:14" x14ac:dyDescent="0.2">
      <c r="A112" s="46" t="str">
        <f t="shared" si="15"/>
        <v>RESIDENTIAL SERVICE CLASSIFICATION</v>
      </c>
      <c r="B112" s="46" t="s">
        <v>139</v>
      </c>
      <c r="C112" s="115"/>
      <c r="D112" s="158" t="s">
        <v>191</v>
      </c>
      <c r="E112" s="117"/>
      <c r="F112" s="159">
        <f>MidPeak</f>
        <v>0.10199999999999999</v>
      </c>
      <c r="G112" s="160">
        <f>IF(AND(E80*12&gt;=150000),0.18*E80*E82,0.18*E80)</f>
        <v>135</v>
      </c>
      <c r="H112" s="157">
        <f t="shared" si="17"/>
        <v>13.77</v>
      </c>
      <c r="I112" s="161">
        <f>MidPeak</f>
        <v>0.10199999999999999</v>
      </c>
      <c r="J112" s="162">
        <f>IF(AND(E80*12&gt;=150000),0.18*E80*E83,0.18*E80)</f>
        <v>135</v>
      </c>
      <c r="K112" s="123">
        <f t="shared" si="18"/>
        <v>13.77</v>
      </c>
      <c r="L112" s="124">
        <f>K112-H112</f>
        <v>0</v>
      </c>
      <c r="M112" s="125">
        <f t="shared" si="19"/>
        <v>0</v>
      </c>
    </row>
    <row r="113" spans="1:13" ht="13.5" thickBot="1" x14ac:dyDescent="0.25">
      <c r="A113" s="46" t="str">
        <f t="shared" si="15"/>
        <v>RESIDENTIAL SERVICE CLASSIFICATION</v>
      </c>
      <c r="B113" s="46" t="s">
        <v>139</v>
      </c>
      <c r="C113" s="115"/>
      <c r="D113" s="46" t="s">
        <v>192</v>
      </c>
      <c r="E113" s="117"/>
      <c r="F113" s="159">
        <f>OnPeak</f>
        <v>0.151</v>
      </c>
      <c r="G113" s="160">
        <f>IF(AND(E80*12&gt;=150000),0.18*E80*E82,0.18*E80)</f>
        <v>135</v>
      </c>
      <c r="H113" s="157">
        <f t="shared" si="17"/>
        <v>20.384999999999998</v>
      </c>
      <c r="I113" s="161">
        <f>OnPeak</f>
        <v>0.151</v>
      </c>
      <c r="J113" s="162">
        <f>IF(AND(E80*12&gt;=150000),0.18*E80*E83,0.18*E80)</f>
        <v>135</v>
      </c>
      <c r="K113" s="123">
        <f t="shared" si="18"/>
        <v>20.384999999999998</v>
      </c>
      <c r="L113" s="124">
        <f>K113-H113</f>
        <v>0</v>
      </c>
      <c r="M113" s="125">
        <f t="shared" si="19"/>
        <v>0</v>
      </c>
    </row>
    <row r="114" spans="1:13" ht="13.5" hidden="1" thickBot="1" x14ac:dyDescent="0.25">
      <c r="A114" s="46" t="str">
        <f t="shared" si="15"/>
        <v>RESIDENTIAL SERVICE CLASSIFICATION</v>
      </c>
      <c r="B114" s="46" t="s">
        <v>141</v>
      </c>
      <c r="C114" s="115"/>
      <c r="D114" s="158" t="s">
        <v>193</v>
      </c>
      <c r="E114" s="117"/>
      <c r="F114" s="163">
        <v>9.6699999999999994E-2</v>
      </c>
      <c r="G114" s="160">
        <f>IF(AND(E80*12&gt;=150000),E80*E82,E80)</f>
        <v>750</v>
      </c>
      <c r="H114" s="157">
        <f>G114*F114</f>
        <v>72.524999999999991</v>
      </c>
      <c r="I114" s="164">
        <f>F114</f>
        <v>9.6699999999999994E-2</v>
      </c>
      <c r="J114" s="162">
        <f>IF(AND(E80*12&gt;=150000),E80*E83,E80)</f>
        <v>750</v>
      </c>
      <c r="K114" s="123">
        <f>J114*I114</f>
        <v>72.524999999999991</v>
      </c>
      <c r="L114" s="124">
        <f>K114-H114</f>
        <v>0</v>
      </c>
      <c r="M114" s="125">
        <f t="shared" si="19"/>
        <v>0</v>
      </c>
    </row>
    <row r="115" spans="1:13" ht="13.5" hidden="1" thickBot="1" x14ac:dyDescent="0.25">
      <c r="A115" s="46" t="str">
        <f t="shared" si="15"/>
        <v>RESIDENTIAL SERVICE CLASSIFICATION</v>
      </c>
      <c r="B115" s="46" t="s">
        <v>140</v>
      </c>
      <c r="C115" s="115"/>
      <c r="D115" s="158" t="s">
        <v>194</v>
      </c>
      <c r="E115" s="117"/>
      <c r="F115" s="163">
        <v>9.6699999999999994E-2</v>
      </c>
      <c r="G115" s="160">
        <f>IF(AND(E80*12&gt;=150000),E80*E82,E80)</f>
        <v>750</v>
      </c>
      <c r="H115" s="157">
        <f>G115*F115</f>
        <v>72.524999999999991</v>
      </c>
      <c r="I115" s="164">
        <f>F115</f>
        <v>9.6699999999999994E-2</v>
      </c>
      <c r="J115" s="162">
        <f>IF(AND(E80*12&gt;=150000),E80*E83,E80)</f>
        <v>750</v>
      </c>
      <c r="K115" s="123">
        <f>J115*I115</f>
        <v>72.524999999999991</v>
      </c>
      <c r="L115" s="124">
        <f>K115-H115</f>
        <v>0</v>
      </c>
      <c r="M115" s="125">
        <f t="shared" si="19"/>
        <v>0</v>
      </c>
    </row>
    <row r="116" spans="1:13" ht="13.5" thickBot="1" x14ac:dyDescent="0.25">
      <c r="A116" s="46" t="str">
        <f t="shared" si="15"/>
        <v>RESIDENTIAL SERVICE CLASSIFICATION</v>
      </c>
      <c r="C116" s="115"/>
      <c r="D116" s="165"/>
      <c r="E116" s="166"/>
      <c r="F116" s="167"/>
      <c r="G116" s="168"/>
      <c r="H116" s="169"/>
      <c r="I116" s="167"/>
      <c r="J116" s="170"/>
      <c r="K116" s="169"/>
      <c r="L116" s="171"/>
      <c r="M116" s="172"/>
    </row>
    <row r="117" spans="1:13" x14ac:dyDescent="0.2">
      <c r="A117" s="46" t="str">
        <f t="shared" si="15"/>
        <v>RESIDENTIAL SERVICE CLASSIFICATION</v>
      </c>
      <c r="B117" s="46" t="s">
        <v>139</v>
      </c>
      <c r="C117" s="115"/>
      <c r="D117" s="173" t="s">
        <v>195</v>
      </c>
      <c r="E117" s="158"/>
      <c r="F117" s="174"/>
      <c r="G117" s="175"/>
      <c r="H117" s="176">
        <f>SUM(H107:H113,H106)</f>
        <v>118.15886749999999</v>
      </c>
      <c r="I117" s="177"/>
      <c r="J117" s="177"/>
      <c r="K117" s="176">
        <f>SUM(K107:K113,K106)</f>
        <v>120.71117</v>
      </c>
      <c r="L117" s="178">
        <f>K117-H117</f>
        <v>2.5523025000000104</v>
      </c>
      <c r="M117" s="179">
        <f>IF((H117)=0,"",(L117/H117))</f>
        <v>2.1600600564320834E-2</v>
      </c>
    </row>
    <row r="118" spans="1:13" x14ac:dyDescent="0.2">
      <c r="A118" s="46" t="str">
        <f t="shared" si="15"/>
        <v>RESIDENTIAL SERVICE CLASSIFICATION</v>
      </c>
      <c r="B118" s="46" t="s">
        <v>139</v>
      </c>
      <c r="C118" s="115"/>
      <c r="D118" s="180" t="s">
        <v>196</v>
      </c>
      <c r="E118" s="158"/>
      <c r="F118" s="174">
        <v>0.13</v>
      </c>
      <c r="G118" s="181"/>
      <c r="H118" s="182">
        <f>H117*F118</f>
        <v>15.360652774999998</v>
      </c>
      <c r="I118" s="183">
        <v>0.13</v>
      </c>
      <c r="J118" s="119"/>
      <c r="K118" s="182">
        <f>K117*I118</f>
        <v>15.692452100000001</v>
      </c>
      <c r="L118" s="124">
        <f>K118-H118</f>
        <v>0.3317993250000022</v>
      </c>
      <c r="M118" s="184">
        <f>IF((H118)=0,"",(L118/H118))</f>
        <v>2.160060056432089E-2</v>
      </c>
    </row>
    <row r="119" spans="1:13" ht="15" x14ac:dyDescent="0.25">
      <c r="A119" s="46" t="str">
        <f t="shared" si="15"/>
        <v>RESIDENTIAL SERVICE CLASSIFICATION</v>
      </c>
      <c r="B119" s="46" t="s">
        <v>139</v>
      </c>
      <c r="C119" s="115"/>
      <c r="D119" s="180" t="s">
        <v>197</v>
      </c>
      <c r="E119"/>
      <c r="F119" s="185">
        <v>0.11700000000000001</v>
      </c>
      <c r="G119" s="181"/>
      <c r="H119" s="182">
        <f>IF(OR(ISNUMBER(SEARCH("[DGEN]", E78))=TRUE, ISNUMBER(SEARCH("STREET LIGHT", E78))=TRUE), 0, IF(AND(E80=0, E81=0),0, IF(AND(E81=0, E80*12&gt;250000), 0, IF(AND(E80=0, E81&gt;=50), 0, IF(E80*12&lt;=250000, F119*H117*-1, IF(E81&lt;50, F119*H117*-1, 0))))))</f>
        <v>-13.8245874975</v>
      </c>
      <c r="I119" s="185">
        <v>0.11700000000000001</v>
      </c>
      <c r="J119" s="119"/>
      <c r="K119" s="182">
        <f>IF(OR(ISNUMBER(SEARCH("[DGEN]", E78))=TRUE, ISNUMBER(SEARCH("STREET LIGHT", E78))=TRUE), 0, IF(AND(E80=0, E81=0),0, IF(AND(E81=0, E80*12&gt;250000), 0, IF(AND(E80=0, E81&gt;=50), 0, IF(E80*12&lt;=250000, I119*K117*-1, IF(E81&lt;50, I119*K117*-1, 0))))))</f>
        <v>-14.123206890000001</v>
      </c>
      <c r="L119" s="124">
        <f>K119-H119</f>
        <v>-0.29861939250000091</v>
      </c>
      <c r="M119" s="184"/>
    </row>
    <row r="120" spans="1:13" ht="13.5" thickBot="1" x14ac:dyDescent="0.25">
      <c r="A120" s="46" t="str">
        <f t="shared" si="15"/>
        <v>RESIDENTIAL SERVICE CLASSIFICATION</v>
      </c>
      <c r="B120" s="46" t="s">
        <v>198</v>
      </c>
      <c r="C120" s="115">
        <f>B30</f>
        <v>1</v>
      </c>
      <c r="D120" s="186" t="s">
        <v>199</v>
      </c>
      <c r="E120" s="186"/>
      <c r="F120" s="187"/>
      <c r="G120" s="188"/>
      <c r="H120" s="189">
        <f>H117+H118+H119</f>
        <v>119.69493277749999</v>
      </c>
      <c r="I120" s="190"/>
      <c r="J120" s="190"/>
      <c r="K120" s="191">
        <f>K117+K118+K119</f>
        <v>122.28041521</v>
      </c>
      <c r="L120" s="192">
        <f>K120-H120</f>
        <v>2.5854824325000152</v>
      </c>
      <c r="M120" s="193">
        <f>IF((H120)=0,"",(L120/H120))</f>
        <v>2.1600600564320872E-2</v>
      </c>
    </row>
    <row r="121" spans="1:13" ht="13.5" thickBot="1" x14ac:dyDescent="0.25">
      <c r="A121" s="46" t="str">
        <f t="shared" si="15"/>
        <v>RESIDENTIAL SERVICE CLASSIFICATION</v>
      </c>
      <c r="B121" s="46" t="s">
        <v>139</v>
      </c>
      <c r="C121" s="115"/>
      <c r="D121" s="165"/>
      <c r="E121" s="166"/>
      <c r="F121" s="167"/>
      <c r="G121" s="168"/>
      <c r="H121" s="169"/>
      <c r="I121" s="167"/>
      <c r="J121" s="170"/>
      <c r="K121" s="169"/>
      <c r="L121" s="171"/>
      <c r="M121" s="172"/>
    </row>
    <row r="122" spans="1:13" hidden="1" x14ac:dyDescent="0.2">
      <c r="A122" s="46" t="str">
        <f t="shared" si="15"/>
        <v>RESIDENTIAL SERVICE CLASSIFICATION</v>
      </c>
      <c r="B122" s="46" t="s">
        <v>141</v>
      </c>
      <c r="C122" s="115"/>
      <c r="D122" s="173" t="s">
        <v>200</v>
      </c>
      <c r="E122" s="158"/>
      <c r="F122" s="174"/>
      <c r="G122" s="175"/>
      <c r="H122" s="176">
        <f>SUM(H114,H107:H110,H106)</f>
        <v>121.00886749999998</v>
      </c>
      <c r="I122" s="177"/>
      <c r="J122" s="177"/>
      <c r="K122" s="176">
        <f>SUM(K114,K107:K110,K106)</f>
        <v>123.56116999999999</v>
      </c>
      <c r="L122" s="178">
        <f>K122-H122</f>
        <v>2.5523025000000104</v>
      </c>
      <c r="M122" s="179">
        <f>IF((H122)=0,"",(L122/H122))</f>
        <v>2.1091863371087337E-2</v>
      </c>
    </row>
    <row r="123" spans="1:13" hidden="1" x14ac:dyDescent="0.2">
      <c r="A123" s="46" t="str">
        <f t="shared" si="15"/>
        <v>RESIDENTIAL SERVICE CLASSIFICATION</v>
      </c>
      <c r="B123" s="46" t="s">
        <v>141</v>
      </c>
      <c r="C123" s="115"/>
      <c r="D123" s="180" t="s">
        <v>196</v>
      </c>
      <c r="E123" s="158"/>
      <c r="F123" s="174">
        <v>0.13</v>
      </c>
      <c r="G123" s="175"/>
      <c r="H123" s="182">
        <f>H122*F123</f>
        <v>15.731152774999998</v>
      </c>
      <c r="I123" s="174">
        <v>0.13</v>
      </c>
      <c r="J123" s="183"/>
      <c r="K123" s="182">
        <f>K122*I123</f>
        <v>16.0629521</v>
      </c>
      <c r="L123" s="124">
        <f>K123-H123</f>
        <v>0.3317993250000022</v>
      </c>
      <c r="M123" s="184">
        <f>IF((H123)=0,"",(L123/H123))</f>
        <v>2.1091863371087389E-2</v>
      </c>
    </row>
    <row r="124" spans="1:13" ht="15" hidden="1" x14ac:dyDescent="0.25">
      <c r="A124" s="46" t="str">
        <f t="shared" si="15"/>
        <v>RESIDENTIAL SERVICE CLASSIFICATION</v>
      </c>
      <c r="B124" s="46" t="s">
        <v>141</v>
      </c>
      <c r="C124" s="115"/>
      <c r="D124" s="180" t="s">
        <v>197</v>
      </c>
      <c r="E124"/>
      <c r="F124" s="185">
        <v>0.11700000000000001</v>
      </c>
      <c r="G124" s="175"/>
      <c r="H124" s="182">
        <f>IF(OR(ISNUMBER(SEARCH("[DGEN]", E78))=TRUE, ISNUMBER(SEARCH("STREET LIGHT", E78))=TRUE), 0, IF(AND(E80=0, E81=0),0, IF(AND(E81=0, E80*12&gt;250000), 0, IF(AND(E80=0, E81&gt;=50), 0, IF(E80*12&lt;=250000, F124*H122*-1, IF(E81&lt;50, F124*H122*-1, 0))))))</f>
        <v>-14.158037497499999</v>
      </c>
      <c r="I124" s="185">
        <v>0.11700000000000001</v>
      </c>
      <c r="J124" s="183"/>
      <c r="K124" s="182">
        <f>IF(OR(ISNUMBER(SEARCH("[DGEN]", E78))=TRUE, ISNUMBER(SEARCH("STREET LIGHT", E78))=TRUE), 0, IF(AND(E80=0, E81=0),0, IF(AND(E81=0, E80*12&gt;250000), 0, IF(AND(E80=0, E81&gt;=50), 0, IF(E80*12&lt;=250000, I124*K122*-1, IF(E81&lt;50, I124*K122*-1, 0))))))</f>
        <v>-14.45665689</v>
      </c>
      <c r="L124" s="124"/>
      <c r="M124" s="184"/>
    </row>
    <row r="125" spans="1:13" hidden="1" x14ac:dyDescent="0.2">
      <c r="A125" s="46" t="str">
        <f t="shared" si="15"/>
        <v>RESIDENTIAL SERVICE CLASSIFICATION</v>
      </c>
      <c r="B125" s="46" t="s">
        <v>201</v>
      </c>
      <c r="C125" s="115"/>
      <c r="D125" s="186" t="s">
        <v>200</v>
      </c>
      <c r="E125" s="186"/>
      <c r="F125" s="194"/>
      <c r="G125" s="195"/>
      <c r="H125" s="189">
        <f>SUM(H122,H123)</f>
        <v>136.74002027499998</v>
      </c>
      <c r="I125" s="196"/>
      <c r="J125" s="196"/>
      <c r="K125" s="189">
        <f>SUM(K122,K123)</f>
        <v>139.62412209999999</v>
      </c>
      <c r="L125" s="197">
        <f>K125-H125</f>
        <v>2.8841018250000161</v>
      </c>
      <c r="M125" s="198">
        <f>IF((H125)=0,"",(L125/H125))</f>
        <v>2.1091863371087368E-2</v>
      </c>
    </row>
    <row r="126" spans="1:13" ht="13.5" hidden="1" thickBot="1" x14ac:dyDescent="0.25">
      <c r="A126" s="46" t="str">
        <f t="shared" si="15"/>
        <v>RESIDENTIAL SERVICE CLASSIFICATION</v>
      </c>
      <c r="B126" s="46" t="s">
        <v>141</v>
      </c>
      <c r="C126" s="115"/>
      <c r="D126" s="165"/>
      <c r="E126" s="166"/>
      <c r="F126" s="199"/>
      <c r="G126" s="200"/>
      <c r="H126" s="201"/>
      <c r="I126" s="199"/>
      <c r="J126" s="168"/>
      <c r="K126" s="201"/>
      <c r="L126" s="202"/>
      <c r="M126" s="172"/>
    </row>
    <row r="127" spans="1:13" hidden="1" x14ac:dyDescent="0.2">
      <c r="A127" s="46" t="str">
        <f t="shared" si="15"/>
        <v>RESIDENTIAL SERVICE CLASSIFICATION</v>
      </c>
      <c r="B127" s="46" t="s">
        <v>140</v>
      </c>
      <c r="C127" s="115"/>
      <c r="D127" s="173" t="s">
        <v>202</v>
      </c>
      <c r="E127" s="158"/>
      <c r="F127" s="174"/>
      <c r="G127" s="175"/>
      <c r="H127" s="176">
        <f>SUM(H115,H107:H110,H106)</f>
        <v>121.00886749999998</v>
      </c>
      <c r="I127" s="177"/>
      <c r="J127" s="177"/>
      <c r="K127" s="176">
        <f>SUM(K115,K107:K110,K106)</f>
        <v>123.56116999999999</v>
      </c>
      <c r="L127" s="178">
        <f>K127-H127</f>
        <v>2.5523025000000104</v>
      </c>
      <c r="M127" s="179">
        <f>IF((H127)=0,"",(L127/H127))</f>
        <v>2.1091863371087337E-2</v>
      </c>
    </row>
    <row r="128" spans="1:13" hidden="1" x14ac:dyDescent="0.2">
      <c r="A128" s="46" t="str">
        <f t="shared" si="15"/>
        <v>RESIDENTIAL SERVICE CLASSIFICATION</v>
      </c>
      <c r="B128" s="46" t="s">
        <v>140</v>
      </c>
      <c r="C128" s="115"/>
      <c r="D128" s="180" t="s">
        <v>196</v>
      </c>
      <c r="E128" s="158"/>
      <c r="F128" s="174">
        <v>0.13</v>
      </c>
      <c r="G128" s="175"/>
      <c r="H128" s="182">
        <f>H127*F128</f>
        <v>15.731152774999998</v>
      </c>
      <c r="I128" s="174">
        <v>0.13</v>
      </c>
      <c r="J128" s="183"/>
      <c r="K128" s="182">
        <f>K127*I128</f>
        <v>16.0629521</v>
      </c>
      <c r="L128" s="124">
        <f>K128-H128</f>
        <v>0.3317993250000022</v>
      </c>
      <c r="M128" s="184">
        <f>IF((H128)=0,"",(L128/H128))</f>
        <v>2.1091863371087389E-2</v>
      </c>
    </row>
    <row r="129" spans="1:14" ht="15" hidden="1" x14ac:dyDescent="0.25">
      <c r="A129" s="46" t="str">
        <f t="shared" si="15"/>
        <v>RESIDENTIAL SERVICE CLASSIFICATION</v>
      </c>
      <c r="B129" s="46" t="s">
        <v>140</v>
      </c>
      <c r="C129" s="115"/>
      <c r="D129" s="180" t="s">
        <v>197</v>
      </c>
      <c r="E129"/>
      <c r="F129" s="185">
        <v>0.11700000000000001</v>
      </c>
      <c r="G129" s="175"/>
      <c r="H129" s="182">
        <f>IF(OR(ISNUMBER(SEARCH("[DGEN]", E78))=TRUE, ISNUMBER(SEARCH("STREET LIGHT", E78))=TRUE), 0, IF(AND(E80=0, E81=0),0, IF(AND(E81=0, E80*12&gt;250000), 0, IF(AND(E80=0, E81&gt;=50), 0, IF(E80*12&lt;=250000, F129*H127*-1, IF(E81&lt;50, F129*H127*-1, 0))))))</f>
        <v>-14.158037497499999</v>
      </c>
      <c r="I129" s="185">
        <v>0.11700000000000001</v>
      </c>
      <c r="J129" s="183"/>
      <c r="K129" s="182">
        <f>IF(OR(ISNUMBER(SEARCH("[DGEN]", E78))=TRUE, ISNUMBER(SEARCH("STREET LIGHT", E78))=TRUE), 0, IF(AND(E80=0, E81=0),0, IF(AND(E81=0, E80*12&gt;250000), 0, IF(AND(E80=0, E81&gt;=50), 0, IF(E80*12&lt;=250000, I129*K127*-1, IF(E81&lt;50, I129*K127*-1, 0))))))</f>
        <v>-14.45665689</v>
      </c>
      <c r="L129" s="124"/>
      <c r="M129" s="184"/>
    </row>
    <row r="130" spans="1:14" hidden="1" x14ac:dyDescent="0.2">
      <c r="A130" s="46" t="str">
        <f t="shared" si="15"/>
        <v>RESIDENTIAL SERVICE CLASSIFICATION</v>
      </c>
      <c r="B130" s="46" t="s">
        <v>203</v>
      </c>
      <c r="C130" s="115"/>
      <c r="D130" s="186" t="s">
        <v>202</v>
      </c>
      <c r="E130" s="186"/>
      <c r="F130" s="194"/>
      <c r="G130" s="195"/>
      <c r="H130" s="189">
        <f>SUM(H127,H128)</f>
        <v>136.74002027499998</v>
      </c>
      <c r="I130" s="196"/>
      <c r="J130" s="196"/>
      <c r="K130" s="189">
        <f>SUM(K127,K128)</f>
        <v>139.62412209999999</v>
      </c>
      <c r="L130" s="197">
        <f>K130-H130</f>
        <v>2.8841018250000161</v>
      </c>
      <c r="M130" s="198">
        <f>IF((H130)=0,"",(L130/H130))</f>
        <v>2.1091863371087368E-2</v>
      </c>
    </row>
    <row r="131" spans="1:14" ht="13.5" hidden="1" thickBot="1" x14ac:dyDescent="0.25">
      <c r="A131" s="46" t="str">
        <f t="shared" si="15"/>
        <v>RESIDENTIAL SERVICE CLASSIFICATION</v>
      </c>
      <c r="B131" s="46" t="s">
        <v>140</v>
      </c>
      <c r="C131" s="115"/>
      <c r="D131" s="165"/>
      <c r="E131" s="166"/>
      <c r="F131" s="203"/>
      <c r="G131" s="200"/>
      <c r="H131" s="204"/>
      <c r="I131" s="203"/>
      <c r="J131" s="168"/>
      <c r="K131" s="204"/>
      <c r="L131" s="202"/>
      <c r="M131" s="205"/>
    </row>
    <row r="134" spans="1:14" x14ac:dyDescent="0.2">
      <c r="C134" s="46"/>
      <c r="D134" s="90" t="s">
        <v>150</v>
      </c>
      <c r="E134" s="91" t="str">
        <f>D31</f>
        <v>GENERAL SERVICE LESS THAN 50 KW SERVICE CLASSIFICATION</v>
      </c>
      <c r="F134" s="91"/>
      <c r="G134" s="91"/>
      <c r="H134" s="91"/>
      <c r="I134" s="91"/>
      <c r="J134" s="91"/>
      <c r="K134" s="46" t="str">
        <f>IF(N31="DEMAND - INTERVAL","RTSR - INTERVAL METERED","")</f>
        <v/>
      </c>
    </row>
    <row r="135" spans="1:14" x14ac:dyDescent="0.2">
      <c r="C135" s="46"/>
      <c r="D135" s="90" t="s">
        <v>151</v>
      </c>
      <c r="E135" s="92" t="str">
        <f>H31</f>
        <v>RPP</v>
      </c>
      <c r="F135" s="92"/>
      <c r="G135" s="92"/>
      <c r="H135" s="93"/>
      <c r="I135" s="93"/>
    </row>
    <row r="136" spans="1:14" ht="15.75" x14ac:dyDescent="0.2">
      <c r="C136" s="46"/>
      <c r="D136" s="90" t="s">
        <v>152</v>
      </c>
      <c r="E136" s="94">
        <f>K31</f>
        <v>2000</v>
      </c>
      <c r="F136" s="95" t="s">
        <v>153</v>
      </c>
      <c r="J136" s="96"/>
      <c r="K136" s="96"/>
      <c r="L136" s="96"/>
      <c r="M136" s="96"/>
      <c r="N136" s="96"/>
    </row>
    <row r="137" spans="1:14" ht="15.75" x14ac:dyDescent="0.25">
      <c r="C137" s="46"/>
      <c r="D137" s="90" t="s">
        <v>154</v>
      </c>
      <c r="E137" s="94">
        <f>L31</f>
        <v>0</v>
      </c>
      <c r="F137" s="97" t="s">
        <v>155</v>
      </c>
      <c r="G137" s="98"/>
      <c r="H137" s="99"/>
      <c r="I137" s="99"/>
      <c r="J137" s="99"/>
    </row>
    <row r="138" spans="1:14" x14ac:dyDescent="0.2">
      <c r="C138" s="46"/>
      <c r="D138" s="90" t="s">
        <v>156</v>
      </c>
      <c r="E138" s="100">
        <f>I31</f>
        <v>1.0306999999999999</v>
      </c>
    </row>
    <row r="139" spans="1:14" x14ac:dyDescent="0.2">
      <c r="C139" s="46"/>
      <c r="D139" s="90" t="s">
        <v>157</v>
      </c>
      <c r="E139" s="100">
        <f>J31</f>
        <v>1.0306999999999999</v>
      </c>
    </row>
    <row r="140" spans="1:14" x14ac:dyDescent="0.2">
      <c r="C140" s="46"/>
    </row>
    <row r="141" spans="1:14" x14ac:dyDescent="0.2">
      <c r="C141" s="46"/>
      <c r="E141" s="95"/>
      <c r="F141" s="101" t="s">
        <v>204</v>
      </c>
      <c r="G141" s="102"/>
      <c r="H141" s="103"/>
      <c r="I141" s="101" t="s">
        <v>205</v>
      </c>
      <c r="J141" s="102"/>
      <c r="K141" s="103"/>
      <c r="L141" s="101" t="s">
        <v>158</v>
      </c>
      <c r="M141" s="103"/>
    </row>
    <row r="142" spans="1:14" x14ac:dyDescent="0.2">
      <c r="C142" s="46"/>
      <c r="E142" s="104"/>
      <c r="F142" s="105" t="s">
        <v>159</v>
      </c>
      <c r="G142" s="105" t="s">
        <v>160</v>
      </c>
      <c r="H142" s="106" t="s">
        <v>161</v>
      </c>
      <c r="I142" s="105" t="s">
        <v>159</v>
      </c>
      <c r="J142" s="107" t="s">
        <v>160</v>
      </c>
      <c r="K142" s="106" t="s">
        <v>161</v>
      </c>
      <c r="L142" s="108" t="s">
        <v>162</v>
      </c>
      <c r="M142" s="109" t="s">
        <v>163</v>
      </c>
    </row>
    <row r="143" spans="1:14" x14ac:dyDescent="0.2">
      <c r="C143" s="46"/>
      <c r="E143" s="110"/>
      <c r="F143" s="111" t="s">
        <v>164</v>
      </c>
      <c r="G143" s="111"/>
      <c r="H143" s="112" t="s">
        <v>164</v>
      </c>
      <c r="I143" s="111" t="s">
        <v>164</v>
      </c>
      <c r="J143" s="112"/>
      <c r="K143" s="112" t="s">
        <v>164</v>
      </c>
      <c r="L143" s="113"/>
      <c r="M143" s="114"/>
    </row>
    <row r="144" spans="1:14" x14ac:dyDescent="0.2">
      <c r="A144" s="46" t="str">
        <f>$E134</f>
        <v>GENERAL SERVICE LESS THAN 50 KW SERVICE CLASSIFICATION</v>
      </c>
      <c r="C144" s="115"/>
      <c r="D144" s="116" t="s">
        <v>165</v>
      </c>
      <c r="E144" s="117"/>
      <c r="F144" s="118">
        <v>16.04</v>
      </c>
      <c r="G144" s="119">
        <v>1</v>
      </c>
      <c r="H144" s="120">
        <f>G144*F144</f>
        <v>16.04</v>
      </c>
      <c r="I144" s="121">
        <v>16.61</v>
      </c>
      <c r="J144" s="122">
        <f>G144</f>
        <v>1</v>
      </c>
      <c r="K144" s="123">
        <f>J144*I144</f>
        <v>16.61</v>
      </c>
      <c r="L144" s="124">
        <f t="shared" ref="L144:L165" si="20">K144-H144</f>
        <v>0.57000000000000028</v>
      </c>
      <c r="M144" s="125">
        <f>IF(ISERROR(L144/H144), "", L144/H144)</f>
        <v>3.5536159600997527E-2</v>
      </c>
    </row>
    <row r="145" spans="1:14" x14ac:dyDescent="0.2">
      <c r="A145" s="46" t="str">
        <f>A144</f>
        <v>GENERAL SERVICE LESS THAN 50 KW SERVICE CLASSIFICATION</v>
      </c>
      <c r="C145" s="115"/>
      <c r="D145" s="116" t="s">
        <v>30</v>
      </c>
      <c r="E145" s="117"/>
      <c r="F145" s="126">
        <v>1.7100000000000001E-2</v>
      </c>
      <c r="G145" s="119">
        <f>IF($E137&gt;0, $E137, $E136)</f>
        <v>2000</v>
      </c>
      <c r="H145" s="120">
        <f t="shared" ref="H145:H157" si="21">G145*F145</f>
        <v>34.200000000000003</v>
      </c>
      <c r="I145" s="127">
        <v>1.77E-2</v>
      </c>
      <c r="J145" s="122">
        <f>IF($E137&gt;0, $E137, $E136)</f>
        <v>2000</v>
      </c>
      <c r="K145" s="123">
        <f>J145*I145</f>
        <v>35.4</v>
      </c>
      <c r="L145" s="124">
        <f t="shared" si="20"/>
        <v>1.1999999999999957</v>
      </c>
      <c r="M145" s="125">
        <f t="shared" ref="M145:M155" si="22">IF(ISERROR(L145/H145), "", L145/H145)</f>
        <v>3.5087719298245487E-2</v>
      </c>
    </row>
    <row r="146" spans="1:14" hidden="1" x14ac:dyDescent="0.2">
      <c r="A146" s="46" t="str">
        <f t="shared" ref="A146:A187" si="23">A145</f>
        <v>GENERAL SERVICE LESS THAN 50 KW SERVICE CLASSIFICATION</v>
      </c>
      <c r="C146" s="115"/>
      <c r="D146" s="116" t="s">
        <v>166</v>
      </c>
      <c r="E146" s="117"/>
      <c r="F146" s="126"/>
      <c r="G146" s="119">
        <f>IF($E137&gt;0, $E137, $E136)</f>
        <v>2000</v>
      </c>
      <c r="H146" s="120">
        <v>0</v>
      </c>
      <c r="I146" s="127"/>
      <c r="J146" s="122">
        <f>IF($E137&gt;0, $E137, $E136)</f>
        <v>2000</v>
      </c>
      <c r="K146" s="123">
        <v>0</v>
      </c>
      <c r="L146" s="124"/>
      <c r="M146" s="125"/>
    </row>
    <row r="147" spans="1:14" hidden="1" x14ac:dyDescent="0.2">
      <c r="A147" s="46" t="str">
        <f t="shared" si="23"/>
        <v>GENERAL SERVICE LESS THAN 50 KW SERVICE CLASSIFICATION</v>
      </c>
      <c r="C147" s="115"/>
      <c r="D147" s="116" t="s">
        <v>167</v>
      </c>
      <c r="E147" s="117"/>
      <c r="F147" s="126"/>
      <c r="G147" s="119">
        <f>IF($E137&gt;0, $E137, $E136)</f>
        <v>2000</v>
      </c>
      <c r="H147" s="120">
        <v>0</v>
      </c>
      <c r="I147" s="127"/>
      <c r="J147" s="128">
        <f>IF($E137&gt;0, $E137, $E136)</f>
        <v>2000</v>
      </c>
      <c r="K147" s="123">
        <v>0</v>
      </c>
      <c r="L147" s="124">
        <f>K147-H147</f>
        <v>0</v>
      </c>
      <c r="M147" s="125" t="str">
        <f>IF(ISERROR(L147/H147), "", L147/H147)</f>
        <v/>
      </c>
    </row>
    <row r="148" spans="1:14" x14ac:dyDescent="0.2">
      <c r="A148" s="46" t="str">
        <f t="shared" si="23"/>
        <v>GENERAL SERVICE LESS THAN 50 KW SERVICE CLASSIFICATION</v>
      </c>
      <c r="C148" s="115"/>
      <c r="D148" s="116" t="s">
        <v>168</v>
      </c>
      <c r="E148" s="117"/>
      <c r="F148" s="118">
        <v>1.7000000000000002</v>
      </c>
      <c r="G148" s="119">
        <v>1</v>
      </c>
      <c r="H148" s="120">
        <f t="shared" si="21"/>
        <v>1.7000000000000002</v>
      </c>
      <c r="I148" s="121">
        <v>1.7000000000000002</v>
      </c>
      <c r="J148" s="122">
        <f>G148</f>
        <v>1</v>
      </c>
      <c r="K148" s="123">
        <f t="shared" ref="K148:K155" si="24">J148*I148</f>
        <v>1.7000000000000002</v>
      </c>
      <c r="L148" s="124">
        <f t="shared" si="20"/>
        <v>0</v>
      </c>
      <c r="M148" s="125">
        <f t="shared" si="22"/>
        <v>0</v>
      </c>
    </row>
    <row r="149" spans="1:14" x14ac:dyDescent="0.2">
      <c r="A149" s="46" t="str">
        <f t="shared" si="23"/>
        <v>GENERAL SERVICE LESS THAN 50 KW SERVICE CLASSIFICATION</v>
      </c>
      <c r="C149" s="115"/>
      <c r="D149" s="116" t="s">
        <v>169</v>
      </c>
      <c r="E149" s="117"/>
      <c r="F149" s="126">
        <v>0</v>
      </c>
      <c r="G149" s="119">
        <f>IF($E137&gt;0, $E137, $E136)</f>
        <v>2000</v>
      </c>
      <c r="H149" s="120">
        <f t="shared" si="21"/>
        <v>0</v>
      </c>
      <c r="I149" s="127">
        <v>0</v>
      </c>
      <c r="J149" s="122">
        <f>IF($E137&gt;0, $E137, $E136)</f>
        <v>2000</v>
      </c>
      <c r="K149" s="123">
        <f t="shared" si="24"/>
        <v>0</v>
      </c>
      <c r="L149" s="124">
        <f t="shared" si="20"/>
        <v>0</v>
      </c>
      <c r="M149" s="125" t="str">
        <f t="shared" si="22"/>
        <v/>
      </c>
    </row>
    <row r="150" spans="1:14" x14ac:dyDescent="0.2">
      <c r="A150" s="46" t="str">
        <f t="shared" si="23"/>
        <v>GENERAL SERVICE LESS THAN 50 KW SERVICE CLASSIFICATION</v>
      </c>
      <c r="B150" s="46" t="s">
        <v>170</v>
      </c>
      <c r="C150" s="115">
        <f>B31</f>
        <v>2</v>
      </c>
      <c r="D150" s="129" t="s">
        <v>171</v>
      </c>
      <c r="E150" s="130"/>
      <c r="F150" s="131"/>
      <c r="G150" s="132"/>
      <c r="H150" s="133">
        <f>SUM(H144:H149)</f>
        <v>51.940000000000005</v>
      </c>
      <c r="I150" s="134"/>
      <c r="J150" s="135"/>
      <c r="K150" s="133">
        <f>SUM(K144:K149)</f>
        <v>53.71</v>
      </c>
      <c r="L150" s="136">
        <f t="shared" si="20"/>
        <v>1.769999999999996</v>
      </c>
      <c r="M150" s="137">
        <f>IF((H150)=0,"",(L150/H150))</f>
        <v>3.4077782056218635E-2</v>
      </c>
    </row>
    <row r="151" spans="1:14" x14ac:dyDescent="0.2">
      <c r="A151" s="46" t="str">
        <f t="shared" si="23"/>
        <v>GENERAL SERVICE LESS THAN 50 KW SERVICE CLASSIFICATION</v>
      </c>
      <c r="C151" s="115"/>
      <c r="D151" s="138" t="s">
        <v>172</v>
      </c>
      <c r="E151" s="117"/>
      <c r="F151" s="126">
        <f>IF((E136*12&gt;=150000), 0, IF(E135="RPP",(F167*0.64+F168*0.18+F169*0.18),IF(E135="Non-RPP (Retailer)",F170,F171)))</f>
        <v>9.2899999999999996E-2</v>
      </c>
      <c r="G151" s="139">
        <f>IF(F151=0, 0, $E136*E138-E136)</f>
        <v>61.400000000000091</v>
      </c>
      <c r="H151" s="120">
        <f>G151*F151</f>
        <v>5.7040600000000081</v>
      </c>
      <c r="I151" s="127">
        <f>IF((E136*12&gt;=150000), 0, IF(E135="RPP",(I167*0.64+I168*0.18+I169*0.18),IF(E135="Non-RPP (Retailer)",I170,I171)))</f>
        <v>9.2899999999999996E-2</v>
      </c>
      <c r="J151" s="140">
        <f>IF(I151=0, 0, E136*E139-E136)</f>
        <v>61.400000000000091</v>
      </c>
      <c r="K151" s="123">
        <f>J151*I151</f>
        <v>5.7040600000000081</v>
      </c>
      <c r="L151" s="124">
        <f>K151-H151</f>
        <v>0</v>
      </c>
      <c r="M151" s="125">
        <f>IF(ISERROR(L151/H151), "", L151/H151)</f>
        <v>0</v>
      </c>
    </row>
    <row r="152" spans="1:14" ht="25.5" x14ac:dyDescent="0.2">
      <c r="A152" s="46" t="str">
        <f t="shared" si="23"/>
        <v>GENERAL SERVICE LESS THAN 50 KW SERVICE CLASSIFICATION</v>
      </c>
      <c r="C152" s="115"/>
      <c r="D152" s="138" t="s">
        <v>173</v>
      </c>
      <c r="E152" s="117"/>
      <c r="F152" s="126">
        <v>1.4E-3</v>
      </c>
      <c r="G152" s="141">
        <f>IF($E137&gt;0, $E137, $E136)</f>
        <v>2000</v>
      </c>
      <c r="H152" s="120">
        <f t="shared" si="21"/>
        <v>2.8</v>
      </c>
      <c r="I152" s="127">
        <f>'Proposed Tariff'!D65+'Proposed Tariff'!D63</f>
        <v>3.4000000000000002E-3</v>
      </c>
      <c r="J152" s="142">
        <f>IF($E137&gt;0, $E137, $E136)</f>
        <v>2000</v>
      </c>
      <c r="K152" s="123">
        <f t="shared" si="24"/>
        <v>6.8000000000000007</v>
      </c>
      <c r="L152" s="124">
        <f t="shared" si="20"/>
        <v>4.0000000000000009</v>
      </c>
      <c r="M152" s="125">
        <f t="shared" si="22"/>
        <v>1.428571428571429</v>
      </c>
    </row>
    <row r="153" spans="1:14" x14ac:dyDescent="0.2">
      <c r="A153" s="46" t="str">
        <f t="shared" si="23"/>
        <v>GENERAL SERVICE LESS THAN 50 KW SERVICE CLASSIFICATION</v>
      </c>
      <c r="C153" s="115"/>
      <c r="D153" s="138" t="s">
        <v>174</v>
      </c>
      <c r="E153" s="117"/>
      <c r="F153" s="126">
        <v>0</v>
      </c>
      <c r="G153" s="141">
        <f>IF($E137&gt;0, $E137, $E136)</f>
        <v>2000</v>
      </c>
      <c r="H153" s="120">
        <f>G153*F153</f>
        <v>0</v>
      </c>
      <c r="I153" s="127">
        <v>0</v>
      </c>
      <c r="J153" s="142">
        <f>IF($E137&gt;0, $E137, $E136)</f>
        <v>2000</v>
      </c>
      <c r="K153" s="123">
        <f>J153*I153</f>
        <v>0</v>
      </c>
      <c r="L153" s="124">
        <f t="shared" si="20"/>
        <v>0</v>
      </c>
      <c r="M153" s="125" t="str">
        <f t="shared" si="22"/>
        <v/>
      </c>
    </row>
    <row r="154" spans="1:14" x14ac:dyDescent="0.2">
      <c r="A154" s="46" t="str">
        <f t="shared" si="23"/>
        <v>GENERAL SERVICE LESS THAN 50 KW SERVICE CLASSIFICATION</v>
      </c>
      <c r="C154" s="115"/>
      <c r="D154" s="138" t="s">
        <v>175</v>
      </c>
      <c r="E154" s="117"/>
      <c r="F154" s="126">
        <v>0</v>
      </c>
      <c r="G154" s="141">
        <f>E136</f>
        <v>2000</v>
      </c>
      <c r="H154" s="120">
        <f>G154*F154</f>
        <v>0</v>
      </c>
      <c r="I154" s="127">
        <v>0</v>
      </c>
      <c r="J154" s="142">
        <f>E136</f>
        <v>2000</v>
      </c>
      <c r="K154" s="123">
        <f t="shared" si="24"/>
        <v>0</v>
      </c>
      <c r="L154" s="124">
        <f t="shared" si="20"/>
        <v>0</v>
      </c>
      <c r="M154" s="125" t="str">
        <f t="shared" si="22"/>
        <v/>
      </c>
    </row>
    <row r="155" spans="1:14" x14ac:dyDescent="0.2">
      <c r="A155" s="46" t="str">
        <f t="shared" si="23"/>
        <v>GENERAL SERVICE LESS THAN 50 KW SERVICE CLASSIFICATION</v>
      </c>
      <c r="C155" s="115"/>
      <c r="D155" s="116" t="s">
        <v>176</v>
      </c>
      <c r="E155" s="117"/>
      <c r="F155" s="126">
        <v>2.0000000000000001E-4</v>
      </c>
      <c r="G155" s="141">
        <f>IF($E137&gt;0, $E137, $E136)</f>
        <v>2000</v>
      </c>
      <c r="H155" s="120">
        <f t="shared" si="21"/>
        <v>0.4</v>
      </c>
      <c r="I155" s="127">
        <v>2.0000000000000001E-4</v>
      </c>
      <c r="J155" s="142">
        <f>IF($E137&gt;0, $E137, $E136)</f>
        <v>2000</v>
      </c>
      <c r="K155" s="123">
        <f t="shared" si="24"/>
        <v>0.4</v>
      </c>
      <c r="L155" s="124">
        <f t="shared" si="20"/>
        <v>0</v>
      </c>
      <c r="M155" s="125">
        <f t="shared" si="22"/>
        <v>0</v>
      </c>
    </row>
    <row r="156" spans="1:14" ht="25.5" x14ac:dyDescent="0.2">
      <c r="A156" s="46" t="str">
        <f t="shared" si="23"/>
        <v>GENERAL SERVICE LESS THAN 50 KW SERVICE CLASSIFICATION</v>
      </c>
      <c r="C156" s="115"/>
      <c r="D156" s="138" t="s">
        <v>177</v>
      </c>
      <c r="E156" s="117"/>
      <c r="F156" s="143">
        <f>IF(OR(ISNUMBER(SEARCH("RESIDENTIAL", E134))=TRUE, ISNUMBER(SEARCH("GENERAL SERVICE LESS THAN 50", E134))=TRUE), 0.43, 0)</f>
        <v>0.43</v>
      </c>
      <c r="G156" s="119">
        <v>1</v>
      </c>
      <c r="H156" s="120">
        <f>G156*F156</f>
        <v>0.43</v>
      </c>
      <c r="I156" s="144">
        <f>IF(OR(ISNUMBER(SEARCH("RESIDENTIAL", E134))=TRUE, ISNUMBER(SEARCH("GENERAL SERVICE LESS THAN 50", E134))=TRUE), SME, 0)</f>
        <v>0.42</v>
      </c>
      <c r="J156" s="128">
        <v>1</v>
      </c>
      <c r="K156" s="123">
        <f>J156*I156</f>
        <v>0.42</v>
      </c>
      <c r="L156" s="124">
        <f t="shared" si="20"/>
        <v>-1.0000000000000009E-2</v>
      </c>
      <c r="M156" s="125">
        <f>IF(ISERROR(L156/H156), "", L156/H156)</f>
        <v>-2.3255813953488393E-2</v>
      </c>
    </row>
    <row r="157" spans="1:14" x14ac:dyDescent="0.2">
      <c r="A157" s="46" t="str">
        <f t="shared" si="23"/>
        <v>GENERAL SERVICE LESS THAN 50 KW SERVICE CLASSIFICATION</v>
      </c>
      <c r="C157" s="115"/>
      <c r="D157" s="116" t="s">
        <v>178</v>
      </c>
      <c r="E157" s="117"/>
      <c r="F157" s="118">
        <v>0</v>
      </c>
      <c r="G157" s="119">
        <v>1</v>
      </c>
      <c r="H157" s="120">
        <f t="shared" si="21"/>
        <v>0</v>
      </c>
      <c r="I157" s="121">
        <v>0</v>
      </c>
      <c r="J157" s="128">
        <v>1</v>
      </c>
      <c r="K157" s="123">
        <f>J157*I157</f>
        <v>0</v>
      </c>
      <c r="L157" s="124">
        <f>K157-H157</f>
        <v>0</v>
      </c>
      <c r="M157" s="125" t="str">
        <f>IF(ISERROR(L157/H157), "", L157/H157)</f>
        <v/>
      </c>
    </row>
    <row r="158" spans="1:14" x14ac:dyDescent="0.2">
      <c r="A158" s="46" t="str">
        <f t="shared" si="23"/>
        <v>GENERAL SERVICE LESS THAN 50 KW SERVICE CLASSIFICATION</v>
      </c>
      <c r="C158" s="115"/>
      <c r="D158" s="116" t="s">
        <v>179</v>
      </c>
      <c r="E158" s="117"/>
      <c r="F158" s="126">
        <v>0</v>
      </c>
      <c r="G158" s="141">
        <f>IF($E137&gt;0, $E137, $E136)</f>
        <v>2000</v>
      </c>
      <c r="H158" s="120">
        <f>G158*F158</f>
        <v>0</v>
      </c>
      <c r="I158" s="127">
        <v>0</v>
      </c>
      <c r="J158" s="142">
        <f>IF($E137&gt;0, $E137, $E136)</f>
        <v>2000</v>
      </c>
      <c r="K158" s="123">
        <f>J158*I158</f>
        <v>0</v>
      </c>
      <c r="L158" s="124">
        <f t="shared" si="20"/>
        <v>0</v>
      </c>
      <c r="M158" s="125" t="str">
        <f>IF(ISERROR(L158/H158), "", L158/H158)</f>
        <v/>
      </c>
    </row>
    <row r="159" spans="1:14" ht="25.5" x14ac:dyDescent="0.2">
      <c r="A159" s="46" t="str">
        <f t="shared" si="23"/>
        <v>GENERAL SERVICE LESS THAN 50 KW SERVICE CLASSIFICATION</v>
      </c>
      <c r="B159" s="46" t="s">
        <v>180</v>
      </c>
      <c r="C159" s="115">
        <f>B31</f>
        <v>2</v>
      </c>
      <c r="D159" s="145" t="s">
        <v>181</v>
      </c>
      <c r="E159" s="146"/>
      <c r="F159" s="147"/>
      <c r="G159" s="148"/>
      <c r="H159" s="149">
        <f>SUM(H150:H158)</f>
        <v>61.274060000000006</v>
      </c>
      <c r="I159" s="150"/>
      <c r="J159" s="151"/>
      <c r="K159" s="149">
        <f>SUM(K150:K158)</f>
        <v>67.034060000000011</v>
      </c>
      <c r="L159" s="136">
        <f t="shared" si="20"/>
        <v>5.7600000000000051</v>
      </c>
      <c r="M159" s="137">
        <f>IF((H159)=0,"",(L159/H159))</f>
        <v>9.4003890063756257E-2</v>
      </c>
    </row>
    <row r="160" spans="1:14" x14ac:dyDescent="0.2">
      <c r="A160" s="46" t="str">
        <f t="shared" si="23"/>
        <v>GENERAL SERVICE LESS THAN 50 KW SERVICE CLASSIFICATION</v>
      </c>
      <c r="C160" s="115"/>
      <c r="D160" s="152" t="s">
        <v>182</v>
      </c>
      <c r="E160" s="117"/>
      <c r="F160" s="126">
        <v>7.7999999999999996E-3</v>
      </c>
      <c r="G160" s="139">
        <f>IF($E137&gt;0, $E137, $E136*$E138)</f>
        <v>2061.4</v>
      </c>
      <c r="H160" s="120">
        <f>G160*F160</f>
        <v>16.07892</v>
      </c>
      <c r="I160" s="153">
        <v>8.0999999999999996E-3</v>
      </c>
      <c r="J160" s="140">
        <f>IF($E137&gt;0, $E137, $E136*$E139)</f>
        <v>2061.4</v>
      </c>
      <c r="K160" s="123">
        <f>J160*I160</f>
        <v>16.697340000000001</v>
      </c>
      <c r="L160" s="124">
        <f t="shared" si="20"/>
        <v>0.61842000000000041</v>
      </c>
      <c r="M160" s="125">
        <f>IF(ISERROR(L160/H160), "", L160/H160)</f>
        <v>3.8461538461538484E-2</v>
      </c>
      <c r="N160" s="154" t="str">
        <f>IF(ISERROR(ABS(M160)), "", IF(ABS(M160)&gt;=4%, "In the manager's summary, discuss the reasoning for the change in RTSR rates", ""))</f>
        <v/>
      </c>
    </row>
    <row r="161" spans="1:14" ht="25.5" x14ac:dyDescent="0.2">
      <c r="A161" s="46" t="str">
        <f t="shared" si="23"/>
        <v>GENERAL SERVICE LESS THAN 50 KW SERVICE CLASSIFICATION</v>
      </c>
      <c r="C161" s="115"/>
      <c r="D161" s="155" t="s">
        <v>183</v>
      </c>
      <c r="E161" s="117"/>
      <c r="F161" s="126">
        <v>4.5999999999999999E-3</v>
      </c>
      <c r="G161" s="139">
        <f>IF($E137&gt;0, $E137, $E136*$E138)</f>
        <v>2061.4</v>
      </c>
      <c r="H161" s="120">
        <f>G161*F161</f>
        <v>9.4824400000000004</v>
      </c>
      <c r="I161" s="153">
        <v>4.4000000000000003E-3</v>
      </c>
      <c r="J161" s="140">
        <f>IF($E137&gt;0, $E137, $E136*$E139)</f>
        <v>2061.4</v>
      </c>
      <c r="K161" s="123">
        <f>J161*I161</f>
        <v>9.0701600000000013</v>
      </c>
      <c r="L161" s="124">
        <f t="shared" si="20"/>
        <v>-0.41227999999999909</v>
      </c>
      <c r="M161" s="125">
        <f>IF(ISERROR(L161/H161), "", L161/H161)</f>
        <v>-4.3478260869565119E-2</v>
      </c>
      <c r="N161" s="154" t="str">
        <f>IF(ISERROR(ABS(M161)), "", IF(ABS(M161)&gt;=4%, "In the manager's summary, discuss the reasoning for the change in RTSR rates", ""))</f>
        <v>In the manager's summary, discuss the reasoning for the change in RTSR rates</v>
      </c>
    </row>
    <row r="162" spans="1:14" ht="25.5" x14ac:dyDescent="0.2">
      <c r="A162" s="46" t="str">
        <f t="shared" si="23"/>
        <v>GENERAL SERVICE LESS THAN 50 KW SERVICE CLASSIFICATION</v>
      </c>
      <c r="B162" s="46" t="s">
        <v>184</v>
      </c>
      <c r="C162" s="115">
        <f>B31</f>
        <v>2</v>
      </c>
      <c r="D162" s="145" t="s">
        <v>185</v>
      </c>
      <c r="E162" s="130"/>
      <c r="F162" s="147"/>
      <c r="G162" s="148"/>
      <c r="H162" s="149">
        <f>SUM(H159:H161)</f>
        <v>86.835419999999999</v>
      </c>
      <c r="I162" s="150"/>
      <c r="J162" s="135"/>
      <c r="K162" s="149">
        <f>SUM(K159:K161)</f>
        <v>92.801560000000009</v>
      </c>
      <c r="L162" s="136">
        <f t="shared" si="20"/>
        <v>5.96614000000001</v>
      </c>
      <c r="M162" s="137">
        <f>IF((H162)=0,"",(L162/H162))</f>
        <v>6.8706295196130918E-2</v>
      </c>
    </row>
    <row r="163" spans="1:14" ht="25.5" x14ac:dyDescent="0.2">
      <c r="A163" s="46" t="str">
        <f t="shared" si="23"/>
        <v>GENERAL SERVICE LESS THAN 50 KW SERVICE CLASSIFICATION</v>
      </c>
      <c r="C163" s="115"/>
      <c r="D163" s="156" t="s">
        <v>186</v>
      </c>
      <c r="E163" s="117"/>
      <c r="F163" s="126">
        <f>IF(AND('[1]1. Information Sheet'!$F$26:$H$26&gt;='[1]17. Regulatory Charges'!$D$14,'[1]1. Information Sheet'!$F$26:$H$26&lt;'[1]17. Regulatory Charges'!$E$14),'[1]17. Regulatory Charges'!$D$15+'[1]17. Regulatory Charges'!$D$16,'[1]17. Regulatory Charges'!$E$15+'[1]17. Regulatory Charges'!$E$16)</f>
        <v>3.4000000000000002E-3</v>
      </c>
      <c r="G163" s="139">
        <f>E136*E138</f>
        <v>2061.4</v>
      </c>
      <c r="H163" s="157">
        <f t="shared" ref="H163:H169" si="25">G163*F163</f>
        <v>7.0087600000000005</v>
      </c>
      <c r="I163" s="127">
        <f>'[1]17. Regulatory Charges'!$E$15+'[1]17. Regulatory Charges'!$E$16</f>
        <v>3.4000000000000002E-3</v>
      </c>
      <c r="J163" s="140">
        <f>E136*E139</f>
        <v>2061.4</v>
      </c>
      <c r="K163" s="123">
        <f t="shared" ref="K163:K169" si="26">J163*I163</f>
        <v>7.0087600000000005</v>
      </c>
      <c r="L163" s="124">
        <f t="shared" si="20"/>
        <v>0</v>
      </c>
      <c r="M163" s="125">
        <f t="shared" ref="M163:M171" si="27">IF(ISERROR(L163/H163), "", L163/H163)</f>
        <v>0</v>
      </c>
    </row>
    <row r="164" spans="1:14" ht="25.5" x14ac:dyDescent="0.2">
      <c r="A164" s="46" t="str">
        <f t="shared" si="23"/>
        <v>GENERAL SERVICE LESS THAN 50 KW SERVICE CLASSIFICATION</v>
      </c>
      <c r="C164" s="115"/>
      <c r="D164" s="156" t="s">
        <v>187</v>
      </c>
      <c r="E164" s="117"/>
      <c r="F164" s="126">
        <f>IF(AND('[1]1. Information Sheet'!$F$26:$H$26&gt;='[1]17. Regulatory Charges'!$D$14,'[1]1. Information Sheet'!$F$26:$H$26&lt;'[1]17. Regulatory Charges'!$D$14),'[1]17. Regulatory Charges'!$D$17,'[1]17. Regulatory Charges'!$E$17)</f>
        <v>5.0000000000000001E-4</v>
      </c>
      <c r="G164" s="139">
        <f>E136*E138</f>
        <v>2061.4</v>
      </c>
      <c r="H164" s="157">
        <f t="shared" si="25"/>
        <v>1.0307000000000002</v>
      </c>
      <c r="I164" s="127">
        <f>'[1]17. Regulatory Charges'!$E$17</f>
        <v>5.0000000000000001E-4</v>
      </c>
      <c r="J164" s="140">
        <f>E136*E139</f>
        <v>2061.4</v>
      </c>
      <c r="K164" s="123">
        <f t="shared" si="26"/>
        <v>1.0307000000000002</v>
      </c>
      <c r="L164" s="124">
        <f t="shared" si="20"/>
        <v>0</v>
      </c>
      <c r="M164" s="125">
        <f t="shared" si="27"/>
        <v>0</v>
      </c>
    </row>
    <row r="165" spans="1:14" x14ac:dyDescent="0.2">
      <c r="A165" s="46" t="str">
        <f t="shared" si="23"/>
        <v>GENERAL SERVICE LESS THAN 50 KW SERVICE CLASSIFICATION</v>
      </c>
      <c r="C165" s="115"/>
      <c r="D165" s="158" t="s">
        <v>188</v>
      </c>
      <c r="E165" s="117"/>
      <c r="F165" s="143">
        <f>IF(AND('[1]1. Information Sheet'!$F$26:$H$26&gt;='[1]17. Regulatory Charges'!$D$14,'[1]1. Information Sheet'!$F$26:$H$26&lt;'[1]17. Regulatory Charges'!$D$14),'[1]17. Regulatory Charges'!$D$18,'[1]17. Regulatory Charges'!$E$18)</f>
        <v>0.25</v>
      </c>
      <c r="G165" s="119">
        <v>1</v>
      </c>
      <c r="H165" s="157">
        <f t="shared" si="25"/>
        <v>0.25</v>
      </c>
      <c r="I165" s="144">
        <f>'[1]17. Regulatory Charges'!$E$18</f>
        <v>0.25</v>
      </c>
      <c r="J165" s="122">
        <v>1</v>
      </c>
      <c r="K165" s="123">
        <f t="shared" si="26"/>
        <v>0.25</v>
      </c>
      <c r="L165" s="124">
        <f t="shared" si="20"/>
        <v>0</v>
      </c>
      <c r="M165" s="125">
        <f t="shared" si="27"/>
        <v>0</v>
      </c>
    </row>
    <row r="166" spans="1:14" ht="25.5" hidden="1" x14ac:dyDescent="0.2">
      <c r="A166" s="46" t="str">
        <f t="shared" si="23"/>
        <v>GENERAL SERVICE LESS THAN 50 KW SERVICE CLASSIFICATION</v>
      </c>
      <c r="C166" s="115"/>
      <c r="D166" s="156" t="s">
        <v>189</v>
      </c>
      <c r="E166" s="117"/>
      <c r="F166" s="126"/>
      <c r="G166" s="139"/>
      <c r="H166" s="157"/>
      <c r="I166" s="127"/>
      <c r="J166" s="140"/>
      <c r="K166" s="123"/>
      <c r="L166" s="124"/>
      <c r="M166" s="125"/>
    </row>
    <row r="167" spans="1:14" x14ac:dyDescent="0.2">
      <c r="A167" s="46" t="str">
        <f t="shared" si="23"/>
        <v>GENERAL SERVICE LESS THAN 50 KW SERVICE CLASSIFICATION</v>
      </c>
      <c r="B167" s="46" t="s">
        <v>139</v>
      </c>
      <c r="C167" s="115"/>
      <c r="D167" s="158" t="s">
        <v>190</v>
      </c>
      <c r="E167" s="117"/>
      <c r="F167" s="159">
        <f>OffPeak</f>
        <v>7.3999999999999996E-2</v>
      </c>
      <c r="G167" s="160">
        <f>IF(AND(E136*12&gt;=150000),0.64*E136*E138,0.64*E136)</f>
        <v>1280</v>
      </c>
      <c r="H167" s="157">
        <f t="shared" si="25"/>
        <v>94.72</v>
      </c>
      <c r="I167" s="161">
        <f>OffPeak</f>
        <v>7.3999999999999996E-2</v>
      </c>
      <c r="J167" s="162">
        <f>IF(AND(E136*12&gt;=150000),0.64*E136*E139,0.64*E136)</f>
        <v>1280</v>
      </c>
      <c r="K167" s="123">
        <f t="shared" si="26"/>
        <v>94.72</v>
      </c>
      <c r="L167" s="124">
        <f>K167-H167</f>
        <v>0</v>
      </c>
      <c r="M167" s="125">
        <f t="shared" si="27"/>
        <v>0</v>
      </c>
    </row>
    <row r="168" spans="1:14" x14ac:dyDescent="0.2">
      <c r="A168" s="46" t="str">
        <f t="shared" si="23"/>
        <v>GENERAL SERVICE LESS THAN 50 KW SERVICE CLASSIFICATION</v>
      </c>
      <c r="B168" s="46" t="s">
        <v>139</v>
      </c>
      <c r="C168" s="115"/>
      <c r="D168" s="158" t="s">
        <v>191</v>
      </c>
      <c r="E168" s="117"/>
      <c r="F168" s="159">
        <f>MidPeak</f>
        <v>0.10199999999999999</v>
      </c>
      <c r="G168" s="160">
        <f>IF(AND(E136*12&gt;=150000),0.18*E136*E138,0.18*E136)</f>
        <v>360</v>
      </c>
      <c r="H168" s="157">
        <f t="shared" si="25"/>
        <v>36.72</v>
      </c>
      <c r="I168" s="161">
        <f>MidPeak</f>
        <v>0.10199999999999999</v>
      </c>
      <c r="J168" s="162">
        <f>IF(AND(E136*12&gt;=150000),0.18*E136*E139,0.18*E136)</f>
        <v>360</v>
      </c>
      <c r="K168" s="123">
        <f t="shared" si="26"/>
        <v>36.72</v>
      </c>
      <c r="L168" s="124">
        <f>K168-H168</f>
        <v>0</v>
      </c>
      <c r="M168" s="125">
        <f t="shared" si="27"/>
        <v>0</v>
      </c>
    </row>
    <row r="169" spans="1:14" ht="13.5" thickBot="1" x14ac:dyDescent="0.25">
      <c r="A169" s="46" t="str">
        <f t="shared" si="23"/>
        <v>GENERAL SERVICE LESS THAN 50 KW SERVICE CLASSIFICATION</v>
      </c>
      <c r="B169" s="46" t="s">
        <v>139</v>
      </c>
      <c r="C169" s="115"/>
      <c r="D169" s="46" t="s">
        <v>192</v>
      </c>
      <c r="E169" s="117"/>
      <c r="F169" s="159">
        <f>OnPeak</f>
        <v>0.151</v>
      </c>
      <c r="G169" s="160">
        <f>IF(AND(E136*12&gt;=150000),0.18*E136*E138,0.18*E136)</f>
        <v>360</v>
      </c>
      <c r="H169" s="157">
        <f t="shared" si="25"/>
        <v>54.36</v>
      </c>
      <c r="I169" s="161">
        <f>OnPeak</f>
        <v>0.151</v>
      </c>
      <c r="J169" s="162">
        <f>IF(AND(E136*12&gt;=150000),0.18*E136*E139,0.18*E136)</f>
        <v>360</v>
      </c>
      <c r="K169" s="123">
        <f t="shared" si="26"/>
        <v>54.36</v>
      </c>
      <c r="L169" s="124">
        <f>K169-H169</f>
        <v>0</v>
      </c>
      <c r="M169" s="125">
        <f t="shared" si="27"/>
        <v>0</v>
      </c>
    </row>
    <row r="170" spans="1:14" ht="13.5" hidden="1" thickBot="1" x14ac:dyDescent="0.25">
      <c r="A170" s="46" t="str">
        <f t="shared" si="23"/>
        <v>GENERAL SERVICE LESS THAN 50 KW SERVICE CLASSIFICATION</v>
      </c>
      <c r="B170" s="46" t="s">
        <v>141</v>
      </c>
      <c r="C170" s="115"/>
      <c r="D170" s="158" t="s">
        <v>193</v>
      </c>
      <c r="E170" s="117"/>
      <c r="F170" s="163">
        <v>9.6699999999999994E-2</v>
      </c>
      <c r="G170" s="160">
        <f>IF(AND(E136*12&gt;=150000),E136*E138,E136)</f>
        <v>2000</v>
      </c>
      <c r="H170" s="157">
        <f>G170*F170</f>
        <v>193.39999999999998</v>
      </c>
      <c r="I170" s="164">
        <f>F170</f>
        <v>9.6699999999999994E-2</v>
      </c>
      <c r="J170" s="162">
        <f>IF(AND(E136*12&gt;=150000),E136*E139,E136)</f>
        <v>2000</v>
      </c>
      <c r="K170" s="123">
        <f>J170*I170</f>
        <v>193.39999999999998</v>
      </c>
      <c r="L170" s="124">
        <f>K170-H170</f>
        <v>0</v>
      </c>
      <c r="M170" s="125">
        <f t="shared" si="27"/>
        <v>0</v>
      </c>
    </row>
    <row r="171" spans="1:14" ht="13.5" hidden="1" thickBot="1" x14ac:dyDescent="0.25">
      <c r="A171" s="46" t="str">
        <f t="shared" si="23"/>
        <v>GENERAL SERVICE LESS THAN 50 KW SERVICE CLASSIFICATION</v>
      </c>
      <c r="B171" s="46" t="s">
        <v>140</v>
      </c>
      <c r="C171" s="115"/>
      <c r="D171" s="158" t="s">
        <v>194</v>
      </c>
      <c r="E171" s="117"/>
      <c r="F171" s="163">
        <v>9.6699999999999994E-2</v>
      </c>
      <c r="G171" s="160">
        <f>IF(AND(E136*12&gt;=150000),E136*E138,E136)</f>
        <v>2000</v>
      </c>
      <c r="H171" s="157">
        <f>G171*F171</f>
        <v>193.39999999999998</v>
      </c>
      <c r="I171" s="164">
        <f>F171</f>
        <v>9.6699999999999994E-2</v>
      </c>
      <c r="J171" s="162">
        <f>IF(AND(E136*12&gt;=150000),E136*E139,E136)</f>
        <v>2000</v>
      </c>
      <c r="K171" s="123">
        <f>J171*I171</f>
        <v>193.39999999999998</v>
      </c>
      <c r="L171" s="124">
        <f>K171-H171</f>
        <v>0</v>
      </c>
      <c r="M171" s="125">
        <f t="shared" si="27"/>
        <v>0</v>
      </c>
    </row>
    <row r="172" spans="1:14" ht="13.5" thickBot="1" x14ac:dyDescent="0.25">
      <c r="A172" s="46" t="str">
        <f t="shared" si="23"/>
        <v>GENERAL SERVICE LESS THAN 50 KW SERVICE CLASSIFICATION</v>
      </c>
      <c r="C172" s="115"/>
      <c r="D172" s="165"/>
      <c r="E172" s="166"/>
      <c r="F172" s="167"/>
      <c r="G172" s="168"/>
      <c r="H172" s="169"/>
      <c r="I172" s="167"/>
      <c r="J172" s="170"/>
      <c r="K172" s="169"/>
      <c r="L172" s="171"/>
      <c r="M172" s="172"/>
    </row>
    <row r="173" spans="1:14" x14ac:dyDescent="0.2">
      <c r="A173" s="46" t="str">
        <f t="shared" si="23"/>
        <v>GENERAL SERVICE LESS THAN 50 KW SERVICE CLASSIFICATION</v>
      </c>
      <c r="B173" s="46" t="s">
        <v>139</v>
      </c>
      <c r="C173" s="115"/>
      <c r="D173" s="173" t="s">
        <v>195</v>
      </c>
      <c r="E173" s="158"/>
      <c r="F173" s="174"/>
      <c r="G173" s="175"/>
      <c r="H173" s="176">
        <f>SUM(H163:H169,H162)</f>
        <v>280.92488000000003</v>
      </c>
      <c r="I173" s="177"/>
      <c r="J173" s="177"/>
      <c r="K173" s="176">
        <f>SUM(K163:K169,K162)</f>
        <v>286.89102000000003</v>
      </c>
      <c r="L173" s="178">
        <f>K173-H173</f>
        <v>5.9661399999999958</v>
      </c>
      <c r="M173" s="179">
        <f>IF((H173)=0,"",(L173/H173))</f>
        <v>2.1237492385864844E-2</v>
      </c>
    </row>
    <row r="174" spans="1:14" x14ac:dyDescent="0.2">
      <c r="A174" s="46" t="str">
        <f t="shared" si="23"/>
        <v>GENERAL SERVICE LESS THAN 50 KW SERVICE CLASSIFICATION</v>
      </c>
      <c r="B174" s="46" t="s">
        <v>139</v>
      </c>
      <c r="C174" s="115"/>
      <c r="D174" s="180" t="s">
        <v>196</v>
      </c>
      <c r="E174" s="158"/>
      <c r="F174" s="174">
        <v>0.13</v>
      </c>
      <c r="G174" s="181"/>
      <c r="H174" s="182">
        <f>H173*F174</f>
        <v>36.520234400000007</v>
      </c>
      <c r="I174" s="183">
        <v>0.13</v>
      </c>
      <c r="J174" s="119"/>
      <c r="K174" s="182">
        <f>K173*I174</f>
        <v>37.295832600000004</v>
      </c>
      <c r="L174" s="124">
        <f>K174-H174</f>
        <v>0.77559819999999746</v>
      </c>
      <c r="M174" s="184">
        <f>IF((H174)=0,"",(L174/H174))</f>
        <v>2.1237492385864788E-2</v>
      </c>
    </row>
    <row r="175" spans="1:14" ht="15" x14ac:dyDescent="0.25">
      <c r="A175" s="46" t="str">
        <f t="shared" si="23"/>
        <v>GENERAL SERVICE LESS THAN 50 KW SERVICE CLASSIFICATION</v>
      </c>
      <c r="B175" s="46" t="s">
        <v>139</v>
      </c>
      <c r="C175" s="115"/>
      <c r="D175" s="180" t="s">
        <v>197</v>
      </c>
      <c r="E175"/>
      <c r="F175" s="185">
        <v>0.11700000000000001</v>
      </c>
      <c r="G175" s="181"/>
      <c r="H175" s="182">
        <f>IF(OR(ISNUMBER(SEARCH("[DGEN]", E134))=TRUE, ISNUMBER(SEARCH("STREET LIGHT", E134))=TRUE), 0, IF(AND(E136=0, E137=0),0, IF(AND(E137=0, E136*12&gt;250000), 0, IF(AND(E136=0, E137&gt;=50), 0, IF(E136*12&lt;=250000, F175*H173*-1, IF(E137&lt;50, F175*H173*-1, 0))))))</f>
        <v>-32.868210960000006</v>
      </c>
      <c r="I175" s="185">
        <v>0.11700000000000001</v>
      </c>
      <c r="J175" s="119"/>
      <c r="K175" s="182">
        <f>IF(OR(ISNUMBER(SEARCH("[DGEN]", E134))=TRUE, ISNUMBER(SEARCH("STREET LIGHT", E134))=TRUE), 0, IF(AND(E136=0, E137=0),0, IF(AND(E137=0, E136*12&gt;250000), 0, IF(AND(E136=0, E137&gt;=50), 0, IF(E136*12&lt;=250000, I175*K173*-1, IF(E137&lt;50, I175*K173*-1, 0))))))</f>
        <v>-33.566249340000006</v>
      </c>
      <c r="L175" s="124">
        <f>K175-H175</f>
        <v>-0.69803837999999985</v>
      </c>
      <c r="M175" s="184"/>
    </row>
    <row r="176" spans="1:14" ht="13.5" thickBot="1" x14ac:dyDescent="0.25">
      <c r="A176" s="46" t="str">
        <f t="shared" si="23"/>
        <v>GENERAL SERVICE LESS THAN 50 KW SERVICE CLASSIFICATION</v>
      </c>
      <c r="B176" s="46" t="s">
        <v>198</v>
      </c>
      <c r="C176" s="115">
        <f>B31</f>
        <v>2</v>
      </c>
      <c r="D176" s="186" t="s">
        <v>199</v>
      </c>
      <c r="E176" s="186"/>
      <c r="F176" s="187"/>
      <c r="G176" s="188"/>
      <c r="H176" s="189">
        <f>H173+H174+H175</f>
        <v>284.57690344000002</v>
      </c>
      <c r="I176" s="190"/>
      <c r="J176" s="190"/>
      <c r="K176" s="191">
        <f>K173+K174+K175</f>
        <v>290.62060326</v>
      </c>
      <c r="L176" s="192">
        <f>K176-H176</f>
        <v>6.0436998199999721</v>
      </c>
      <c r="M176" s="193">
        <f>IF((H176)=0,"",(L176/H176))</f>
        <v>2.123749238586476E-2</v>
      </c>
    </row>
    <row r="177" spans="1:14" ht="13.5" thickBot="1" x14ac:dyDescent="0.25">
      <c r="A177" s="46" t="str">
        <f t="shared" si="23"/>
        <v>GENERAL SERVICE LESS THAN 50 KW SERVICE CLASSIFICATION</v>
      </c>
      <c r="B177" s="46" t="s">
        <v>139</v>
      </c>
      <c r="C177" s="115"/>
      <c r="D177" s="165"/>
      <c r="E177" s="166"/>
      <c r="F177" s="167"/>
      <c r="G177" s="168"/>
      <c r="H177" s="169"/>
      <c r="I177" s="167"/>
      <c r="J177" s="170"/>
      <c r="K177" s="169"/>
      <c r="L177" s="171"/>
      <c r="M177" s="172"/>
    </row>
    <row r="178" spans="1:14" hidden="1" x14ac:dyDescent="0.2">
      <c r="A178" s="46" t="str">
        <f t="shared" si="23"/>
        <v>GENERAL SERVICE LESS THAN 50 KW SERVICE CLASSIFICATION</v>
      </c>
      <c r="B178" s="46" t="s">
        <v>141</v>
      </c>
      <c r="C178" s="115"/>
      <c r="D178" s="173" t="s">
        <v>200</v>
      </c>
      <c r="E178" s="158"/>
      <c r="F178" s="174"/>
      <c r="G178" s="175"/>
      <c r="H178" s="176">
        <f>SUM(H170,H163:H166,H162)</f>
        <v>288.52487999999994</v>
      </c>
      <c r="I178" s="177"/>
      <c r="J178" s="177"/>
      <c r="K178" s="176">
        <f>SUM(K170,K163:K166,K162)</f>
        <v>294.49101999999999</v>
      </c>
      <c r="L178" s="178">
        <f>K178-H178</f>
        <v>5.9661400000000526</v>
      </c>
      <c r="M178" s="179">
        <f>IF((H178)=0,"",(L178/H178))</f>
        <v>2.0678078091567194E-2</v>
      </c>
    </row>
    <row r="179" spans="1:14" hidden="1" x14ac:dyDescent="0.2">
      <c r="A179" s="46" t="str">
        <f t="shared" si="23"/>
        <v>GENERAL SERVICE LESS THAN 50 KW SERVICE CLASSIFICATION</v>
      </c>
      <c r="B179" s="46" t="s">
        <v>141</v>
      </c>
      <c r="C179" s="115"/>
      <c r="D179" s="180" t="s">
        <v>196</v>
      </c>
      <c r="E179" s="158"/>
      <c r="F179" s="174">
        <v>0.13</v>
      </c>
      <c r="G179" s="175"/>
      <c r="H179" s="182">
        <f>H178*F179</f>
        <v>37.508234399999992</v>
      </c>
      <c r="I179" s="174">
        <v>0.13</v>
      </c>
      <c r="J179" s="183"/>
      <c r="K179" s="182">
        <f>K178*I179</f>
        <v>38.283832600000004</v>
      </c>
      <c r="L179" s="124">
        <f>K179-H179</f>
        <v>0.77559820000001167</v>
      </c>
      <c r="M179" s="184">
        <f>IF((H179)=0,"",(L179/H179))</f>
        <v>2.0678078091567322E-2</v>
      </c>
    </row>
    <row r="180" spans="1:14" ht="15" hidden="1" x14ac:dyDescent="0.25">
      <c r="A180" s="46" t="str">
        <f t="shared" si="23"/>
        <v>GENERAL SERVICE LESS THAN 50 KW SERVICE CLASSIFICATION</v>
      </c>
      <c r="B180" s="46" t="s">
        <v>141</v>
      </c>
      <c r="C180" s="115"/>
      <c r="D180" s="180" t="s">
        <v>197</v>
      </c>
      <c r="E180"/>
      <c r="F180" s="185">
        <v>0.11700000000000001</v>
      </c>
      <c r="G180" s="175"/>
      <c r="H180" s="182">
        <f>IF(OR(ISNUMBER(SEARCH("[DGEN]", E134))=TRUE, ISNUMBER(SEARCH("STREET LIGHT", E134))=TRUE), 0, IF(AND(E136=0, E137=0),0, IF(AND(E137=0, E136*12&gt;250000), 0, IF(AND(E136=0, E137&gt;=50), 0, IF(E136*12&lt;=250000, F180*H178*-1, IF(E137&lt;50, F180*H178*-1, 0))))))</f>
        <v>-33.757410959999994</v>
      </c>
      <c r="I180" s="185">
        <v>0.11700000000000001</v>
      </c>
      <c r="J180" s="183"/>
      <c r="K180" s="182">
        <f>IF(OR(ISNUMBER(SEARCH("[DGEN]", E134))=TRUE, ISNUMBER(SEARCH("STREET LIGHT", E134))=TRUE), 0, IF(AND(E136=0, E137=0),0, IF(AND(E137=0, E136*12&gt;250000), 0, IF(AND(E136=0, E137&gt;=50), 0, IF(E136*12&lt;=250000, I180*K178*-1, IF(E137&lt;50, I180*K178*-1, 0))))))</f>
        <v>-34.455449340000001</v>
      </c>
      <c r="L180" s="124"/>
      <c r="M180" s="184"/>
    </row>
    <row r="181" spans="1:14" hidden="1" x14ac:dyDescent="0.2">
      <c r="A181" s="46" t="str">
        <f t="shared" si="23"/>
        <v>GENERAL SERVICE LESS THAN 50 KW SERVICE CLASSIFICATION</v>
      </c>
      <c r="B181" s="46" t="s">
        <v>201</v>
      </c>
      <c r="C181" s="115"/>
      <c r="D181" s="186" t="s">
        <v>200</v>
      </c>
      <c r="E181" s="186"/>
      <c r="F181" s="194"/>
      <c r="G181" s="195"/>
      <c r="H181" s="189">
        <f>SUM(H178,H179)</f>
        <v>326.03311439999993</v>
      </c>
      <c r="I181" s="196"/>
      <c r="J181" s="196"/>
      <c r="K181" s="189">
        <f>SUM(K178,K179)</f>
        <v>332.77485259999997</v>
      </c>
      <c r="L181" s="197">
        <f>K181-H181</f>
        <v>6.741738200000043</v>
      </c>
      <c r="M181" s="198">
        <f>IF((H181)=0,"",(L181/H181))</f>
        <v>2.0678078091567145E-2</v>
      </c>
    </row>
    <row r="182" spans="1:14" ht="13.5" hidden="1" thickBot="1" x14ac:dyDescent="0.25">
      <c r="A182" s="46" t="str">
        <f t="shared" si="23"/>
        <v>GENERAL SERVICE LESS THAN 50 KW SERVICE CLASSIFICATION</v>
      </c>
      <c r="B182" s="46" t="s">
        <v>141</v>
      </c>
      <c r="C182" s="115"/>
      <c r="D182" s="165"/>
      <c r="E182" s="166"/>
      <c r="F182" s="199"/>
      <c r="G182" s="200"/>
      <c r="H182" s="201"/>
      <c r="I182" s="199"/>
      <c r="J182" s="168"/>
      <c r="K182" s="201"/>
      <c r="L182" s="202"/>
      <c r="M182" s="172"/>
    </row>
    <row r="183" spans="1:14" hidden="1" x14ac:dyDescent="0.2">
      <c r="A183" s="46" t="str">
        <f t="shared" si="23"/>
        <v>GENERAL SERVICE LESS THAN 50 KW SERVICE CLASSIFICATION</v>
      </c>
      <c r="B183" s="46" t="s">
        <v>140</v>
      </c>
      <c r="C183" s="115"/>
      <c r="D183" s="173" t="s">
        <v>202</v>
      </c>
      <c r="E183" s="158"/>
      <c r="F183" s="174"/>
      <c r="G183" s="175"/>
      <c r="H183" s="176">
        <f>SUM(H171,H163:H166,H162)</f>
        <v>288.52487999999994</v>
      </c>
      <c r="I183" s="177"/>
      <c r="J183" s="177"/>
      <c r="K183" s="176">
        <f>SUM(K171,K163:K166,K162)</f>
        <v>294.49101999999999</v>
      </c>
      <c r="L183" s="178">
        <f>K183-H183</f>
        <v>5.9661400000000526</v>
      </c>
      <c r="M183" s="179">
        <f>IF((H183)=0,"",(L183/H183))</f>
        <v>2.0678078091567194E-2</v>
      </c>
    </row>
    <row r="184" spans="1:14" hidden="1" x14ac:dyDescent="0.2">
      <c r="A184" s="46" t="str">
        <f t="shared" si="23"/>
        <v>GENERAL SERVICE LESS THAN 50 KW SERVICE CLASSIFICATION</v>
      </c>
      <c r="B184" s="46" t="s">
        <v>140</v>
      </c>
      <c r="C184" s="115"/>
      <c r="D184" s="180" t="s">
        <v>196</v>
      </c>
      <c r="E184" s="158"/>
      <c r="F184" s="174">
        <v>0.13</v>
      </c>
      <c r="G184" s="175"/>
      <c r="H184" s="182">
        <f>H183*F184</f>
        <v>37.508234399999992</v>
      </c>
      <c r="I184" s="174">
        <v>0.13</v>
      </c>
      <c r="J184" s="183"/>
      <c r="K184" s="182">
        <f>K183*I184</f>
        <v>38.283832600000004</v>
      </c>
      <c r="L184" s="124">
        <f>K184-H184</f>
        <v>0.77559820000001167</v>
      </c>
      <c r="M184" s="184">
        <f>IF((H184)=0,"",(L184/H184))</f>
        <v>2.0678078091567322E-2</v>
      </c>
    </row>
    <row r="185" spans="1:14" ht="15" hidden="1" x14ac:dyDescent="0.25">
      <c r="A185" s="46" t="str">
        <f t="shared" si="23"/>
        <v>GENERAL SERVICE LESS THAN 50 KW SERVICE CLASSIFICATION</v>
      </c>
      <c r="B185" s="46" t="s">
        <v>140</v>
      </c>
      <c r="C185" s="115"/>
      <c r="D185" s="180" t="s">
        <v>197</v>
      </c>
      <c r="E185"/>
      <c r="F185" s="185">
        <v>0.11700000000000001</v>
      </c>
      <c r="G185" s="175"/>
      <c r="H185" s="182">
        <f>IF(OR(ISNUMBER(SEARCH("[DGEN]", E134))=TRUE, ISNUMBER(SEARCH("STREET LIGHT", E134))=TRUE), 0, IF(AND(E136=0, E137=0),0, IF(AND(E137=0, E136*12&gt;250000), 0, IF(AND(E136=0, E137&gt;=50), 0, IF(E136*12&lt;=250000, F185*H183*-1, IF(E137&lt;50, F185*H183*-1, 0))))))</f>
        <v>-33.757410959999994</v>
      </c>
      <c r="I185" s="185">
        <v>0.11700000000000001</v>
      </c>
      <c r="J185" s="183"/>
      <c r="K185" s="182">
        <f>IF(OR(ISNUMBER(SEARCH("[DGEN]", E134))=TRUE, ISNUMBER(SEARCH("STREET LIGHT", E134))=TRUE), 0, IF(AND(E136=0, E137=0),0, IF(AND(E137=0, E136*12&gt;250000), 0, IF(AND(E136=0, E137&gt;=50), 0, IF(E136*12&lt;=250000, I185*K183*-1, IF(E137&lt;50, I185*K183*-1, 0))))))</f>
        <v>-34.455449340000001</v>
      </c>
      <c r="L185" s="124"/>
      <c r="M185" s="184"/>
    </row>
    <row r="186" spans="1:14" hidden="1" x14ac:dyDescent="0.2">
      <c r="A186" s="46" t="str">
        <f t="shared" si="23"/>
        <v>GENERAL SERVICE LESS THAN 50 KW SERVICE CLASSIFICATION</v>
      </c>
      <c r="B186" s="46" t="s">
        <v>203</v>
      </c>
      <c r="C186" s="115"/>
      <c r="D186" s="186" t="s">
        <v>202</v>
      </c>
      <c r="E186" s="186"/>
      <c r="F186" s="194"/>
      <c r="G186" s="195"/>
      <c r="H186" s="189">
        <f>SUM(H183,H184)</f>
        <v>326.03311439999993</v>
      </c>
      <c r="I186" s="196"/>
      <c r="J186" s="196"/>
      <c r="K186" s="189">
        <f>SUM(K183,K184)</f>
        <v>332.77485259999997</v>
      </c>
      <c r="L186" s="197">
        <f>K186-H186</f>
        <v>6.741738200000043</v>
      </c>
      <c r="M186" s="198">
        <f>IF((H186)=0,"",(L186/H186))</f>
        <v>2.0678078091567145E-2</v>
      </c>
    </row>
    <row r="187" spans="1:14" ht="13.5" hidden="1" thickBot="1" x14ac:dyDescent="0.25">
      <c r="A187" s="46" t="str">
        <f t="shared" si="23"/>
        <v>GENERAL SERVICE LESS THAN 50 KW SERVICE CLASSIFICATION</v>
      </c>
      <c r="B187" s="46" t="s">
        <v>140</v>
      </c>
      <c r="C187" s="115"/>
      <c r="D187" s="165"/>
      <c r="E187" s="166"/>
      <c r="F187" s="203"/>
      <c r="G187" s="200"/>
      <c r="H187" s="204"/>
      <c r="I187" s="203"/>
      <c r="J187" s="168"/>
      <c r="K187" s="204"/>
      <c r="L187" s="202"/>
      <c r="M187" s="205"/>
    </row>
    <row r="190" spans="1:14" x14ac:dyDescent="0.2">
      <c r="C190" s="46"/>
      <c r="D190" s="90" t="s">
        <v>150</v>
      </c>
      <c r="E190" s="91" t="str">
        <f>D32</f>
        <v>GENERAL SERVICE 50 TO 999 KW SERVICE CLASSIFICATION</v>
      </c>
      <c r="F190" s="91"/>
      <c r="G190" s="91"/>
      <c r="H190" s="91"/>
      <c r="I190" s="91"/>
      <c r="J190" s="91"/>
      <c r="K190" s="46" t="str">
        <f>IF(N32="DEMAND - INTERVAL","RTSR - INTERVAL METERED","")</f>
        <v/>
      </c>
    </row>
    <row r="191" spans="1:14" x14ac:dyDescent="0.2">
      <c r="C191" s="46"/>
      <c r="D191" s="90" t="s">
        <v>151</v>
      </c>
      <c r="E191" s="92" t="str">
        <f>H32</f>
        <v>Non-RPP (Other)</v>
      </c>
      <c r="F191" s="92"/>
      <c r="G191" s="92"/>
      <c r="H191" s="93"/>
      <c r="I191" s="93"/>
    </row>
    <row r="192" spans="1:14" ht="15.75" x14ac:dyDescent="0.2">
      <c r="C192" s="46"/>
      <c r="D192" s="90" t="s">
        <v>152</v>
      </c>
      <c r="E192" s="94">
        <f>K32</f>
        <v>20000</v>
      </c>
      <c r="F192" s="95" t="s">
        <v>153</v>
      </c>
      <c r="J192" s="96"/>
      <c r="K192" s="96"/>
      <c r="L192" s="96"/>
      <c r="M192" s="96"/>
      <c r="N192" s="96"/>
    </row>
    <row r="193" spans="1:13" ht="15.75" x14ac:dyDescent="0.25">
      <c r="C193" s="46"/>
      <c r="D193" s="90" t="s">
        <v>154</v>
      </c>
      <c r="E193" s="94">
        <f>L32</f>
        <v>60</v>
      </c>
      <c r="F193" s="97" t="s">
        <v>155</v>
      </c>
      <c r="G193" s="98"/>
      <c r="H193" s="99"/>
      <c r="I193" s="99"/>
      <c r="J193" s="99"/>
    </row>
    <row r="194" spans="1:13" x14ac:dyDescent="0.2">
      <c r="C194" s="46"/>
      <c r="D194" s="90" t="s">
        <v>156</v>
      </c>
      <c r="E194" s="100">
        <f>I32</f>
        <v>1.0306999999999999</v>
      </c>
    </row>
    <row r="195" spans="1:13" x14ac:dyDescent="0.2">
      <c r="C195" s="46"/>
      <c r="D195" s="90" t="s">
        <v>157</v>
      </c>
      <c r="E195" s="100">
        <f>J32</f>
        <v>1.0306999999999999</v>
      </c>
    </row>
    <row r="196" spans="1:13" x14ac:dyDescent="0.2">
      <c r="C196" s="46"/>
    </row>
    <row r="197" spans="1:13" x14ac:dyDescent="0.2">
      <c r="C197" s="46"/>
      <c r="E197" s="95"/>
      <c r="F197" s="101" t="s">
        <v>204</v>
      </c>
      <c r="G197" s="102"/>
      <c r="H197" s="103"/>
      <c r="I197" s="101" t="s">
        <v>205</v>
      </c>
      <c r="J197" s="102"/>
      <c r="K197" s="103"/>
      <c r="L197" s="101" t="s">
        <v>158</v>
      </c>
      <c r="M197" s="103"/>
    </row>
    <row r="198" spans="1:13" x14ac:dyDescent="0.2">
      <c r="C198" s="46"/>
      <c r="E198" s="104"/>
      <c r="F198" s="105" t="s">
        <v>159</v>
      </c>
      <c r="G198" s="105" t="s">
        <v>160</v>
      </c>
      <c r="H198" s="106" t="s">
        <v>161</v>
      </c>
      <c r="I198" s="105" t="s">
        <v>159</v>
      </c>
      <c r="J198" s="107" t="s">
        <v>160</v>
      </c>
      <c r="K198" s="106" t="s">
        <v>161</v>
      </c>
      <c r="L198" s="108" t="s">
        <v>162</v>
      </c>
      <c r="M198" s="109" t="s">
        <v>163</v>
      </c>
    </row>
    <row r="199" spans="1:13" x14ac:dyDescent="0.2">
      <c r="C199" s="46"/>
      <c r="E199" s="110"/>
      <c r="F199" s="111" t="s">
        <v>164</v>
      </c>
      <c r="G199" s="111"/>
      <c r="H199" s="112" t="s">
        <v>164</v>
      </c>
      <c r="I199" s="111" t="s">
        <v>164</v>
      </c>
      <c r="J199" s="112"/>
      <c r="K199" s="112" t="s">
        <v>164</v>
      </c>
      <c r="L199" s="113"/>
      <c r="M199" s="114"/>
    </row>
    <row r="200" spans="1:13" x14ac:dyDescent="0.2">
      <c r="A200" s="46" t="str">
        <f>$E190</f>
        <v>GENERAL SERVICE 50 TO 999 KW SERVICE CLASSIFICATION</v>
      </c>
      <c r="C200" s="115"/>
      <c r="D200" s="116" t="s">
        <v>165</v>
      </c>
      <c r="E200" s="117"/>
      <c r="F200" s="118">
        <v>109.72</v>
      </c>
      <c r="G200" s="119">
        <v>1</v>
      </c>
      <c r="H200" s="120">
        <f>G200*F200</f>
        <v>109.72</v>
      </c>
      <c r="I200" s="121">
        <v>113.62</v>
      </c>
      <c r="J200" s="122">
        <f>G200</f>
        <v>1</v>
      </c>
      <c r="K200" s="123">
        <f>J200*I200</f>
        <v>113.62</v>
      </c>
      <c r="L200" s="124">
        <f t="shared" ref="L200:L221" si="28">K200-H200</f>
        <v>3.9000000000000057</v>
      </c>
      <c r="M200" s="125">
        <f>IF(ISERROR(L200/H200), "", L200/H200)</f>
        <v>3.5545023696682519E-2</v>
      </c>
    </row>
    <row r="201" spans="1:13" x14ac:dyDescent="0.2">
      <c r="A201" s="46" t="str">
        <f>A200</f>
        <v>GENERAL SERVICE 50 TO 999 KW SERVICE CLASSIFICATION</v>
      </c>
      <c r="C201" s="115"/>
      <c r="D201" s="116" t="s">
        <v>30</v>
      </c>
      <c r="E201" s="117"/>
      <c r="F201" s="126">
        <v>4.0572999999999997</v>
      </c>
      <c r="G201" s="119">
        <f>IF($E193&gt;0, $E193, $E192)</f>
        <v>60</v>
      </c>
      <c r="H201" s="120">
        <f t="shared" ref="H201:H213" si="29">G201*F201</f>
        <v>243.43799999999999</v>
      </c>
      <c r="I201" s="127">
        <v>4.2012999999999998</v>
      </c>
      <c r="J201" s="122">
        <f>IF($E193&gt;0, $E193, $E192)</f>
        <v>60</v>
      </c>
      <c r="K201" s="123">
        <f>J201*I201</f>
        <v>252.07799999999997</v>
      </c>
      <c r="L201" s="124">
        <f t="shared" si="28"/>
        <v>8.6399999999999864</v>
      </c>
      <c r="M201" s="125">
        <f t="shared" ref="M201:M211" si="30">IF(ISERROR(L201/H201), "", L201/H201)</f>
        <v>3.5491583072486572E-2</v>
      </c>
    </row>
    <row r="202" spans="1:13" hidden="1" x14ac:dyDescent="0.2">
      <c r="A202" s="46" t="str">
        <f t="shared" ref="A202:A243" si="31">A201</f>
        <v>GENERAL SERVICE 50 TO 999 KW SERVICE CLASSIFICATION</v>
      </c>
      <c r="C202" s="115"/>
      <c r="D202" s="116" t="s">
        <v>166</v>
      </c>
      <c r="E202" s="117"/>
      <c r="F202" s="126"/>
      <c r="G202" s="119">
        <f>IF($E193&gt;0, $E193, $E192)</f>
        <v>60</v>
      </c>
      <c r="H202" s="120">
        <v>0</v>
      </c>
      <c r="I202" s="127"/>
      <c r="J202" s="122">
        <f>IF($E193&gt;0, $E193, $E192)</f>
        <v>60</v>
      </c>
      <c r="K202" s="123">
        <v>0</v>
      </c>
      <c r="L202" s="124"/>
      <c r="M202" s="125"/>
    </row>
    <row r="203" spans="1:13" hidden="1" x14ac:dyDescent="0.2">
      <c r="A203" s="46" t="str">
        <f t="shared" si="31"/>
        <v>GENERAL SERVICE 50 TO 999 KW SERVICE CLASSIFICATION</v>
      </c>
      <c r="C203" s="115"/>
      <c r="D203" s="116" t="s">
        <v>167</v>
      </c>
      <c r="E203" s="117"/>
      <c r="F203" s="126"/>
      <c r="G203" s="119">
        <f>IF($E193&gt;0, $E193, $E192)</f>
        <v>60</v>
      </c>
      <c r="H203" s="120">
        <v>0</v>
      </c>
      <c r="I203" s="127"/>
      <c r="J203" s="128">
        <f>IF($E193&gt;0, $E193, $E192)</f>
        <v>60</v>
      </c>
      <c r="K203" s="123">
        <v>0</v>
      </c>
      <c r="L203" s="124">
        <f>K203-H203</f>
        <v>0</v>
      </c>
      <c r="M203" s="125" t="str">
        <f>IF(ISERROR(L203/H203), "", L203/H203)</f>
        <v/>
      </c>
    </row>
    <row r="204" spans="1:13" x14ac:dyDescent="0.2">
      <c r="A204" s="46" t="str">
        <f t="shared" si="31"/>
        <v>GENERAL SERVICE 50 TO 999 KW SERVICE CLASSIFICATION</v>
      </c>
      <c r="C204" s="115"/>
      <c r="D204" s="116" t="s">
        <v>168</v>
      </c>
      <c r="E204" s="117"/>
      <c r="F204" s="118">
        <v>21.85</v>
      </c>
      <c r="G204" s="119">
        <v>1</v>
      </c>
      <c r="H204" s="120">
        <f t="shared" si="29"/>
        <v>21.85</v>
      </c>
      <c r="I204" s="121">
        <v>21.85</v>
      </c>
      <c r="J204" s="122">
        <f>G204</f>
        <v>1</v>
      </c>
      <c r="K204" s="123">
        <f t="shared" ref="K204:K211" si="32">J204*I204</f>
        <v>21.85</v>
      </c>
      <c r="L204" s="124">
        <f t="shared" si="28"/>
        <v>0</v>
      </c>
      <c r="M204" s="125">
        <f t="shared" si="30"/>
        <v>0</v>
      </c>
    </row>
    <row r="205" spans="1:13" x14ac:dyDescent="0.2">
      <c r="A205" s="46" t="str">
        <f t="shared" si="31"/>
        <v>GENERAL SERVICE 50 TO 999 KW SERVICE CLASSIFICATION</v>
      </c>
      <c r="C205" s="115"/>
      <c r="D205" s="116" t="s">
        <v>169</v>
      </c>
      <c r="E205" s="117"/>
      <c r="F205" s="126">
        <v>0</v>
      </c>
      <c r="G205" s="119">
        <f>IF($E193&gt;0, $E193, $E192)</f>
        <v>60</v>
      </c>
      <c r="H205" s="120">
        <f t="shared" si="29"/>
        <v>0</v>
      </c>
      <c r="I205" s="127">
        <v>0</v>
      </c>
      <c r="J205" s="122">
        <f>IF($E193&gt;0, $E193, $E192)</f>
        <v>60</v>
      </c>
      <c r="K205" s="123">
        <f t="shared" si="32"/>
        <v>0</v>
      </c>
      <c r="L205" s="124">
        <f t="shared" si="28"/>
        <v>0</v>
      </c>
      <c r="M205" s="125" t="str">
        <f t="shared" si="30"/>
        <v/>
      </c>
    </row>
    <row r="206" spans="1:13" x14ac:dyDescent="0.2">
      <c r="A206" s="46" t="str">
        <f t="shared" si="31"/>
        <v>GENERAL SERVICE 50 TO 999 KW SERVICE CLASSIFICATION</v>
      </c>
      <c r="B206" s="46" t="s">
        <v>170</v>
      </c>
      <c r="C206" s="115">
        <f>B32</f>
        <v>3</v>
      </c>
      <c r="D206" s="129" t="s">
        <v>171</v>
      </c>
      <c r="E206" s="130"/>
      <c r="F206" s="131"/>
      <c r="G206" s="132"/>
      <c r="H206" s="133">
        <f>SUM(H200:H205)</f>
        <v>375.00800000000004</v>
      </c>
      <c r="I206" s="134"/>
      <c r="J206" s="135"/>
      <c r="K206" s="133">
        <f>SUM(K200:K205)</f>
        <v>387.548</v>
      </c>
      <c r="L206" s="136">
        <f t="shared" si="28"/>
        <v>12.539999999999964</v>
      </c>
      <c r="M206" s="137">
        <f>IF((H206)=0,"",(L206/H206))</f>
        <v>3.3439286628551827E-2</v>
      </c>
    </row>
    <row r="207" spans="1:13" x14ac:dyDescent="0.2">
      <c r="A207" s="46" t="str">
        <f t="shared" si="31"/>
        <v>GENERAL SERVICE 50 TO 999 KW SERVICE CLASSIFICATION</v>
      </c>
      <c r="C207" s="115"/>
      <c r="D207" s="138" t="s">
        <v>172</v>
      </c>
      <c r="E207" s="117"/>
      <c r="F207" s="126">
        <f>IF((E192*12&gt;=150000), 0, IF(E191="RPP",(F223*0.64+F224*0.18+F225*0.18),IF(E191="Non-RPP (Retailer)",F226,F227)))</f>
        <v>0</v>
      </c>
      <c r="G207" s="139">
        <f>IF(F207=0, 0, $E192*E194-E192)</f>
        <v>0</v>
      </c>
      <c r="H207" s="120">
        <f>G207*F207</f>
        <v>0</v>
      </c>
      <c r="I207" s="127">
        <f>IF((E192*12&gt;=150000), 0, IF(E191="RPP",(I223*0.64+I224*0.18+I225*0.18),IF(E191="Non-RPP (Retailer)",I226,I227)))</f>
        <v>0</v>
      </c>
      <c r="J207" s="140">
        <f>IF(I207=0, 0, E192*E195-E192)</f>
        <v>0</v>
      </c>
      <c r="K207" s="123">
        <f>J207*I207</f>
        <v>0</v>
      </c>
      <c r="L207" s="124">
        <f>K207-H207</f>
        <v>0</v>
      </c>
      <c r="M207" s="125" t="str">
        <f>IF(ISERROR(L207/H207), "", L207/H207)</f>
        <v/>
      </c>
    </row>
    <row r="208" spans="1:13" ht="25.5" x14ac:dyDescent="0.2">
      <c r="A208" s="46" t="str">
        <f t="shared" si="31"/>
        <v>GENERAL SERVICE 50 TO 999 KW SERVICE CLASSIFICATION</v>
      </c>
      <c r="C208" s="115"/>
      <c r="D208" s="138" t="s">
        <v>173</v>
      </c>
      <c r="E208" s="117"/>
      <c r="F208" s="126">
        <v>0.44519999999999998</v>
      </c>
      <c r="G208" s="141">
        <f>IF($E193&gt;0, $E193, $E192)</f>
        <v>60</v>
      </c>
      <c r="H208" s="120">
        <f t="shared" si="29"/>
        <v>26.712</v>
      </c>
      <c r="I208" s="127">
        <f>'Proposed Tariff'!D103+'Proposed Tariff'!D104+'Proposed Tariff'!D100+'Proposed Tariff'!D101</f>
        <v>0.78349999999999997</v>
      </c>
      <c r="J208" s="142">
        <f>IF($E193&gt;0, $E193, $E192)</f>
        <v>60</v>
      </c>
      <c r="K208" s="123">
        <f t="shared" si="32"/>
        <v>47.01</v>
      </c>
      <c r="L208" s="124">
        <f t="shared" si="28"/>
        <v>20.297999999999998</v>
      </c>
      <c r="M208" s="125">
        <f t="shared" si="30"/>
        <v>0.7598831985624438</v>
      </c>
    </row>
    <row r="209" spans="1:14" x14ac:dyDescent="0.2">
      <c r="A209" s="46" t="str">
        <f t="shared" si="31"/>
        <v>GENERAL SERVICE 50 TO 999 KW SERVICE CLASSIFICATION</v>
      </c>
      <c r="C209" s="115"/>
      <c r="D209" s="138" t="s">
        <v>174</v>
      </c>
      <c r="E209" s="117"/>
      <c r="F209" s="126">
        <v>0</v>
      </c>
      <c r="G209" s="141">
        <f>IF($E193&gt;0, $E193, $E192)</f>
        <v>60</v>
      </c>
      <c r="H209" s="120">
        <f>G209*F209</f>
        <v>0</v>
      </c>
      <c r="I209" s="127">
        <f>'Proposed Tariff'!D102</f>
        <v>-3.5299999999999998E-2</v>
      </c>
      <c r="J209" s="142">
        <f>IF($E193&gt;0, $E193, $E192)</f>
        <v>60</v>
      </c>
      <c r="K209" s="123">
        <f>J209*I209</f>
        <v>-2.1179999999999999</v>
      </c>
      <c r="L209" s="124">
        <f t="shared" si="28"/>
        <v>-2.1179999999999999</v>
      </c>
      <c r="M209" s="125" t="str">
        <f t="shared" si="30"/>
        <v/>
      </c>
    </row>
    <row r="210" spans="1:14" x14ac:dyDescent="0.2">
      <c r="A210" s="46" t="str">
        <f t="shared" si="31"/>
        <v>GENERAL SERVICE 50 TO 999 KW SERVICE CLASSIFICATION</v>
      </c>
      <c r="C210" s="115"/>
      <c r="D210" s="138" t="s">
        <v>175</v>
      </c>
      <c r="E210" s="117"/>
      <c r="F210" s="126">
        <v>1.6000000000000001E-3</v>
      </c>
      <c r="G210" s="141">
        <f>E192</f>
        <v>20000</v>
      </c>
      <c r="H210" s="120">
        <f>G210*F210</f>
        <v>32</v>
      </c>
      <c r="I210" s="127">
        <f>'Proposed Tariff'!D140</f>
        <v>-4.4999999999999997E-3</v>
      </c>
      <c r="J210" s="142">
        <f>E192</f>
        <v>20000</v>
      </c>
      <c r="K210" s="123">
        <f t="shared" si="32"/>
        <v>-90</v>
      </c>
      <c r="L210" s="124">
        <f t="shared" si="28"/>
        <v>-122</v>
      </c>
      <c r="M210" s="125">
        <f t="shared" si="30"/>
        <v>-3.8125</v>
      </c>
    </row>
    <row r="211" spans="1:14" x14ac:dyDescent="0.2">
      <c r="A211" s="46" t="str">
        <f t="shared" si="31"/>
        <v>GENERAL SERVICE 50 TO 999 KW SERVICE CLASSIFICATION</v>
      </c>
      <c r="C211" s="115"/>
      <c r="D211" s="116" t="s">
        <v>176</v>
      </c>
      <c r="E211" s="117"/>
      <c r="F211" s="126">
        <v>0.14549999999999999</v>
      </c>
      <c r="G211" s="141">
        <f>IF($E193&gt;0, $E193, $E192)</f>
        <v>60</v>
      </c>
      <c r="H211" s="120">
        <f t="shared" si="29"/>
        <v>8.7299999999999986</v>
      </c>
      <c r="I211" s="127">
        <v>0.14549999999999999</v>
      </c>
      <c r="J211" s="142">
        <f>IF($E193&gt;0, $E193, $E192)</f>
        <v>60</v>
      </c>
      <c r="K211" s="123">
        <f t="shared" si="32"/>
        <v>8.7299999999999986</v>
      </c>
      <c r="L211" s="124">
        <f t="shared" si="28"/>
        <v>0</v>
      </c>
      <c r="M211" s="125">
        <f t="shared" si="30"/>
        <v>0</v>
      </c>
    </row>
    <row r="212" spans="1:14" ht="25.5" x14ac:dyDescent="0.2">
      <c r="A212" s="46" t="str">
        <f t="shared" si="31"/>
        <v>GENERAL SERVICE 50 TO 999 KW SERVICE CLASSIFICATION</v>
      </c>
      <c r="C212" s="115"/>
      <c r="D212" s="138" t="s">
        <v>177</v>
      </c>
      <c r="E212" s="117"/>
      <c r="F212" s="143">
        <f>IF(OR(ISNUMBER(SEARCH("RESIDENTIAL", E190))=TRUE, ISNUMBER(SEARCH("GENERAL SERVICE LESS THAN 50", E190))=TRUE), 0.43, 0)</f>
        <v>0</v>
      </c>
      <c r="G212" s="119">
        <v>1</v>
      </c>
      <c r="H212" s="120">
        <f>G212*F212</f>
        <v>0</v>
      </c>
      <c r="I212" s="144">
        <f>IF(OR(ISNUMBER(SEARCH("RESIDENTIAL", E190))=TRUE, ISNUMBER(SEARCH("GENERAL SERVICE LESS THAN 50", E190))=TRUE), SME, 0)</f>
        <v>0</v>
      </c>
      <c r="J212" s="128">
        <v>1</v>
      </c>
      <c r="K212" s="123">
        <f>J212*I212</f>
        <v>0</v>
      </c>
      <c r="L212" s="124">
        <f t="shared" si="28"/>
        <v>0</v>
      </c>
      <c r="M212" s="125" t="str">
        <f>IF(ISERROR(L212/H212), "", L212/H212)</f>
        <v/>
      </c>
    </row>
    <row r="213" spans="1:14" x14ac:dyDescent="0.2">
      <c r="A213" s="46" t="str">
        <f t="shared" si="31"/>
        <v>GENERAL SERVICE 50 TO 999 KW SERVICE CLASSIFICATION</v>
      </c>
      <c r="C213" s="115"/>
      <c r="D213" s="116" t="s">
        <v>178</v>
      </c>
      <c r="E213" s="117"/>
      <c r="F213" s="118">
        <v>0</v>
      </c>
      <c r="G213" s="119">
        <v>1</v>
      </c>
      <c r="H213" s="120">
        <f t="shared" si="29"/>
        <v>0</v>
      </c>
      <c r="I213" s="121">
        <v>0</v>
      </c>
      <c r="J213" s="128">
        <v>1</v>
      </c>
      <c r="K213" s="123">
        <f>J213*I213</f>
        <v>0</v>
      </c>
      <c r="L213" s="124">
        <f>K213-H213</f>
        <v>0</v>
      </c>
      <c r="M213" s="125" t="str">
        <f>IF(ISERROR(L213/H213), "", L213/H213)</f>
        <v/>
      </c>
    </row>
    <row r="214" spans="1:14" x14ac:dyDescent="0.2">
      <c r="A214" s="46" t="str">
        <f t="shared" si="31"/>
        <v>GENERAL SERVICE 50 TO 999 KW SERVICE CLASSIFICATION</v>
      </c>
      <c r="C214" s="115"/>
      <c r="D214" s="116" t="s">
        <v>179</v>
      </c>
      <c r="E214" s="117"/>
      <c r="F214" s="126">
        <v>0</v>
      </c>
      <c r="G214" s="141">
        <f>IF($E193&gt;0, $E193, $E192)</f>
        <v>60</v>
      </c>
      <c r="H214" s="120">
        <f>G214*F214</f>
        <v>0</v>
      </c>
      <c r="I214" s="127">
        <v>0</v>
      </c>
      <c r="J214" s="142">
        <f>IF($E193&gt;0, $E193, $E192)</f>
        <v>60</v>
      </c>
      <c r="K214" s="123">
        <f>J214*I214</f>
        <v>0</v>
      </c>
      <c r="L214" s="124">
        <f t="shared" si="28"/>
        <v>0</v>
      </c>
      <c r="M214" s="125" t="str">
        <f>IF(ISERROR(L214/H214), "", L214/H214)</f>
        <v/>
      </c>
    </row>
    <row r="215" spans="1:14" ht="25.5" x14ac:dyDescent="0.2">
      <c r="A215" s="46" t="str">
        <f t="shared" si="31"/>
        <v>GENERAL SERVICE 50 TO 999 KW SERVICE CLASSIFICATION</v>
      </c>
      <c r="B215" s="46" t="s">
        <v>180</v>
      </c>
      <c r="C215" s="115">
        <f>B32</f>
        <v>3</v>
      </c>
      <c r="D215" s="145" t="s">
        <v>181</v>
      </c>
      <c r="E215" s="146"/>
      <c r="F215" s="147"/>
      <c r="G215" s="148"/>
      <c r="H215" s="149">
        <f>SUM(H206:H214)</f>
        <v>442.45000000000005</v>
      </c>
      <c r="I215" s="150"/>
      <c r="J215" s="151"/>
      <c r="K215" s="149">
        <f>SUM(K206:K214)</f>
        <v>351.17</v>
      </c>
      <c r="L215" s="136">
        <f t="shared" si="28"/>
        <v>-91.28000000000003</v>
      </c>
      <c r="M215" s="137">
        <f>IF((H215)=0,"",(L215/H215))</f>
        <v>-0.20630579726522774</v>
      </c>
    </row>
    <row r="216" spans="1:14" x14ac:dyDescent="0.2">
      <c r="A216" s="46" t="str">
        <f t="shared" si="31"/>
        <v>GENERAL SERVICE 50 TO 999 KW SERVICE CLASSIFICATION</v>
      </c>
      <c r="C216" s="115"/>
      <c r="D216" s="152" t="s">
        <v>182</v>
      </c>
      <c r="E216" s="117"/>
      <c r="F216" s="126">
        <v>4.5800999999999998</v>
      </c>
      <c r="G216" s="139">
        <f>IF($E193&gt;0, $E193, $E192*$E194)</f>
        <v>60</v>
      </c>
      <c r="H216" s="120">
        <f>G216*F216</f>
        <v>274.80599999999998</v>
      </c>
      <c r="I216" s="153">
        <v>4.7381000000000002</v>
      </c>
      <c r="J216" s="140">
        <f>IF($E193&gt;0, $E193, $E192*$E195)</f>
        <v>60</v>
      </c>
      <c r="K216" s="123">
        <f>J216*I216</f>
        <v>284.286</v>
      </c>
      <c r="L216" s="124">
        <f t="shared" si="28"/>
        <v>9.4800000000000182</v>
      </c>
      <c r="M216" s="125">
        <f>IF(ISERROR(L216/H216), "", L216/H216)</f>
        <v>3.449706338289564E-2</v>
      </c>
      <c r="N216" s="154" t="str">
        <f>IF(ISERROR(ABS(M216)), "", IF(ABS(M216)&gt;=4%, "In the manager's summary, discuss the reasoning for the change in RTSR rates", ""))</f>
        <v/>
      </c>
    </row>
    <row r="217" spans="1:14" ht="25.5" x14ac:dyDescent="0.2">
      <c r="A217" s="46" t="str">
        <f t="shared" si="31"/>
        <v>GENERAL SERVICE 50 TO 999 KW SERVICE CLASSIFICATION</v>
      </c>
      <c r="C217" s="115"/>
      <c r="D217" s="155" t="s">
        <v>183</v>
      </c>
      <c r="E217" s="117"/>
      <c r="F217" s="126">
        <v>2.6766999999999999</v>
      </c>
      <c r="G217" s="139">
        <f>IF($E193&gt;0, $E193, $E192*$E194)</f>
        <v>60</v>
      </c>
      <c r="H217" s="120">
        <f>G217*F217</f>
        <v>160.602</v>
      </c>
      <c r="I217" s="153">
        <v>2.5701999999999998</v>
      </c>
      <c r="J217" s="140">
        <f>IF($E193&gt;0, $E193, $E192*$E195)</f>
        <v>60</v>
      </c>
      <c r="K217" s="123">
        <f>J217*I217</f>
        <v>154.21199999999999</v>
      </c>
      <c r="L217" s="124">
        <f t="shared" si="28"/>
        <v>-6.3900000000000148</v>
      </c>
      <c r="M217" s="125">
        <f>IF(ISERROR(L217/H217), "", L217/H217)</f>
        <v>-3.9787798408488152E-2</v>
      </c>
      <c r="N217" s="154" t="str">
        <f>IF(ISERROR(ABS(M217)), "", IF(ABS(M217)&gt;=4%, "In the manager's summary, discuss the reasoning for the change in RTSR rates", ""))</f>
        <v/>
      </c>
    </row>
    <row r="218" spans="1:14" ht="25.5" x14ac:dyDescent="0.2">
      <c r="A218" s="46" t="str">
        <f t="shared" si="31"/>
        <v>GENERAL SERVICE 50 TO 999 KW SERVICE CLASSIFICATION</v>
      </c>
      <c r="B218" s="46" t="s">
        <v>184</v>
      </c>
      <c r="C218" s="115">
        <f>B32</f>
        <v>3</v>
      </c>
      <c r="D218" s="145" t="s">
        <v>185</v>
      </c>
      <c r="E218" s="130"/>
      <c r="F218" s="147"/>
      <c r="G218" s="148"/>
      <c r="H218" s="149">
        <f>SUM(H215:H217)</f>
        <v>877.85800000000006</v>
      </c>
      <c r="I218" s="150"/>
      <c r="J218" s="135"/>
      <c r="K218" s="149">
        <f>SUM(K215:K217)</f>
        <v>789.66800000000001</v>
      </c>
      <c r="L218" s="136">
        <f t="shared" si="28"/>
        <v>-88.190000000000055</v>
      </c>
      <c r="M218" s="137">
        <f>IF((H218)=0,"",(L218/H218))</f>
        <v>-0.10046043893203691</v>
      </c>
    </row>
    <row r="219" spans="1:14" ht="25.5" x14ac:dyDescent="0.2">
      <c r="A219" s="46" t="str">
        <f t="shared" si="31"/>
        <v>GENERAL SERVICE 50 TO 999 KW SERVICE CLASSIFICATION</v>
      </c>
      <c r="C219" s="115"/>
      <c r="D219" s="156" t="s">
        <v>186</v>
      </c>
      <c r="E219" s="117"/>
      <c r="F219" s="126">
        <f>IF(AND('[1]1. Information Sheet'!$F$26:$H$26&gt;='[1]17. Regulatory Charges'!$D$14,'[1]1. Information Sheet'!$F$26:$H$26&lt;'[1]17. Regulatory Charges'!$E$14),'[1]17. Regulatory Charges'!$D$15+'[1]17. Regulatory Charges'!$D$16,'[1]17. Regulatory Charges'!$E$15+'[1]17. Regulatory Charges'!$E$16)</f>
        <v>3.4000000000000002E-3</v>
      </c>
      <c r="G219" s="139">
        <f>E192*E194</f>
        <v>20614</v>
      </c>
      <c r="H219" s="157">
        <f t="shared" ref="H219:H225" si="33">G219*F219</f>
        <v>70.087600000000009</v>
      </c>
      <c r="I219" s="127">
        <f>'[1]17. Regulatory Charges'!$E$15+'[1]17. Regulatory Charges'!$E$16</f>
        <v>3.4000000000000002E-3</v>
      </c>
      <c r="J219" s="140">
        <f>E192*E195</f>
        <v>20614</v>
      </c>
      <c r="K219" s="123">
        <f t="shared" ref="K219:K225" si="34">J219*I219</f>
        <v>70.087600000000009</v>
      </c>
      <c r="L219" s="124">
        <f t="shared" si="28"/>
        <v>0</v>
      </c>
      <c r="M219" s="125">
        <f t="shared" ref="M219:M227" si="35">IF(ISERROR(L219/H219), "", L219/H219)</f>
        <v>0</v>
      </c>
    </row>
    <row r="220" spans="1:14" ht="25.5" x14ac:dyDescent="0.2">
      <c r="A220" s="46" t="str">
        <f t="shared" si="31"/>
        <v>GENERAL SERVICE 50 TO 999 KW SERVICE CLASSIFICATION</v>
      </c>
      <c r="C220" s="115"/>
      <c r="D220" s="156" t="s">
        <v>187</v>
      </c>
      <c r="E220" s="117"/>
      <c r="F220" s="126">
        <f>IF(AND('[1]1. Information Sheet'!$F$26:$H$26&gt;='[1]17. Regulatory Charges'!$D$14,'[1]1. Information Sheet'!$F$26:$H$26&lt;'[1]17. Regulatory Charges'!$D$14),'[1]17. Regulatory Charges'!$D$17,'[1]17. Regulatory Charges'!$E$17)</f>
        <v>5.0000000000000001E-4</v>
      </c>
      <c r="G220" s="139">
        <f>E192*E194</f>
        <v>20614</v>
      </c>
      <c r="H220" s="157">
        <f t="shared" si="33"/>
        <v>10.307</v>
      </c>
      <c r="I220" s="127">
        <f>'[1]17. Regulatory Charges'!$E$17</f>
        <v>5.0000000000000001E-4</v>
      </c>
      <c r="J220" s="140">
        <f>E192*E195</f>
        <v>20614</v>
      </c>
      <c r="K220" s="123">
        <f t="shared" si="34"/>
        <v>10.307</v>
      </c>
      <c r="L220" s="124">
        <f t="shared" si="28"/>
        <v>0</v>
      </c>
      <c r="M220" s="125">
        <f t="shared" si="35"/>
        <v>0</v>
      </c>
    </row>
    <row r="221" spans="1:14" x14ac:dyDescent="0.2">
      <c r="A221" s="46" t="str">
        <f t="shared" si="31"/>
        <v>GENERAL SERVICE 50 TO 999 KW SERVICE CLASSIFICATION</v>
      </c>
      <c r="C221" s="115"/>
      <c r="D221" s="158" t="s">
        <v>188</v>
      </c>
      <c r="E221" s="117"/>
      <c r="F221" s="143">
        <f>IF(AND('[1]1. Information Sheet'!$F$26:$H$26&gt;='[1]17. Regulatory Charges'!$D$14,'[1]1. Information Sheet'!$F$26:$H$26&lt;'[1]17. Regulatory Charges'!$D$14),'[1]17. Regulatory Charges'!$D$18,'[1]17. Regulatory Charges'!$E$18)</f>
        <v>0.25</v>
      </c>
      <c r="G221" s="119">
        <v>1</v>
      </c>
      <c r="H221" s="157">
        <f t="shared" si="33"/>
        <v>0.25</v>
      </c>
      <c r="I221" s="144">
        <f>'[1]17. Regulatory Charges'!$E$18</f>
        <v>0.25</v>
      </c>
      <c r="J221" s="122">
        <v>1</v>
      </c>
      <c r="K221" s="123">
        <f t="shared" si="34"/>
        <v>0.25</v>
      </c>
      <c r="L221" s="124">
        <f t="shared" si="28"/>
        <v>0</v>
      </c>
      <c r="M221" s="125">
        <f t="shared" si="35"/>
        <v>0</v>
      </c>
    </row>
    <row r="222" spans="1:14" ht="25.5" hidden="1" x14ac:dyDescent="0.2">
      <c r="A222" s="46" t="str">
        <f t="shared" si="31"/>
        <v>GENERAL SERVICE 50 TO 999 KW SERVICE CLASSIFICATION</v>
      </c>
      <c r="C222" s="115"/>
      <c r="D222" s="156" t="s">
        <v>189</v>
      </c>
      <c r="E222" s="117"/>
      <c r="F222" s="126"/>
      <c r="G222" s="139"/>
      <c r="H222" s="157"/>
      <c r="I222" s="127"/>
      <c r="J222" s="140"/>
      <c r="K222" s="123"/>
      <c r="L222" s="124"/>
      <c r="M222" s="125"/>
    </row>
    <row r="223" spans="1:14" hidden="1" x14ac:dyDescent="0.2">
      <c r="A223" s="46" t="str">
        <f t="shared" si="31"/>
        <v>GENERAL SERVICE 50 TO 999 KW SERVICE CLASSIFICATION</v>
      </c>
      <c r="B223" s="46" t="s">
        <v>139</v>
      </c>
      <c r="C223" s="115"/>
      <c r="D223" s="158" t="s">
        <v>190</v>
      </c>
      <c r="E223" s="117"/>
      <c r="F223" s="159">
        <f>OffPeak</f>
        <v>7.3999999999999996E-2</v>
      </c>
      <c r="G223" s="160">
        <f>IF(AND(E192*12&gt;=150000),0.64*E192*E194,0.64*E192)</f>
        <v>13192.96</v>
      </c>
      <c r="H223" s="157">
        <f t="shared" si="33"/>
        <v>976.2790399999999</v>
      </c>
      <c r="I223" s="161">
        <f>OffPeak</f>
        <v>7.3999999999999996E-2</v>
      </c>
      <c r="J223" s="162">
        <f>IF(AND(E192*12&gt;=150000),0.64*E192*E195,0.64*E192)</f>
        <v>13192.96</v>
      </c>
      <c r="K223" s="123">
        <f t="shared" si="34"/>
        <v>976.2790399999999</v>
      </c>
      <c r="L223" s="124">
        <f>K223-H223</f>
        <v>0</v>
      </c>
      <c r="M223" s="125">
        <f t="shared" si="35"/>
        <v>0</v>
      </c>
    </row>
    <row r="224" spans="1:14" hidden="1" x14ac:dyDescent="0.2">
      <c r="A224" s="46" t="str">
        <f t="shared" si="31"/>
        <v>GENERAL SERVICE 50 TO 999 KW SERVICE CLASSIFICATION</v>
      </c>
      <c r="B224" s="46" t="s">
        <v>139</v>
      </c>
      <c r="C224" s="115"/>
      <c r="D224" s="158" t="s">
        <v>191</v>
      </c>
      <c r="E224" s="117"/>
      <c r="F224" s="159">
        <f>MidPeak</f>
        <v>0.10199999999999999</v>
      </c>
      <c r="G224" s="160">
        <f>IF(AND(E192*12&gt;=150000),0.18*E192*E194,0.18*E192)</f>
        <v>3710.52</v>
      </c>
      <c r="H224" s="157">
        <f t="shared" si="33"/>
        <v>378.47303999999997</v>
      </c>
      <c r="I224" s="161">
        <f>MidPeak</f>
        <v>0.10199999999999999</v>
      </c>
      <c r="J224" s="162">
        <f>IF(AND(E192*12&gt;=150000),0.18*E192*E195,0.18*E192)</f>
        <v>3710.52</v>
      </c>
      <c r="K224" s="123">
        <f t="shared" si="34"/>
        <v>378.47303999999997</v>
      </c>
      <c r="L224" s="124">
        <f>K224-H224</f>
        <v>0</v>
      </c>
      <c r="M224" s="125">
        <f t="shared" si="35"/>
        <v>0</v>
      </c>
    </row>
    <row r="225" spans="1:13" hidden="1" x14ac:dyDescent="0.2">
      <c r="A225" s="46" t="str">
        <f t="shared" si="31"/>
        <v>GENERAL SERVICE 50 TO 999 KW SERVICE CLASSIFICATION</v>
      </c>
      <c r="B225" s="46" t="s">
        <v>139</v>
      </c>
      <c r="C225" s="115"/>
      <c r="D225" s="46" t="s">
        <v>192</v>
      </c>
      <c r="E225" s="117"/>
      <c r="F225" s="159">
        <f>OnPeak</f>
        <v>0.151</v>
      </c>
      <c r="G225" s="160">
        <f>IF(AND(E192*12&gt;=150000),0.18*E192*E194,0.18*E192)</f>
        <v>3710.52</v>
      </c>
      <c r="H225" s="157">
        <f t="shared" si="33"/>
        <v>560.28851999999995</v>
      </c>
      <c r="I225" s="161">
        <f>OnPeak</f>
        <v>0.151</v>
      </c>
      <c r="J225" s="162">
        <f>IF(AND(E192*12&gt;=150000),0.18*E192*E195,0.18*E192)</f>
        <v>3710.52</v>
      </c>
      <c r="K225" s="123">
        <f t="shared" si="34"/>
        <v>560.28851999999995</v>
      </c>
      <c r="L225" s="124">
        <f>K225-H225</f>
        <v>0</v>
      </c>
      <c r="M225" s="125">
        <f t="shared" si="35"/>
        <v>0</v>
      </c>
    </row>
    <row r="226" spans="1:13" hidden="1" x14ac:dyDescent="0.2">
      <c r="A226" s="46" t="str">
        <f t="shared" si="31"/>
        <v>GENERAL SERVICE 50 TO 999 KW SERVICE CLASSIFICATION</v>
      </c>
      <c r="B226" s="46" t="s">
        <v>141</v>
      </c>
      <c r="C226" s="115"/>
      <c r="D226" s="158" t="s">
        <v>193</v>
      </c>
      <c r="E226" s="117"/>
      <c r="F226" s="163">
        <v>9.6699999999999994E-2</v>
      </c>
      <c r="G226" s="160">
        <f>IF(AND(E192*12&gt;=150000),E192*E194,E192)</f>
        <v>20614</v>
      </c>
      <c r="H226" s="157">
        <f>G226*F226</f>
        <v>1993.3737999999998</v>
      </c>
      <c r="I226" s="164">
        <f>F226</f>
        <v>9.6699999999999994E-2</v>
      </c>
      <c r="J226" s="162">
        <f>IF(AND(E192*12&gt;=150000),E192*E195,E192)</f>
        <v>20614</v>
      </c>
      <c r="K226" s="123">
        <f>J226*I226</f>
        <v>1993.3737999999998</v>
      </c>
      <c r="L226" s="124">
        <f>K226-H226</f>
        <v>0</v>
      </c>
      <c r="M226" s="125">
        <f t="shared" si="35"/>
        <v>0</v>
      </c>
    </row>
    <row r="227" spans="1:13" ht="13.5" thickBot="1" x14ac:dyDescent="0.25">
      <c r="A227" s="46" t="str">
        <f t="shared" si="31"/>
        <v>GENERAL SERVICE 50 TO 999 KW SERVICE CLASSIFICATION</v>
      </c>
      <c r="B227" s="46" t="s">
        <v>140</v>
      </c>
      <c r="C227" s="115"/>
      <c r="D227" s="158" t="s">
        <v>194</v>
      </c>
      <c r="E227" s="117"/>
      <c r="F227" s="163">
        <v>9.6699999999999994E-2</v>
      </c>
      <c r="G227" s="160">
        <f>IF(AND(E192*12&gt;=150000),E192*E194,E192)</f>
        <v>20614</v>
      </c>
      <c r="H227" s="157">
        <f>G227*F227</f>
        <v>1993.3737999999998</v>
      </c>
      <c r="I227" s="164">
        <f>F227</f>
        <v>9.6699999999999994E-2</v>
      </c>
      <c r="J227" s="162">
        <f>IF(AND(E192*12&gt;=150000),E192*E195,E192)</f>
        <v>20614</v>
      </c>
      <c r="K227" s="123">
        <f>J227*I227</f>
        <v>1993.3737999999998</v>
      </c>
      <c r="L227" s="124">
        <f>K227-H227</f>
        <v>0</v>
      </c>
      <c r="M227" s="125">
        <f t="shared" si="35"/>
        <v>0</v>
      </c>
    </row>
    <row r="228" spans="1:13" ht="13.5" thickBot="1" x14ac:dyDescent="0.25">
      <c r="A228" s="46" t="str">
        <f t="shared" si="31"/>
        <v>GENERAL SERVICE 50 TO 999 KW SERVICE CLASSIFICATION</v>
      </c>
      <c r="C228" s="115"/>
      <c r="D228" s="165"/>
      <c r="E228" s="166"/>
      <c r="F228" s="167"/>
      <c r="G228" s="168"/>
      <c r="H228" s="169"/>
      <c r="I228" s="167"/>
      <c r="J228" s="170"/>
      <c r="K228" s="169"/>
      <c r="L228" s="171"/>
      <c r="M228" s="172"/>
    </row>
    <row r="229" spans="1:13" hidden="1" x14ac:dyDescent="0.2">
      <c r="A229" s="46" t="str">
        <f t="shared" si="31"/>
        <v>GENERAL SERVICE 50 TO 999 KW SERVICE CLASSIFICATION</v>
      </c>
      <c r="B229" s="46" t="s">
        <v>139</v>
      </c>
      <c r="C229" s="115"/>
      <c r="D229" s="173" t="s">
        <v>195</v>
      </c>
      <c r="E229" s="158"/>
      <c r="F229" s="174"/>
      <c r="G229" s="175"/>
      <c r="H229" s="176">
        <f>SUM(H219:H225,H218)</f>
        <v>2873.5432000000001</v>
      </c>
      <c r="I229" s="177"/>
      <c r="J229" s="177"/>
      <c r="K229" s="176">
        <f>SUM(K219:K225,K218)</f>
        <v>2785.3532</v>
      </c>
      <c r="L229" s="178">
        <f>K229-H229</f>
        <v>-88.190000000000055</v>
      </c>
      <c r="M229" s="179">
        <f>IF((H229)=0,"",(L229/H229))</f>
        <v>-3.069033380114141E-2</v>
      </c>
    </row>
    <row r="230" spans="1:13" hidden="1" x14ac:dyDescent="0.2">
      <c r="A230" s="46" t="str">
        <f t="shared" si="31"/>
        <v>GENERAL SERVICE 50 TO 999 KW SERVICE CLASSIFICATION</v>
      </c>
      <c r="B230" s="46" t="s">
        <v>139</v>
      </c>
      <c r="C230" s="115"/>
      <c r="D230" s="180" t="s">
        <v>196</v>
      </c>
      <c r="E230" s="158"/>
      <c r="F230" s="174">
        <v>0.13</v>
      </c>
      <c r="G230" s="181"/>
      <c r="H230" s="182">
        <f>H229*F230</f>
        <v>373.56061600000004</v>
      </c>
      <c r="I230" s="183">
        <v>0.13</v>
      </c>
      <c r="J230" s="119"/>
      <c r="K230" s="182">
        <f>K229*I230</f>
        <v>362.09591599999999</v>
      </c>
      <c r="L230" s="124">
        <f>K230-H230</f>
        <v>-11.46470000000005</v>
      </c>
      <c r="M230" s="184">
        <f>IF((H230)=0,"",(L230/H230))</f>
        <v>-3.0690333801141525E-2</v>
      </c>
    </row>
    <row r="231" spans="1:13" ht="15" hidden="1" x14ac:dyDescent="0.25">
      <c r="A231" s="46" t="str">
        <f t="shared" si="31"/>
        <v>GENERAL SERVICE 50 TO 999 KW SERVICE CLASSIFICATION</v>
      </c>
      <c r="B231" s="46" t="s">
        <v>139</v>
      </c>
      <c r="C231" s="115"/>
      <c r="D231" s="180" t="s">
        <v>197</v>
      </c>
      <c r="E231"/>
      <c r="F231" s="185">
        <v>0.11700000000000001</v>
      </c>
      <c r="G231" s="181"/>
      <c r="H231" s="182">
        <f>IF(OR(ISNUMBER(SEARCH("[DGEN]", E190))=TRUE, ISNUMBER(SEARCH("STREET LIGHT", E190))=TRUE), 0, IF(AND(E192=0, E193=0),0, IF(AND(E193=0, E192*12&gt;250000), 0, IF(AND(E192=0, E193&gt;=50), 0, IF(E192*12&lt;=250000, F231*H229*-1, IF(E193&lt;50, F231*H229*-1, 0))))))</f>
        <v>-336.20455440000001</v>
      </c>
      <c r="I231" s="185">
        <v>0.11700000000000001</v>
      </c>
      <c r="J231" s="119"/>
      <c r="K231" s="182">
        <f>IF(OR(ISNUMBER(SEARCH("[DGEN]", E190))=TRUE, ISNUMBER(SEARCH("STREET LIGHT", E190))=TRUE), 0, IF(AND(E192=0, E193=0),0, IF(AND(E193=0, E192*12&gt;250000), 0, IF(AND(E192=0, E193&gt;=50), 0, IF(E192*12&lt;=250000, I231*K229*-1, IF(E193&lt;50, I231*K229*-1, 0))))))</f>
        <v>-325.88632440000003</v>
      </c>
      <c r="L231" s="124">
        <f>K231-H231</f>
        <v>10.318229999999971</v>
      </c>
      <c r="M231" s="184"/>
    </row>
    <row r="232" spans="1:13" hidden="1" x14ac:dyDescent="0.2">
      <c r="A232" s="46" t="str">
        <f t="shared" si="31"/>
        <v>GENERAL SERVICE 50 TO 999 KW SERVICE CLASSIFICATION</v>
      </c>
      <c r="B232" s="46" t="s">
        <v>198</v>
      </c>
      <c r="C232" s="115"/>
      <c r="D232" s="186" t="s">
        <v>199</v>
      </c>
      <c r="E232" s="186"/>
      <c r="F232" s="187"/>
      <c r="G232" s="188"/>
      <c r="H232" s="189">
        <f>H229+H230+H231</f>
        <v>2910.8992616000005</v>
      </c>
      <c r="I232" s="190"/>
      <c r="J232" s="190"/>
      <c r="K232" s="191">
        <f>K229+K230+K231</f>
        <v>2821.5627915999999</v>
      </c>
      <c r="L232" s="192">
        <f>K232-H232</f>
        <v>-89.336470000000645</v>
      </c>
      <c r="M232" s="193">
        <f>IF((H232)=0,"",(L232/H232))</f>
        <v>-3.0690333801141608E-2</v>
      </c>
    </row>
    <row r="233" spans="1:13" ht="13.5" hidden="1" thickBot="1" x14ac:dyDescent="0.25">
      <c r="A233" s="46" t="str">
        <f t="shared" si="31"/>
        <v>GENERAL SERVICE 50 TO 999 KW SERVICE CLASSIFICATION</v>
      </c>
      <c r="B233" s="46" t="s">
        <v>139</v>
      </c>
      <c r="C233" s="115"/>
      <c r="D233" s="165"/>
      <c r="E233" s="166"/>
      <c r="F233" s="167"/>
      <c r="G233" s="168"/>
      <c r="H233" s="169"/>
      <c r="I233" s="167"/>
      <c r="J233" s="170"/>
      <c r="K233" s="169"/>
      <c r="L233" s="171"/>
      <c r="M233" s="172"/>
    </row>
    <row r="234" spans="1:13" hidden="1" x14ac:dyDescent="0.2">
      <c r="A234" s="46" t="str">
        <f t="shared" si="31"/>
        <v>GENERAL SERVICE 50 TO 999 KW SERVICE CLASSIFICATION</v>
      </c>
      <c r="B234" s="46" t="s">
        <v>141</v>
      </c>
      <c r="C234" s="115"/>
      <c r="D234" s="173" t="s">
        <v>200</v>
      </c>
      <c r="E234" s="158"/>
      <c r="F234" s="174"/>
      <c r="G234" s="175"/>
      <c r="H234" s="176">
        <f>SUM(H226,H219:H222,H218)</f>
        <v>2951.8763999999996</v>
      </c>
      <c r="I234" s="177"/>
      <c r="J234" s="177"/>
      <c r="K234" s="176">
        <f>SUM(K226,K219:K222,K218)</f>
        <v>2863.6863999999996</v>
      </c>
      <c r="L234" s="178">
        <f>K234-H234</f>
        <v>-88.190000000000055</v>
      </c>
      <c r="M234" s="179">
        <f>IF((H234)=0,"",(L234/H234))</f>
        <v>-2.9875912148625214E-2</v>
      </c>
    </row>
    <row r="235" spans="1:13" hidden="1" x14ac:dyDescent="0.2">
      <c r="A235" s="46" t="str">
        <f t="shared" si="31"/>
        <v>GENERAL SERVICE 50 TO 999 KW SERVICE CLASSIFICATION</v>
      </c>
      <c r="B235" s="46" t="s">
        <v>141</v>
      </c>
      <c r="C235" s="115"/>
      <c r="D235" s="180" t="s">
        <v>196</v>
      </c>
      <c r="E235" s="158"/>
      <c r="F235" s="174">
        <v>0.13</v>
      </c>
      <c r="G235" s="175"/>
      <c r="H235" s="182">
        <f>H234*F235</f>
        <v>383.74393199999997</v>
      </c>
      <c r="I235" s="174">
        <v>0.13</v>
      </c>
      <c r="J235" s="183"/>
      <c r="K235" s="182">
        <f>K234*I235</f>
        <v>372.27923199999998</v>
      </c>
      <c r="L235" s="124">
        <f>K235-H235</f>
        <v>-11.464699999999993</v>
      </c>
      <c r="M235" s="184">
        <f>IF((H235)=0,"",(L235/H235))</f>
        <v>-2.9875912148625179E-2</v>
      </c>
    </row>
    <row r="236" spans="1:13" ht="15" hidden="1" x14ac:dyDescent="0.25">
      <c r="A236" s="46" t="str">
        <f t="shared" si="31"/>
        <v>GENERAL SERVICE 50 TO 999 KW SERVICE CLASSIFICATION</v>
      </c>
      <c r="B236" s="46" t="s">
        <v>141</v>
      </c>
      <c r="C236" s="115"/>
      <c r="D236" s="180" t="s">
        <v>197</v>
      </c>
      <c r="E236"/>
      <c r="F236" s="185">
        <v>0.11700000000000001</v>
      </c>
      <c r="G236" s="175"/>
      <c r="H236" s="182">
        <f>IF(OR(ISNUMBER(SEARCH("[DGEN]", E190))=TRUE, ISNUMBER(SEARCH("STREET LIGHT", E190))=TRUE), 0, IF(AND(E192=0, E193=0),0, IF(AND(E193=0, E192*12&gt;250000), 0, IF(AND(E192=0, E193&gt;=50), 0, IF(E192*12&lt;=250000, F236*H234*-1, IF(E193&lt;50, F236*H234*-1, 0))))))</f>
        <v>-345.36953879999999</v>
      </c>
      <c r="I236" s="185">
        <v>0.11700000000000001</v>
      </c>
      <c r="J236" s="183"/>
      <c r="K236" s="182">
        <f>IF(OR(ISNUMBER(SEARCH("[DGEN]", E190))=TRUE, ISNUMBER(SEARCH("STREET LIGHT", E190))=TRUE), 0, IF(AND(E192=0, E193=0),0, IF(AND(E193=0, E192*12&gt;250000), 0, IF(AND(E192=0, E193&gt;=50), 0, IF(E192*12&lt;=250000, I236*K234*-1, IF(E193&lt;50, I236*K234*-1, 0))))))</f>
        <v>-335.05130879999996</v>
      </c>
      <c r="L236" s="124"/>
      <c r="M236" s="184"/>
    </row>
    <row r="237" spans="1:13" hidden="1" x14ac:dyDescent="0.2">
      <c r="A237" s="46" t="str">
        <f t="shared" si="31"/>
        <v>GENERAL SERVICE 50 TO 999 KW SERVICE CLASSIFICATION</v>
      </c>
      <c r="B237" s="46" t="s">
        <v>201</v>
      </c>
      <c r="C237" s="115"/>
      <c r="D237" s="186" t="s">
        <v>200</v>
      </c>
      <c r="E237" s="186"/>
      <c r="F237" s="194"/>
      <c r="G237" s="195"/>
      <c r="H237" s="189">
        <f>SUM(H234,H235)</f>
        <v>3335.6203319999995</v>
      </c>
      <c r="I237" s="196"/>
      <c r="J237" s="196"/>
      <c r="K237" s="189">
        <f>SUM(K234,K235)</f>
        <v>3235.9656319999995</v>
      </c>
      <c r="L237" s="197">
        <f>K237-H237</f>
        <v>-99.654700000000048</v>
      </c>
      <c r="M237" s="198">
        <f>IF((H237)=0,"",(L237/H237))</f>
        <v>-2.987591214862521E-2</v>
      </c>
    </row>
    <row r="238" spans="1:13" ht="13.5" hidden="1" thickBot="1" x14ac:dyDescent="0.25">
      <c r="A238" s="46" t="str">
        <f t="shared" si="31"/>
        <v>GENERAL SERVICE 50 TO 999 KW SERVICE CLASSIFICATION</v>
      </c>
      <c r="B238" s="46" t="s">
        <v>141</v>
      </c>
      <c r="C238" s="115"/>
      <c r="D238" s="165"/>
      <c r="E238" s="166"/>
      <c r="F238" s="199"/>
      <c r="G238" s="200"/>
      <c r="H238" s="201"/>
      <c r="I238" s="199"/>
      <c r="J238" s="168"/>
      <c r="K238" s="201"/>
      <c r="L238" s="202"/>
      <c r="M238" s="172"/>
    </row>
    <row r="239" spans="1:13" x14ac:dyDescent="0.2">
      <c r="A239" s="46" t="str">
        <f t="shared" si="31"/>
        <v>GENERAL SERVICE 50 TO 999 KW SERVICE CLASSIFICATION</v>
      </c>
      <c r="B239" s="46" t="s">
        <v>140</v>
      </c>
      <c r="C239" s="115"/>
      <c r="D239" s="173" t="s">
        <v>202</v>
      </c>
      <c r="E239" s="158"/>
      <c r="F239" s="174"/>
      <c r="G239" s="175"/>
      <c r="H239" s="176">
        <f>SUM(H227,H219:H222,H218)</f>
        <v>2951.8763999999996</v>
      </c>
      <c r="I239" s="177"/>
      <c r="J239" s="177"/>
      <c r="K239" s="176">
        <f>SUM(K227,K219:K222,K218)</f>
        <v>2863.6863999999996</v>
      </c>
      <c r="L239" s="178">
        <f>K239-H239</f>
        <v>-88.190000000000055</v>
      </c>
      <c r="M239" s="179">
        <f>IF((H239)=0,"",(L239/H239))</f>
        <v>-2.9875912148625214E-2</v>
      </c>
    </row>
    <row r="240" spans="1:13" x14ac:dyDescent="0.2">
      <c r="A240" s="46" t="str">
        <f t="shared" si="31"/>
        <v>GENERAL SERVICE 50 TO 999 KW SERVICE CLASSIFICATION</v>
      </c>
      <c r="B240" s="46" t="s">
        <v>140</v>
      </c>
      <c r="C240" s="115"/>
      <c r="D240" s="180" t="s">
        <v>196</v>
      </c>
      <c r="E240" s="158"/>
      <c r="F240" s="174">
        <v>0.13</v>
      </c>
      <c r="G240" s="175"/>
      <c r="H240" s="182">
        <f>H239*F240</f>
        <v>383.74393199999997</v>
      </c>
      <c r="I240" s="174">
        <v>0.13</v>
      </c>
      <c r="J240" s="183"/>
      <c r="K240" s="182">
        <f>K239*I240</f>
        <v>372.27923199999998</v>
      </c>
      <c r="L240" s="124">
        <f>K240-H240</f>
        <v>-11.464699999999993</v>
      </c>
      <c r="M240" s="184">
        <f>IF((H240)=0,"",(L240/H240))</f>
        <v>-2.9875912148625179E-2</v>
      </c>
    </row>
    <row r="241" spans="1:14" ht="15" x14ac:dyDescent="0.25">
      <c r="A241" s="46" t="str">
        <f t="shared" si="31"/>
        <v>GENERAL SERVICE 50 TO 999 KW SERVICE CLASSIFICATION</v>
      </c>
      <c r="B241" s="46" t="s">
        <v>140</v>
      </c>
      <c r="C241" s="115"/>
      <c r="D241" s="180" t="s">
        <v>197</v>
      </c>
      <c r="E241"/>
      <c r="F241" s="185">
        <v>0.11700000000000001</v>
      </c>
      <c r="G241" s="175"/>
      <c r="H241" s="182">
        <f>IF(OR(ISNUMBER(SEARCH("[DGEN]", E190))=TRUE, ISNUMBER(SEARCH("STREET LIGHT", E190))=TRUE), 0, IF(AND(E192=0, E193=0),0, IF(AND(E193=0, E192*12&gt;250000), 0, IF(AND(E192=0, E193&gt;=50), 0, IF(E192*12&lt;=250000, F241*H239*-1, IF(E193&lt;50, F241*H239*-1, 0))))))</f>
        <v>-345.36953879999999</v>
      </c>
      <c r="I241" s="185">
        <v>0.11700000000000001</v>
      </c>
      <c r="J241" s="183"/>
      <c r="K241" s="182">
        <f>IF(OR(ISNUMBER(SEARCH("[DGEN]", E190))=TRUE, ISNUMBER(SEARCH("STREET LIGHT", E190))=TRUE), 0, IF(AND(E192=0, E193=0),0, IF(AND(E193=0, E192*12&gt;250000), 0, IF(AND(E192=0, E193&gt;=50), 0, IF(E192*12&lt;=250000, I241*K239*-1, IF(E193&lt;50, I241*K239*-1, 0))))))</f>
        <v>-335.05130879999996</v>
      </c>
      <c r="L241" s="124"/>
      <c r="M241" s="184"/>
    </row>
    <row r="242" spans="1:14" ht="13.5" thickBot="1" x14ac:dyDescent="0.25">
      <c r="A242" s="46" t="str">
        <f t="shared" si="31"/>
        <v>GENERAL SERVICE 50 TO 999 KW SERVICE CLASSIFICATION</v>
      </c>
      <c r="B242" s="46" t="s">
        <v>203</v>
      </c>
      <c r="C242" s="115">
        <f>B32</f>
        <v>3</v>
      </c>
      <c r="D242" s="186" t="s">
        <v>202</v>
      </c>
      <c r="E242" s="186"/>
      <c r="F242" s="194"/>
      <c r="G242" s="195"/>
      <c r="H242" s="189">
        <f>SUM(H239,H240)</f>
        <v>3335.6203319999995</v>
      </c>
      <c r="I242" s="196"/>
      <c r="J242" s="196"/>
      <c r="K242" s="189">
        <f>SUM(K239,K240)</f>
        <v>3235.9656319999995</v>
      </c>
      <c r="L242" s="197">
        <f>K242-H242</f>
        <v>-99.654700000000048</v>
      </c>
      <c r="M242" s="198">
        <f>IF((H242)=0,"",(L242/H242))</f>
        <v>-2.987591214862521E-2</v>
      </c>
    </row>
    <row r="243" spans="1:14" ht="13.5" thickBot="1" x14ac:dyDescent="0.25">
      <c r="A243" s="46" t="str">
        <f t="shared" si="31"/>
        <v>GENERAL SERVICE 50 TO 999 KW SERVICE CLASSIFICATION</v>
      </c>
      <c r="B243" s="46" t="s">
        <v>140</v>
      </c>
      <c r="C243" s="115"/>
      <c r="D243" s="165"/>
      <c r="E243" s="166"/>
      <c r="F243" s="203"/>
      <c r="G243" s="200"/>
      <c r="H243" s="204"/>
      <c r="I243" s="203"/>
      <c r="J243" s="168"/>
      <c r="K243" s="204"/>
      <c r="L243" s="202"/>
      <c r="M243" s="205"/>
    </row>
    <row r="246" spans="1:14" x14ac:dyDescent="0.2">
      <c r="C246" s="46"/>
      <c r="D246" s="90" t="s">
        <v>150</v>
      </c>
      <c r="E246" s="91" t="str">
        <f>D33</f>
        <v>GENERAL SERVICE 1,000 TO 4,999 KW SERVICE CLASSIFICATION</v>
      </c>
      <c r="F246" s="91"/>
      <c r="G246" s="91"/>
      <c r="H246" s="91"/>
      <c r="I246" s="91"/>
      <c r="J246" s="91"/>
      <c r="K246" s="46" t="str">
        <f>IF(N33="DEMAND - INTERVAL","RTSR - INTERVAL METERED","")</f>
        <v/>
      </c>
    </row>
    <row r="247" spans="1:14" x14ac:dyDescent="0.2">
      <c r="C247" s="46"/>
      <c r="D247" s="90" t="s">
        <v>151</v>
      </c>
      <c r="E247" s="92" t="str">
        <f>H33</f>
        <v>Non-RPP (Other)</v>
      </c>
      <c r="F247" s="92"/>
      <c r="G247" s="92"/>
      <c r="H247" s="93"/>
      <c r="I247" s="93"/>
    </row>
    <row r="248" spans="1:14" ht="15.75" x14ac:dyDescent="0.2">
      <c r="C248" s="46"/>
      <c r="D248" s="90" t="s">
        <v>152</v>
      </c>
      <c r="E248" s="94">
        <f>K33</f>
        <v>800000</v>
      </c>
      <c r="F248" s="95" t="s">
        <v>153</v>
      </c>
      <c r="J248" s="96"/>
      <c r="K248" s="96"/>
      <c r="L248" s="96"/>
      <c r="M248" s="96"/>
      <c r="N248" s="96"/>
    </row>
    <row r="249" spans="1:14" ht="15.75" x14ac:dyDescent="0.25">
      <c r="C249" s="46"/>
      <c r="D249" s="90" t="s">
        <v>154</v>
      </c>
      <c r="E249" s="94">
        <f>L33</f>
        <v>2000</v>
      </c>
      <c r="F249" s="97" t="s">
        <v>155</v>
      </c>
      <c r="G249" s="98"/>
      <c r="H249" s="99"/>
      <c r="I249" s="99"/>
      <c r="J249" s="99"/>
    </row>
    <row r="250" spans="1:14" x14ac:dyDescent="0.2">
      <c r="C250" s="46"/>
      <c r="D250" s="90" t="s">
        <v>156</v>
      </c>
      <c r="E250" s="100">
        <f>I33</f>
        <v>1.0306999999999999</v>
      </c>
    </row>
    <row r="251" spans="1:14" x14ac:dyDescent="0.2">
      <c r="C251" s="46"/>
      <c r="D251" s="90" t="s">
        <v>157</v>
      </c>
      <c r="E251" s="100">
        <f>J33</f>
        <v>1.0306999999999999</v>
      </c>
    </row>
    <row r="252" spans="1:14" x14ac:dyDescent="0.2">
      <c r="C252" s="46"/>
    </row>
    <row r="253" spans="1:14" x14ac:dyDescent="0.2">
      <c r="C253" s="46"/>
      <c r="E253" s="95"/>
      <c r="F253" s="101" t="s">
        <v>204</v>
      </c>
      <c r="G253" s="102"/>
      <c r="H253" s="103"/>
      <c r="I253" s="101" t="s">
        <v>205</v>
      </c>
      <c r="J253" s="102"/>
      <c r="K253" s="103"/>
      <c r="L253" s="101" t="s">
        <v>158</v>
      </c>
      <c r="M253" s="103"/>
    </row>
    <row r="254" spans="1:14" x14ac:dyDescent="0.2">
      <c r="C254" s="46"/>
      <c r="E254" s="104"/>
      <c r="F254" s="105" t="s">
        <v>159</v>
      </c>
      <c r="G254" s="105" t="s">
        <v>160</v>
      </c>
      <c r="H254" s="106" t="s">
        <v>161</v>
      </c>
      <c r="I254" s="105" t="s">
        <v>159</v>
      </c>
      <c r="J254" s="107" t="s">
        <v>160</v>
      </c>
      <c r="K254" s="106" t="s">
        <v>161</v>
      </c>
      <c r="L254" s="108" t="s">
        <v>162</v>
      </c>
      <c r="M254" s="109" t="s">
        <v>163</v>
      </c>
    </row>
    <row r="255" spans="1:14" x14ac:dyDescent="0.2">
      <c r="C255" s="46"/>
      <c r="E255" s="110"/>
      <c r="F255" s="111" t="s">
        <v>164</v>
      </c>
      <c r="G255" s="111"/>
      <c r="H255" s="112" t="s">
        <v>164</v>
      </c>
      <c r="I255" s="111" t="s">
        <v>164</v>
      </c>
      <c r="J255" s="112"/>
      <c r="K255" s="112" t="s">
        <v>164</v>
      </c>
      <c r="L255" s="113"/>
      <c r="M255" s="114"/>
    </row>
    <row r="256" spans="1:14" x14ac:dyDescent="0.2">
      <c r="A256" s="46" t="str">
        <f>$E246</f>
        <v>GENERAL SERVICE 1,000 TO 4,999 KW SERVICE CLASSIFICATION</v>
      </c>
      <c r="C256" s="115"/>
      <c r="D256" s="116" t="s">
        <v>165</v>
      </c>
      <c r="E256" s="117"/>
      <c r="F256" s="118">
        <v>926.75</v>
      </c>
      <c r="G256" s="119">
        <v>1</v>
      </c>
      <c r="H256" s="120">
        <f>G256*F256</f>
        <v>926.75</v>
      </c>
      <c r="I256" s="121">
        <v>959.65</v>
      </c>
      <c r="J256" s="122">
        <f>G256</f>
        <v>1</v>
      </c>
      <c r="K256" s="123">
        <f>J256*I256</f>
        <v>959.65</v>
      </c>
      <c r="L256" s="124">
        <f t="shared" ref="L256:L277" si="36">K256-H256</f>
        <v>32.899999999999977</v>
      </c>
      <c r="M256" s="125">
        <f>IF(ISERROR(L256/H256), "", L256/H256)</f>
        <v>3.5500404639870489E-2</v>
      </c>
    </row>
    <row r="257" spans="1:14" x14ac:dyDescent="0.2">
      <c r="A257" s="46" t="str">
        <f>A256</f>
        <v>GENERAL SERVICE 1,000 TO 4,999 KW SERVICE CLASSIFICATION</v>
      </c>
      <c r="C257" s="115"/>
      <c r="D257" s="116" t="s">
        <v>30</v>
      </c>
      <c r="E257" s="117"/>
      <c r="F257" s="126">
        <v>4.0891000000000002</v>
      </c>
      <c r="G257" s="119">
        <f>IF($E249&gt;0, $E249, $E248)</f>
        <v>2000</v>
      </c>
      <c r="H257" s="120">
        <f t="shared" ref="H257:H269" si="37">G257*F257</f>
        <v>8178.2000000000007</v>
      </c>
      <c r="I257" s="127">
        <v>4.2343000000000002</v>
      </c>
      <c r="J257" s="122">
        <f>IF($E249&gt;0, $E249, $E248)</f>
        <v>2000</v>
      </c>
      <c r="K257" s="123">
        <f>J257*I257</f>
        <v>8468.6</v>
      </c>
      <c r="L257" s="124">
        <f t="shared" si="36"/>
        <v>290.39999999999964</v>
      </c>
      <c r="M257" s="125">
        <f t="shared" ref="M257:M267" si="38">IF(ISERROR(L257/H257), "", L257/H257)</f>
        <v>3.5509036218238685E-2</v>
      </c>
    </row>
    <row r="258" spans="1:14" hidden="1" x14ac:dyDescent="0.2">
      <c r="A258" s="46" t="str">
        <f t="shared" ref="A258:A299" si="39">A257</f>
        <v>GENERAL SERVICE 1,000 TO 4,999 KW SERVICE CLASSIFICATION</v>
      </c>
      <c r="C258" s="115"/>
      <c r="D258" s="116" t="s">
        <v>166</v>
      </c>
      <c r="E258" s="117"/>
      <c r="F258" s="126"/>
      <c r="G258" s="119">
        <f>IF($E249&gt;0, $E249, $E248)</f>
        <v>2000</v>
      </c>
      <c r="H258" s="120">
        <v>0</v>
      </c>
      <c r="I258" s="127"/>
      <c r="J258" s="122">
        <f>IF($E249&gt;0, $E249, $E248)</f>
        <v>2000</v>
      </c>
      <c r="K258" s="123">
        <v>0</v>
      </c>
      <c r="L258" s="124"/>
      <c r="M258" s="125"/>
    </row>
    <row r="259" spans="1:14" hidden="1" x14ac:dyDescent="0.2">
      <c r="A259" s="46" t="str">
        <f t="shared" si="39"/>
        <v>GENERAL SERVICE 1,000 TO 4,999 KW SERVICE CLASSIFICATION</v>
      </c>
      <c r="C259" s="115"/>
      <c r="D259" s="116" t="s">
        <v>167</v>
      </c>
      <c r="E259" s="117"/>
      <c r="F259" s="126"/>
      <c r="G259" s="119">
        <f>IF($E249&gt;0, $E249, $E248)</f>
        <v>2000</v>
      </c>
      <c r="H259" s="120">
        <v>0</v>
      </c>
      <c r="I259" s="127"/>
      <c r="J259" s="128">
        <f>IF($E249&gt;0, $E249, $E248)</f>
        <v>2000</v>
      </c>
      <c r="K259" s="123">
        <v>0</v>
      </c>
      <c r="L259" s="124">
        <f>K259-H259</f>
        <v>0</v>
      </c>
      <c r="M259" s="125" t="str">
        <f>IF(ISERROR(L259/H259), "", L259/H259)</f>
        <v/>
      </c>
    </row>
    <row r="260" spans="1:14" x14ac:dyDescent="0.2">
      <c r="A260" s="46" t="str">
        <f t="shared" si="39"/>
        <v>GENERAL SERVICE 1,000 TO 4,999 KW SERVICE CLASSIFICATION</v>
      </c>
      <c r="C260" s="115"/>
      <c r="D260" s="116" t="s">
        <v>168</v>
      </c>
      <c r="E260" s="117"/>
      <c r="F260" s="118">
        <v>241.31</v>
      </c>
      <c r="G260" s="119">
        <v>1</v>
      </c>
      <c r="H260" s="120">
        <f t="shared" si="37"/>
        <v>241.31</v>
      </c>
      <c r="I260" s="121">
        <v>241.31</v>
      </c>
      <c r="J260" s="122">
        <f>G260</f>
        <v>1</v>
      </c>
      <c r="K260" s="123">
        <f t="shared" ref="K260:K267" si="40">J260*I260</f>
        <v>241.31</v>
      </c>
      <c r="L260" s="124">
        <f t="shared" si="36"/>
        <v>0</v>
      </c>
      <c r="M260" s="125">
        <f t="shared" si="38"/>
        <v>0</v>
      </c>
    </row>
    <row r="261" spans="1:14" x14ac:dyDescent="0.2">
      <c r="A261" s="46" t="str">
        <f t="shared" si="39"/>
        <v>GENERAL SERVICE 1,000 TO 4,999 KW SERVICE CLASSIFICATION</v>
      </c>
      <c r="C261" s="115"/>
      <c r="D261" s="116" t="s">
        <v>169</v>
      </c>
      <c r="E261" s="117"/>
      <c r="F261" s="126">
        <v>0</v>
      </c>
      <c r="G261" s="119">
        <f>IF($E249&gt;0, $E249, $E248)</f>
        <v>2000</v>
      </c>
      <c r="H261" s="120">
        <f t="shared" si="37"/>
        <v>0</v>
      </c>
      <c r="I261" s="127">
        <v>0</v>
      </c>
      <c r="J261" s="122">
        <f>IF($E249&gt;0, $E249, $E248)</f>
        <v>2000</v>
      </c>
      <c r="K261" s="123">
        <f t="shared" si="40"/>
        <v>0</v>
      </c>
      <c r="L261" s="124">
        <f t="shared" si="36"/>
        <v>0</v>
      </c>
      <c r="M261" s="125" t="str">
        <f t="shared" si="38"/>
        <v/>
      </c>
    </row>
    <row r="262" spans="1:14" x14ac:dyDescent="0.2">
      <c r="A262" s="46" t="str">
        <f t="shared" si="39"/>
        <v>GENERAL SERVICE 1,000 TO 4,999 KW SERVICE CLASSIFICATION</v>
      </c>
      <c r="B262" s="46" t="s">
        <v>170</v>
      </c>
      <c r="C262" s="115">
        <f>B33</f>
        <v>4</v>
      </c>
      <c r="D262" s="129" t="s">
        <v>171</v>
      </c>
      <c r="E262" s="130"/>
      <c r="F262" s="131"/>
      <c r="G262" s="132"/>
      <c r="H262" s="133">
        <f>SUM(H256:H261)</f>
        <v>9346.26</v>
      </c>
      <c r="I262" s="134"/>
      <c r="J262" s="135"/>
      <c r="K262" s="133">
        <f>SUM(K256:K261)</f>
        <v>9669.56</v>
      </c>
      <c r="L262" s="136">
        <f t="shared" si="36"/>
        <v>323.29999999999927</v>
      </c>
      <c r="M262" s="137">
        <f>IF((H262)=0,"",(L262/H262))</f>
        <v>3.4591376657614838E-2</v>
      </c>
    </row>
    <row r="263" spans="1:14" x14ac:dyDescent="0.2">
      <c r="A263" s="46" t="str">
        <f t="shared" si="39"/>
        <v>GENERAL SERVICE 1,000 TO 4,999 KW SERVICE CLASSIFICATION</v>
      </c>
      <c r="C263" s="115"/>
      <c r="D263" s="138" t="s">
        <v>172</v>
      </c>
      <c r="E263" s="117"/>
      <c r="F263" s="126">
        <f>IF((E248*12&gt;=150000), 0, IF(E247="RPP",(F279*0.64+F280*0.18+F281*0.18),IF(E247="Non-RPP (Retailer)",F282,F283)))</f>
        <v>0</v>
      </c>
      <c r="G263" s="139">
        <f>IF(F263=0, 0, $E248*E250-E248)</f>
        <v>0</v>
      </c>
      <c r="H263" s="120">
        <f>G263*F263</f>
        <v>0</v>
      </c>
      <c r="I263" s="127">
        <f>IF((E248*12&gt;=150000), 0, IF(E247="RPP",(I279*0.64+I280*0.18+I281*0.18),IF(E247="Non-RPP (Retailer)",I282,I283)))</f>
        <v>0</v>
      </c>
      <c r="J263" s="140">
        <f>IF(I263=0, 0, E248*E251-E248)</f>
        <v>0</v>
      </c>
      <c r="K263" s="123">
        <f>J263*I263</f>
        <v>0</v>
      </c>
      <c r="L263" s="124">
        <f>K263-H263</f>
        <v>0</v>
      </c>
      <c r="M263" s="125" t="str">
        <f>IF(ISERROR(L263/H263), "", L263/H263)</f>
        <v/>
      </c>
    </row>
    <row r="264" spans="1:14" ht="25.5" x14ac:dyDescent="0.2">
      <c r="A264" s="46" t="str">
        <f t="shared" si="39"/>
        <v>GENERAL SERVICE 1,000 TO 4,999 KW SERVICE CLASSIFICATION</v>
      </c>
      <c r="C264" s="115"/>
      <c r="D264" s="138" t="s">
        <v>173</v>
      </c>
      <c r="E264" s="117"/>
      <c r="F264" s="126">
        <v>0.59909999999999997</v>
      </c>
      <c r="G264" s="141">
        <f>IF($E249&gt;0, $E249, $E248)</f>
        <v>2000</v>
      </c>
      <c r="H264" s="120">
        <f t="shared" si="37"/>
        <v>1198.1999999999998</v>
      </c>
      <c r="I264" s="127">
        <f>'Proposed Tariff'!D144+'Proposed Tariff'!D145+'Proposed Tariff'!D141+'Proposed Tariff'!D142</f>
        <v>1.1039000000000001</v>
      </c>
      <c r="J264" s="142">
        <f>IF($E249&gt;0, $E249, $E248)</f>
        <v>2000</v>
      </c>
      <c r="K264" s="123">
        <f t="shared" si="40"/>
        <v>2207.8000000000002</v>
      </c>
      <c r="L264" s="124">
        <f t="shared" si="36"/>
        <v>1009.6000000000004</v>
      </c>
      <c r="M264" s="125">
        <f t="shared" si="38"/>
        <v>0.84259722917709945</v>
      </c>
    </row>
    <row r="265" spans="1:14" x14ac:dyDescent="0.2">
      <c r="A265" s="46" t="str">
        <f t="shared" si="39"/>
        <v>GENERAL SERVICE 1,000 TO 4,999 KW SERVICE CLASSIFICATION</v>
      </c>
      <c r="C265" s="115"/>
      <c r="D265" s="138" t="s">
        <v>174</v>
      </c>
      <c r="E265" s="117"/>
      <c r="F265" s="126">
        <v>0</v>
      </c>
      <c r="G265" s="141">
        <f>IF($E249&gt;0, $E249, $E248)</f>
        <v>2000</v>
      </c>
      <c r="H265" s="120">
        <f>G265*F265</f>
        <v>0</v>
      </c>
      <c r="I265" s="127">
        <f>'Proposed Tariff'!D143</f>
        <v>-4.7199999999999999E-2</v>
      </c>
      <c r="J265" s="142">
        <f>IF($E249&gt;0, $E249, $E248)</f>
        <v>2000</v>
      </c>
      <c r="K265" s="123">
        <f>J265*I265</f>
        <v>-94.399999999999991</v>
      </c>
      <c r="L265" s="124">
        <f t="shared" si="36"/>
        <v>-94.399999999999991</v>
      </c>
      <c r="M265" s="125" t="str">
        <f t="shared" si="38"/>
        <v/>
      </c>
    </row>
    <row r="266" spans="1:14" x14ac:dyDescent="0.2">
      <c r="A266" s="46" t="str">
        <f t="shared" si="39"/>
        <v>GENERAL SERVICE 1,000 TO 4,999 KW SERVICE CLASSIFICATION</v>
      </c>
      <c r="C266" s="115"/>
      <c r="D266" s="138" t="s">
        <v>175</v>
      </c>
      <c r="E266" s="117"/>
      <c r="F266" s="126">
        <v>1.6000000000000001E-3</v>
      </c>
      <c r="G266" s="141">
        <f>E248</f>
        <v>800000</v>
      </c>
      <c r="H266" s="120">
        <f>G266*F266</f>
        <v>1280</v>
      </c>
      <c r="I266" s="127">
        <f>'Proposed Tariff'!D140</f>
        <v>-4.4999999999999997E-3</v>
      </c>
      <c r="J266" s="142">
        <f>E248</f>
        <v>800000</v>
      </c>
      <c r="K266" s="123">
        <f t="shared" si="40"/>
        <v>-3599.9999999999995</v>
      </c>
      <c r="L266" s="124">
        <f t="shared" si="36"/>
        <v>-4880</v>
      </c>
      <c r="M266" s="125">
        <f t="shared" si="38"/>
        <v>-3.8125</v>
      </c>
    </row>
    <row r="267" spans="1:14" x14ac:dyDescent="0.2">
      <c r="A267" s="46" t="str">
        <f t="shared" si="39"/>
        <v>GENERAL SERVICE 1,000 TO 4,999 KW SERVICE CLASSIFICATION</v>
      </c>
      <c r="C267" s="115"/>
      <c r="D267" s="116" t="s">
        <v>176</v>
      </c>
      <c r="E267" s="117"/>
      <c r="F267" s="126">
        <v>0.10100000000000001</v>
      </c>
      <c r="G267" s="141">
        <f>IF($E249&gt;0, $E249, $E248)</f>
        <v>2000</v>
      </c>
      <c r="H267" s="120">
        <f t="shared" si="37"/>
        <v>202</v>
      </c>
      <c r="I267" s="127">
        <v>0.10100000000000001</v>
      </c>
      <c r="J267" s="142">
        <f>IF($E249&gt;0, $E249, $E248)</f>
        <v>2000</v>
      </c>
      <c r="K267" s="123">
        <f t="shared" si="40"/>
        <v>202</v>
      </c>
      <c r="L267" s="124">
        <f t="shared" si="36"/>
        <v>0</v>
      </c>
      <c r="M267" s="125">
        <f t="shared" si="38"/>
        <v>0</v>
      </c>
    </row>
    <row r="268" spans="1:14" ht="25.5" x14ac:dyDescent="0.2">
      <c r="A268" s="46" t="str">
        <f t="shared" si="39"/>
        <v>GENERAL SERVICE 1,000 TO 4,999 KW SERVICE CLASSIFICATION</v>
      </c>
      <c r="C268" s="115"/>
      <c r="D268" s="138" t="s">
        <v>177</v>
      </c>
      <c r="E268" s="117"/>
      <c r="F268" s="143">
        <f>IF(OR(ISNUMBER(SEARCH("RESIDENTIAL", E246))=TRUE, ISNUMBER(SEARCH("GENERAL SERVICE LESS THAN 50", E246))=TRUE), 0.43, 0)</f>
        <v>0</v>
      </c>
      <c r="G268" s="119">
        <v>1</v>
      </c>
      <c r="H268" s="120">
        <f>G268*F268</f>
        <v>0</v>
      </c>
      <c r="I268" s="144">
        <f>IF(OR(ISNUMBER(SEARCH("RESIDENTIAL", E246))=TRUE, ISNUMBER(SEARCH("GENERAL SERVICE LESS THAN 50", E246))=TRUE), SME, 0)</f>
        <v>0</v>
      </c>
      <c r="J268" s="128">
        <v>1</v>
      </c>
      <c r="K268" s="123">
        <f>J268*I268</f>
        <v>0</v>
      </c>
      <c r="L268" s="124">
        <f t="shared" si="36"/>
        <v>0</v>
      </c>
      <c r="M268" s="125" t="str">
        <f>IF(ISERROR(L268/H268), "", L268/H268)</f>
        <v/>
      </c>
    </row>
    <row r="269" spans="1:14" x14ac:dyDescent="0.2">
      <c r="A269" s="46" t="str">
        <f t="shared" si="39"/>
        <v>GENERAL SERVICE 1,000 TO 4,999 KW SERVICE CLASSIFICATION</v>
      </c>
      <c r="C269" s="115"/>
      <c r="D269" s="116" t="s">
        <v>178</v>
      </c>
      <c r="E269" s="117"/>
      <c r="F269" s="118">
        <v>0</v>
      </c>
      <c r="G269" s="119">
        <v>1</v>
      </c>
      <c r="H269" s="120">
        <f t="shared" si="37"/>
        <v>0</v>
      </c>
      <c r="I269" s="121">
        <v>0</v>
      </c>
      <c r="J269" s="128">
        <v>1</v>
      </c>
      <c r="K269" s="123">
        <f>J269*I269</f>
        <v>0</v>
      </c>
      <c r="L269" s="124">
        <f>K269-H269</f>
        <v>0</v>
      </c>
      <c r="M269" s="125" t="str">
        <f>IF(ISERROR(L269/H269), "", L269/H269)</f>
        <v/>
      </c>
    </row>
    <row r="270" spans="1:14" x14ac:dyDescent="0.2">
      <c r="A270" s="46" t="str">
        <f t="shared" si="39"/>
        <v>GENERAL SERVICE 1,000 TO 4,999 KW SERVICE CLASSIFICATION</v>
      </c>
      <c r="C270" s="115"/>
      <c r="D270" s="116" t="s">
        <v>179</v>
      </c>
      <c r="E270" s="117"/>
      <c r="F270" s="126">
        <v>0</v>
      </c>
      <c r="G270" s="141">
        <f>IF($E249&gt;0, $E249, $E248)</f>
        <v>2000</v>
      </c>
      <c r="H270" s="120">
        <f>G270*F270</f>
        <v>0</v>
      </c>
      <c r="I270" s="127">
        <v>0</v>
      </c>
      <c r="J270" s="142">
        <f>IF($E249&gt;0, $E249, $E248)</f>
        <v>2000</v>
      </c>
      <c r="K270" s="123">
        <f>J270*I270</f>
        <v>0</v>
      </c>
      <c r="L270" s="124">
        <f t="shared" si="36"/>
        <v>0</v>
      </c>
      <c r="M270" s="125" t="str">
        <f>IF(ISERROR(L270/H270), "", L270/H270)</f>
        <v/>
      </c>
    </row>
    <row r="271" spans="1:14" ht="25.5" x14ac:dyDescent="0.2">
      <c r="A271" s="46" t="str">
        <f t="shared" si="39"/>
        <v>GENERAL SERVICE 1,000 TO 4,999 KW SERVICE CLASSIFICATION</v>
      </c>
      <c r="B271" s="46" t="s">
        <v>180</v>
      </c>
      <c r="C271" s="115">
        <f>B33</f>
        <v>4</v>
      </c>
      <c r="D271" s="145" t="s">
        <v>181</v>
      </c>
      <c r="E271" s="146"/>
      <c r="F271" s="147"/>
      <c r="G271" s="148"/>
      <c r="H271" s="149">
        <f>SUM(H262:H270)</f>
        <v>12026.46</v>
      </c>
      <c r="I271" s="150"/>
      <c r="J271" s="151"/>
      <c r="K271" s="149">
        <f>SUM(K262:K270)</f>
        <v>8384.9600000000009</v>
      </c>
      <c r="L271" s="136">
        <f t="shared" si="36"/>
        <v>-3641.4999999999982</v>
      </c>
      <c r="M271" s="137">
        <f>IF((H271)=0,"",(L271/H271))</f>
        <v>-0.30279067988418856</v>
      </c>
    </row>
    <row r="272" spans="1:14" x14ac:dyDescent="0.2">
      <c r="A272" s="46" t="str">
        <f t="shared" si="39"/>
        <v>GENERAL SERVICE 1,000 TO 4,999 KW SERVICE CLASSIFICATION</v>
      </c>
      <c r="C272" s="115"/>
      <c r="D272" s="152" t="s">
        <v>182</v>
      </c>
      <c r="E272" s="117"/>
      <c r="F272" s="126">
        <v>3.3532000000000002</v>
      </c>
      <c r="G272" s="139">
        <f>IF($E249&gt;0, $E249, $E248*$E250)</f>
        <v>2000</v>
      </c>
      <c r="H272" s="120">
        <f>G272*F272</f>
        <v>6706.4000000000005</v>
      </c>
      <c r="I272" s="153">
        <v>3.4689000000000001</v>
      </c>
      <c r="J272" s="140">
        <f>IF($E249&gt;0, $E249, $E248*$E251)</f>
        <v>2000</v>
      </c>
      <c r="K272" s="123">
        <f>J272*I272</f>
        <v>6937.8</v>
      </c>
      <c r="L272" s="124">
        <f t="shared" si="36"/>
        <v>231.39999999999964</v>
      </c>
      <c r="M272" s="125">
        <f>IF(ISERROR(L272/H272), "", L272/H272)</f>
        <v>3.4504354049862761E-2</v>
      </c>
      <c r="N272" s="154" t="str">
        <f>IF(ISERROR(ABS(M272)), "", IF(ABS(M272)&gt;=4%, "In the manager's summary, discuss the reasoning for the change in RTSR rates", ""))</f>
        <v/>
      </c>
    </row>
    <row r="273" spans="1:14" ht="25.5" x14ac:dyDescent="0.2">
      <c r="A273" s="46" t="str">
        <f t="shared" si="39"/>
        <v>GENERAL SERVICE 1,000 TO 4,999 KW SERVICE CLASSIFICATION</v>
      </c>
      <c r="C273" s="115"/>
      <c r="D273" s="155" t="s">
        <v>183</v>
      </c>
      <c r="E273" s="117"/>
      <c r="F273" s="126">
        <v>1.8573999999999999</v>
      </c>
      <c r="G273" s="139">
        <f>IF($E249&gt;0, $E249, $E248*$E250)</f>
        <v>2000</v>
      </c>
      <c r="H273" s="120">
        <f>G273*F273</f>
        <v>3714.7999999999997</v>
      </c>
      <c r="I273" s="153">
        <v>1.7835000000000001</v>
      </c>
      <c r="J273" s="140">
        <f>IF($E249&gt;0, $E249, $E248*$E251)</f>
        <v>2000</v>
      </c>
      <c r="K273" s="123">
        <f>J273*I273</f>
        <v>3567</v>
      </c>
      <c r="L273" s="124">
        <f t="shared" si="36"/>
        <v>-147.79999999999973</v>
      </c>
      <c r="M273" s="125">
        <f>IF(ISERROR(L273/H273), "", L273/H273)</f>
        <v>-3.9786798750942105E-2</v>
      </c>
      <c r="N273" s="154" t="str">
        <f>IF(ISERROR(ABS(M273)), "", IF(ABS(M273)&gt;=4%, "In the manager's summary, discuss the reasoning for the change in RTSR rates", ""))</f>
        <v/>
      </c>
    </row>
    <row r="274" spans="1:14" ht="25.5" x14ac:dyDescent="0.2">
      <c r="A274" s="46" t="str">
        <f t="shared" si="39"/>
        <v>GENERAL SERVICE 1,000 TO 4,999 KW SERVICE CLASSIFICATION</v>
      </c>
      <c r="B274" s="46" t="s">
        <v>184</v>
      </c>
      <c r="C274" s="115">
        <f>B33</f>
        <v>4</v>
      </c>
      <c r="D274" s="145" t="s">
        <v>185</v>
      </c>
      <c r="E274" s="130"/>
      <c r="F274" s="147"/>
      <c r="G274" s="148"/>
      <c r="H274" s="149">
        <f>SUM(H271:H273)</f>
        <v>22447.66</v>
      </c>
      <c r="I274" s="150"/>
      <c r="J274" s="135"/>
      <c r="K274" s="149">
        <f>SUM(K271:K273)</f>
        <v>18889.760000000002</v>
      </c>
      <c r="L274" s="136">
        <f t="shared" si="36"/>
        <v>-3557.8999999999978</v>
      </c>
      <c r="M274" s="137">
        <f>IF((H274)=0,"",(L274/H274))</f>
        <v>-0.15849758950376111</v>
      </c>
    </row>
    <row r="275" spans="1:14" ht="25.5" x14ac:dyDescent="0.2">
      <c r="A275" s="46" t="str">
        <f t="shared" si="39"/>
        <v>GENERAL SERVICE 1,000 TO 4,999 KW SERVICE CLASSIFICATION</v>
      </c>
      <c r="C275" s="115"/>
      <c r="D275" s="156" t="s">
        <v>186</v>
      </c>
      <c r="E275" s="117"/>
      <c r="F275" s="126">
        <f>IF(AND('[1]1. Information Sheet'!$F$26:$H$26&gt;='[1]17. Regulatory Charges'!$D$14,'[1]1. Information Sheet'!$F$26:$H$26&lt;'[1]17. Regulatory Charges'!$E$14),'[1]17. Regulatory Charges'!$D$15+'[1]17. Regulatory Charges'!$D$16,'[1]17. Regulatory Charges'!$E$15+'[1]17. Regulatory Charges'!$E$16)</f>
        <v>3.4000000000000002E-3</v>
      </c>
      <c r="G275" s="139">
        <f>E248*E250</f>
        <v>824560</v>
      </c>
      <c r="H275" s="157">
        <f t="shared" ref="H275:H281" si="41">G275*F275</f>
        <v>2803.5040000000004</v>
      </c>
      <c r="I275" s="127">
        <f>'[1]17. Regulatory Charges'!$E$15+'[1]17. Regulatory Charges'!$E$16</f>
        <v>3.4000000000000002E-3</v>
      </c>
      <c r="J275" s="140">
        <f>E248*E251</f>
        <v>824560</v>
      </c>
      <c r="K275" s="123">
        <f t="shared" ref="K275:K281" si="42">J275*I275</f>
        <v>2803.5040000000004</v>
      </c>
      <c r="L275" s="124">
        <f t="shared" si="36"/>
        <v>0</v>
      </c>
      <c r="M275" s="125">
        <f t="shared" ref="M275:M283" si="43">IF(ISERROR(L275/H275), "", L275/H275)</f>
        <v>0</v>
      </c>
    </row>
    <row r="276" spans="1:14" ht="25.5" x14ac:dyDescent="0.2">
      <c r="A276" s="46" t="str">
        <f t="shared" si="39"/>
        <v>GENERAL SERVICE 1,000 TO 4,999 KW SERVICE CLASSIFICATION</v>
      </c>
      <c r="C276" s="115"/>
      <c r="D276" s="156" t="s">
        <v>187</v>
      </c>
      <c r="E276" s="117"/>
      <c r="F276" s="126">
        <f>IF(AND('[1]1. Information Sheet'!$F$26:$H$26&gt;='[1]17. Regulatory Charges'!$D$14,'[1]1. Information Sheet'!$F$26:$H$26&lt;'[1]17. Regulatory Charges'!$D$14),'[1]17. Regulatory Charges'!$D$17,'[1]17. Regulatory Charges'!$E$17)</f>
        <v>5.0000000000000001E-4</v>
      </c>
      <c r="G276" s="139">
        <f>E248*E250</f>
        <v>824560</v>
      </c>
      <c r="H276" s="157">
        <f t="shared" si="41"/>
        <v>412.28000000000003</v>
      </c>
      <c r="I276" s="127">
        <f>'[1]17. Regulatory Charges'!$E$17</f>
        <v>5.0000000000000001E-4</v>
      </c>
      <c r="J276" s="140">
        <f>E248*E251</f>
        <v>824560</v>
      </c>
      <c r="K276" s="123">
        <f t="shared" si="42"/>
        <v>412.28000000000003</v>
      </c>
      <c r="L276" s="124">
        <f t="shared" si="36"/>
        <v>0</v>
      </c>
      <c r="M276" s="125">
        <f t="shared" si="43"/>
        <v>0</v>
      </c>
    </row>
    <row r="277" spans="1:14" x14ac:dyDescent="0.2">
      <c r="A277" s="46" t="str">
        <f t="shared" si="39"/>
        <v>GENERAL SERVICE 1,000 TO 4,999 KW SERVICE CLASSIFICATION</v>
      </c>
      <c r="C277" s="115"/>
      <c r="D277" s="158" t="s">
        <v>188</v>
      </c>
      <c r="E277" s="117"/>
      <c r="F277" s="143">
        <f>IF(AND('[1]1. Information Sheet'!$F$26:$H$26&gt;='[1]17. Regulatory Charges'!$D$14,'[1]1. Information Sheet'!$F$26:$H$26&lt;'[1]17. Regulatory Charges'!$D$14),'[1]17. Regulatory Charges'!$D$18,'[1]17. Regulatory Charges'!$E$18)</f>
        <v>0.25</v>
      </c>
      <c r="G277" s="119">
        <v>1</v>
      </c>
      <c r="H277" s="157">
        <f t="shared" si="41"/>
        <v>0.25</v>
      </c>
      <c r="I277" s="144">
        <f>'[1]17. Regulatory Charges'!$E$18</f>
        <v>0.25</v>
      </c>
      <c r="J277" s="122">
        <v>1</v>
      </c>
      <c r="K277" s="123">
        <f t="shared" si="42"/>
        <v>0.25</v>
      </c>
      <c r="L277" s="124">
        <f t="shared" si="36"/>
        <v>0</v>
      </c>
      <c r="M277" s="125">
        <f t="shared" si="43"/>
        <v>0</v>
      </c>
    </row>
    <row r="278" spans="1:14" ht="25.5" hidden="1" x14ac:dyDescent="0.2">
      <c r="A278" s="46" t="str">
        <f t="shared" si="39"/>
        <v>GENERAL SERVICE 1,000 TO 4,999 KW SERVICE CLASSIFICATION</v>
      </c>
      <c r="C278" s="115"/>
      <c r="D278" s="156" t="s">
        <v>189</v>
      </c>
      <c r="E278" s="117"/>
      <c r="F278" s="126"/>
      <c r="G278" s="139"/>
      <c r="H278" s="157"/>
      <c r="I278" s="127"/>
      <c r="J278" s="140"/>
      <c r="K278" s="123"/>
      <c r="L278" s="124"/>
      <c r="M278" s="125"/>
    </row>
    <row r="279" spans="1:14" hidden="1" x14ac:dyDescent="0.2">
      <c r="A279" s="46" t="str">
        <f t="shared" si="39"/>
        <v>GENERAL SERVICE 1,000 TO 4,999 KW SERVICE CLASSIFICATION</v>
      </c>
      <c r="B279" s="46" t="s">
        <v>139</v>
      </c>
      <c r="C279" s="115"/>
      <c r="D279" s="158" t="s">
        <v>190</v>
      </c>
      <c r="E279" s="117"/>
      <c r="F279" s="159">
        <f>OffPeak</f>
        <v>7.3999999999999996E-2</v>
      </c>
      <c r="G279" s="160">
        <f>IF(AND(E248*12&gt;=150000),0.64*E248*E250,0.64*E248)</f>
        <v>527718.40000000002</v>
      </c>
      <c r="H279" s="157">
        <f t="shared" si="41"/>
        <v>39051.161599999999</v>
      </c>
      <c r="I279" s="161">
        <f>OffPeak</f>
        <v>7.3999999999999996E-2</v>
      </c>
      <c r="J279" s="162">
        <f>IF(AND(E248*12&gt;=150000),0.64*E248*E251,0.64*E248)</f>
        <v>527718.40000000002</v>
      </c>
      <c r="K279" s="123">
        <f t="shared" si="42"/>
        <v>39051.161599999999</v>
      </c>
      <c r="L279" s="124">
        <f>K279-H279</f>
        <v>0</v>
      </c>
      <c r="M279" s="125">
        <f t="shared" si="43"/>
        <v>0</v>
      </c>
    </row>
    <row r="280" spans="1:14" hidden="1" x14ac:dyDescent="0.2">
      <c r="A280" s="46" t="str">
        <f t="shared" si="39"/>
        <v>GENERAL SERVICE 1,000 TO 4,999 KW SERVICE CLASSIFICATION</v>
      </c>
      <c r="B280" s="46" t="s">
        <v>139</v>
      </c>
      <c r="C280" s="115"/>
      <c r="D280" s="158" t="s">
        <v>191</v>
      </c>
      <c r="E280" s="117"/>
      <c r="F280" s="159">
        <f>MidPeak</f>
        <v>0.10199999999999999</v>
      </c>
      <c r="G280" s="160">
        <f>IF(AND(E248*12&gt;=150000),0.18*E248*E250,0.18*E248)</f>
        <v>148420.79999999999</v>
      </c>
      <c r="H280" s="157">
        <f t="shared" si="41"/>
        <v>15138.921599999998</v>
      </c>
      <c r="I280" s="161">
        <f>MidPeak</f>
        <v>0.10199999999999999</v>
      </c>
      <c r="J280" s="162">
        <f>IF(AND(E248*12&gt;=150000),0.18*E248*E251,0.18*E248)</f>
        <v>148420.79999999999</v>
      </c>
      <c r="K280" s="123">
        <f t="shared" si="42"/>
        <v>15138.921599999998</v>
      </c>
      <c r="L280" s="124">
        <f>K280-H280</f>
        <v>0</v>
      </c>
      <c r="M280" s="125">
        <f t="shared" si="43"/>
        <v>0</v>
      </c>
    </row>
    <row r="281" spans="1:14" hidden="1" x14ac:dyDescent="0.2">
      <c r="A281" s="46" t="str">
        <f t="shared" si="39"/>
        <v>GENERAL SERVICE 1,000 TO 4,999 KW SERVICE CLASSIFICATION</v>
      </c>
      <c r="B281" s="46" t="s">
        <v>139</v>
      </c>
      <c r="C281" s="115"/>
      <c r="D281" s="46" t="s">
        <v>192</v>
      </c>
      <c r="E281" s="117"/>
      <c r="F281" s="159">
        <f>OnPeak</f>
        <v>0.151</v>
      </c>
      <c r="G281" s="160">
        <f>IF(AND(E248*12&gt;=150000),0.18*E248*E250,0.18*E248)</f>
        <v>148420.79999999999</v>
      </c>
      <c r="H281" s="157">
        <f t="shared" si="41"/>
        <v>22411.540799999999</v>
      </c>
      <c r="I281" s="161">
        <f>OnPeak</f>
        <v>0.151</v>
      </c>
      <c r="J281" s="162">
        <f>IF(AND(E248*12&gt;=150000),0.18*E248*E251,0.18*E248)</f>
        <v>148420.79999999999</v>
      </c>
      <c r="K281" s="123">
        <f t="shared" si="42"/>
        <v>22411.540799999999</v>
      </c>
      <c r="L281" s="124">
        <f>K281-H281</f>
        <v>0</v>
      </c>
      <c r="M281" s="125">
        <f t="shared" si="43"/>
        <v>0</v>
      </c>
    </row>
    <row r="282" spans="1:14" hidden="1" x14ac:dyDescent="0.2">
      <c r="A282" s="46" t="str">
        <f t="shared" si="39"/>
        <v>GENERAL SERVICE 1,000 TO 4,999 KW SERVICE CLASSIFICATION</v>
      </c>
      <c r="B282" s="46" t="s">
        <v>141</v>
      </c>
      <c r="C282" s="115"/>
      <c r="D282" s="158" t="s">
        <v>193</v>
      </c>
      <c r="E282" s="117"/>
      <c r="F282" s="163">
        <v>9.6699999999999994E-2</v>
      </c>
      <c r="G282" s="160">
        <f>IF(AND(E248*12&gt;=150000),E248*E250,E248)</f>
        <v>824560</v>
      </c>
      <c r="H282" s="157">
        <f>G282*F282</f>
        <v>79734.95199999999</v>
      </c>
      <c r="I282" s="164">
        <f>F282</f>
        <v>9.6699999999999994E-2</v>
      </c>
      <c r="J282" s="162">
        <f>IF(AND(E248*12&gt;=150000),E248*E251,E248)</f>
        <v>824560</v>
      </c>
      <c r="K282" s="123">
        <f>J282*I282</f>
        <v>79734.95199999999</v>
      </c>
      <c r="L282" s="124">
        <f>K282-H282</f>
        <v>0</v>
      </c>
      <c r="M282" s="125">
        <f t="shared" si="43"/>
        <v>0</v>
      </c>
    </row>
    <row r="283" spans="1:14" ht="13.5" thickBot="1" x14ac:dyDescent="0.25">
      <c r="A283" s="46" t="str">
        <f t="shared" si="39"/>
        <v>GENERAL SERVICE 1,000 TO 4,999 KW SERVICE CLASSIFICATION</v>
      </c>
      <c r="B283" s="46" t="s">
        <v>140</v>
      </c>
      <c r="C283" s="115"/>
      <c r="D283" s="158" t="s">
        <v>194</v>
      </c>
      <c r="E283" s="117"/>
      <c r="F283" s="163">
        <v>9.6699999999999994E-2</v>
      </c>
      <c r="G283" s="160">
        <f>IF(AND(E248*12&gt;=150000),E248*E250,E248)</f>
        <v>824560</v>
      </c>
      <c r="H283" s="157">
        <f>G283*F283</f>
        <v>79734.95199999999</v>
      </c>
      <c r="I283" s="164">
        <f>F283</f>
        <v>9.6699999999999994E-2</v>
      </c>
      <c r="J283" s="162">
        <f>IF(AND(E248*12&gt;=150000),E248*E251,E248)</f>
        <v>824560</v>
      </c>
      <c r="K283" s="123">
        <f>J283*I283</f>
        <v>79734.95199999999</v>
      </c>
      <c r="L283" s="124">
        <f>K283-H283</f>
        <v>0</v>
      </c>
      <c r="M283" s="125">
        <f t="shared" si="43"/>
        <v>0</v>
      </c>
    </row>
    <row r="284" spans="1:14" ht="13.5" thickBot="1" x14ac:dyDescent="0.25">
      <c r="A284" s="46" t="str">
        <f t="shared" si="39"/>
        <v>GENERAL SERVICE 1,000 TO 4,999 KW SERVICE CLASSIFICATION</v>
      </c>
      <c r="C284" s="115"/>
      <c r="D284" s="165"/>
      <c r="E284" s="166"/>
      <c r="F284" s="167"/>
      <c r="G284" s="168"/>
      <c r="H284" s="169"/>
      <c r="I284" s="167"/>
      <c r="J284" s="170"/>
      <c r="K284" s="169"/>
      <c r="L284" s="171"/>
      <c r="M284" s="172"/>
    </row>
    <row r="285" spans="1:14" hidden="1" x14ac:dyDescent="0.2">
      <c r="A285" s="46" t="str">
        <f t="shared" si="39"/>
        <v>GENERAL SERVICE 1,000 TO 4,999 KW SERVICE CLASSIFICATION</v>
      </c>
      <c r="B285" s="46" t="s">
        <v>139</v>
      </c>
      <c r="C285" s="115"/>
      <c r="D285" s="173" t="s">
        <v>195</v>
      </c>
      <c r="E285" s="158"/>
      <c r="F285" s="174"/>
      <c r="G285" s="175"/>
      <c r="H285" s="176">
        <f>SUM(H275:H281,H274)</f>
        <v>102265.318</v>
      </c>
      <c r="I285" s="177"/>
      <c r="J285" s="177"/>
      <c r="K285" s="176">
        <f>SUM(K275:K281,K274)</f>
        <v>98707.418000000005</v>
      </c>
      <c r="L285" s="178">
        <f>K285-H285</f>
        <v>-3557.8999999999942</v>
      </c>
      <c r="M285" s="179">
        <f>IF((H285)=0,"",(L285/H285))</f>
        <v>-3.4790876023091173E-2</v>
      </c>
    </row>
    <row r="286" spans="1:14" hidden="1" x14ac:dyDescent="0.2">
      <c r="A286" s="46" t="str">
        <f t="shared" si="39"/>
        <v>GENERAL SERVICE 1,000 TO 4,999 KW SERVICE CLASSIFICATION</v>
      </c>
      <c r="B286" s="46" t="s">
        <v>139</v>
      </c>
      <c r="C286" s="115"/>
      <c r="D286" s="180" t="s">
        <v>196</v>
      </c>
      <c r="E286" s="158"/>
      <c r="F286" s="174">
        <v>0.13</v>
      </c>
      <c r="G286" s="181"/>
      <c r="H286" s="182">
        <f>H285*F286</f>
        <v>13294.49134</v>
      </c>
      <c r="I286" s="183">
        <v>0.13</v>
      </c>
      <c r="J286" s="119"/>
      <c r="K286" s="182">
        <f>K285*I286</f>
        <v>12831.96434</v>
      </c>
      <c r="L286" s="124">
        <f>K286-H286</f>
        <v>-462.52700000000004</v>
      </c>
      <c r="M286" s="184">
        <f>IF((H286)=0,"",(L286/H286))</f>
        <v>-3.4790876023091236E-2</v>
      </c>
    </row>
    <row r="287" spans="1:14" ht="15" hidden="1" x14ac:dyDescent="0.25">
      <c r="A287" s="46" t="str">
        <f t="shared" si="39"/>
        <v>GENERAL SERVICE 1,000 TO 4,999 KW SERVICE CLASSIFICATION</v>
      </c>
      <c r="B287" s="46" t="s">
        <v>139</v>
      </c>
      <c r="C287" s="115"/>
      <c r="D287" s="180" t="s">
        <v>197</v>
      </c>
      <c r="E287"/>
      <c r="F287" s="185">
        <v>0.11700000000000001</v>
      </c>
      <c r="G287" s="181"/>
      <c r="H287" s="182">
        <f>IF(OR(ISNUMBER(SEARCH("[DGEN]", E246))=TRUE, ISNUMBER(SEARCH("STREET LIGHT", E246))=TRUE), 0, IF(AND(E248=0, E249=0),0, IF(AND(E249=0, E248*12&gt;250000), 0, IF(AND(E248=0, E249&gt;=50), 0, IF(E248*12&lt;=250000, F287*H285*-1, IF(E249&lt;50, F287*H285*-1, 0))))))</f>
        <v>0</v>
      </c>
      <c r="I287" s="185">
        <v>0.11700000000000001</v>
      </c>
      <c r="J287" s="119"/>
      <c r="K287" s="182">
        <f>IF(OR(ISNUMBER(SEARCH("[DGEN]", E246))=TRUE, ISNUMBER(SEARCH("STREET LIGHT", E246))=TRUE), 0, IF(AND(E248=0, E249=0),0, IF(AND(E249=0, E248*12&gt;250000), 0, IF(AND(E248=0, E249&gt;=50), 0, IF(E248*12&lt;=250000, I287*K285*-1, IF(E249&lt;50, I287*K285*-1, 0))))))</f>
        <v>0</v>
      </c>
      <c r="L287" s="124">
        <f>K287-H287</f>
        <v>0</v>
      </c>
      <c r="M287" s="184"/>
    </row>
    <row r="288" spans="1:14" hidden="1" x14ac:dyDescent="0.2">
      <c r="A288" s="46" t="str">
        <f t="shared" si="39"/>
        <v>GENERAL SERVICE 1,000 TO 4,999 KW SERVICE CLASSIFICATION</v>
      </c>
      <c r="B288" s="46" t="s">
        <v>198</v>
      </c>
      <c r="C288" s="115"/>
      <c r="D288" s="186" t="s">
        <v>199</v>
      </c>
      <c r="E288" s="186"/>
      <c r="F288" s="187"/>
      <c r="G288" s="188"/>
      <c r="H288" s="189">
        <f>H285+H286+H287</f>
        <v>115559.80934000001</v>
      </c>
      <c r="I288" s="190"/>
      <c r="J288" s="190"/>
      <c r="K288" s="191">
        <f>K285+K286+K287</f>
        <v>111539.38234000001</v>
      </c>
      <c r="L288" s="192">
        <f>K288-H288</f>
        <v>-4020.426999999996</v>
      </c>
      <c r="M288" s="193">
        <f>IF((H288)=0,"",(L288/H288))</f>
        <v>-3.4790876023091194E-2</v>
      </c>
    </row>
    <row r="289" spans="1:14" ht="13.5" hidden="1" thickBot="1" x14ac:dyDescent="0.25">
      <c r="A289" s="46" t="str">
        <f t="shared" si="39"/>
        <v>GENERAL SERVICE 1,000 TO 4,999 KW SERVICE CLASSIFICATION</v>
      </c>
      <c r="B289" s="46" t="s">
        <v>139</v>
      </c>
      <c r="C289" s="115"/>
      <c r="D289" s="165"/>
      <c r="E289" s="166"/>
      <c r="F289" s="167"/>
      <c r="G289" s="168"/>
      <c r="H289" s="169"/>
      <c r="I289" s="167"/>
      <c r="J289" s="170"/>
      <c r="K289" s="169"/>
      <c r="L289" s="171"/>
      <c r="M289" s="172"/>
    </row>
    <row r="290" spans="1:14" hidden="1" x14ac:dyDescent="0.2">
      <c r="A290" s="46" t="str">
        <f t="shared" si="39"/>
        <v>GENERAL SERVICE 1,000 TO 4,999 KW SERVICE CLASSIFICATION</v>
      </c>
      <c r="B290" s="46" t="s">
        <v>141</v>
      </c>
      <c r="C290" s="115"/>
      <c r="D290" s="173" t="s">
        <v>200</v>
      </c>
      <c r="E290" s="158"/>
      <c r="F290" s="174"/>
      <c r="G290" s="175"/>
      <c r="H290" s="176">
        <f>SUM(H282,H275:H278,H274)</f>
        <v>105398.64599999999</v>
      </c>
      <c r="I290" s="177"/>
      <c r="J290" s="177"/>
      <c r="K290" s="176">
        <f>SUM(K282,K275:K278,K274)</f>
        <v>101840.74599999998</v>
      </c>
      <c r="L290" s="178">
        <f>K290-H290</f>
        <v>-3557.9000000000087</v>
      </c>
      <c r="M290" s="179">
        <f>IF((H290)=0,"",(L290/H290))</f>
        <v>-3.375660063033456E-2</v>
      </c>
    </row>
    <row r="291" spans="1:14" hidden="1" x14ac:dyDescent="0.2">
      <c r="A291" s="46" t="str">
        <f t="shared" si="39"/>
        <v>GENERAL SERVICE 1,000 TO 4,999 KW SERVICE CLASSIFICATION</v>
      </c>
      <c r="B291" s="46" t="s">
        <v>141</v>
      </c>
      <c r="C291" s="115"/>
      <c r="D291" s="180" t="s">
        <v>196</v>
      </c>
      <c r="E291" s="158"/>
      <c r="F291" s="174">
        <v>0.13</v>
      </c>
      <c r="G291" s="175"/>
      <c r="H291" s="182">
        <f>H290*F291</f>
        <v>13701.823979999999</v>
      </c>
      <c r="I291" s="174">
        <v>0.13</v>
      </c>
      <c r="J291" s="183"/>
      <c r="K291" s="182">
        <f>K290*I291</f>
        <v>13239.296979999999</v>
      </c>
      <c r="L291" s="124">
        <f>K291-H291</f>
        <v>-462.52700000000004</v>
      </c>
      <c r="M291" s="184">
        <f>IF((H291)=0,"",(L291/H291))</f>
        <v>-3.3756600630334477E-2</v>
      </c>
    </row>
    <row r="292" spans="1:14" ht="15" hidden="1" x14ac:dyDescent="0.25">
      <c r="A292" s="46" t="str">
        <f t="shared" si="39"/>
        <v>GENERAL SERVICE 1,000 TO 4,999 KW SERVICE CLASSIFICATION</v>
      </c>
      <c r="B292" s="46" t="s">
        <v>141</v>
      </c>
      <c r="C292" s="115"/>
      <c r="D292" s="180" t="s">
        <v>197</v>
      </c>
      <c r="E292"/>
      <c r="F292" s="185">
        <v>0.11700000000000001</v>
      </c>
      <c r="G292" s="175"/>
      <c r="H292" s="182">
        <f>IF(OR(ISNUMBER(SEARCH("[DGEN]", E246))=TRUE, ISNUMBER(SEARCH("STREET LIGHT", E246))=TRUE), 0, IF(AND(E248=0, E249=0),0, IF(AND(E249=0, E248*12&gt;250000), 0, IF(AND(E248=0, E249&gt;=50), 0, IF(E248*12&lt;=250000, F292*H290*-1, IF(E249&lt;50, F292*H290*-1, 0))))))</f>
        <v>0</v>
      </c>
      <c r="I292" s="185">
        <v>0.11700000000000001</v>
      </c>
      <c r="J292" s="183"/>
      <c r="K292" s="182">
        <f>IF(OR(ISNUMBER(SEARCH("[DGEN]", E246))=TRUE, ISNUMBER(SEARCH("STREET LIGHT", E246))=TRUE), 0, IF(AND(E248=0, E249=0),0, IF(AND(E249=0, E248*12&gt;250000), 0, IF(AND(E248=0, E249&gt;=50), 0, IF(E248*12&lt;=250000, I292*K290*-1, IF(E249&lt;50, I292*K290*-1, 0))))))</f>
        <v>0</v>
      </c>
      <c r="L292" s="124"/>
      <c r="M292" s="184"/>
    </row>
    <row r="293" spans="1:14" hidden="1" x14ac:dyDescent="0.2">
      <c r="A293" s="46" t="str">
        <f t="shared" si="39"/>
        <v>GENERAL SERVICE 1,000 TO 4,999 KW SERVICE CLASSIFICATION</v>
      </c>
      <c r="B293" s="46" t="s">
        <v>201</v>
      </c>
      <c r="C293" s="115"/>
      <c r="D293" s="186" t="s">
        <v>200</v>
      </c>
      <c r="E293" s="186"/>
      <c r="F293" s="194"/>
      <c r="G293" s="195"/>
      <c r="H293" s="189">
        <f>SUM(H290,H291)</f>
        <v>119100.46997999999</v>
      </c>
      <c r="I293" s="196"/>
      <c r="J293" s="196"/>
      <c r="K293" s="189">
        <f>SUM(K290,K291)</f>
        <v>115080.04297999998</v>
      </c>
      <c r="L293" s="197">
        <f>K293-H293</f>
        <v>-4020.4270000000106</v>
      </c>
      <c r="M293" s="198">
        <f>IF((H293)=0,"",(L293/H293))</f>
        <v>-3.3756600630334567E-2</v>
      </c>
    </row>
    <row r="294" spans="1:14" ht="13.5" hidden="1" thickBot="1" x14ac:dyDescent="0.25">
      <c r="A294" s="46" t="str">
        <f t="shared" si="39"/>
        <v>GENERAL SERVICE 1,000 TO 4,999 KW SERVICE CLASSIFICATION</v>
      </c>
      <c r="B294" s="46" t="s">
        <v>141</v>
      </c>
      <c r="C294" s="115"/>
      <c r="D294" s="165"/>
      <c r="E294" s="166"/>
      <c r="F294" s="199"/>
      <c r="G294" s="200"/>
      <c r="H294" s="201"/>
      <c r="I294" s="199"/>
      <c r="J294" s="168"/>
      <c r="K294" s="201"/>
      <c r="L294" s="202"/>
      <c r="M294" s="172"/>
    </row>
    <row r="295" spans="1:14" x14ac:dyDescent="0.2">
      <c r="A295" s="46" t="str">
        <f t="shared" si="39"/>
        <v>GENERAL SERVICE 1,000 TO 4,999 KW SERVICE CLASSIFICATION</v>
      </c>
      <c r="B295" s="46" t="s">
        <v>140</v>
      </c>
      <c r="C295" s="115"/>
      <c r="D295" s="173" t="s">
        <v>202</v>
      </c>
      <c r="E295" s="158"/>
      <c r="F295" s="174"/>
      <c r="G295" s="175"/>
      <c r="H295" s="176">
        <f>SUM(H283,H275:H278,H274)</f>
        <v>105398.64599999999</v>
      </c>
      <c r="I295" s="177"/>
      <c r="J295" s="177"/>
      <c r="K295" s="176">
        <f>SUM(K283,K275:K278,K274)</f>
        <v>101840.74599999998</v>
      </c>
      <c r="L295" s="178">
        <f>K295-H295</f>
        <v>-3557.9000000000087</v>
      </c>
      <c r="M295" s="179">
        <f>IF((H295)=0,"",(L295/H295))</f>
        <v>-3.375660063033456E-2</v>
      </c>
    </row>
    <row r="296" spans="1:14" x14ac:dyDescent="0.2">
      <c r="A296" s="46" t="str">
        <f t="shared" si="39"/>
        <v>GENERAL SERVICE 1,000 TO 4,999 KW SERVICE CLASSIFICATION</v>
      </c>
      <c r="B296" s="46" t="s">
        <v>140</v>
      </c>
      <c r="C296" s="115"/>
      <c r="D296" s="180" t="s">
        <v>196</v>
      </c>
      <c r="E296" s="158"/>
      <c r="F296" s="174">
        <v>0.13</v>
      </c>
      <c r="G296" s="175"/>
      <c r="H296" s="182">
        <f>H295*F296</f>
        <v>13701.823979999999</v>
      </c>
      <c r="I296" s="174">
        <v>0.13</v>
      </c>
      <c r="J296" s="183"/>
      <c r="K296" s="182">
        <f>K295*I296</f>
        <v>13239.296979999999</v>
      </c>
      <c r="L296" s="124">
        <f>K296-H296</f>
        <v>-462.52700000000004</v>
      </c>
      <c r="M296" s="184">
        <f>IF((H296)=0,"",(L296/H296))</f>
        <v>-3.3756600630334477E-2</v>
      </c>
    </row>
    <row r="297" spans="1:14" ht="15" x14ac:dyDescent="0.25">
      <c r="A297" s="46" t="str">
        <f t="shared" si="39"/>
        <v>GENERAL SERVICE 1,000 TO 4,999 KW SERVICE CLASSIFICATION</v>
      </c>
      <c r="B297" s="46" t="s">
        <v>140</v>
      </c>
      <c r="C297" s="115"/>
      <c r="D297" s="180" t="s">
        <v>197</v>
      </c>
      <c r="E297"/>
      <c r="F297" s="185">
        <v>0.11700000000000001</v>
      </c>
      <c r="G297" s="175"/>
      <c r="H297" s="182">
        <f>IF(OR(ISNUMBER(SEARCH("[DGEN]", E246))=TRUE, ISNUMBER(SEARCH("STREET LIGHT", E246))=TRUE), 0, IF(AND(E248=0, E249=0),0, IF(AND(E249=0, E248*12&gt;250000), 0, IF(AND(E248=0, E249&gt;=50), 0, IF(E248*12&lt;=250000, F297*H295*-1, IF(E249&lt;50, F297*H295*-1, 0))))))</f>
        <v>0</v>
      </c>
      <c r="I297" s="185">
        <v>0.11700000000000001</v>
      </c>
      <c r="J297" s="183"/>
      <c r="K297" s="182">
        <f>IF(OR(ISNUMBER(SEARCH("[DGEN]", E246))=TRUE, ISNUMBER(SEARCH("STREET LIGHT", E246))=TRUE), 0, IF(AND(E248=0, E249=0),0, IF(AND(E249=0, E248*12&gt;250000), 0, IF(AND(E248=0, E249&gt;=50), 0, IF(E248*12&lt;=250000, I297*K295*-1, IF(E249&lt;50, I297*K295*-1, 0))))))</f>
        <v>0</v>
      </c>
      <c r="L297" s="124"/>
      <c r="M297" s="184"/>
    </row>
    <row r="298" spans="1:14" ht="13.5" thickBot="1" x14ac:dyDescent="0.25">
      <c r="A298" s="46" t="str">
        <f t="shared" si="39"/>
        <v>GENERAL SERVICE 1,000 TO 4,999 KW SERVICE CLASSIFICATION</v>
      </c>
      <c r="B298" s="46" t="s">
        <v>203</v>
      </c>
      <c r="C298" s="115">
        <f>B33</f>
        <v>4</v>
      </c>
      <c r="D298" s="186" t="s">
        <v>202</v>
      </c>
      <c r="E298" s="186"/>
      <c r="F298" s="194"/>
      <c r="G298" s="195"/>
      <c r="H298" s="189">
        <f>SUM(H295,H296)</f>
        <v>119100.46997999999</v>
      </c>
      <c r="I298" s="196"/>
      <c r="J298" s="196"/>
      <c r="K298" s="189">
        <f>SUM(K295,K296)</f>
        <v>115080.04297999998</v>
      </c>
      <c r="L298" s="197">
        <f>K298-H298</f>
        <v>-4020.4270000000106</v>
      </c>
      <c r="M298" s="198">
        <f>IF((H298)=0,"",(L298/H298))</f>
        <v>-3.3756600630334567E-2</v>
      </c>
    </row>
    <row r="299" spans="1:14" ht="13.5" thickBot="1" x14ac:dyDescent="0.25">
      <c r="A299" s="46" t="str">
        <f t="shared" si="39"/>
        <v>GENERAL SERVICE 1,000 TO 4,999 KW SERVICE CLASSIFICATION</v>
      </c>
      <c r="B299" s="46" t="s">
        <v>140</v>
      </c>
      <c r="C299" s="115"/>
      <c r="D299" s="165"/>
      <c r="E299" s="166"/>
      <c r="F299" s="203"/>
      <c r="G299" s="200"/>
      <c r="H299" s="204"/>
      <c r="I299" s="203"/>
      <c r="J299" s="168"/>
      <c r="K299" s="204"/>
      <c r="L299" s="202"/>
      <c r="M299" s="205"/>
    </row>
    <row r="302" spans="1:14" x14ac:dyDescent="0.2">
      <c r="C302" s="46"/>
      <c r="D302" s="90" t="s">
        <v>150</v>
      </c>
      <c r="E302" s="91" t="str">
        <f>D34</f>
        <v>LARGE USE SERVICE CLASSIFICATION</v>
      </c>
      <c r="F302" s="91"/>
      <c r="G302" s="91"/>
      <c r="H302" s="91"/>
      <c r="I302" s="91"/>
      <c r="J302" s="91"/>
      <c r="K302" s="46" t="str">
        <f>IF(N34="DEMAND - INTERVAL","RTSR - INTERVAL METERED","")</f>
        <v/>
      </c>
    </row>
    <row r="303" spans="1:14" x14ac:dyDescent="0.2">
      <c r="C303" s="46"/>
      <c r="D303" s="90" t="s">
        <v>151</v>
      </c>
      <c r="E303" s="92" t="str">
        <f>H34</f>
        <v>Non-RPP (Other)</v>
      </c>
      <c r="F303" s="92"/>
      <c r="G303" s="92"/>
      <c r="H303" s="93"/>
      <c r="I303" s="93"/>
    </row>
    <row r="304" spans="1:14" ht="15.75" x14ac:dyDescent="0.2">
      <c r="C304" s="46"/>
      <c r="D304" s="90" t="s">
        <v>152</v>
      </c>
      <c r="E304" s="94">
        <f>K34</f>
        <v>6600000</v>
      </c>
      <c r="F304" s="95" t="s">
        <v>153</v>
      </c>
      <c r="J304" s="96"/>
      <c r="K304" s="96"/>
      <c r="L304" s="96"/>
      <c r="M304" s="96"/>
      <c r="N304" s="96"/>
    </row>
    <row r="305" spans="1:13" ht="15.75" x14ac:dyDescent="0.25">
      <c r="C305" s="46"/>
      <c r="D305" s="90" t="s">
        <v>154</v>
      </c>
      <c r="E305" s="94">
        <f>L34</f>
        <v>16000</v>
      </c>
      <c r="F305" s="97" t="s">
        <v>155</v>
      </c>
      <c r="G305" s="98"/>
      <c r="H305" s="99"/>
      <c r="I305" s="99"/>
      <c r="J305" s="99"/>
    </row>
    <row r="306" spans="1:13" x14ac:dyDescent="0.2">
      <c r="C306" s="46"/>
      <c r="D306" s="90" t="s">
        <v>156</v>
      </c>
      <c r="E306" s="100">
        <f>I34</f>
        <v>1.0306999999999999</v>
      </c>
    </row>
    <row r="307" spans="1:13" x14ac:dyDescent="0.2">
      <c r="C307" s="46"/>
      <c r="D307" s="90" t="s">
        <v>157</v>
      </c>
      <c r="E307" s="100">
        <f>J34</f>
        <v>1.0306999999999999</v>
      </c>
    </row>
    <row r="308" spans="1:13" x14ac:dyDescent="0.2">
      <c r="C308" s="46"/>
    </row>
    <row r="309" spans="1:13" x14ac:dyDescent="0.2">
      <c r="C309" s="46"/>
      <c r="E309" s="95"/>
      <c r="F309" s="101" t="s">
        <v>204</v>
      </c>
      <c r="G309" s="102"/>
      <c r="H309" s="103"/>
      <c r="I309" s="101" t="s">
        <v>205</v>
      </c>
      <c r="J309" s="102"/>
      <c r="K309" s="103"/>
      <c r="L309" s="101" t="s">
        <v>158</v>
      </c>
      <c r="M309" s="103"/>
    </row>
    <row r="310" spans="1:13" x14ac:dyDescent="0.2">
      <c r="C310" s="46"/>
      <c r="E310" s="104"/>
      <c r="F310" s="105" t="s">
        <v>159</v>
      </c>
      <c r="G310" s="105" t="s">
        <v>160</v>
      </c>
      <c r="H310" s="106" t="s">
        <v>161</v>
      </c>
      <c r="I310" s="105" t="s">
        <v>159</v>
      </c>
      <c r="J310" s="107" t="s">
        <v>160</v>
      </c>
      <c r="K310" s="106" t="s">
        <v>161</v>
      </c>
      <c r="L310" s="108" t="s">
        <v>162</v>
      </c>
      <c r="M310" s="109" t="s">
        <v>163</v>
      </c>
    </row>
    <row r="311" spans="1:13" x14ac:dyDescent="0.2">
      <c r="C311" s="46"/>
      <c r="E311" s="110"/>
      <c r="F311" s="111" t="s">
        <v>164</v>
      </c>
      <c r="G311" s="111"/>
      <c r="H311" s="112" t="s">
        <v>164</v>
      </c>
      <c r="I311" s="111" t="s">
        <v>164</v>
      </c>
      <c r="J311" s="112"/>
      <c r="K311" s="112" t="s">
        <v>164</v>
      </c>
      <c r="L311" s="113"/>
      <c r="M311" s="114"/>
    </row>
    <row r="312" spans="1:13" x14ac:dyDescent="0.2">
      <c r="A312" s="46" t="str">
        <f>$E302</f>
        <v>LARGE USE SERVICE CLASSIFICATION</v>
      </c>
      <c r="C312" s="115"/>
      <c r="D312" s="116" t="s">
        <v>165</v>
      </c>
      <c r="E312" s="117"/>
      <c r="F312" s="118">
        <v>9623.42</v>
      </c>
      <c r="G312" s="119">
        <v>1</v>
      </c>
      <c r="H312" s="120">
        <f>G312*F312</f>
        <v>9623.42</v>
      </c>
      <c r="I312" s="121">
        <v>9965.0499999999993</v>
      </c>
      <c r="J312" s="122">
        <f>G312</f>
        <v>1</v>
      </c>
      <c r="K312" s="123">
        <f>J312*I312</f>
        <v>9965.0499999999993</v>
      </c>
      <c r="L312" s="124">
        <f t="shared" ref="L312:L333" si="44">K312-H312</f>
        <v>341.6299999999992</v>
      </c>
      <c r="M312" s="125">
        <f>IF(ISERROR(L312/H312), "", L312/H312)</f>
        <v>3.5499853482441709E-2</v>
      </c>
    </row>
    <row r="313" spans="1:13" x14ac:dyDescent="0.2">
      <c r="A313" s="46" t="str">
        <f>A312</f>
        <v>LARGE USE SERVICE CLASSIFICATION</v>
      </c>
      <c r="C313" s="115"/>
      <c r="D313" s="116" t="s">
        <v>30</v>
      </c>
      <c r="E313" s="117"/>
      <c r="F313" s="126">
        <v>1.7877000000000001</v>
      </c>
      <c r="G313" s="119">
        <f>IF($E305&gt;0, $E305, $E304)</f>
        <v>16000</v>
      </c>
      <c r="H313" s="120">
        <f t="shared" ref="H313:H325" si="45">G313*F313</f>
        <v>28603.200000000001</v>
      </c>
      <c r="I313" s="127">
        <v>1.8512</v>
      </c>
      <c r="J313" s="122">
        <f>IF($E305&gt;0, $E305, $E304)</f>
        <v>16000</v>
      </c>
      <c r="K313" s="123">
        <f>J313*I313</f>
        <v>29619.200000000001</v>
      </c>
      <c r="L313" s="124">
        <f t="shared" si="44"/>
        <v>1016</v>
      </c>
      <c r="M313" s="125">
        <f t="shared" ref="M313:M323" si="46">IF(ISERROR(L313/H313), "", L313/H313)</f>
        <v>3.552050120266264E-2</v>
      </c>
    </row>
    <row r="314" spans="1:13" hidden="1" x14ac:dyDescent="0.2">
      <c r="A314" s="46" t="str">
        <f t="shared" ref="A314:A355" si="47">A313</f>
        <v>LARGE USE SERVICE CLASSIFICATION</v>
      </c>
      <c r="C314" s="115"/>
      <c r="D314" s="116" t="s">
        <v>166</v>
      </c>
      <c r="E314" s="117"/>
      <c r="F314" s="126"/>
      <c r="G314" s="119">
        <f>IF($E305&gt;0, $E305, $E304)</f>
        <v>16000</v>
      </c>
      <c r="H314" s="120">
        <v>0</v>
      </c>
      <c r="I314" s="127"/>
      <c r="J314" s="122">
        <f>IF($E305&gt;0, $E305, $E304)</f>
        <v>16000</v>
      </c>
      <c r="K314" s="123">
        <v>0</v>
      </c>
      <c r="L314" s="124"/>
      <c r="M314" s="125"/>
    </row>
    <row r="315" spans="1:13" hidden="1" x14ac:dyDescent="0.2">
      <c r="A315" s="46" t="str">
        <f t="shared" si="47"/>
        <v>LARGE USE SERVICE CLASSIFICATION</v>
      </c>
      <c r="C315" s="115"/>
      <c r="D315" s="116" t="s">
        <v>167</v>
      </c>
      <c r="E315" s="117"/>
      <c r="F315" s="126"/>
      <c r="G315" s="119">
        <f>IF($E305&gt;0, $E305, $E304)</f>
        <v>16000</v>
      </c>
      <c r="H315" s="120">
        <v>0</v>
      </c>
      <c r="I315" s="127"/>
      <c r="J315" s="128">
        <f>IF($E305&gt;0, $E305, $E304)</f>
        <v>16000</v>
      </c>
      <c r="K315" s="123">
        <v>0</v>
      </c>
      <c r="L315" s="124">
        <f>K315-H315</f>
        <v>0</v>
      </c>
      <c r="M315" s="125" t="str">
        <f>IF(ISERROR(L315/H315), "", L315/H315)</f>
        <v/>
      </c>
    </row>
    <row r="316" spans="1:13" x14ac:dyDescent="0.2">
      <c r="A316" s="46" t="str">
        <f t="shared" si="47"/>
        <v>LARGE USE SERVICE CLASSIFICATION</v>
      </c>
      <c r="C316" s="115"/>
      <c r="D316" s="116" t="s">
        <v>168</v>
      </c>
      <c r="E316" s="117"/>
      <c r="F316" s="118">
        <v>1011.44</v>
      </c>
      <c r="G316" s="119">
        <v>1</v>
      </c>
      <c r="H316" s="120">
        <f t="shared" si="45"/>
        <v>1011.44</v>
      </c>
      <c r="I316" s="121">
        <v>1011.44</v>
      </c>
      <c r="J316" s="122">
        <f>G316</f>
        <v>1</v>
      </c>
      <c r="K316" s="123">
        <f t="shared" ref="K316:K323" si="48">J316*I316</f>
        <v>1011.44</v>
      </c>
      <c r="L316" s="124">
        <f t="shared" si="44"/>
        <v>0</v>
      </c>
      <c r="M316" s="125">
        <f t="shared" si="46"/>
        <v>0</v>
      </c>
    </row>
    <row r="317" spans="1:13" x14ac:dyDescent="0.2">
      <c r="A317" s="46" t="str">
        <f t="shared" si="47"/>
        <v>LARGE USE SERVICE CLASSIFICATION</v>
      </c>
      <c r="C317" s="115"/>
      <c r="D317" s="116" t="s">
        <v>169</v>
      </c>
      <c r="E317" s="117"/>
      <c r="F317" s="126">
        <v>0</v>
      </c>
      <c r="G317" s="119">
        <f>IF($E305&gt;0, $E305, $E304)</f>
        <v>16000</v>
      </c>
      <c r="H317" s="120">
        <f t="shared" si="45"/>
        <v>0</v>
      </c>
      <c r="I317" s="127">
        <v>0</v>
      </c>
      <c r="J317" s="122">
        <f>IF($E305&gt;0, $E305, $E304)</f>
        <v>16000</v>
      </c>
      <c r="K317" s="123">
        <f t="shared" si="48"/>
        <v>0</v>
      </c>
      <c r="L317" s="124">
        <f t="shared" si="44"/>
        <v>0</v>
      </c>
      <c r="M317" s="125" t="str">
        <f t="shared" si="46"/>
        <v/>
      </c>
    </row>
    <row r="318" spans="1:13" x14ac:dyDescent="0.2">
      <c r="A318" s="46" t="str">
        <f t="shared" si="47"/>
        <v>LARGE USE SERVICE CLASSIFICATION</v>
      </c>
      <c r="B318" s="46" t="s">
        <v>170</v>
      </c>
      <c r="C318" s="115">
        <f>B34</f>
        <v>5</v>
      </c>
      <c r="D318" s="129" t="s">
        <v>171</v>
      </c>
      <c r="E318" s="130"/>
      <c r="F318" s="131"/>
      <c r="G318" s="132"/>
      <c r="H318" s="133">
        <f>SUM(H312:H317)</f>
        <v>39238.060000000005</v>
      </c>
      <c r="I318" s="134"/>
      <c r="J318" s="135"/>
      <c r="K318" s="133">
        <f>SUM(K312:K317)</f>
        <v>40595.69</v>
      </c>
      <c r="L318" s="136">
        <f t="shared" si="44"/>
        <v>1357.6299999999974</v>
      </c>
      <c r="M318" s="137">
        <f>IF((H318)=0,"",(L318/H318))</f>
        <v>3.4599824761978475E-2</v>
      </c>
    </row>
    <row r="319" spans="1:13" x14ac:dyDescent="0.2">
      <c r="A319" s="46" t="str">
        <f t="shared" si="47"/>
        <v>LARGE USE SERVICE CLASSIFICATION</v>
      </c>
      <c r="C319" s="115"/>
      <c r="D319" s="138" t="s">
        <v>172</v>
      </c>
      <c r="E319" s="117"/>
      <c r="F319" s="126">
        <f>IF((E304*12&gt;=150000), 0, IF(E303="RPP",(F335*0.64+F336*0.18+F337*0.18),IF(E303="Non-RPP (Retailer)",F338,F339)))</f>
        <v>0</v>
      </c>
      <c r="G319" s="139">
        <f>IF(F319=0, 0, $E304*E306-E304)</f>
        <v>0</v>
      </c>
      <c r="H319" s="120">
        <f>G319*F319</f>
        <v>0</v>
      </c>
      <c r="I319" s="127">
        <f>IF((E304*12&gt;=150000), 0, IF(E303="RPP",(I335*0.64+I336*0.18+I337*0.18),IF(E303="Non-RPP (Retailer)",I338,I339)))</f>
        <v>0</v>
      </c>
      <c r="J319" s="140">
        <f>IF(I319=0, 0, E304*E307-E304)</f>
        <v>0</v>
      </c>
      <c r="K319" s="123">
        <f>J319*I319</f>
        <v>0</v>
      </c>
      <c r="L319" s="124">
        <f>K319-H319</f>
        <v>0</v>
      </c>
      <c r="M319" s="125" t="str">
        <f>IF(ISERROR(L319/H319), "", L319/H319)</f>
        <v/>
      </c>
    </row>
    <row r="320" spans="1:13" ht="25.5" x14ac:dyDescent="0.2">
      <c r="A320" s="46" t="str">
        <f t="shared" si="47"/>
        <v>LARGE USE SERVICE CLASSIFICATION</v>
      </c>
      <c r="C320" s="115"/>
      <c r="D320" s="138" t="s">
        <v>173</v>
      </c>
      <c r="E320" s="117"/>
      <c r="F320" s="126">
        <v>0.57799999999999996</v>
      </c>
      <c r="G320" s="141">
        <f>IF($E305&gt;0, $E305, $E304)</f>
        <v>16000</v>
      </c>
      <c r="H320" s="120">
        <f t="shared" si="45"/>
        <v>9248</v>
      </c>
      <c r="I320" s="127">
        <f>'Proposed Tariff'!D180+'Proposed Tariff'!D179</f>
        <v>1.5437000000000001</v>
      </c>
      <c r="J320" s="142">
        <f>IF($E305&gt;0, $E305, $E304)</f>
        <v>16000</v>
      </c>
      <c r="K320" s="123">
        <f t="shared" si="48"/>
        <v>24699.200000000001</v>
      </c>
      <c r="L320" s="124">
        <f t="shared" si="44"/>
        <v>15451.2</v>
      </c>
      <c r="M320" s="125">
        <f t="shared" si="46"/>
        <v>1.6707612456747405</v>
      </c>
    </row>
    <row r="321" spans="1:14" x14ac:dyDescent="0.2">
      <c r="A321" s="46" t="str">
        <f t="shared" si="47"/>
        <v>LARGE USE SERVICE CLASSIFICATION</v>
      </c>
      <c r="C321" s="115"/>
      <c r="D321" s="138" t="s">
        <v>174</v>
      </c>
      <c r="E321" s="117"/>
      <c r="F321" s="126">
        <v>0</v>
      </c>
      <c r="G321" s="141">
        <f>IF($E305&gt;0, $E305, $E304)</f>
        <v>16000</v>
      </c>
      <c r="H321" s="120">
        <f>G321*F321</f>
        <v>0</v>
      </c>
      <c r="I321" s="127">
        <v>0</v>
      </c>
      <c r="J321" s="142">
        <f>IF($E305&gt;0, $E305, $E304)</f>
        <v>16000</v>
      </c>
      <c r="K321" s="123">
        <f>J321*I321</f>
        <v>0</v>
      </c>
      <c r="L321" s="124">
        <f t="shared" si="44"/>
        <v>0</v>
      </c>
      <c r="M321" s="125" t="str">
        <f t="shared" si="46"/>
        <v/>
      </c>
    </row>
    <row r="322" spans="1:14" x14ac:dyDescent="0.2">
      <c r="A322" s="46" t="str">
        <f t="shared" si="47"/>
        <v>LARGE USE SERVICE CLASSIFICATION</v>
      </c>
      <c r="C322" s="115"/>
      <c r="D322" s="138" t="s">
        <v>175</v>
      </c>
      <c r="E322" s="117"/>
      <c r="F322" s="126">
        <v>0</v>
      </c>
      <c r="G322" s="141">
        <f>E304</f>
        <v>6600000</v>
      </c>
      <c r="H322" s="120">
        <f>G322*F322</f>
        <v>0</v>
      </c>
      <c r="I322" s="127">
        <v>0</v>
      </c>
      <c r="J322" s="142">
        <f>E304</f>
        <v>6600000</v>
      </c>
      <c r="K322" s="123">
        <f t="shared" si="48"/>
        <v>0</v>
      </c>
      <c r="L322" s="124">
        <f t="shared" si="44"/>
        <v>0</v>
      </c>
      <c r="M322" s="125" t="str">
        <f t="shared" si="46"/>
        <v/>
      </c>
    </row>
    <row r="323" spans="1:14" x14ac:dyDescent="0.2">
      <c r="A323" s="46" t="str">
        <f t="shared" si="47"/>
        <v>LARGE USE SERVICE CLASSIFICATION</v>
      </c>
      <c r="C323" s="115"/>
      <c r="D323" s="116" t="s">
        <v>176</v>
      </c>
      <c r="E323" s="117"/>
      <c r="F323" s="126">
        <v>0.1019</v>
      </c>
      <c r="G323" s="141">
        <f>IF($E305&gt;0, $E305, $E304)</f>
        <v>16000</v>
      </c>
      <c r="H323" s="120">
        <f t="shared" si="45"/>
        <v>1630.4</v>
      </c>
      <c r="I323" s="127">
        <v>0.1019</v>
      </c>
      <c r="J323" s="142">
        <f>IF($E305&gt;0, $E305, $E304)</f>
        <v>16000</v>
      </c>
      <c r="K323" s="123">
        <f t="shared" si="48"/>
        <v>1630.4</v>
      </c>
      <c r="L323" s="124">
        <f t="shared" si="44"/>
        <v>0</v>
      </c>
      <c r="M323" s="125">
        <f t="shared" si="46"/>
        <v>0</v>
      </c>
    </row>
    <row r="324" spans="1:14" ht="25.5" x14ac:dyDescent="0.2">
      <c r="A324" s="46" t="str">
        <f t="shared" si="47"/>
        <v>LARGE USE SERVICE CLASSIFICATION</v>
      </c>
      <c r="C324" s="115"/>
      <c r="D324" s="138" t="s">
        <v>177</v>
      </c>
      <c r="E324" s="117"/>
      <c r="F324" s="143">
        <f>IF(OR(ISNUMBER(SEARCH("RESIDENTIAL", E302))=TRUE, ISNUMBER(SEARCH("GENERAL SERVICE LESS THAN 50", E302))=TRUE), 0.43, 0)</f>
        <v>0</v>
      </c>
      <c r="G324" s="119">
        <v>1</v>
      </c>
      <c r="H324" s="120">
        <f>G324*F324</f>
        <v>0</v>
      </c>
      <c r="I324" s="144">
        <f>IF(OR(ISNUMBER(SEARCH("RESIDENTIAL", E302))=TRUE, ISNUMBER(SEARCH("GENERAL SERVICE LESS THAN 50", E302))=TRUE), SME, 0)</f>
        <v>0</v>
      </c>
      <c r="J324" s="128">
        <v>1</v>
      </c>
      <c r="K324" s="123">
        <f>J324*I324</f>
        <v>0</v>
      </c>
      <c r="L324" s="124">
        <f t="shared" si="44"/>
        <v>0</v>
      </c>
      <c r="M324" s="125" t="str">
        <f>IF(ISERROR(L324/H324), "", L324/H324)</f>
        <v/>
      </c>
    </row>
    <row r="325" spans="1:14" x14ac:dyDescent="0.2">
      <c r="A325" s="46" t="str">
        <f t="shared" si="47"/>
        <v>LARGE USE SERVICE CLASSIFICATION</v>
      </c>
      <c r="C325" s="115"/>
      <c r="D325" s="116" t="s">
        <v>178</v>
      </c>
      <c r="E325" s="117"/>
      <c r="F325" s="118">
        <v>0</v>
      </c>
      <c r="G325" s="119">
        <v>1</v>
      </c>
      <c r="H325" s="120">
        <f t="shared" si="45"/>
        <v>0</v>
      </c>
      <c r="I325" s="121">
        <v>0</v>
      </c>
      <c r="J325" s="128">
        <v>1</v>
      </c>
      <c r="K325" s="123">
        <f>J325*I325</f>
        <v>0</v>
      </c>
      <c r="L325" s="124">
        <f>K325-H325</f>
        <v>0</v>
      </c>
      <c r="M325" s="125" t="str">
        <f>IF(ISERROR(L325/H325), "", L325/H325)</f>
        <v/>
      </c>
    </row>
    <row r="326" spans="1:14" x14ac:dyDescent="0.2">
      <c r="A326" s="46" t="str">
        <f t="shared" si="47"/>
        <v>LARGE USE SERVICE CLASSIFICATION</v>
      </c>
      <c r="C326" s="115"/>
      <c r="D326" s="116" t="s">
        <v>179</v>
      </c>
      <c r="E326" s="117"/>
      <c r="F326" s="126">
        <v>0</v>
      </c>
      <c r="G326" s="141">
        <f>IF($E305&gt;0, $E305, $E304)</f>
        <v>16000</v>
      </c>
      <c r="H326" s="120">
        <f>G326*F326</f>
        <v>0</v>
      </c>
      <c r="I326" s="127">
        <v>0</v>
      </c>
      <c r="J326" s="142">
        <f>IF($E305&gt;0, $E305, $E304)</f>
        <v>16000</v>
      </c>
      <c r="K326" s="123">
        <f>J326*I326</f>
        <v>0</v>
      </c>
      <c r="L326" s="124">
        <f t="shared" si="44"/>
        <v>0</v>
      </c>
      <c r="M326" s="125" t="str">
        <f>IF(ISERROR(L326/H326), "", L326/H326)</f>
        <v/>
      </c>
    </row>
    <row r="327" spans="1:14" ht="25.5" x14ac:dyDescent="0.2">
      <c r="A327" s="46" t="str">
        <f t="shared" si="47"/>
        <v>LARGE USE SERVICE CLASSIFICATION</v>
      </c>
      <c r="B327" s="46" t="s">
        <v>180</v>
      </c>
      <c r="C327" s="115">
        <f>B34</f>
        <v>5</v>
      </c>
      <c r="D327" s="145" t="s">
        <v>181</v>
      </c>
      <c r="E327" s="146"/>
      <c r="F327" s="147"/>
      <c r="G327" s="148"/>
      <c r="H327" s="149">
        <f>SUM(H318:H326)</f>
        <v>50116.460000000006</v>
      </c>
      <c r="I327" s="150"/>
      <c r="J327" s="151"/>
      <c r="K327" s="149">
        <f>SUM(K318:K326)</f>
        <v>66925.289999999994</v>
      </c>
      <c r="L327" s="136">
        <f t="shared" si="44"/>
        <v>16808.829999999987</v>
      </c>
      <c r="M327" s="137">
        <f>IF((H327)=0,"",(L327/H327))</f>
        <v>0.3353953970412113</v>
      </c>
    </row>
    <row r="328" spans="1:14" x14ac:dyDescent="0.2">
      <c r="A328" s="46" t="str">
        <f t="shared" si="47"/>
        <v>LARGE USE SERVICE CLASSIFICATION</v>
      </c>
      <c r="C328" s="115"/>
      <c r="D328" s="152" t="s">
        <v>182</v>
      </c>
      <c r="E328" s="117"/>
      <c r="F328" s="126">
        <v>3.4489999999999998</v>
      </c>
      <c r="G328" s="139">
        <f>IF($E305&gt;0, $E305, $E304*$E306)</f>
        <v>16000</v>
      </c>
      <c r="H328" s="120">
        <f>G328*F328</f>
        <v>55184</v>
      </c>
      <c r="I328" s="153">
        <v>3.5680000000000001</v>
      </c>
      <c r="J328" s="140">
        <f>IF($E305&gt;0, $E305, $E304*$E307)</f>
        <v>16000</v>
      </c>
      <c r="K328" s="123">
        <f>J328*I328</f>
        <v>57088</v>
      </c>
      <c r="L328" s="124">
        <f t="shared" si="44"/>
        <v>1904</v>
      </c>
      <c r="M328" s="125">
        <f>IF(ISERROR(L328/H328), "", L328/H328)</f>
        <v>3.4502754421571469E-2</v>
      </c>
      <c r="N328" s="154" t="str">
        <f>IF(ISERROR(ABS(M328)), "", IF(ABS(M328)&gt;=4%, "In the manager's summary, discuss the reasoning for the change in RTSR rates", ""))</f>
        <v/>
      </c>
    </row>
    <row r="329" spans="1:14" ht="25.5" x14ac:dyDescent="0.2">
      <c r="A329" s="46" t="str">
        <f t="shared" si="47"/>
        <v>LARGE USE SERVICE CLASSIFICATION</v>
      </c>
      <c r="C329" s="115"/>
      <c r="D329" s="155" t="s">
        <v>183</v>
      </c>
      <c r="E329" s="117"/>
      <c r="F329" s="126">
        <v>1.8738999999999999</v>
      </c>
      <c r="G329" s="139">
        <f>IF($E305&gt;0, $E305, $E304*$E306)</f>
        <v>16000</v>
      </c>
      <c r="H329" s="120">
        <f>G329*F329</f>
        <v>29982.399999999998</v>
      </c>
      <c r="I329" s="153">
        <v>1.7994000000000001</v>
      </c>
      <c r="J329" s="140">
        <f>IF($E305&gt;0, $E305, $E304*$E307)</f>
        <v>16000</v>
      </c>
      <c r="K329" s="123">
        <f>J329*I329</f>
        <v>28790.400000000001</v>
      </c>
      <c r="L329" s="124">
        <f t="shared" si="44"/>
        <v>-1191.9999999999964</v>
      </c>
      <c r="M329" s="125">
        <f>IF(ISERROR(L329/H329), "", L329/H329)</f>
        <v>-3.9756657238913376E-2</v>
      </c>
      <c r="N329" s="154" t="str">
        <f>IF(ISERROR(ABS(M329)), "", IF(ABS(M329)&gt;=4%, "In the manager's summary, discuss the reasoning for the change in RTSR rates", ""))</f>
        <v/>
      </c>
    </row>
    <row r="330" spans="1:14" ht="25.5" x14ac:dyDescent="0.2">
      <c r="A330" s="46" t="str">
        <f t="shared" si="47"/>
        <v>LARGE USE SERVICE CLASSIFICATION</v>
      </c>
      <c r="B330" s="46" t="s">
        <v>184</v>
      </c>
      <c r="C330" s="115">
        <f>B34</f>
        <v>5</v>
      </c>
      <c r="D330" s="145" t="s">
        <v>185</v>
      </c>
      <c r="E330" s="130"/>
      <c r="F330" s="147"/>
      <c r="G330" s="148"/>
      <c r="H330" s="149">
        <f>SUM(H327:H329)</f>
        <v>135282.86000000002</v>
      </c>
      <c r="I330" s="150"/>
      <c r="J330" s="135"/>
      <c r="K330" s="149">
        <f>SUM(K327:K329)</f>
        <v>152803.69</v>
      </c>
      <c r="L330" s="136">
        <f t="shared" si="44"/>
        <v>17520.829999999987</v>
      </c>
      <c r="M330" s="137">
        <f>IF((H330)=0,"",(L330/H330))</f>
        <v>0.12951256352800336</v>
      </c>
    </row>
    <row r="331" spans="1:14" ht="25.5" x14ac:dyDescent="0.2">
      <c r="A331" s="46" t="str">
        <f t="shared" si="47"/>
        <v>LARGE USE SERVICE CLASSIFICATION</v>
      </c>
      <c r="C331" s="115"/>
      <c r="D331" s="156" t="s">
        <v>186</v>
      </c>
      <c r="E331" s="117"/>
      <c r="F331" s="126">
        <f>IF(AND('[1]1. Information Sheet'!$F$26:$H$26&gt;='[1]17. Regulatory Charges'!$D$14,'[1]1. Information Sheet'!$F$26:$H$26&lt;'[1]17. Regulatory Charges'!$E$14),'[1]17. Regulatory Charges'!$D$15+'[1]17. Regulatory Charges'!$D$16,'[1]17. Regulatory Charges'!$E$15+'[1]17. Regulatory Charges'!$E$16)</f>
        <v>3.4000000000000002E-3</v>
      </c>
      <c r="G331" s="139">
        <f>E304*E306</f>
        <v>6802620</v>
      </c>
      <c r="H331" s="157">
        <f t="shared" ref="H331:H337" si="49">G331*F331</f>
        <v>23128.908000000003</v>
      </c>
      <c r="I331" s="127">
        <f>'[1]17. Regulatory Charges'!$E$15+'[1]17. Regulatory Charges'!$E$16</f>
        <v>3.4000000000000002E-3</v>
      </c>
      <c r="J331" s="140">
        <f>E304*E307</f>
        <v>6802620</v>
      </c>
      <c r="K331" s="123">
        <f t="shared" ref="K331:K337" si="50">J331*I331</f>
        <v>23128.908000000003</v>
      </c>
      <c r="L331" s="124">
        <f t="shared" si="44"/>
        <v>0</v>
      </c>
      <c r="M331" s="125">
        <f t="shared" ref="M331:M339" si="51">IF(ISERROR(L331/H331), "", L331/H331)</f>
        <v>0</v>
      </c>
    </row>
    <row r="332" spans="1:14" ht="25.5" x14ac:dyDescent="0.2">
      <c r="A332" s="46" t="str">
        <f t="shared" si="47"/>
        <v>LARGE USE SERVICE CLASSIFICATION</v>
      </c>
      <c r="C332" s="115"/>
      <c r="D332" s="156" t="s">
        <v>187</v>
      </c>
      <c r="E332" s="117"/>
      <c r="F332" s="126">
        <f>IF(AND('[1]1. Information Sheet'!$F$26:$H$26&gt;='[1]17. Regulatory Charges'!$D$14,'[1]1. Information Sheet'!$F$26:$H$26&lt;'[1]17. Regulatory Charges'!$D$14),'[1]17. Regulatory Charges'!$D$17,'[1]17. Regulatory Charges'!$E$17)</f>
        <v>5.0000000000000001E-4</v>
      </c>
      <c r="G332" s="139">
        <f>E304*E306</f>
        <v>6802620</v>
      </c>
      <c r="H332" s="157">
        <f t="shared" si="49"/>
        <v>3401.31</v>
      </c>
      <c r="I332" s="127">
        <f>'[1]17. Regulatory Charges'!$E$17</f>
        <v>5.0000000000000001E-4</v>
      </c>
      <c r="J332" s="140">
        <f>E304*E307</f>
        <v>6802620</v>
      </c>
      <c r="K332" s="123">
        <f t="shared" si="50"/>
        <v>3401.31</v>
      </c>
      <c r="L332" s="124">
        <f t="shared" si="44"/>
        <v>0</v>
      </c>
      <c r="M332" s="125">
        <f t="shared" si="51"/>
        <v>0</v>
      </c>
    </row>
    <row r="333" spans="1:14" x14ac:dyDescent="0.2">
      <c r="A333" s="46" t="str">
        <f t="shared" si="47"/>
        <v>LARGE USE SERVICE CLASSIFICATION</v>
      </c>
      <c r="C333" s="115"/>
      <c r="D333" s="158" t="s">
        <v>188</v>
      </c>
      <c r="E333" s="117"/>
      <c r="F333" s="143">
        <f>IF(AND('[1]1. Information Sheet'!$F$26:$H$26&gt;='[1]17. Regulatory Charges'!$D$14,'[1]1. Information Sheet'!$F$26:$H$26&lt;'[1]17. Regulatory Charges'!$D$14),'[1]17. Regulatory Charges'!$D$18,'[1]17. Regulatory Charges'!$E$18)</f>
        <v>0.25</v>
      </c>
      <c r="G333" s="119">
        <v>1</v>
      </c>
      <c r="H333" s="157">
        <f t="shared" si="49"/>
        <v>0.25</v>
      </c>
      <c r="I333" s="144">
        <f>'[1]17. Regulatory Charges'!$E$18</f>
        <v>0.25</v>
      </c>
      <c r="J333" s="122">
        <v>1</v>
      </c>
      <c r="K333" s="123">
        <f t="shared" si="50"/>
        <v>0.25</v>
      </c>
      <c r="L333" s="124">
        <f t="shared" si="44"/>
        <v>0</v>
      </c>
      <c r="M333" s="125">
        <f t="shared" si="51"/>
        <v>0</v>
      </c>
    </row>
    <row r="334" spans="1:14" ht="25.5" hidden="1" x14ac:dyDescent="0.2">
      <c r="A334" s="46" t="str">
        <f t="shared" si="47"/>
        <v>LARGE USE SERVICE CLASSIFICATION</v>
      </c>
      <c r="C334" s="115"/>
      <c r="D334" s="156" t="s">
        <v>189</v>
      </c>
      <c r="E334" s="117"/>
      <c r="F334" s="126"/>
      <c r="G334" s="139"/>
      <c r="H334" s="157"/>
      <c r="I334" s="127"/>
      <c r="J334" s="140"/>
      <c r="K334" s="123"/>
      <c r="L334" s="124"/>
      <c r="M334" s="125"/>
    </row>
    <row r="335" spans="1:14" hidden="1" x14ac:dyDescent="0.2">
      <c r="A335" s="46" t="str">
        <f t="shared" si="47"/>
        <v>LARGE USE SERVICE CLASSIFICATION</v>
      </c>
      <c r="B335" s="46" t="s">
        <v>139</v>
      </c>
      <c r="C335" s="115"/>
      <c r="D335" s="158" t="s">
        <v>190</v>
      </c>
      <c r="E335" s="117"/>
      <c r="F335" s="159">
        <f>OffPeak</f>
        <v>7.3999999999999996E-2</v>
      </c>
      <c r="G335" s="160">
        <f>IF(AND(E304*12&gt;=150000),0.64*E304*E306,0.64*E304)</f>
        <v>4353676.8</v>
      </c>
      <c r="H335" s="157">
        <f t="shared" si="49"/>
        <v>322172.08319999999</v>
      </c>
      <c r="I335" s="161">
        <f>OffPeak</f>
        <v>7.3999999999999996E-2</v>
      </c>
      <c r="J335" s="162">
        <f>IF(AND(E304*12&gt;=150000),0.64*E304*E307,0.64*E304)</f>
        <v>4353676.8</v>
      </c>
      <c r="K335" s="123">
        <f t="shared" si="50"/>
        <v>322172.08319999999</v>
      </c>
      <c r="L335" s="124">
        <f>K335-H335</f>
        <v>0</v>
      </c>
      <c r="M335" s="125">
        <f t="shared" si="51"/>
        <v>0</v>
      </c>
    </row>
    <row r="336" spans="1:14" hidden="1" x14ac:dyDescent="0.2">
      <c r="A336" s="46" t="str">
        <f t="shared" si="47"/>
        <v>LARGE USE SERVICE CLASSIFICATION</v>
      </c>
      <c r="B336" s="46" t="s">
        <v>139</v>
      </c>
      <c r="C336" s="115"/>
      <c r="D336" s="158" t="s">
        <v>191</v>
      </c>
      <c r="E336" s="117"/>
      <c r="F336" s="159">
        <f>MidPeak</f>
        <v>0.10199999999999999</v>
      </c>
      <c r="G336" s="160">
        <f>IF(AND(E304*12&gt;=150000),0.18*E304*E306,0.18*E304)</f>
        <v>1224471.5999999999</v>
      </c>
      <c r="H336" s="157">
        <f t="shared" si="49"/>
        <v>124896.10319999998</v>
      </c>
      <c r="I336" s="161">
        <f>MidPeak</f>
        <v>0.10199999999999999</v>
      </c>
      <c r="J336" s="162">
        <f>IF(AND(E304*12&gt;=150000),0.18*E304*E307,0.18*E304)</f>
        <v>1224471.5999999999</v>
      </c>
      <c r="K336" s="123">
        <f t="shared" si="50"/>
        <v>124896.10319999998</v>
      </c>
      <c r="L336" s="124">
        <f>K336-H336</f>
        <v>0</v>
      </c>
      <c r="M336" s="125">
        <f t="shared" si="51"/>
        <v>0</v>
      </c>
    </row>
    <row r="337" spans="1:13" hidden="1" x14ac:dyDescent="0.2">
      <c r="A337" s="46" t="str">
        <f t="shared" si="47"/>
        <v>LARGE USE SERVICE CLASSIFICATION</v>
      </c>
      <c r="B337" s="46" t="s">
        <v>139</v>
      </c>
      <c r="C337" s="115"/>
      <c r="D337" s="46" t="s">
        <v>192</v>
      </c>
      <c r="E337" s="117"/>
      <c r="F337" s="159">
        <f>OnPeak</f>
        <v>0.151</v>
      </c>
      <c r="G337" s="160">
        <f>IF(AND(E304*12&gt;=150000),0.18*E304*E306,0.18*E304)</f>
        <v>1224471.5999999999</v>
      </c>
      <c r="H337" s="157">
        <f t="shared" si="49"/>
        <v>184895.21159999998</v>
      </c>
      <c r="I337" s="161">
        <f>OnPeak</f>
        <v>0.151</v>
      </c>
      <c r="J337" s="162">
        <f>IF(AND(E304*12&gt;=150000),0.18*E304*E307,0.18*E304)</f>
        <v>1224471.5999999999</v>
      </c>
      <c r="K337" s="123">
        <f t="shared" si="50"/>
        <v>184895.21159999998</v>
      </c>
      <c r="L337" s="124">
        <f>K337-H337</f>
        <v>0</v>
      </c>
      <c r="M337" s="125">
        <f t="shared" si="51"/>
        <v>0</v>
      </c>
    </row>
    <row r="338" spans="1:13" hidden="1" x14ac:dyDescent="0.2">
      <c r="A338" s="46" t="str">
        <f t="shared" si="47"/>
        <v>LARGE USE SERVICE CLASSIFICATION</v>
      </c>
      <c r="B338" s="46" t="s">
        <v>141</v>
      </c>
      <c r="C338" s="115"/>
      <c r="D338" s="158" t="s">
        <v>193</v>
      </c>
      <c r="E338" s="117"/>
      <c r="F338" s="163">
        <v>9.6699999999999994E-2</v>
      </c>
      <c r="G338" s="160">
        <f>IF(AND(E304*12&gt;=150000),E304*E306,E304)</f>
        <v>6802620</v>
      </c>
      <c r="H338" s="157">
        <f>G338*F338</f>
        <v>657813.35399999993</v>
      </c>
      <c r="I338" s="164">
        <f>F338</f>
        <v>9.6699999999999994E-2</v>
      </c>
      <c r="J338" s="162">
        <f>IF(AND(E304*12&gt;=150000),E304*E307,E304)</f>
        <v>6802620</v>
      </c>
      <c r="K338" s="123">
        <f>J338*I338</f>
        <v>657813.35399999993</v>
      </c>
      <c r="L338" s="124">
        <f>K338-H338</f>
        <v>0</v>
      </c>
      <c r="M338" s="125">
        <f t="shared" si="51"/>
        <v>0</v>
      </c>
    </row>
    <row r="339" spans="1:13" ht="13.5" thickBot="1" x14ac:dyDescent="0.25">
      <c r="A339" s="46" t="str">
        <f t="shared" si="47"/>
        <v>LARGE USE SERVICE CLASSIFICATION</v>
      </c>
      <c r="B339" s="46" t="s">
        <v>140</v>
      </c>
      <c r="C339" s="115"/>
      <c r="D339" s="158" t="s">
        <v>194</v>
      </c>
      <c r="E339" s="117"/>
      <c r="F339" s="163">
        <v>9.6699999999999994E-2</v>
      </c>
      <c r="G339" s="160">
        <f>IF(AND(E304*12&gt;=150000),E304*E306,E304)</f>
        <v>6802620</v>
      </c>
      <c r="H339" s="157">
        <f>G339*F339</f>
        <v>657813.35399999993</v>
      </c>
      <c r="I339" s="164">
        <f>F339</f>
        <v>9.6699999999999994E-2</v>
      </c>
      <c r="J339" s="162">
        <f>IF(AND(E304*12&gt;=150000),E304*E307,E304)</f>
        <v>6802620</v>
      </c>
      <c r="K339" s="123">
        <f>J339*I339</f>
        <v>657813.35399999993</v>
      </c>
      <c r="L339" s="124">
        <f>K339-H339</f>
        <v>0</v>
      </c>
      <c r="M339" s="125">
        <f t="shared" si="51"/>
        <v>0</v>
      </c>
    </row>
    <row r="340" spans="1:13" ht="13.5" thickBot="1" x14ac:dyDescent="0.25">
      <c r="A340" s="46" t="str">
        <f t="shared" si="47"/>
        <v>LARGE USE SERVICE CLASSIFICATION</v>
      </c>
      <c r="C340" s="115"/>
      <c r="D340" s="165"/>
      <c r="E340" s="166"/>
      <c r="F340" s="167"/>
      <c r="G340" s="168"/>
      <c r="H340" s="169"/>
      <c r="I340" s="167"/>
      <c r="J340" s="170"/>
      <c r="K340" s="169"/>
      <c r="L340" s="171"/>
      <c r="M340" s="172"/>
    </row>
    <row r="341" spans="1:13" hidden="1" x14ac:dyDescent="0.2">
      <c r="A341" s="46" t="str">
        <f t="shared" si="47"/>
        <v>LARGE USE SERVICE CLASSIFICATION</v>
      </c>
      <c r="B341" s="46" t="s">
        <v>139</v>
      </c>
      <c r="C341" s="115"/>
      <c r="D341" s="173" t="s">
        <v>195</v>
      </c>
      <c r="E341" s="158"/>
      <c r="F341" s="174"/>
      <c r="G341" s="175"/>
      <c r="H341" s="176">
        <f>SUM(H331:H337,H330)</f>
        <v>793776.72599999991</v>
      </c>
      <c r="I341" s="177"/>
      <c r="J341" s="177"/>
      <c r="K341" s="176">
        <f>SUM(K331:K337,K330)</f>
        <v>811297.55599999987</v>
      </c>
      <c r="L341" s="178">
        <f>K341-H341</f>
        <v>17520.829999999958</v>
      </c>
      <c r="M341" s="179">
        <f>IF((H341)=0,"",(L341/H341))</f>
        <v>2.2072743412736393E-2</v>
      </c>
    </row>
    <row r="342" spans="1:13" hidden="1" x14ac:dyDescent="0.2">
      <c r="A342" s="46" t="str">
        <f t="shared" si="47"/>
        <v>LARGE USE SERVICE CLASSIFICATION</v>
      </c>
      <c r="B342" s="46" t="s">
        <v>139</v>
      </c>
      <c r="C342" s="115"/>
      <c r="D342" s="180" t="s">
        <v>196</v>
      </c>
      <c r="E342" s="158"/>
      <c r="F342" s="174">
        <v>0.13</v>
      </c>
      <c r="G342" s="181"/>
      <c r="H342" s="182">
        <f>H341*F342</f>
        <v>103190.97437999999</v>
      </c>
      <c r="I342" s="183">
        <v>0.13</v>
      </c>
      <c r="J342" s="119"/>
      <c r="K342" s="182">
        <f>K341*I342</f>
        <v>105468.68227999998</v>
      </c>
      <c r="L342" s="124">
        <f>K342-H342</f>
        <v>2277.707899999994</v>
      </c>
      <c r="M342" s="184">
        <f>IF((H342)=0,"",(L342/H342))</f>
        <v>2.2072743412736386E-2</v>
      </c>
    </row>
    <row r="343" spans="1:13" ht="15" hidden="1" x14ac:dyDescent="0.25">
      <c r="A343" s="46" t="str">
        <f t="shared" si="47"/>
        <v>LARGE USE SERVICE CLASSIFICATION</v>
      </c>
      <c r="B343" s="46" t="s">
        <v>139</v>
      </c>
      <c r="C343" s="115"/>
      <c r="D343" s="180" t="s">
        <v>197</v>
      </c>
      <c r="E343"/>
      <c r="F343" s="185">
        <v>0.11700000000000001</v>
      </c>
      <c r="G343" s="181"/>
      <c r="H343" s="182">
        <f>IF(OR(ISNUMBER(SEARCH("[DGEN]", E302))=TRUE, ISNUMBER(SEARCH("STREET LIGHT", E302))=TRUE), 0, IF(AND(E304=0, E305=0),0, IF(AND(E305=0, E304*12&gt;250000), 0, IF(AND(E304=0, E305&gt;=50), 0, IF(E304*12&lt;=250000, F343*H341*-1, IF(E305&lt;50, F343*H341*-1, 0))))))</f>
        <v>0</v>
      </c>
      <c r="I343" s="185">
        <v>0.11700000000000001</v>
      </c>
      <c r="J343" s="119"/>
      <c r="K343" s="182">
        <f>IF(OR(ISNUMBER(SEARCH("[DGEN]", E302))=TRUE, ISNUMBER(SEARCH("STREET LIGHT", E302))=TRUE), 0, IF(AND(E304=0, E305=0),0, IF(AND(E305=0, E304*12&gt;250000), 0, IF(AND(E304=0, E305&gt;=50), 0, IF(E304*12&lt;=250000, I343*K341*-1, IF(E305&lt;50, I343*K341*-1, 0))))))</f>
        <v>0</v>
      </c>
      <c r="L343" s="124">
        <f>K343-H343</f>
        <v>0</v>
      </c>
      <c r="M343" s="184"/>
    </row>
    <row r="344" spans="1:13" hidden="1" x14ac:dyDescent="0.2">
      <c r="A344" s="46" t="str">
        <f t="shared" si="47"/>
        <v>LARGE USE SERVICE CLASSIFICATION</v>
      </c>
      <c r="B344" s="46" t="s">
        <v>198</v>
      </c>
      <c r="C344" s="115"/>
      <c r="D344" s="186" t="s">
        <v>199</v>
      </c>
      <c r="E344" s="186"/>
      <c r="F344" s="187"/>
      <c r="G344" s="188"/>
      <c r="H344" s="189">
        <f>H341+H342+H343</f>
        <v>896967.70037999994</v>
      </c>
      <c r="I344" s="190"/>
      <c r="J344" s="190"/>
      <c r="K344" s="191">
        <f>K341+K342+K343</f>
        <v>916766.23827999982</v>
      </c>
      <c r="L344" s="192">
        <f>K344-H344</f>
        <v>19798.537899999879</v>
      </c>
      <c r="M344" s="193">
        <f>IF((H344)=0,"",(L344/H344))</f>
        <v>2.2072743412736309E-2</v>
      </c>
    </row>
    <row r="345" spans="1:13" ht="13.5" hidden="1" thickBot="1" x14ac:dyDescent="0.25">
      <c r="A345" s="46" t="str">
        <f t="shared" si="47"/>
        <v>LARGE USE SERVICE CLASSIFICATION</v>
      </c>
      <c r="B345" s="46" t="s">
        <v>139</v>
      </c>
      <c r="C345" s="115"/>
      <c r="D345" s="165"/>
      <c r="E345" s="166"/>
      <c r="F345" s="167"/>
      <c r="G345" s="168"/>
      <c r="H345" s="169"/>
      <c r="I345" s="167"/>
      <c r="J345" s="170"/>
      <c r="K345" s="169"/>
      <c r="L345" s="171"/>
      <c r="M345" s="172"/>
    </row>
    <row r="346" spans="1:13" hidden="1" x14ac:dyDescent="0.2">
      <c r="A346" s="46" t="str">
        <f t="shared" si="47"/>
        <v>LARGE USE SERVICE CLASSIFICATION</v>
      </c>
      <c r="B346" s="46" t="s">
        <v>141</v>
      </c>
      <c r="C346" s="115"/>
      <c r="D346" s="173" t="s">
        <v>200</v>
      </c>
      <c r="E346" s="158"/>
      <c r="F346" s="174"/>
      <c r="G346" s="175"/>
      <c r="H346" s="176">
        <f>SUM(H338,H331:H334,H330)</f>
        <v>819626.68200000003</v>
      </c>
      <c r="I346" s="177"/>
      <c r="J346" s="177"/>
      <c r="K346" s="176">
        <f>SUM(K338,K331:K334,K330)</f>
        <v>837147.5120000001</v>
      </c>
      <c r="L346" s="178">
        <f>K346-H346</f>
        <v>17520.830000000075</v>
      </c>
      <c r="M346" s="179">
        <f>IF((H346)=0,"",(L346/H346))</f>
        <v>2.1376597888744762E-2</v>
      </c>
    </row>
    <row r="347" spans="1:13" hidden="1" x14ac:dyDescent="0.2">
      <c r="A347" s="46" t="str">
        <f t="shared" si="47"/>
        <v>LARGE USE SERVICE CLASSIFICATION</v>
      </c>
      <c r="B347" s="46" t="s">
        <v>141</v>
      </c>
      <c r="C347" s="115"/>
      <c r="D347" s="180" t="s">
        <v>196</v>
      </c>
      <c r="E347" s="158"/>
      <c r="F347" s="174">
        <v>0.13</v>
      </c>
      <c r="G347" s="175"/>
      <c r="H347" s="182">
        <f>H346*F347</f>
        <v>106551.46866000001</v>
      </c>
      <c r="I347" s="174">
        <v>0.13</v>
      </c>
      <c r="J347" s="183"/>
      <c r="K347" s="182">
        <f>K346*I347</f>
        <v>108829.17656000002</v>
      </c>
      <c r="L347" s="124">
        <f>K347-H347</f>
        <v>2277.7079000000085</v>
      </c>
      <c r="M347" s="184">
        <f>IF((H347)=0,"",(L347/H347))</f>
        <v>2.1376597888744749E-2</v>
      </c>
    </row>
    <row r="348" spans="1:13" ht="15" hidden="1" x14ac:dyDescent="0.25">
      <c r="A348" s="46" t="str">
        <f t="shared" si="47"/>
        <v>LARGE USE SERVICE CLASSIFICATION</v>
      </c>
      <c r="B348" s="46" t="s">
        <v>141</v>
      </c>
      <c r="C348" s="115"/>
      <c r="D348" s="180" t="s">
        <v>197</v>
      </c>
      <c r="E348"/>
      <c r="F348" s="185">
        <v>0.11700000000000001</v>
      </c>
      <c r="G348" s="175"/>
      <c r="H348" s="182">
        <f>IF(OR(ISNUMBER(SEARCH("[DGEN]", E302))=TRUE, ISNUMBER(SEARCH("STREET LIGHT", E302))=TRUE), 0, IF(AND(E304=0, E305=0),0, IF(AND(E305=0, E304*12&gt;250000), 0, IF(AND(E304=0, E305&gt;=50), 0, IF(E304*12&lt;=250000, F348*H346*-1, IF(E305&lt;50, F348*H346*-1, 0))))))</f>
        <v>0</v>
      </c>
      <c r="I348" s="185">
        <v>0.11700000000000001</v>
      </c>
      <c r="J348" s="183"/>
      <c r="K348" s="182">
        <f>IF(OR(ISNUMBER(SEARCH("[DGEN]", E302))=TRUE, ISNUMBER(SEARCH("STREET LIGHT", E302))=TRUE), 0, IF(AND(E304=0, E305=0),0, IF(AND(E305=0, E304*12&gt;250000), 0, IF(AND(E304=0, E305&gt;=50), 0, IF(E304*12&lt;=250000, I348*K346*-1, IF(E305&lt;50, I348*K346*-1, 0))))))</f>
        <v>0</v>
      </c>
      <c r="L348" s="124"/>
      <c r="M348" s="184"/>
    </row>
    <row r="349" spans="1:13" hidden="1" x14ac:dyDescent="0.2">
      <c r="A349" s="46" t="str">
        <f t="shared" si="47"/>
        <v>LARGE USE SERVICE CLASSIFICATION</v>
      </c>
      <c r="B349" s="46" t="s">
        <v>201</v>
      </c>
      <c r="C349" s="115"/>
      <c r="D349" s="186" t="s">
        <v>200</v>
      </c>
      <c r="E349" s="186"/>
      <c r="F349" s="194"/>
      <c r="G349" s="195"/>
      <c r="H349" s="189">
        <f>SUM(H346,H347)</f>
        <v>926178.15066000004</v>
      </c>
      <c r="I349" s="196"/>
      <c r="J349" s="196"/>
      <c r="K349" s="189">
        <f>SUM(K346,K347)</f>
        <v>945976.68856000016</v>
      </c>
      <c r="L349" s="197">
        <f>K349-H349</f>
        <v>19798.537900000112</v>
      </c>
      <c r="M349" s="198">
        <f>IF((H349)=0,"",(L349/H349))</f>
        <v>2.137659788874479E-2</v>
      </c>
    </row>
    <row r="350" spans="1:13" ht="13.5" hidden="1" thickBot="1" x14ac:dyDescent="0.25">
      <c r="A350" s="46" t="str">
        <f t="shared" si="47"/>
        <v>LARGE USE SERVICE CLASSIFICATION</v>
      </c>
      <c r="B350" s="46" t="s">
        <v>141</v>
      </c>
      <c r="C350" s="115"/>
      <c r="D350" s="165"/>
      <c r="E350" s="166"/>
      <c r="F350" s="199"/>
      <c r="G350" s="200"/>
      <c r="H350" s="201"/>
      <c r="I350" s="199"/>
      <c r="J350" s="168"/>
      <c r="K350" s="201"/>
      <c r="L350" s="202"/>
      <c r="M350" s="172"/>
    </row>
    <row r="351" spans="1:13" x14ac:dyDescent="0.2">
      <c r="A351" s="46" t="str">
        <f t="shared" si="47"/>
        <v>LARGE USE SERVICE CLASSIFICATION</v>
      </c>
      <c r="B351" s="46" t="s">
        <v>140</v>
      </c>
      <c r="C351" s="115"/>
      <c r="D351" s="173" t="s">
        <v>202</v>
      </c>
      <c r="E351" s="158"/>
      <c r="F351" s="174"/>
      <c r="G351" s="175"/>
      <c r="H351" s="176">
        <f>SUM(H339,H331:H334,H330)</f>
        <v>819626.68200000003</v>
      </c>
      <c r="I351" s="177"/>
      <c r="J351" s="177"/>
      <c r="K351" s="176">
        <f>SUM(K339,K331:K334,K330)</f>
        <v>837147.5120000001</v>
      </c>
      <c r="L351" s="178">
        <f>K351-H351</f>
        <v>17520.830000000075</v>
      </c>
      <c r="M351" s="179">
        <f>IF((H351)=0,"",(L351/H351))</f>
        <v>2.1376597888744762E-2</v>
      </c>
    </row>
    <row r="352" spans="1:13" x14ac:dyDescent="0.2">
      <c r="A352" s="46" t="str">
        <f t="shared" si="47"/>
        <v>LARGE USE SERVICE CLASSIFICATION</v>
      </c>
      <c r="B352" s="46" t="s">
        <v>140</v>
      </c>
      <c r="C352" s="115"/>
      <c r="D352" s="180" t="s">
        <v>196</v>
      </c>
      <c r="E352" s="158"/>
      <c r="F352" s="174">
        <v>0.13</v>
      </c>
      <c r="G352" s="175"/>
      <c r="H352" s="182">
        <f>H351*F352</f>
        <v>106551.46866000001</v>
      </c>
      <c r="I352" s="174">
        <v>0.13</v>
      </c>
      <c r="J352" s="183"/>
      <c r="K352" s="182">
        <f>K351*I352</f>
        <v>108829.17656000002</v>
      </c>
      <c r="L352" s="124">
        <f>K352-H352</f>
        <v>2277.7079000000085</v>
      </c>
      <c r="M352" s="184">
        <f>IF((H352)=0,"",(L352/H352))</f>
        <v>2.1376597888744749E-2</v>
      </c>
    </row>
    <row r="353" spans="1:14" ht="15" x14ac:dyDescent="0.25">
      <c r="A353" s="46" t="str">
        <f t="shared" si="47"/>
        <v>LARGE USE SERVICE CLASSIFICATION</v>
      </c>
      <c r="B353" s="46" t="s">
        <v>140</v>
      </c>
      <c r="C353" s="115"/>
      <c r="D353" s="180" t="s">
        <v>197</v>
      </c>
      <c r="E353"/>
      <c r="F353" s="185">
        <v>0.11700000000000001</v>
      </c>
      <c r="G353" s="175"/>
      <c r="H353" s="182">
        <f>IF(OR(ISNUMBER(SEARCH("[DGEN]", E302))=TRUE, ISNUMBER(SEARCH("STREET LIGHT", E302))=TRUE), 0, IF(AND(E304=0, E305=0),0, IF(AND(E305=0, E304*12&gt;250000), 0, IF(AND(E304=0, E305&gt;=50), 0, IF(E304*12&lt;=250000, F353*H351*-1, IF(E305&lt;50, F353*H351*-1, 0))))))</f>
        <v>0</v>
      </c>
      <c r="I353" s="185">
        <v>0.11700000000000001</v>
      </c>
      <c r="J353" s="183"/>
      <c r="K353" s="182">
        <f>IF(OR(ISNUMBER(SEARCH("[DGEN]", E302))=TRUE, ISNUMBER(SEARCH("STREET LIGHT", E302))=TRUE), 0, IF(AND(E304=0, E305=0),0, IF(AND(E305=0, E304*12&gt;250000), 0, IF(AND(E304=0, E305&gt;=50), 0, IF(E304*12&lt;=250000, I353*K351*-1, IF(E305&lt;50, I353*K351*-1, 0))))))</f>
        <v>0</v>
      </c>
      <c r="L353" s="124"/>
      <c r="M353" s="184"/>
    </row>
    <row r="354" spans="1:14" ht="13.5" thickBot="1" x14ac:dyDescent="0.25">
      <c r="A354" s="46" t="str">
        <f t="shared" si="47"/>
        <v>LARGE USE SERVICE CLASSIFICATION</v>
      </c>
      <c r="B354" s="46" t="s">
        <v>203</v>
      </c>
      <c r="C354" s="115">
        <f>B34</f>
        <v>5</v>
      </c>
      <c r="D354" s="186" t="s">
        <v>202</v>
      </c>
      <c r="E354" s="186"/>
      <c r="F354" s="194"/>
      <c r="G354" s="195"/>
      <c r="H354" s="189">
        <f>SUM(H351,H352)</f>
        <v>926178.15066000004</v>
      </c>
      <c r="I354" s="196"/>
      <c r="J354" s="196"/>
      <c r="K354" s="189">
        <f>SUM(K351,K352)</f>
        <v>945976.68856000016</v>
      </c>
      <c r="L354" s="197">
        <f>K354-H354</f>
        <v>19798.537900000112</v>
      </c>
      <c r="M354" s="198">
        <f>IF((H354)=0,"",(L354/H354))</f>
        <v>2.137659788874479E-2</v>
      </c>
    </row>
    <row r="355" spans="1:14" ht="13.5" thickBot="1" x14ac:dyDescent="0.25">
      <c r="A355" s="46" t="str">
        <f t="shared" si="47"/>
        <v>LARGE USE SERVICE CLASSIFICATION</v>
      </c>
      <c r="B355" s="46" t="s">
        <v>140</v>
      </c>
      <c r="C355" s="115"/>
      <c r="D355" s="165"/>
      <c r="E355" s="166"/>
      <c r="F355" s="203"/>
      <c r="G355" s="200"/>
      <c r="H355" s="204"/>
      <c r="I355" s="203"/>
      <c r="J355" s="168"/>
      <c r="K355" s="204"/>
      <c r="L355" s="202"/>
      <c r="M355" s="205"/>
    </row>
    <row r="358" spans="1:14" x14ac:dyDescent="0.2">
      <c r="C358" s="46"/>
      <c r="D358" s="90" t="s">
        <v>150</v>
      </c>
      <c r="E358" s="91" t="str">
        <f>D35</f>
        <v>UNMETERED SCATTERED LOAD SERVICE CLASSIFICATION</v>
      </c>
      <c r="F358" s="91"/>
      <c r="G358" s="91"/>
      <c r="H358" s="91"/>
      <c r="I358" s="91"/>
      <c r="J358" s="91"/>
      <c r="K358" s="46" t="str">
        <f>IF(N35="DEMAND - INTERVAL","RTSR - INTERVAL METERED","")</f>
        <v/>
      </c>
    </row>
    <row r="359" spans="1:14" x14ac:dyDescent="0.2">
      <c r="C359" s="46"/>
      <c r="D359" s="90" t="s">
        <v>151</v>
      </c>
      <c r="E359" s="92" t="str">
        <f>H35</f>
        <v>RPP</v>
      </c>
      <c r="F359" s="92"/>
      <c r="G359" s="92"/>
      <c r="H359" s="93"/>
      <c r="I359" s="93"/>
    </row>
    <row r="360" spans="1:14" ht="15.75" x14ac:dyDescent="0.2">
      <c r="C360" s="46"/>
      <c r="D360" s="90" t="s">
        <v>152</v>
      </c>
      <c r="E360" s="94">
        <f>K35</f>
        <v>100</v>
      </c>
      <c r="F360" s="95" t="s">
        <v>153</v>
      </c>
      <c r="J360" s="96"/>
      <c r="K360" s="96"/>
      <c r="L360" s="96"/>
      <c r="M360" s="96"/>
      <c r="N360" s="96"/>
    </row>
    <row r="361" spans="1:14" ht="15.75" x14ac:dyDescent="0.25">
      <c r="C361" s="46"/>
      <c r="D361" s="90" t="s">
        <v>154</v>
      </c>
      <c r="E361" s="94">
        <f>L35</f>
        <v>0</v>
      </c>
      <c r="F361" s="97" t="s">
        <v>155</v>
      </c>
      <c r="G361" s="98"/>
      <c r="H361" s="99"/>
      <c r="I361" s="99"/>
      <c r="J361" s="99"/>
    </row>
    <row r="362" spans="1:14" x14ac:dyDescent="0.2">
      <c r="C362" s="46"/>
      <c r="D362" s="90" t="s">
        <v>156</v>
      </c>
      <c r="E362" s="100">
        <f>I35</f>
        <v>1.0306999999999999</v>
      </c>
    </row>
    <row r="363" spans="1:14" x14ac:dyDescent="0.2">
      <c r="C363" s="46"/>
      <c r="D363" s="90" t="s">
        <v>157</v>
      </c>
      <c r="E363" s="100">
        <f>J35</f>
        <v>1.0306999999999999</v>
      </c>
    </row>
    <row r="364" spans="1:14" x14ac:dyDescent="0.2">
      <c r="C364" s="46"/>
    </row>
    <row r="365" spans="1:14" x14ac:dyDescent="0.2">
      <c r="C365" s="46"/>
      <c r="E365" s="95"/>
      <c r="F365" s="101" t="s">
        <v>204</v>
      </c>
      <c r="G365" s="102"/>
      <c r="H365" s="103"/>
      <c r="I365" s="101" t="s">
        <v>205</v>
      </c>
      <c r="J365" s="102"/>
      <c r="K365" s="103"/>
      <c r="L365" s="101" t="s">
        <v>158</v>
      </c>
      <c r="M365" s="103"/>
    </row>
    <row r="366" spans="1:14" x14ac:dyDescent="0.2">
      <c r="C366" s="46"/>
      <c r="E366" s="104"/>
      <c r="F366" s="105" t="s">
        <v>159</v>
      </c>
      <c r="G366" s="105" t="s">
        <v>160</v>
      </c>
      <c r="H366" s="106" t="s">
        <v>161</v>
      </c>
      <c r="I366" s="105" t="s">
        <v>159</v>
      </c>
      <c r="J366" s="107" t="s">
        <v>160</v>
      </c>
      <c r="K366" s="106" t="s">
        <v>161</v>
      </c>
      <c r="L366" s="108" t="s">
        <v>162</v>
      </c>
      <c r="M366" s="109" t="s">
        <v>163</v>
      </c>
    </row>
    <row r="367" spans="1:14" x14ac:dyDescent="0.2">
      <c r="C367" s="46"/>
      <c r="E367" s="110"/>
      <c r="F367" s="111" t="s">
        <v>164</v>
      </c>
      <c r="G367" s="111"/>
      <c r="H367" s="112" t="s">
        <v>164</v>
      </c>
      <c r="I367" s="111" t="s">
        <v>164</v>
      </c>
      <c r="J367" s="112"/>
      <c r="K367" s="112" t="s">
        <v>164</v>
      </c>
      <c r="L367" s="113"/>
      <c r="M367" s="114"/>
    </row>
    <row r="368" spans="1:14" x14ac:dyDescent="0.2">
      <c r="A368" s="46" t="str">
        <f>$E358</f>
        <v>UNMETERED SCATTERED LOAD SERVICE CLASSIFICATION</v>
      </c>
      <c r="C368" s="115"/>
      <c r="D368" s="116" t="s">
        <v>165</v>
      </c>
      <c r="E368" s="117"/>
      <c r="F368" s="118">
        <v>6.24</v>
      </c>
      <c r="G368" s="119">
        <v>1</v>
      </c>
      <c r="H368" s="120">
        <f>G368*F368</f>
        <v>6.24</v>
      </c>
      <c r="I368" s="121">
        <v>6.46</v>
      </c>
      <c r="J368" s="122">
        <v>1</v>
      </c>
      <c r="K368" s="123">
        <f>J368*I368</f>
        <v>6.46</v>
      </c>
      <c r="L368" s="124">
        <f t="shared" ref="L368:L389" si="52">K368-H368</f>
        <v>0.21999999999999975</v>
      </c>
      <c r="M368" s="125">
        <f>IF(ISERROR(L368/H368), "", L368/H368)</f>
        <v>3.5256410256410214E-2</v>
      </c>
    </row>
    <row r="369" spans="1:14" x14ac:dyDescent="0.2">
      <c r="A369" s="46" t="str">
        <f>A368</f>
        <v>UNMETERED SCATTERED LOAD SERVICE CLASSIFICATION</v>
      </c>
      <c r="C369" s="115"/>
      <c r="D369" s="116" t="s">
        <v>30</v>
      </c>
      <c r="E369" s="117"/>
      <c r="F369" s="126">
        <v>1.54E-2</v>
      </c>
      <c r="G369" s="119">
        <f>IF($E361&gt;0, $E361, $E360)</f>
        <v>100</v>
      </c>
      <c r="H369" s="120">
        <f t="shared" ref="H369:H381" si="53">G369*F369</f>
        <v>1.54</v>
      </c>
      <c r="I369" s="127">
        <v>1.5900000000000001E-2</v>
      </c>
      <c r="J369" s="122">
        <f>IF($E361&gt;0, $E361, $E360)</f>
        <v>100</v>
      </c>
      <c r="K369" s="123">
        <f>J369*I369</f>
        <v>1.59</v>
      </c>
      <c r="L369" s="124">
        <f t="shared" si="52"/>
        <v>5.0000000000000044E-2</v>
      </c>
      <c r="M369" s="125">
        <f t="shared" ref="M369:M379" si="54">IF(ISERROR(L369/H369), "", L369/H369)</f>
        <v>3.2467532467532492E-2</v>
      </c>
    </row>
    <row r="370" spans="1:14" hidden="1" x14ac:dyDescent="0.2">
      <c r="A370" s="46" t="str">
        <f t="shared" ref="A370:A411" si="55">A369</f>
        <v>UNMETERED SCATTERED LOAD SERVICE CLASSIFICATION</v>
      </c>
      <c r="C370" s="115"/>
      <c r="D370" s="116" t="s">
        <v>166</v>
      </c>
      <c r="E370" s="117"/>
      <c r="F370" s="126"/>
      <c r="G370" s="119">
        <f>IF($E361&gt;0, $E361, $E360)</f>
        <v>100</v>
      </c>
      <c r="H370" s="120">
        <v>0</v>
      </c>
      <c r="I370" s="127"/>
      <c r="J370" s="122">
        <f>IF($E361&gt;0, $E361, $E360)</f>
        <v>100</v>
      </c>
      <c r="K370" s="123">
        <v>0</v>
      </c>
      <c r="L370" s="124"/>
      <c r="M370" s="125"/>
    </row>
    <row r="371" spans="1:14" hidden="1" x14ac:dyDescent="0.2">
      <c r="A371" s="46" t="str">
        <f t="shared" si="55"/>
        <v>UNMETERED SCATTERED LOAD SERVICE CLASSIFICATION</v>
      </c>
      <c r="C371" s="115"/>
      <c r="D371" s="116" t="s">
        <v>167</v>
      </c>
      <c r="E371" s="117"/>
      <c r="F371" s="126"/>
      <c r="G371" s="119">
        <f>IF($E361&gt;0, $E361, $E360)</f>
        <v>100</v>
      </c>
      <c r="H371" s="120">
        <v>0</v>
      </c>
      <c r="I371" s="127"/>
      <c r="J371" s="128">
        <f>IF($E361&gt;0, $E361, $E360)</f>
        <v>100</v>
      </c>
      <c r="K371" s="123">
        <v>0</v>
      </c>
      <c r="L371" s="124">
        <f>K371-H371</f>
        <v>0</v>
      </c>
      <c r="M371" s="125" t="str">
        <f>IF(ISERROR(L371/H371), "", L371/H371)</f>
        <v/>
      </c>
    </row>
    <row r="372" spans="1:14" x14ac:dyDescent="0.2">
      <c r="A372" s="46" t="str">
        <f t="shared" si="55"/>
        <v>UNMETERED SCATTERED LOAD SERVICE CLASSIFICATION</v>
      </c>
      <c r="C372" s="115"/>
      <c r="D372" s="116" t="s">
        <v>168</v>
      </c>
      <c r="E372" s="117"/>
      <c r="F372" s="118">
        <v>0.32999999999999996</v>
      </c>
      <c r="G372" s="119">
        <v>1</v>
      </c>
      <c r="H372" s="120">
        <f t="shared" si="53"/>
        <v>0.32999999999999996</v>
      </c>
      <c r="I372" s="121">
        <v>0.32999999999999996</v>
      </c>
      <c r="J372" s="122">
        <v>1</v>
      </c>
      <c r="K372" s="123">
        <f t="shared" ref="K372:K379" si="56">J372*I372</f>
        <v>0.32999999999999996</v>
      </c>
      <c r="L372" s="124">
        <f t="shared" si="52"/>
        <v>0</v>
      </c>
      <c r="M372" s="125">
        <f t="shared" si="54"/>
        <v>0</v>
      </c>
    </row>
    <row r="373" spans="1:14" x14ac:dyDescent="0.2">
      <c r="A373" s="46" t="str">
        <f t="shared" si="55"/>
        <v>UNMETERED SCATTERED LOAD SERVICE CLASSIFICATION</v>
      </c>
      <c r="C373" s="115"/>
      <c r="D373" s="116" t="s">
        <v>169</v>
      </c>
      <c r="E373" s="117"/>
      <c r="F373" s="126">
        <v>0</v>
      </c>
      <c r="G373" s="119">
        <f>IF($E361&gt;0, $E361, $E360)</f>
        <v>100</v>
      </c>
      <c r="H373" s="120">
        <f t="shared" si="53"/>
        <v>0</v>
      </c>
      <c r="I373" s="127">
        <v>0</v>
      </c>
      <c r="J373" s="122">
        <f>IF($E361&gt;0, $E361, $E360)</f>
        <v>100</v>
      </c>
      <c r="K373" s="123">
        <f t="shared" si="56"/>
        <v>0</v>
      </c>
      <c r="L373" s="124">
        <f t="shared" si="52"/>
        <v>0</v>
      </c>
      <c r="M373" s="125" t="str">
        <f t="shared" si="54"/>
        <v/>
      </c>
    </row>
    <row r="374" spans="1:14" x14ac:dyDescent="0.2">
      <c r="A374" s="46" t="str">
        <f t="shared" si="55"/>
        <v>UNMETERED SCATTERED LOAD SERVICE CLASSIFICATION</v>
      </c>
      <c r="B374" s="46" t="s">
        <v>170</v>
      </c>
      <c r="C374" s="115">
        <f>B35</f>
        <v>6</v>
      </c>
      <c r="D374" s="129" t="s">
        <v>171</v>
      </c>
      <c r="E374" s="130"/>
      <c r="F374" s="131"/>
      <c r="G374" s="132"/>
      <c r="H374" s="133">
        <f>SUM(H368:H373)</f>
        <v>8.11</v>
      </c>
      <c r="I374" s="134"/>
      <c r="J374" s="135"/>
      <c r="K374" s="133">
        <f>SUM(K368:K373)</f>
        <v>8.3800000000000008</v>
      </c>
      <c r="L374" s="136">
        <f t="shared" si="52"/>
        <v>0.27000000000000135</v>
      </c>
      <c r="M374" s="137">
        <f>IF((H374)=0,"",(L374/H374))</f>
        <v>3.3292231812577233E-2</v>
      </c>
    </row>
    <row r="375" spans="1:14" x14ac:dyDescent="0.2">
      <c r="A375" s="46" t="str">
        <f t="shared" si="55"/>
        <v>UNMETERED SCATTERED LOAD SERVICE CLASSIFICATION</v>
      </c>
      <c r="C375" s="115"/>
      <c r="D375" s="138" t="s">
        <v>172</v>
      </c>
      <c r="E375" s="117"/>
      <c r="F375" s="126">
        <f>IF((E360*12&gt;=150000), 0, IF(E359="RPP",(F391*0.64+F392*0.18+F393*0.18),IF(E359="Non-RPP (Retailer)",F394,F395)))</f>
        <v>9.2899999999999996E-2</v>
      </c>
      <c r="G375" s="139">
        <f>IF(F375=0, 0, $E360*E362-E360)</f>
        <v>3.0699999999999932</v>
      </c>
      <c r="H375" s="120">
        <f>G375*F375</f>
        <v>0.28520299999999937</v>
      </c>
      <c r="I375" s="127">
        <f>IF((E360*12&gt;=150000), 0, IF(E359="RPP",(I391*0.64+I392*0.18+I393*0.18),IF(E359="Non-RPP (Retailer)",I394,I395)))</f>
        <v>9.2899999999999996E-2</v>
      </c>
      <c r="J375" s="140">
        <f>IF(I375=0, 0, E360*E363-E360)</f>
        <v>3.0699999999999932</v>
      </c>
      <c r="K375" s="123">
        <f>J375*I375</f>
        <v>0.28520299999999937</v>
      </c>
      <c r="L375" s="124">
        <f>K375-H375</f>
        <v>0</v>
      </c>
      <c r="M375" s="125">
        <f>IF(ISERROR(L375/H375), "", L375/H375)</f>
        <v>0</v>
      </c>
    </row>
    <row r="376" spans="1:14" ht="25.5" x14ac:dyDescent="0.2">
      <c r="A376" s="46" t="str">
        <f t="shared" si="55"/>
        <v>UNMETERED SCATTERED LOAD SERVICE CLASSIFICATION</v>
      </c>
      <c r="C376" s="115"/>
      <c r="D376" s="138" t="s">
        <v>173</v>
      </c>
      <c r="E376" s="117"/>
      <c r="F376" s="126">
        <v>1.4E-3</v>
      </c>
      <c r="G376" s="141">
        <f>IF($E361&gt;0, $E361, $E360)</f>
        <v>100</v>
      </c>
      <c r="H376" s="120">
        <f t="shared" si="53"/>
        <v>0.13999999999999999</v>
      </c>
      <c r="I376" s="127">
        <f>'Proposed Tariff'!D211+'Proposed Tariff'!D213</f>
        <v>3.5000000000000001E-3</v>
      </c>
      <c r="J376" s="142">
        <f>IF($E361&gt;0, $E361, $E360)</f>
        <v>100</v>
      </c>
      <c r="K376" s="123">
        <f t="shared" si="56"/>
        <v>0.35000000000000003</v>
      </c>
      <c r="L376" s="124">
        <f t="shared" si="52"/>
        <v>0.21000000000000005</v>
      </c>
      <c r="M376" s="125">
        <f t="shared" si="54"/>
        <v>1.5000000000000004</v>
      </c>
    </row>
    <row r="377" spans="1:14" x14ac:dyDescent="0.2">
      <c r="A377" s="46" t="str">
        <f t="shared" si="55"/>
        <v>UNMETERED SCATTERED LOAD SERVICE CLASSIFICATION</v>
      </c>
      <c r="C377" s="115"/>
      <c r="D377" s="138" t="s">
        <v>174</v>
      </c>
      <c r="E377" s="117"/>
      <c r="F377" s="126">
        <v>0</v>
      </c>
      <c r="G377" s="141">
        <f>IF($E361&gt;0, $E361, $E360)</f>
        <v>100</v>
      </c>
      <c r="H377" s="120">
        <f>G377*F377</f>
        <v>0</v>
      </c>
      <c r="I377" s="127">
        <f>'Proposed Tariff'!D212</f>
        <v>-1E-4</v>
      </c>
      <c r="J377" s="142">
        <f>IF($E361&gt;0, $E361, $E360)</f>
        <v>100</v>
      </c>
      <c r="K377" s="123">
        <f>J377*I377</f>
        <v>-0.01</v>
      </c>
      <c r="L377" s="124">
        <f t="shared" si="52"/>
        <v>-0.01</v>
      </c>
      <c r="M377" s="125" t="str">
        <f t="shared" si="54"/>
        <v/>
      </c>
    </row>
    <row r="378" spans="1:14" x14ac:dyDescent="0.2">
      <c r="A378" s="46" t="str">
        <f t="shared" si="55"/>
        <v>UNMETERED SCATTERED LOAD SERVICE CLASSIFICATION</v>
      </c>
      <c r="C378" s="115"/>
      <c r="D378" s="138" t="s">
        <v>175</v>
      </c>
      <c r="E378" s="117"/>
      <c r="F378" s="126">
        <v>0</v>
      </c>
      <c r="G378" s="141">
        <f>E360</f>
        <v>100</v>
      </c>
      <c r="H378" s="120">
        <f>G378*F378</f>
        <v>0</v>
      </c>
      <c r="I378" s="127">
        <f>'Proposed Tariff'!D210</f>
        <v>-4.4999999999999997E-3</v>
      </c>
      <c r="J378" s="142">
        <f>E360</f>
        <v>100</v>
      </c>
      <c r="K378" s="123">
        <f t="shared" si="56"/>
        <v>-0.44999999999999996</v>
      </c>
      <c r="L378" s="124">
        <f t="shared" si="52"/>
        <v>-0.44999999999999996</v>
      </c>
      <c r="M378" s="125" t="str">
        <f t="shared" si="54"/>
        <v/>
      </c>
    </row>
    <row r="379" spans="1:14" x14ac:dyDescent="0.2">
      <c r="A379" s="46" t="str">
        <f t="shared" si="55"/>
        <v>UNMETERED SCATTERED LOAD SERVICE CLASSIFICATION</v>
      </c>
      <c r="C379" s="115"/>
      <c r="D379" s="116" t="s">
        <v>176</v>
      </c>
      <c r="E379" s="117"/>
      <c r="F379" s="126">
        <v>2.9999999999999997E-4</v>
      </c>
      <c r="G379" s="141">
        <f>IF($E361&gt;0, $E361, $E360)</f>
        <v>100</v>
      </c>
      <c r="H379" s="120">
        <f t="shared" si="53"/>
        <v>0.03</v>
      </c>
      <c r="I379" s="127">
        <v>2.9999999999999997E-4</v>
      </c>
      <c r="J379" s="142">
        <f>IF($E361&gt;0, $E361, $E360)</f>
        <v>100</v>
      </c>
      <c r="K379" s="123">
        <f t="shared" si="56"/>
        <v>0.03</v>
      </c>
      <c r="L379" s="124">
        <f t="shared" si="52"/>
        <v>0</v>
      </c>
      <c r="M379" s="125">
        <f t="shared" si="54"/>
        <v>0</v>
      </c>
    </row>
    <row r="380" spans="1:14" ht="25.5" x14ac:dyDescent="0.2">
      <c r="A380" s="46" t="str">
        <f t="shared" si="55"/>
        <v>UNMETERED SCATTERED LOAD SERVICE CLASSIFICATION</v>
      </c>
      <c r="C380" s="115"/>
      <c r="D380" s="138" t="s">
        <v>177</v>
      </c>
      <c r="E380" s="117"/>
      <c r="F380" s="143">
        <f>IF(OR(ISNUMBER(SEARCH("RESIDENTIAL", E358))=TRUE, ISNUMBER(SEARCH("GENERAL SERVICE LESS THAN 50", E358))=TRUE), 0.43, 0)</f>
        <v>0</v>
      </c>
      <c r="G380" s="119">
        <v>1</v>
      </c>
      <c r="H380" s="120">
        <f>G380*F380</f>
        <v>0</v>
      </c>
      <c r="I380" s="144">
        <f>IF(OR(ISNUMBER(SEARCH("RESIDENTIAL", E358))=TRUE, ISNUMBER(SEARCH("GENERAL SERVICE LESS THAN 50", E358))=TRUE), SME, 0)</f>
        <v>0</v>
      </c>
      <c r="J380" s="128">
        <v>1</v>
      </c>
      <c r="K380" s="123">
        <f>J380*I380</f>
        <v>0</v>
      </c>
      <c r="L380" s="124">
        <f t="shared" si="52"/>
        <v>0</v>
      </c>
      <c r="M380" s="125" t="str">
        <f>IF(ISERROR(L380/H380), "", L380/H380)</f>
        <v/>
      </c>
    </row>
    <row r="381" spans="1:14" x14ac:dyDescent="0.2">
      <c r="A381" s="46" t="str">
        <f t="shared" si="55"/>
        <v>UNMETERED SCATTERED LOAD SERVICE CLASSIFICATION</v>
      </c>
      <c r="C381" s="115"/>
      <c r="D381" s="116" t="s">
        <v>178</v>
      </c>
      <c r="E381" s="117"/>
      <c r="F381" s="118">
        <v>0</v>
      </c>
      <c r="G381" s="119">
        <v>1</v>
      </c>
      <c r="H381" s="120">
        <f t="shared" si="53"/>
        <v>0</v>
      </c>
      <c r="I381" s="121">
        <v>0</v>
      </c>
      <c r="J381" s="128">
        <v>1</v>
      </c>
      <c r="K381" s="123">
        <f>J381*I381</f>
        <v>0</v>
      </c>
      <c r="L381" s="124">
        <f>K381-H381</f>
        <v>0</v>
      </c>
      <c r="M381" s="125" t="str">
        <f>IF(ISERROR(L381/H381), "", L381/H381)</f>
        <v/>
      </c>
    </row>
    <row r="382" spans="1:14" x14ac:dyDescent="0.2">
      <c r="A382" s="46" t="str">
        <f t="shared" si="55"/>
        <v>UNMETERED SCATTERED LOAD SERVICE CLASSIFICATION</v>
      </c>
      <c r="C382" s="115"/>
      <c r="D382" s="116" t="s">
        <v>179</v>
      </c>
      <c r="E382" s="117"/>
      <c r="F382" s="126">
        <v>0</v>
      </c>
      <c r="G382" s="141">
        <f>IF($E361&gt;0, $E361, $E360)</f>
        <v>100</v>
      </c>
      <c r="H382" s="120">
        <f>G382*F382</f>
        <v>0</v>
      </c>
      <c r="I382" s="127">
        <v>0</v>
      </c>
      <c r="J382" s="142">
        <f>IF($E361&gt;0, $E361, $E360)</f>
        <v>100</v>
      </c>
      <c r="K382" s="123">
        <f>J382*I382</f>
        <v>0</v>
      </c>
      <c r="L382" s="124">
        <f t="shared" si="52"/>
        <v>0</v>
      </c>
      <c r="M382" s="125" t="str">
        <f>IF(ISERROR(L382/H382), "", L382/H382)</f>
        <v/>
      </c>
    </row>
    <row r="383" spans="1:14" ht="25.5" x14ac:dyDescent="0.2">
      <c r="A383" s="46" t="str">
        <f t="shared" si="55"/>
        <v>UNMETERED SCATTERED LOAD SERVICE CLASSIFICATION</v>
      </c>
      <c r="B383" s="46" t="s">
        <v>180</v>
      </c>
      <c r="C383" s="115">
        <f>B35</f>
        <v>6</v>
      </c>
      <c r="D383" s="145" t="s">
        <v>181</v>
      </c>
      <c r="E383" s="146"/>
      <c r="F383" s="147"/>
      <c r="G383" s="148"/>
      <c r="H383" s="149">
        <f>SUM(H374:H382)</f>
        <v>8.5652029999999986</v>
      </c>
      <c r="I383" s="150"/>
      <c r="J383" s="151"/>
      <c r="K383" s="149">
        <f>SUM(K374:K382)</f>
        <v>8.5852029999999999</v>
      </c>
      <c r="L383" s="136">
        <f t="shared" si="52"/>
        <v>2.000000000000135E-2</v>
      </c>
      <c r="M383" s="137">
        <f>IF((H383)=0,"",(L383/H383))</f>
        <v>2.3350293040341665E-3</v>
      </c>
    </row>
    <row r="384" spans="1:14" x14ac:dyDescent="0.2">
      <c r="A384" s="46" t="str">
        <f t="shared" si="55"/>
        <v>UNMETERED SCATTERED LOAD SERVICE CLASSIFICATION</v>
      </c>
      <c r="C384" s="115"/>
      <c r="D384" s="152" t="s">
        <v>182</v>
      </c>
      <c r="E384" s="117"/>
      <c r="F384" s="126">
        <v>7.4999999999999997E-3</v>
      </c>
      <c r="G384" s="139">
        <f>IF($E361&gt;0, $E361, $E360*$E362)</f>
        <v>103.07</v>
      </c>
      <c r="H384" s="120">
        <f>G384*F384</f>
        <v>0.77302499999999996</v>
      </c>
      <c r="I384" s="153">
        <v>7.7999999999999996E-3</v>
      </c>
      <c r="J384" s="140">
        <f>IF($E361&gt;0, $E361, $E360*$E363)</f>
        <v>103.07</v>
      </c>
      <c r="K384" s="123">
        <f>J384*I384</f>
        <v>0.80394599999999994</v>
      </c>
      <c r="L384" s="124">
        <f t="shared" si="52"/>
        <v>3.0920999999999976E-2</v>
      </c>
      <c r="M384" s="125">
        <f>IF(ISERROR(L384/H384), "", L384/H384)</f>
        <v>3.9999999999999973E-2</v>
      </c>
      <c r="N384" s="154" t="str">
        <f>IF(ISERROR(ABS(M384)), "", IF(ABS(M384)&gt;=4%, "In the manager's summary, discuss the reasoning for the change in RTSR rates", ""))</f>
        <v>In the manager's summary, discuss the reasoning for the change in RTSR rates</v>
      </c>
    </row>
    <row r="385" spans="1:14" ht="25.5" x14ac:dyDescent="0.2">
      <c r="A385" s="46" t="str">
        <f t="shared" si="55"/>
        <v>UNMETERED SCATTERED LOAD SERVICE CLASSIFICATION</v>
      </c>
      <c r="C385" s="115"/>
      <c r="D385" s="155" t="s">
        <v>183</v>
      </c>
      <c r="E385" s="117"/>
      <c r="F385" s="126">
        <v>4.5999999999999999E-3</v>
      </c>
      <c r="G385" s="139">
        <f>IF($E361&gt;0, $E361, $E360*$E362)</f>
        <v>103.07</v>
      </c>
      <c r="H385" s="120">
        <f>G385*F385</f>
        <v>0.47412199999999999</v>
      </c>
      <c r="I385" s="153">
        <v>4.4000000000000003E-3</v>
      </c>
      <c r="J385" s="140">
        <f>IF($E361&gt;0, $E361, $E360*$E363)</f>
        <v>103.07</v>
      </c>
      <c r="K385" s="123">
        <f>J385*I385</f>
        <v>0.45350800000000002</v>
      </c>
      <c r="L385" s="124">
        <f t="shared" si="52"/>
        <v>-2.0613999999999966E-2</v>
      </c>
      <c r="M385" s="125">
        <f>IF(ISERROR(L385/H385), "", L385/H385)</f>
        <v>-4.3478260869565147E-2</v>
      </c>
      <c r="N385" s="154" t="str">
        <f>IF(ISERROR(ABS(M385)), "", IF(ABS(M385)&gt;=4%, "In the manager's summary, discuss the reasoning for the change in RTSR rates", ""))</f>
        <v>In the manager's summary, discuss the reasoning for the change in RTSR rates</v>
      </c>
    </row>
    <row r="386" spans="1:14" ht="25.5" x14ac:dyDescent="0.2">
      <c r="A386" s="46" t="str">
        <f t="shared" si="55"/>
        <v>UNMETERED SCATTERED LOAD SERVICE CLASSIFICATION</v>
      </c>
      <c r="B386" s="46" t="s">
        <v>184</v>
      </c>
      <c r="C386" s="115">
        <f>B35</f>
        <v>6</v>
      </c>
      <c r="D386" s="145" t="s">
        <v>185</v>
      </c>
      <c r="E386" s="130"/>
      <c r="F386" s="147"/>
      <c r="G386" s="148"/>
      <c r="H386" s="149">
        <f>SUM(H383:H385)</f>
        <v>9.8123499999999986</v>
      </c>
      <c r="I386" s="150"/>
      <c r="J386" s="135"/>
      <c r="K386" s="149">
        <f>SUM(K383:K385)</f>
        <v>9.8426569999999991</v>
      </c>
      <c r="L386" s="136">
        <f t="shared" si="52"/>
        <v>3.0307000000000528E-2</v>
      </c>
      <c r="M386" s="137">
        <f>IF((H386)=0,"",(L386/H386))</f>
        <v>3.0886586801327442E-3</v>
      </c>
    </row>
    <row r="387" spans="1:14" ht="25.5" x14ac:dyDescent="0.2">
      <c r="A387" s="46" t="str">
        <f t="shared" si="55"/>
        <v>UNMETERED SCATTERED LOAD SERVICE CLASSIFICATION</v>
      </c>
      <c r="C387" s="115"/>
      <c r="D387" s="156" t="s">
        <v>186</v>
      </c>
      <c r="E387" s="117"/>
      <c r="F387" s="126">
        <f>IF(AND('[1]1. Information Sheet'!$F$26:$H$26&gt;='[1]17. Regulatory Charges'!$D$14,'[1]1. Information Sheet'!$F$26:$H$26&lt;'[1]17. Regulatory Charges'!$E$14),'[1]17. Regulatory Charges'!$D$15+'[1]17. Regulatory Charges'!$D$16,'[1]17. Regulatory Charges'!$E$15+'[1]17. Regulatory Charges'!$E$16)</f>
        <v>3.4000000000000002E-3</v>
      </c>
      <c r="G387" s="139">
        <f>E360*E362</f>
        <v>103.07</v>
      </c>
      <c r="H387" s="157">
        <f t="shared" ref="H387:H393" si="57">G387*F387</f>
        <v>0.35043800000000003</v>
      </c>
      <c r="I387" s="127">
        <f>'[1]17. Regulatory Charges'!$E$15+'[1]17. Regulatory Charges'!$E$16</f>
        <v>3.4000000000000002E-3</v>
      </c>
      <c r="J387" s="140">
        <f>E360*E363</f>
        <v>103.07</v>
      </c>
      <c r="K387" s="123">
        <f t="shared" ref="K387:K393" si="58">J387*I387</f>
        <v>0.35043800000000003</v>
      </c>
      <c r="L387" s="124">
        <f t="shared" si="52"/>
        <v>0</v>
      </c>
      <c r="M387" s="125">
        <f t="shared" ref="M387:M395" si="59">IF(ISERROR(L387/H387), "", L387/H387)</f>
        <v>0</v>
      </c>
    </row>
    <row r="388" spans="1:14" ht="25.5" x14ac:dyDescent="0.2">
      <c r="A388" s="46" t="str">
        <f t="shared" si="55"/>
        <v>UNMETERED SCATTERED LOAD SERVICE CLASSIFICATION</v>
      </c>
      <c r="C388" s="115"/>
      <c r="D388" s="156" t="s">
        <v>187</v>
      </c>
      <c r="E388" s="117"/>
      <c r="F388" s="126">
        <f>IF(AND('[1]1. Information Sheet'!$F$26:$H$26&gt;='[1]17. Regulatory Charges'!$D$14,'[1]1. Information Sheet'!$F$26:$H$26&lt;'[1]17. Regulatory Charges'!$D$14),'[1]17. Regulatory Charges'!$D$17,'[1]17. Regulatory Charges'!$E$17)</f>
        <v>5.0000000000000001E-4</v>
      </c>
      <c r="G388" s="139">
        <f>E360*E362</f>
        <v>103.07</v>
      </c>
      <c r="H388" s="157">
        <f t="shared" si="57"/>
        <v>5.1534999999999997E-2</v>
      </c>
      <c r="I388" s="127">
        <f>'[1]17. Regulatory Charges'!$E$17</f>
        <v>5.0000000000000001E-4</v>
      </c>
      <c r="J388" s="140">
        <f>E360*E363</f>
        <v>103.07</v>
      </c>
      <c r="K388" s="123">
        <f t="shared" si="58"/>
        <v>5.1534999999999997E-2</v>
      </c>
      <c r="L388" s="124">
        <f t="shared" si="52"/>
        <v>0</v>
      </c>
      <c r="M388" s="125">
        <f t="shared" si="59"/>
        <v>0</v>
      </c>
    </row>
    <row r="389" spans="1:14" x14ac:dyDescent="0.2">
      <c r="A389" s="46" t="str">
        <f t="shared" si="55"/>
        <v>UNMETERED SCATTERED LOAD SERVICE CLASSIFICATION</v>
      </c>
      <c r="C389" s="115"/>
      <c r="D389" s="158" t="s">
        <v>188</v>
      </c>
      <c r="E389" s="117"/>
      <c r="F389" s="143">
        <f>IF(AND('[1]1. Information Sheet'!$F$26:$H$26&gt;='[1]17. Regulatory Charges'!$D$14,'[1]1. Information Sheet'!$F$26:$H$26&lt;'[1]17. Regulatory Charges'!$D$14),'[1]17. Regulatory Charges'!$D$18,'[1]17. Regulatory Charges'!$E$18)</f>
        <v>0.25</v>
      </c>
      <c r="G389" s="119">
        <v>1</v>
      </c>
      <c r="H389" s="157">
        <f t="shared" si="57"/>
        <v>0.25</v>
      </c>
      <c r="I389" s="144">
        <f>'[1]17. Regulatory Charges'!$E$18</f>
        <v>0.25</v>
      </c>
      <c r="J389" s="122">
        <v>1</v>
      </c>
      <c r="K389" s="123">
        <f t="shared" si="58"/>
        <v>0.25</v>
      </c>
      <c r="L389" s="124">
        <f t="shared" si="52"/>
        <v>0</v>
      </c>
      <c r="M389" s="125">
        <f t="shared" si="59"/>
        <v>0</v>
      </c>
    </row>
    <row r="390" spans="1:14" ht="25.5" hidden="1" x14ac:dyDescent="0.2">
      <c r="A390" s="46" t="str">
        <f t="shared" si="55"/>
        <v>UNMETERED SCATTERED LOAD SERVICE CLASSIFICATION</v>
      </c>
      <c r="C390" s="115"/>
      <c r="D390" s="156" t="s">
        <v>189</v>
      </c>
      <c r="E390" s="117"/>
      <c r="F390" s="126"/>
      <c r="G390" s="139"/>
      <c r="H390" s="157"/>
      <c r="I390" s="127"/>
      <c r="J390" s="140"/>
      <c r="K390" s="123"/>
      <c r="L390" s="124"/>
      <c r="M390" s="125"/>
    </row>
    <row r="391" spans="1:14" x14ac:dyDescent="0.2">
      <c r="A391" s="46" t="str">
        <f t="shared" si="55"/>
        <v>UNMETERED SCATTERED LOAD SERVICE CLASSIFICATION</v>
      </c>
      <c r="B391" s="46" t="s">
        <v>139</v>
      </c>
      <c r="C391" s="115"/>
      <c r="D391" s="158" t="s">
        <v>190</v>
      </c>
      <c r="E391" s="117"/>
      <c r="F391" s="159">
        <f>OffPeak</f>
        <v>7.3999999999999996E-2</v>
      </c>
      <c r="G391" s="160">
        <f>IF(AND(E360*12&gt;=150000),0.64*E360*E362,0.64*E360)</f>
        <v>64</v>
      </c>
      <c r="H391" s="157">
        <f t="shared" si="57"/>
        <v>4.7359999999999998</v>
      </c>
      <c r="I391" s="161">
        <f>OffPeak</f>
        <v>7.3999999999999996E-2</v>
      </c>
      <c r="J391" s="162">
        <f>IF(AND(E360*12&gt;=150000),0.64*E360*E363,0.64*E360)</f>
        <v>64</v>
      </c>
      <c r="K391" s="123">
        <f t="shared" si="58"/>
        <v>4.7359999999999998</v>
      </c>
      <c r="L391" s="124">
        <f>K391-H391</f>
        <v>0</v>
      </c>
      <c r="M391" s="125">
        <f t="shared" si="59"/>
        <v>0</v>
      </c>
    </row>
    <row r="392" spans="1:14" x14ac:dyDescent="0.2">
      <c r="A392" s="46" t="str">
        <f t="shared" si="55"/>
        <v>UNMETERED SCATTERED LOAD SERVICE CLASSIFICATION</v>
      </c>
      <c r="B392" s="46" t="s">
        <v>139</v>
      </c>
      <c r="C392" s="115"/>
      <c r="D392" s="158" t="s">
        <v>191</v>
      </c>
      <c r="E392" s="117"/>
      <c r="F392" s="159">
        <f>MidPeak</f>
        <v>0.10199999999999999</v>
      </c>
      <c r="G392" s="160">
        <f>IF(AND(E360*12&gt;=150000),0.18*E360*E362,0.18*E360)</f>
        <v>18</v>
      </c>
      <c r="H392" s="157">
        <f t="shared" si="57"/>
        <v>1.8359999999999999</v>
      </c>
      <c r="I392" s="161">
        <f>MidPeak</f>
        <v>0.10199999999999999</v>
      </c>
      <c r="J392" s="162">
        <f>IF(AND(E360*12&gt;=150000),0.18*E360*E363,0.18*E360)</f>
        <v>18</v>
      </c>
      <c r="K392" s="123">
        <f t="shared" si="58"/>
        <v>1.8359999999999999</v>
      </c>
      <c r="L392" s="124">
        <f>K392-H392</f>
        <v>0</v>
      </c>
      <c r="M392" s="125">
        <f t="shared" si="59"/>
        <v>0</v>
      </c>
    </row>
    <row r="393" spans="1:14" ht="13.5" thickBot="1" x14ac:dyDescent="0.25">
      <c r="A393" s="46" t="str">
        <f t="shared" si="55"/>
        <v>UNMETERED SCATTERED LOAD SERVICE CLASSIFICATION</v>
      </c>
      <c r="B393" s="46" t="s">
        <v>139</v>
      </c>
      <c r="C393" s="115"/>
      <c r="D393" s="46" t="s">
        <v>192</v>
      </c>
      <c r="E393" s="117"/>
      <c r="F393" s="159">
        <f>OnPeak</f>
        <v>0.151</v>
      </c>
      <c r="G393" s="160">
        <f>IF(AND(E360*12&gt;=150000),0.18*E360*E362,0.18*E360)</f>
        <v>18</v>
      </c>
      <c r="H393" s="157">
        <f t="shared" si="57"/>
        <v>2.718</v>
      </c>
      <c r="I393" s="161">
        <f>OnPeak</f>
        <v>0.151</v>
      </c>
      <c r="J393" s="162">
        <f>IF(AND(E360*12&gt;=150000),0.18*E360*E363,0.18*E360)</f>
        <v>18</v>
      </c>
      <c r="K393" s="123">
        <f t="shared" si="58"/>
        <v>2.718</v>
      </c>
      <c r="L393" s="124">
        <f>K393-H393</f>
        <v>0</v>
      </c>
      <c r="M393" s="125">
        <f t="shared" si="59"/>
        <v>0</v>
      </c>
    </row>
    <row r="394" spans="1:14" ht="13.5" hidden="1" thickBot="1" x14ac:dyDescent="0.25">
      <c r="A394" s="46" t="str">
        <f t="shared" si="55"/>
        <v>UNMETERED SCATTERED LOAD SERVICE CLASSIFICATION</v>
      </c>
      <c r="B394" s="46" t="s">
        <v>141</v>
      </c>
      <c r="C394" s="115"/>
      <c r="D394" s="158" t="s">
        <v>193</v>
      </c>
      <c r="E394" s="117"/>
      <c r="F394" s="163">
        <v>9.6699999999999994E-2</v>
      </c>
      <c r="G394" s="160">
        <f>IF(AND(E360*12&gt;=150000),E360*E362,E360)</f>
        <v>100</v>
      </c>
      <c r="H394" s="157">
        <f>G394*F394</f>
        <v>9.67</v>
      </c>
      <c r="I394" s="164">
        <f>F394</f>
        <v>9.6699999999999994E-2</v>
      </c>
      <c r="J394" s="162">
        <f>IF(AND(E360*12&gt;=150000),E360*E363,E360)</f>
        <v>100</v>
      </c>
      <c r="K394" s="123">
        <f>J394*I394</f>
        <v>9.67</v>
      </c>
      <c r="L394" s="124">
        <f>K394-H394</f>
        <v>0</v>
      </c>
      <c r="M394" s="125">
        <f t="shared" si="59"/>
        <v>0</v>
      </c>
    </row>
    <row r="395" spans="1:14" ht="13.5" hidden="1" thickBot="1" x14ac:dyDescent="0.25">
      <c r="A395" s="46" t="str">
        <f t="shared" si="55"/>
        <v>UNMETERED SCATTERED LOAD SERVICE CLASSIFICATION</v>
      </c>
      <c r="B395" s="46" t="s">
        <v>140</v>
      </c>
      <c r="C395" s="115"/>
      <c r="D395" s="158" t="s">
        <v>194</v>
      </c>
      <c r="E395" s="117"/>
      <c r="F395" s="163">
        <v>9.6699999999999994E-2</v>
      </c>
      <c r="G395" s="160">
        <f>IF(AND(E360*12&gt;=150000),E360*E362,E360)</f>
        <v>100</v>
      </c>
      <c r="H395" s="157">
        <f>G395*F395</f>
        <v>9.67</v>
      </c>
      <c r="I395" s="164">
        <f>F395</f>
        <v>9.6699999999999994E-2</v>
      </c>
      <c r="J395" s="162">
        <f>IF(AND(E360*12&gt;=150000),E360*E363,E360)</f>
        <v>100</v>
      </c>
      <c r="K395" s="123">
        <f>J395*I395</f>
        <v>9.67</v>
      </c>
      <c r="L395" s="124">
        <f>K395-H395</f>
        <v>0</v>
      </c>
      <c r="M395" s="125">
        <f t="shared" si="59"/>
        <v>0</v>
      </c>
    </row>
    <row r="396" spans="1:14" ht="13.5" thickBot="1" x14ac:dyDescent="0.25">
      <c r="A396" s="46" t="str">
        <f t="shared" si="55"/>
        <v>UNMETERED SCATTERED LOAD SERVICE CLASSIFICATION</v>
      </c>
      <c r="C396" s="115"/>
      <c r="D396" s="165"/>
      <c r="E396" s="166"/>
      <c r="F396" s="167"/>
      <c r="G396" s="168"/>
      <c r="H396" s="169"/>
      <c r="I396" s="167"/>
      <c r="J396" s="170"/>
      <c r="K396" s="169"/>
      <c r="L396" s="171"/>
      <c r="M396" s="172"/>
    </row>
    <row r="397" spans="1:14" x14ac:dyDescent="0.2">
      <c r="A397" s="46" t="str">
        <f t="shared" si="55"/>
        <v>UNMETERED SCATTERED LOAD SERVICE CLASSIFICATION</v>
      </c>
      <c r="B397" s="46" t="s">
        <v>139</v>
      </c>
      <c r="C397" s="115"/>
      <c r="D397" s="173" t="s">
        <v>195</v>
      </c>
      <c r="E397" s="158"/>
      <c r="F397" s="174"/>
      <c r="G397" s="175"/>
      <c r="H397" s="176">
        <f>SUM(H387:H393,H386)</f>
        <v>19.754322999999999</v>
      </c>
      <c r="I397" s="177"/>
      <c r="J397" s="177"/>
      <c r="K397" s="176">
        <f>SUM(K387:K393,K386)</f>
        <v>19.78463</v>
      </c>
      <c r="L397" s="178">
        <f>K397-H397</f>
        <v>3.0307000000000528E-2</v>
      </c>
      <c r="M397" s="179">
        <f>IF((H397)=0,"",(L397/H397))</f>
        <v>1.53419583146436E-3</v>
      </c>
    </row>
    <row r="398" spans="1:14" x14ac:dyDescent="0.2">
      <c r="A398" s="46" t="str">
        <f t="shared" si="55"/>
        <v>UNMETERED SCATTERED LOAD SERVICE CLASSIFICATION</v>
      </c>
      <c r="B398" s="46" t="s">
        <v>139</v>
      </c>
      <c r="C398" s="115"/>
      <c r="D398" s="180" t="s">
        <v>196</v>
      </c>
      <c r="E398" s="158"/>
      <c r="F398" s="174">
        <v>0.13</v>
      </c>
      <c r="G398" s="181"/>
      <c r="H398" s="182">
        <f>H397*F398</f>
        <v>2.5680619899999999</v>
      </c>
      <c r="I398" s="183">
        <v>0.13</v>
      </c>
      <c r="J398" s="119"/>
      <c r="K398" s="182">
        <f>K397*I398</f>
        <v>2.5720019000000001</v>
      </c>
      <c r="L398" s="124">
        <f>K398-H398</f>
        <v>3.9399100000001575E-3</v>
      </c>
      <c r="M398" s="184">
        <f>IF((H398)=0,"",(L398/H398))</f>
        <v>1.5341958314643944E-3</v>
      </c>
    </row>
    <row r="399" spans="1:14" ht="15" x14ac:dyDescent="0.25">
      <c r="A399" s="46" t="str">
        <f t="shared" si="55"/>
        <v>UNMETERED SCATTERED LOAD SERVICE CLASSIFICATION</v>
      </c>
      <c r="B399" s="46" t="s">
        <v>139</v>
      </c>
      <c r="C399" s="115"/>
      <c r="D399" s="180" t="s">
        <v>197</v>
      </c>
      <c r="E399"/>
      <c r="F399" s="185">
        <v>0.11700000000000001</v>
      </c>
      <c r="G399" s="181"/>
      <c r="H399" s="182">
        <f>IF(OR(ISNUMBER(SEARCH("[DGEN]", E358))=TRUE, ISNUMBER(SEARCH("STREET LIGHT", E358))=TRUE), 0, IF(AND(E360=0, E361=0),0, IF(AND(E361=0, E360*12&gt;250000), 0, IF(AND(E360=0, E361&gt;=50), 0, IF(E360*12&lt;=250000, F399*H397*-1, IF(E361&lt;50, F399*H397*-1, 0))))))</f>
        <v>-2.3112557910000002</v>
      </c>
      <c r="I399" s="185">
        <v>0.11700000000000001</v>
      </c>
      <c r="J399" s="119"/>
      <c r="K399" s="182">
        <f>IF(OR(ISNUMBER(SEARCH("[DGEN]", E358))=TRUE, ISNUMBER(SEARCH("STREET LIGHT", E358))=TRUE), 0, IF(AND(E360=0, E361=0),0, IF(AND(E361=0, E360*12&gt;250000), 0, IF(AND(E360=0, E361&gt;=50), 0, IF(E360*12&lt;=250000, I399*K397*-1, IF(E361&lt;50, I399*K397*-1, 0))))))</f>
        <v>-2.3148017100000002</v>
      </c>
      <c r="L399" s="124">
        <f>K399-H399</f>
        <v>-3.5459190000000085E-3</v>
      </c>
      <c r="M399" s="184"/>
    </row>
    <row r="400" spans="1:14" ht="13.5" thickBot="1" x14ac:dyDescent="0.25">
      <c r="A400" s="46" t="str">
        <f t="shared" si="55"/>
        <v>UNMETERED SCATTERED LOAD SERVICE CLASSIFICATION</v>
      </c>
      <c r="B400" s="46" t="s">
        <v>198</v>
      </c>
      <c r="C400" s="115">
        <f>B35</f>
        <v>6</v>
      </c>
      <c r="D400" s="186" t="s">
        <v>199</v>
      </c>
      <c r="E400" s="186"/>
      <c r="F400" s="187"/>
      <c r="G400" s="188"/>
      <c r="H400" s="189">
        <f>H397+H398+H399</f>
        <v>20.011129198999999</v>
      </c>
      <c r="I400" s="190"/>
      <c r="J400" s="190"/>
      <c r="K400" s="191">
        <f>K397+K398+K399</f>
        <v>20.041830189999999</v>
      </c>
      <c r="L400" s="192">
        <f>K400-H400</f>
        <v>3.0700990999999789E-2</v>
      </c>
      <c r="M400" s="193">
        <f>IF((H400)=0,"",(L400/H400))</f>
        <v>1.5341958314643227E-3</v>
      </c>
    </row>
    <row r="401" spans="1:14" ht="13.5" thickBot="1" x14ac:dyDescent="0.25">
      <c r="A401" s="46" t="str">
        <f t="shared" si="55"/>
        <v>UNMETERED SCATTERED LOAD SERVICE CLASSIFICATION</v>
      </c>
      <c r="B401" s="46" t="s">
        <v>139</v>
      </c>
      <c r="C401" s="115"/>
      <c r="D401" s="165"/>
      <c r="E401" s="166"/>
      <c r="F401" s="167"/>
      <c r="G401" s="168"/>
      <c r="H401" s="169"/>
      <c r="I401" s="167"/>
      <c r="J401" s="170"/>
      <c r="K401" s="169"/>
      <c r="L401" s="171"/>
      <c r="M401" s="172"/>
    </row>
    <row r="402" spans="1:14" hidden="1" x14ac:dyDescent="0.2">
      <c r="A402" s="46" t="str">
        <f t="shared" si="55"/>
        <v>UNMETERED SCATTERED LOAD SERVICE CLASSIFICATION</v>
      </c>
      <c r="B402" s="46" t="s">
        <v>141</v>
      </c>
      <c r="C402" s="115"/>
      <c r="D402" s="173" t="s">
        <v>200</v>
      </c>
      <c r="E402" s="158"/>
      <c r="F402" s="174"/>
      <c r="G402" s="175"/>
      <c r="H402" s="176">
        <f>SUM(H394,H387:H390,H386)</f>
        <v>20.134322999999998</v>
      </c>
      <c r="I402" s="177"/>
      <c r="J402" s="177"/>
      <c r="K402" s="176">
        <f>SUM(K394,K387:K390,K386)</f>
        <v>20.164629999999999</v>
      </c>
      <c r="L402" s="178">
        <f>K402-H402</f>
        <v>3.0307000000000528E-2</v>
      </c>
      <c r="M402" s="179">
        <f>IF((H402)=0,"",(L402/H402))</f>
        <v>1.5052405784888089E-3</v>
      </c>
    </row>
    <row r="403" spans="1:14" hidden="1" x14ac:dyDescent="0.2">
      <c r="A403" s="46" t="str">
        <f t="shared" si="55"/>
        <v>UNMETERED SCATTERED LOAD SERVICE CLASSIFICATION</v>
      </c>
      <c r="B403" s="46" t="s">
        <v>141</v>
      </c>
      <c r="C403" s="115"/>
      <c r="D403" s="180" t="s">
        <v>196</v>
      </c>
      <c r="E403" s="158"/>
      <c r="F403" s="174">
        <v>0.13</v>
      </c>
      <c r="G403" s="175"/>
      <c r="H403" s="182">
        <f>H402*F403</f>
        <v>2.6174619899999998</v>
      </c>
      <c r="I403" s="174">
        <v>0.13</v>
      </c>
      <c r="J403" s="183"/>
      <c r="K403" s="182">
        <f>K402*I403</f>
        <v>2.6214019</v>
      </c>
      <c r="L403" s="124">
        <f>K403-H403</f>
        <v>3.9399100000001575E-3</v>
      </c>
      <c r="M403" s="184">
        <f>IF((H403)=0,"",(L403/H403))</f>
        <v>1.5052405784888429E-3</v>
      </c>
    </row>
    <row r="404" spans="1:14" ht="15" hidden="1" x14ac:dyDescent="0.25">
      <c r="A404" s="46" t="str">
        <f t="shared" si="55"/>
        <v>UNMETERED SCATTERED LOAD SERVICE CLASSIFICATION</v>
      </c>
      <c r="B404" s="46" t="s">
        <v>141</v>
      </c>
      <c r="C404" s="115"/>
      <c r="D404" s="180" t="s">
        <v>197</v>
      </c>
      <c r="E404"/>
      <c r="F404" s="185">
        <v>0.11700000000000001</v>
      </c>
      <c r="G404" s="175"/>
      <c r="H404" s="182">
        <f>IF(OR(ISNUMBER(SEARCH("[DGEN]", E358))=TRUE, ISNUMBER(SEARCH("STREET LIGHT", E358))=TRUE), 0, IF(AND(E360=0, E361=0),0, IF(AND(E361=0, E360*12&gt;250000), 0, IF(AND(E360=0, E361&gt;=50), 0, IF(E360*12&lt;=250000, F404*H402*-1, IF(E361&lt;50, F404*H402*-1, 0))))))</f>
        <v>-2.3557157910000002</v>
      </c>
      <c r="I404" s="185">
        <v>0.11700000000000001</v>
      </c>
      <c r="J404" s="183"/>
      <c r="K404" s="182">
        <f>IF(OR(ISNUMBER(SEARCH("[DGEN]", E358))=TRUE, ISNUMBER(SEARCH("STREET LIGHT", E358))=TRUE), 0, IF(AND(E360=0, E361=0),0, IF(AND(E361=0, E360*12&gt;250000), 0, IF(AND(E360=0, E361&gt;=50), 0, IF(E360*12&lt;=250000, I404*K402*-1, IF(E361&lt;50, I404*K402*-1, 0))))))</f>
        <v>-2.3592617100000002</v>
      </c>
      <c r="L404" s="124"/>
      <c r="M404" s="184"/>
    </row>
    <row r="405" spans="1:14" hidden="1" x14ac:dyDescent="0.2">
      <c r="A405" s="46" t="str">
        <f t="shared" si="55"/>
        <v>UNMETERED SCATTERED LOAD SERVICE CLASSIFICATION</v>
      </c>
      <c r="B405" s="46" t="s">
        <v>201</v>
      </c>
      <c r="C405" s="115"/>
      <c r="D405" s="186" t="s">
        <v>200</v>
      </c>
      <c r="E405" s="186"/>
      <c r="F405" s="194"/>
      <c r="G405" s="195"/>
      <c r="H405" s="189">
        <f>SUM(H402,H403)</f>
        <v>22.751784989999997</v>
      </c>
      <c r="I405" s="196"/>
      <c r="J405" s="196"/>
      <c r="K405" s="189">
        <f>SUM(K402,K403)</f>
        <v>22.786031899999998</v>
      </c>
      <c r="L405" s="197">
        <f>K405-H405</f>
        <v>3.4246910000000241E-2</v>
      </c>
      <c r="M405" s="198">
        <f>IF((H405)=0,"",(L405/H405))</f>
        <v>1.5052405784887932E-3</v>
      </c>
    </row>
    <row r="406" spans="1:14" ht="13.5" hidden="1" thickBot="1" x14ac:dyDescent="0.25">
      <c r="A406" s="46" t="str">
        <f t="shared" si="55"/>
        <v>UNMETERED SCATTERED LOAD SERVICE CLASSIFICATION</v>
      </c>
      <c r="B406" s="46" t="s">
        <v>141</v>
      </c>
      <c r="C406" s="115"/>
      <c r="D406" s="165"/>
      <c r="E406" s="166"/>
      <c r="F406" s="199"/>
      <c r="G406" s="200"/>
      <c r="H406" s="201"/>
      <c r="I406" s="199"/>
      <c r="J406" s="168"/>
      <c r="K406" s="201"/>
      <c r="L406" s="202"/>
      <c r="M406" s="172"/>
    </row>
    <row r="407" spans="1:14" hidden="1" x14ac:dyDescent="0.2">
      <c r="A407" s="46" t="str">
        <f t="shared" si="55"/>
        <v>UNMETERED SCATTERED LOAD SERVICE CLASSIFICATION</v>
      </c>
      <c r="B407" s="46" t="s">
        <v>140</v>
      </c>
      <c r="C407" s="115"/>
      <c r="D407" s="173" t="s">
        <v>202</v>
      </c>
      <c r="E407" s="158"/>
      <c r="F407" s="174"/>
      <c r="G407" s="175"/>
      <c r="H407" s="176">
        <f>SUM(H395,H387:H390,H386)</f>
        <v>20.134322999999998</v>
      </c>
      <c r="I407" s="177"/>
      <c r="J407" s="177"/>
      <c r="K407" s="176">
        <f>SUM(K395,K387:K390,K386)</f>
        <v>20.164629999999999</v>
      </c>
      <c r="L407" s="178">
        <f>K407-H407</f>
        <v>3.0307000000000528E-2</v>
      </c>
      <c r="M407" s="179">
        <f>IF((H407)=0,"",(L407/H407))</f>
        <v>1.5052405784888089E-3</v>
      </c>
    </row>
    <row r="408" spans="1:14" hidden="1" x14ac:dyDescent="0.2">
      <c r="A408" s="46" t="str">
        <f t="shared" si="55"/>
        <v>UNMETERED SCATTERED LOAD SERVICE CLASSIFICATION</v>
      </c>
      <c r="B408" s="46" t="s">
        <v>140</v>
      </c>
      <c r="C408" s="115"/>
      <c r="D408" s="180" t="s">
        <v>196</v>
      </c>
      <c r="E408" s="158"/>
      <c r="F408" s="174">
        <v>0.13</v>
      </c>
      <c r="G408" s="175"/>
      <c r="H408" s="182">
        <f>H407*F408</f>
        <v>2.6174619899999998</v>
      </c>
      <c r="I408" s="174">
        <v>0.13</v>
      </c>
      <c r="J408" s="183"/>
      <c r="K408" s="182">
        <f>K407*I408</f>
        <v>2.6214019</v>
      </c>
      <c r="L408" s="124">
        <f>K408-H408</f>
        <v>3.9399100000001575E-3</v>
      </c>
      <c r="M408" s="184">
        <f>IF((H408)=0,"",(L408/H408))</f>
        <v>1.5052405784888429E-3</v>
      </c>
    </row>
    <row r="409" spans="1:14" ht="15" hidden="1" x14ac:dyDescent="0.25">
      <c r="A409" s="46" t="str">
        <f t="shared" si="55"/>
        <v>UNMETERED SCATTERED LOAD SERVICE CLASSIFICATION</v>
      </c>
      <c r="B409" s="46" t="s">
        <v>140</v>
      </c>
      <c r="C409" s="115"/>
      <c r="D409" s="180" t="s">
        <v>197</v>
      </c>
      <c r="E409"/>
      <c r="F409" s="185">
        <v>0.11700000000000001</v>
      </c>
      <c r="G409" s="175"/>
      <c r="H409" s="182">
        <f>IF(OR(ISNUMBER(SEARCH("[DGEN]", E358))=TRUE, ISNUMBER(SEARCH("STREET LIGHT", E358))=TRUE), 0, IF(AND(E360=0, E361=0),0, IF(AND(E361=0, E360*12&gt;250000), 0, IF(AND(E360=0, E361&gt;=50), 0, IF(E360*12&lt;=250000, F409*H407*-1, IF(E361&lt;50, F409*H407*-1, 0))))))</f>
        <v>-2.3557157910000002</v>
      </c>
      <c r="I409" s="185">
        <v>0.11700000000000001</v>
      </c>
      <c r="J409" s="183"/>
      <c r="K409" s="182">
        <f>IF(OR(ISNUMBER(SEARCH("[DGEN]", E358))=TRUE, ISNUMBER(SEARCH("STREET LIGHT", E358))=TRUE), 0, IF(AND(E360=0, E361=0),0, IF(AND(E361=0, E360*12&gt;250000), 0, IF(AND(E360=0, E361&gt;=50), 0, IF(E360*12&lt;=250000, I409*K407*-1, IF(E361&lt;50, I409*K407*-1, 0))))))</f>
        <v>-2.3592617100000002</v>
      </c>
      <c r="L409" s="124"/>
      <c r="M409" s="184"/>
    </row>
    <row r="410" spans="1:14" hidden="1" x14ac:dyDescent="0.2">
      <c r="A410" s="46" t="str">
        <f t="shared" si="55"/>
        <v>UNMETERED SCATTERED LOAD SERVICE CLASSIFICATION</v>
      </c>
      <c r="B410" s="46" t="s">
        <v>203</v>
      </c>
      <c r="C410" s="115"/>
      <c r="D410" s="186" t="s">
        <v>202</v>
      </c>
      <c r="E410" s="186"/>
      <c r="F410" s="194"/>
      <c r="G410" s="195"/>
      <c r="H410" s="189">
        <f>SUM(H407,H408)</f>
        <v>22.751784989999997</v>
      </c>
      <c r="I410" s="196"/>
      <c r="J410" s="196"/>
      <c r="K410" s="189">
        <f>SUM(K407,K408)</f>
        <v>22.786031899999998</v>
      </c>
      <c r="L410" s="197">
        <f>K410-H410</f>
        <v>3.4246910000000241E-2</v>
      </c>
      <c r="M410" s="198">
        <f>IF((H410)=0,"",(L410/H410))</f>
        <v>1.5052405784887932E-3</v>
      </c>
    </row>
    <row r="411" spans="1:14" ht="13.5" hidden="1" thickBot="1" x14ac:dyDescent="0.25">
      <c r="A411" s="46" t="str">
        <f t="shared" si="55"/>
        <v>UNMETERED SCATTERED LOAD SERVICE CLASSIFICATION</v>
      </c>
      <c r="B411" s="46" t="s">
        <v>140</v>
      </c>
      <c r="C411" s="115"/>
      <c r="D411" s="165"/>
      <c r="E411" s="166"/>
      <c r="F411" s="203"/>
      <c r="G411" s="200"/>
      <c r="H411" s="204"/>
      <c r="I411" s="203"/>
      <c r="J411" s="168"/>
      <c r="K411" s="204"/>
      <c r="L411" s="202"/>
      <c r="M411" s="205"/>
    </row>
    <row r="414" spans="1:14" x14ac:dyDescent="0.2">
      <c r="C414" s="46"/>
      <c r="D414" s="90" t="s">
        <v>150</v>
      </c>
      <c r="E414" s="91" t="str">
        <f>D36</f>
        <v>STREET LIGHTING SERVICE CLASSIFICATION</v>
      </c>
      <c r="F414" s="91"/>
      <c r="G414" s="91"/>
      <c r="H414" s="91"/>
      <c r="I414" s="91"/>
      <c r="J414" s="91"/>
      <c r="K414" s="46" t="str">
        <f>IF(N36="DEMAND - INTERVAL","RTSR - INTERVAL METERED","")</f>
        <v/>
      </c>
    </row>
    <row r="415" spans="1:14" x14ac:dyDescent="0.2">
      <c r="C415" s="46"/>
      <c r="D415" s="90" t="s">
        <v>151</v>
      </c>
      <c r="E415" s="92" t="str">
        <f>H36</f>
        <v>Non-RPP (Other)</v>
      </c>
      <c r="F415" s="92"/>
      <c r="G415" s="92"/>
      <c r="H415" s="93"/>
      <c r="I415" s="93"/>
    </row>
    <row r="416" spans="1:14" ht="15.75" x14ac:dyDescent="0.2">
      <c r="C416" s="46"/>
      <c r="D416" s="90" t="s">
        <v>152</v>
      </c>
      <c r="E416" s="94">
        <f>K36</f>
        <v>400000</v>
      </c>
      <c r="F416" s="95" t="s">
        <v>153</v>
      </c>
      <c r="J416" s="96"/>
      <c r="K416" s="96"/>
      <c r="L416" s="96"/>
      <c r="M416" s="96"/>
      <c r="N416" s="96"/>
    </row>
    <row r="417" spans="1:13" ht="15.75" x14ac:dyDescent="0.25">
      <c r="C417" s="46"/>
      <c r="D417" s="90" t="s">
        <v>154</v>
      </c>
      <c r="E417" s="94">
        <f>L36</f>
        <v>700</v>
      </c>
      <c r="F417" s="97" t="s">
        <v>155</v>
      </c>
      <c r="G417" s="98"/>
      <c r="H417" s="99"/>
      <c r="I417" s="99"/>
      <c r="J417" s="99"/>
    </row>
    <row r="418" spans="1:13" x14ac:dyDescent="0.2">
      <c r="C418" s="46"/>
      <c r="D418" s="90" t="s">
        <v>156</v>
      </c>
      <c r="E418" s="100">
        <f>I36</f>
        <v>1.0306999999999999</v>
      </c>
    </row>
    <row r="419" spans="1:13" x14ac:dyDescent="0.2">
      <c r="C419" s="46"/>
      <c r="D419" s="90" t="s">
        <v>157</v>
      </c>
      <c r="E419" s="100">
        <f>J36</f>
        <v>1.0306999999999999</v>
      </c>
    </row>
    <row r="420" spans="1:13" x14ac:dyDescent="0.2">
      <c r="C420" s="46"/>
    </row>
    <row r="421" spans="1:13" x14ac:dyDescent="0.2">
      <c r="C421" s="46"/>
      <c r="E421" s="95"/>
      <c r="F421" s="101" t="s">
        <v>204</v>
      </c>
      <c r="G421" s="102"/>
      <c r="H421" s="103"/>
      <c r="I421" s="101" t="s">
        <v>205</v>
      </c>
      <c r="J421" s="102"/>
      <c r="K421" s="103"/>
      <c r="L421" s="101" t="s">
        <v>158</v>
      </c>
      <c r="M421" s="103"/>
    </row>
    <row r="422" spans="1:13" x14ac:dyDescent="0.2">
      <c r="C422" s="46"/>
      <c r="E422" s="104"/>
      <c r="F422" s="105" t="s">
        <v>159</v>
      </c>
      <c r="G422" s="105" t="s">
        <v>160</v>
      </c>
      <c r="H422" s="106" t="s">
        <v>161</v>
      </c>
      <c r="I422" s="105" t="s">
        <v>159</v>
      </c>
      <c r="J422" s="107" t="s">
        <v>160</v>
      </c>
      <c r="K422" s="106" t="s">
        <v>161</v>
      </c>
      <c r="L422" s="108" t="s">
        <v>162</v>
      </c>
      <c r="M422" s="109" t="s">
        <v>163</v>
      </c>
    </row>
    <row r="423" spans="1:13" x14ac:dyDescent="0.2">
      <c r="C423" s="46"/>
      <c r="E423" s="110"/>
      <c r="F423" s="111" t="s">
        <v>164</v>
      </c>
      <c r="G423" s="111"/>
      <c r="H423" s="112" t="s">
        <v>164</v>
      </c>
      <c r="I423" s="111" t="s">
        <v>164</v>
      </c>
      <c r="J423" s="112"/>
      <c r="K423" s="112" t="s">
        <v>164</v>
      </c>
      <c r="L423" s="113"/>
      <c r="M423" s="114"/>
    </row>
    <row r="424" spans="1:13" x14ac:dyDescent="0.2">
      <c r="A424" s="46" t="str">
        <f>$E414</f>
        <v>STREET LIGHTING SERVICE CLASSIFICATION</v>
      </c>
      <c r="C424" s="115"/>
      <c r="D424" s="116" t="s">
        <v>165</v>
      </c>
      <c r="E424" s="117"/>
      <c r="F424" s="118">
        <v>2.04</v>
      </c>
      <c r="G424" s="119">
        <v>547</v>
      </c>
      <c r="H424" s="120">
        <f>G424*F424</f>
        <v>1115.8800000000001</v>
      </c>
      <c r="I424" s="121">
        <v>2.11</v>
      </c>
      <c r="J424" s="122">
        <v>547</v>
      </c>
      <c r="K424" s="123">
        <f>J424*I424</f>
        <v>1154.1699999999998</v>
      </c>
      <c r="L424" s="124">
        <f t="shared" ref="L424:L445" si="60">K424-H424</f>
        <v>38.289999999999736</v>
      </c>
      <c r="M424" s="125">
        <f>IF(ISERROR(L424/H424), "", L424/H424)</f>
        <v>3.4313725490195839E-2</v>
      </c>
    </row>
    <row r="425" spans="1:13" x14ac:dyDescent="0.2">
      <c r="A425" s="46" t="str">
        <f>A424</f>
        <v>STREET LIGHTING SERVICE CLASSIFICATION</v>
      </c>
      <c r="C425" s="115"/>
      <c r="D425" s="116" t="s">
        <v>30</v>
      </c>
      <c r="E425" s="117"/>
      <c r="F425" s="126">
        <v>16.412400000000002</v>
      </c>
      <c r="G425" s="119">
        <f>IF($E417&gt;0, $E417, $E416)</f>
        <v>700</v>
      </c>
      <c r="H425" s="120">
        <f t="shared" ref="H425:H437" si="61">G425*F425</f>
        <v>11488.68</v>
      </c>
      <c r="I425" s="127">
        <v>16.995000000000001</v>
      </c>
      <c r="J425" s="122">
        <f>IF($E417&gt;0, $E417, $E416)</f>
        <v>700</v>
      </c>
      <c r="K425" s="123">
        <f>J425*I425</f>
        <v>11896.5</v>
      </c>
      <c r="L425" s="124">
        <f t="shared" si="60"/>
        <v>407.81999999999971</v>
      </c>
      <c r="M425" s="125">
        <f t="shared" ref="M425:M435" si="62">IF(ISERROR(L425/H425), "", L425/H425)</f>
        <v>3.549755063244861E-2</v>
      </c>
    </row>
    <row r="426" spans="1:13" hidden="1" x14ac:dyDescent="0.2">
      <c r="A426" s="46" t="str">
        <f t="shared" ref="A426:A467" si="63">A425</f>
        <v>STREET LIGHTING SERVICE CLASSIFICATION</v>
      </c>
      <c r="C426" s="115"/>
      <c r="D426" s="116" t="s">
        <v>166</v>
      </c>
      <c r="E426" s="117"/>
      <c r="F426" s="126"/>
      <c r="G426" s="119">
        <f>IF($E417&gt;0, $E417, $E416)</f>
        <v>700</v>
      </c>
      <c r="H426" s="120">
        <v>0</v>
      </c>
      <c r="I426" s="127"/>
      <c r="J426" s="122">
        <f>IF($E417&gt;0, $E417, $E416)</f>
        <v>700</v>
      </c>
      <c r="K426" s="123">
        <v>0</v>
      </c>
      <c r="L426" s="124"/>
      <c r="M426" s="125"/>
    </row>
    <row r="427" spans="1:13" hidden="1" x14ac:dyDescent="0.2">
      <c r="A427" s="46" t="str">
        <f t="shared" si="63"/>
        <v>STREET LIGHTING SERVICE CLASSIFICATION</v>
      </c>
      <c r="C427" s="115"/>
      <c r="D427" s="116" t="s">
        <v>167</v>
      </c>
      <c r="E427" s="117"/>
      <c r="F427" s="126"/>
      <c r="G427" s="119">
        <f>IF($E417&gt;0, $E417, $E416)</f>
        <v>700</v>
      </c>
      <c r="H427" s="120">
        <v>0</v>
      </c>
      <c r="I427" s="127"/>
      <c r="J427" s="128">
        <f>IF($E417&gt;0, $E417, $E416)</f>
        <v>700</v>
      </c>
      <c r="K427" s="123">
        <v>0</v>
      </c>
      <c r="L427" s="124">
        <f>K427-H427</f>
        <v>0</v>
      </c>
      <c r="M427" s="125" t="str">
        <f>IF(ISERROR(L427/H427), "", L427/H427)</f>
        <v/>
      </c>
    </row>
    <row r="428" spans="1:13" x14ac:dyDescent="0.2">
      <c r="A428" s="46" t="str">
        <f t="shared" si="63"/>
        <v>STREET LIGHTING SERVICE CLASSIFICATION</v>
      </c>
      <c r="C428" s="115"/>
      <c r="D428" s="116" t="s">
        <v>168</v>
      </c>
      <c r="E428" s="117"/>
      <c r="F428" s="118">
        <v>0.09</v>
      </c>
      <c r="G428" s="119">
        <v>547</v>
      </c>
      <c r="H428" s="120">
        <f t="shared" si="61"/>
        <v>49.23</v>
      </c>
      <c r="I428" s="121">
        <v>0.09</v>
      </c>
      <c r="J428" s="122">
        <v>547</v>
      </c>
      <c r="K428" s="123">
        <f t="shared" ref="K428:K435" si="64">J428*I428</f>
        <v>49.23</v>
      </c>
      <c r="L428" s="124">
        <f t="shared" si="60"/>
        <v>0</v>
      </c>
      <c r="M428" s="125">
        <f t="shared" si="62"/>
        <v>0</v>
      </c>
    </row>
    <row r="429" spans="1:13" x14ac:dyDescent="0.2">
      <c r="A429" s="46" t="str">
        <f t="shared" si="63"/>
        <v>STREET LIGHTING SERVICE CLASSIFICATION</v>
      </c>
      <c r="C429" s="115"/>
      <c r="D429" s="116" t="s">
        <v>169</v>
      </c>
      <c r="E429" s="117"/>
      <c r="F429" s="126">
        <v>0</v>
      </c>
      <c r="G429" s="119">
        <f>IF($E417&gt;0, $E417, $E416)</f>
        <v>700</v>
      </c>
      <c r="H429" s="120">
        <f t="shared" si="61"/>
        <v>0</v>
      </c>
      <c r="I429" s="127">
        <v>0</v>
      </c>
      <c r="J429" s="122">
        <f>IF($E417&gt;0, $E417, $E416)</f>
        <v>700</v>
      </c>
      <c r="K429" s="123">
        <f t="shared" si="64"/>
        <v>0</v>
      </c>
      <c r="L429" s="124">
        <f t="shared" si="60"/>
        <v>0</v>
      </c>
      <c r="M429" s="125" t="str">
        <f t="shared" si="62"/>
        <v/>
      </c>
    </row>
    <row r="430" spans="1:13" x14ac:dyDescent="0.2">
      <c r="A430" s="46" t="str">
        <f t="shared" si="63"/>
        <v>STREET LIGHTING SERVICE CLASSIFICATION</v>
      </c>
      <c r="B430" s="46" t="s">
        <v>170</v>
      </c>
      <c r="C430" s="115">
        <f>B36</f>
        <v>7</v>
      </c>
      <c r="D430" s="129" t="s">
        <v>171</v>
      </c>
      <c r="E430" s="130"/>
      <c r="F430" s="131"/>
      <c r="G430" s="132"/>
      <c r="H430" s="133">
        <f>SUM(H424:H429)</f>
        <v>12653.79</v>
      </c>
      <c r="I430" s="134"/>
      <c r="J430" s="135"/>
      <c r="K430" s="133">
        <f>SUM(K424:K429)</f>
        <v>13099.9</v>
      </c>
      <c r="L430" s="136">
        <f t="shared" si="60"/>
        <v>446.10999999999876</v>
      </c>
      <c r="M430" s="137">
        <f>IF((H430)=0,"",(L430/H430))</f>
        <v>3.5255050068003238E-2</v>
      </c>
    </row>
    <row r="431" spans="1:13" x14ac:dyDescent="0.2">
      <c r="A431" s="46" t="str">
        <f t="shared" si="63"/>
        <v>STREET LIGHTING SERVICE CLASSIFICATION</v>
      </c>
      <c r="C431" s="115"/>
      <c r="D431" s="138" t="s">
        <v>172</v>
      </c>
      <c r="E431" s="117"/>
      <c r="F431" s="126">
        <f>IF((E416*12&gt;=150000), 0, IF(E415="RPP",(F447*0.64+F448*0.18+F449*0.18),IF(E415="Non-RPP (Retailer)",F450,F451)))</f>
        <v>0</v>
      </c>
      <c r="G431" s="139">
        <f>IF(F431=0, 0, $E416*E418-E416)</f>
        <v>0</v>
      </c>
      <c r="H431" s="120">
        <f>G431*F431</f>
        <v>0</v>
      </c>
      <c r="I431" s="127">
        <f>IF((E416*12&gt;=150000), 0, IF(E415="RPP",(I447*0.64+I448*0.18+I449*0.18),IF(E415="Non-RPP (Retailer)",I450,I451)))</f>
        <v>0</v>
      </c>
      <c r="J431" s="140">
        <f>IF(I431=0, 0, E416*E419-E416)</f>
        <v>0</v>
      </c>
      <c r="K431" s="123">
        <f>J431*I431</f>
        <v>0</v>
      </c>
      <c r="L431" s="124">
        <f>K431-H431</f>
        <v>0</v>
      </c>
      <c r="M431" s="125" t="str">
        <f>IF(ISERROR(L431/H431), "", L431/H431)</f>
        <v/>
      </c>
    </row>
    <row r="432" spans="1:13" ht="25.5" x14ac:dyDescent="0.2">
      <c r="A432" s="46" t="str">
        <f t="shared" si="63"/>
        <v>STREET LIGHTING SERVICE CLASSIFICATION</v>
      </c>
      <c r="C432" s="115"/>
      <c r="D432" s="138" t="s">
        <v>173</v>
      </c>
      <c r="E432" s="117"/>
      <c r="F432" s="126">
        <v>0.5071</v>
      </c>
      <c r="G432" s="141">
        <f>IF($E417&gt;0, $E417, $E416)</f>
        <v>700</v>
      </c>
      <c r="H432" s="120">
        <f t="shared" si="61"/>
        <v>354.96999999999997</v>
      </c>
      <c r="I432" s="127">
        <f>'Proposed Tariff'!D246+'Proposed Tariff'!D244</f>
        <v>0.98720000000000008</v>
      </c>
      <c r="J432" s="142">
        <f>IF($E417&gt;0, $E417, $E416)</f>
        <v>700</v>
      </c>
      <c r="K432" s="123">
        <f t="shared" si="64"/>
        <v>691.04000000000008</v>
      </c>
      <c r="L432" s="124">
        <f t="shared" si="60"/>
        <v>336.07000000000011</v>
      </c>
      <c r="M432" s="125">
        <f t="shared" si="62"/>
        <v>0.94675606389272371</v>
      </c>
    </row>
    <row r="433" spans="1:14" x14ac:dyDescent="0.2">
      <c r="A433" s="46" t="str">
        <f t="shared" si="63"/>
        <v>STREET LIGHTING SERVICE CLASSIFICATION</v>
      </c>
      <c r="C433" s="115"/>
      <c r="D433" s="138" t="s">
        <v>174</v>
      </c>
      <c r="E433" s="117"/>
      <c r="F433" s="126">
        <v>0</v>
      </c>
      <c r="G433" s="141">
        <f>IF($E417&gt;0, $E417, $E416)</f>
        <v>700</v>
      </c>
      <c r="H433" s="120">
        <f>G433*F433</f>
        <v>0</v>
      </c>
      <c r="I433" s="127">
        <f>'Proposed Tariff'!D245</f>
        <v>-3.9699999999999999E-2</v>
      </c>
      <c r="J433" s="142">
        <f>IF($E417&gt;0, $E417, $E416)</f>
        <v>700</v>
      </c>
      <c r="K433" s="123">
        <f>J433*I433</f>
        <v>-27.79</v>
      </c>
      <c r="L433" s="124">
        <f t="shared" si="60"/>
        <v>-27.79</v>
      </c>
      <c r="M433" s="125" t="str">
        <f t="shared" si="62"/>
        <v/>
      </c>
    </row>
    <row r="434" spans="1:14" x14ac:dyDescent="0.2">
      <c r="A434" s="46" t="str">
        <f t="shared" si="63"/>
        <v>STREET LIGHTING SERVICE CLASSIFICATION</v>
      </c>
      <c r="C434" s="115"/>
      <c r="D434" s="138" t="s">
        <v>175</v>
      </c>
      <c r="E434" s="117"/>
      <c r="F434" s="126">
        <v>1.6000000000000001E-3</v>
      </c>
      <c r="G434" s="141">
        <f>E416</f>
        <v>400000</v>
      </c>
      <c r="H434" s="120">
        <f>G434*F434</f>
        <v>640</v>
      </c>
      <c r="I434" s="127">
        <f>'Proposed Tariff'!D243</f>
        <v>-4.4999999999999997E-3</v>
      </c>
      <c r="J434" s="142">
        <f>E416</f>
        <v>400000</v>
      </c>
      <c r="K434" s="123">
        <f t="shared" si="64"/>
        <v>-1799.9999999999998</v>
      </c>
      <c r="L434" s="124">
        <f t="shared" si="60"/>
        <v>-2440</v>
      </c>
      <c r="M434" s="125">
        <f t="shared" si="62"/>
        <v>-3.8125</v>
      </c>
    </row>
    <row r="435" spans="1:14" x14ac:dyDescent="0.2">
      <c r="A435" s="46" t="str">
        <f t="shared" si="63"/>
        <v>STREET LIGHTING SERVICE CLASSIFICATION</v>
      </c>
      <c r="C435" s="115"/>
      <c r="D435" s="116" t="s">
        <v>176</v>
      </c>
      <c r="E435" s="117"/>
      <c r="F435" s="126">
        <v>7.7899999999999997E-2</v>
      </c>
      <c r="G435" s="141">
        <f>IF($E417&gt;0, $E417, $E416)</f>
        <v>700</v>
      </c>
      <c r="H435" s="120">
        <f t="shared" si="61"/>
        <v>54.53</v>
      </c>
      <c r="I435" s="127">
        <v>7.7899999999999997E-2</v>
      </c>
      <c r="J435" s="142">
        <f>IF($E417&gt;0, $E417, $E416)</f>
        <v>700</v>
      </c>
      <c r="K435" s="123">
        <f t="shared" si="64"/>
        <v>54.53</v>
      </c>
      <c r="L435" s="124">
        <f t="shared" si="60"/>
        <v>0</v>
      </c>
      <c r="M435" s="125">
        <f t="shared" si="62"/>
        <v>0</v>
      </c>
    </row>
    <row r="436" spans="1:14" ht="25.5" x14ac:dyDescent="0.2">
      <c r="A436" s="46" t="str">
        <f t="shared" si="63"/>
        <v>STREET LIGHTING SERVICE CLASSIFICATION</v>
      </c>
      <c r="C436" s="115"/>
      <c r="D436" s="138" t="s">
        <v>177</v>
      </c>
      <c r="E436" s="117"/>
      <c r="F436" s="143">
        <f>IF(OR(ISNUMBER(SEARCH("RESIDENTIAL", E414))=TRUE, ISNUMBER(SEARCH("GENERAL SERVICE LESS THAN 50", E414))=TRUE), 0.43, 0)</f>
        <v>0</v>
      </c>
      <c r="G436" s="119">
        <v>547</v>
      </c>
      <c r="H436" s="120">
        <f>G436*F436</f>
        <v>0</v>
      </c>
      <c r="I436" s="144">
        <f>IF(OR(ISNUMBER(SEARCH("RESIDENTIAL", E414))=TRUE, ISNUMBER(SEARCH("GENERAL SERVICE LESS THAN 50", E414))=TRUE), SME, 0)</f>
        <v>0</v>
      </c>
      <c r="J436" s="128">
        <v>547</v>
      </c>
      <c r="K436" s="123">
        <f>J436*I436</f>
        <v>0</v>
      </c>
      <c r="L436" s="124">
        <f t="shared" si="60"/>
        <v>0</v>
      </c>
      <c r="M436" s="125" t="str">
        <f>IF(ISERROR(L436/H436), "", L436/H436)</f>
        <v/>
      </c>
    </row>
    <row r="437" spans="1:14" x14ac:dyDescent="0.2">
      <c r="A437" s="46" t="str">
        <f t="shared" si="63"/>
        <v>STREET LIGHTING SERVICE CLASSIFICATION</v>
      </c>
      <c r="C437" s="115"/>
      <c r="D437" s="116" t="s">
        <v>178</v>
      </c>
      <c r="E437" s="117"/>
      <c r="F437" s="118">
        <v>0</v>
      </c>
      <c r="G437" s="119">
        <v>547</v>
      </c>
      <c r="H437" s="120">
        <f t="shared" si="61"/>
        <v>0</v>
      </c>
      <c r="I437" s="121">
        <v>0</v>
      </c>
      <c r="J437" s="128">
        <v>547</v>
      </c>
      <c r="K437" s="123">
        <f>J437*I437</f>
        <v>0</v>
      </c>
      <c r="L437" s="124">
        <f>K437-H437</f>
        <v>0</v>
      </c>
      <c r="M437" s="125" t="str">
        <f>IF(ISERROR(L437/H437), "", L437/H437)</f>
        <v/>
      </c>
    </row>
    <row r="438" spans="1:14" x14ac:dyDescent="0.2">
      <c r="A438" s="46" t="str">
        <f t="shared" si="63"/>
        <v>STREET LIGHTING SERVICE CLASSIFICATION</v>
      </c>
      <c r="C438" s="115"/>
      <c r="D438" s="116" t="s">
        <v>179</v>
      </c>
      <c r="E438" s="117"/>
      <c r="F438" s="126">
        <v>0</v>
      </c>
      <c r="G438" s="141">
        <f>IF($E417&gt;0, $E417, $E416)</f>
        <v>700</v>
      </c>
      <c r="H438" s="120">
        <f>G438*F438</f>
        <v>0</v>
      </c>
      <c r="I438" s="127">
        <v>0</v>
      </c>
      <c r="J438" s="142">
        <f>IF($E417&gt;0, $E417, $E416)</f>
        <v>700</v>
      </c>
      <c r="K438" s="123">
        <f>J438*I438</f>
        <v>0</v>
      </c>
      <c r="L438" s="124">
        <f t="shared" si="60"/>
        <v>0</v>
      </c>
      <c r="M438" s="125" t="str">
        <f>IF(ISERROR(L438/H438), "", L438/H438)</f>
        <v/>
      </c>
    </row>
    <row r="439" spans="1:14" ht="25.5" x14ac:dyDescent="0.2">
      <c r="A439" s="46" t="str">
        <f t="shared" si="63"/>
        <v>STREET LIGHTING SERVICE CLASSIFICATION</v>
      </c>
      <c r="B439" s="46" t="s">
        <v>180</v>
      </c>
      <c r="C439" s="115">
        <f>B36</f>
        <v>7</v>
      </c>
      <c r="D439" s="145" t="s">
        <v>181</v>
      </c>
      <c r="E439" s="146"/>
      <c r="F439" s="147"/>
      <c r="G439" s="148"/>
      <c r="H439" s="149">
        <f>SUM(H430:H438)</f>
        <v>13703.29</v>
      </c>
      <c r="I439" s="150"/>
      <c r="J439" s="151"/>
      <c r="K439" s="149">
        <f>SUM(K430:K438)</f>
        <v>12017.68</v>
      </c>
      <c r="L439" s="136">
        <f t="shared" si="60"/>
        <v>-1685.6100000000006</v>
      </c>
      <c r="M439" s="137">
        <f>IF((H439)=0,"",(L439/H439))</f>
        <v>-0.12300768647529174</v>
      </c>
    </row>
    <row r="440" spans="1:14" x14ac:dyDescent="0.2">
      <c r="A440" s="46" t="str">
        <f t="shared" si="63"/>
        <v>STREET LIGHTING SERVICE CLASSIFICATION</v>
      </c>
      <c r="C440" s="115"/>
      <c r="D440" s="152" t="s">
        <v>182</v>
      </c>
      <c r="E440" s="117"/>
      <c r="F440" s="126">
        <v>2.44</v>
      </c>
      <c r="G440" s="139">
        <f>IF($E417&gt;0, $E417, $E416*$E418)</f>
        <v>700</v>
      </c>
      <c r="H440" s="120">
        <f>G440*F440</f>
        <v>1708</v>
      </c>
      <c r="I440" s="153">
        <v>2.5242</v>
      </c>
      <c r="J440" s="140">
        <f>IF($E417&gt;0, $E417, $E416*$E419)</f>
        <v>700</v>
      </c>
      <c r="K440" s="123">
        <f>J440*I440</f>
        <v>1766.94</v>
      </c>
      <c r="L440" s="124">
        <f t="shared" si="60"/>
        <v>58.940000000000055</v>
      </c>
      <c r="M440" s="125">
        <f>IF(ISERROR(L440/H440), "", L440/H440)</f>
        <v>3.4508196721311508E-2</v>
      </c>
      <c r="N440" s="154" t="str">
        <f>IF(ISERROR(ABS(M440)), "", IF(ABS(M440)&gt;=4%, "In the manager's summary, discuss the reasoning for the change in RTSR rates", ""))</f>
        <v/>
      </c>
    </row>
    <row r="441" spans="1:14" ht="25.5" x14ac:dyDescent="0.2">
      <c r="A441" s="46" t="str">
        <f t="shared" si="63"/>
        <v>STREET LIGHTING SERVICE CLASSIFICATION</v>
      </c>
      <c r="C441" s="115"/>
      <c r="D441" s="155" t="s">
        <v>183</v>
      </c>
      <c r="E441" s="117"/>
      <c r="F441" s="126">
        <v>1.4325000000000001</v>
      </c>
      <c r="G441" s="139">
        <f>IF($E417&gt;0, $E417, $E416*$E418)</f>
        <v>700</v>
      </c>
      <c r="H441" s="120">
        <f>G441*F441</f>
        <v>1002.7500000000001</v>
      </c>
      <c r="I441" s="153">
        <v>1.3754999999999999</v>
      </c>
      <c r="J441" s="140">
        <f>IF($E417&gt;0, $E417, $E416*$E419)</f>
        <v>700</v>
      </c>
      <c r="K441" s="123">
        <f>J441*I441</f>
        <v>962.84999999999991</v>
      </c>
      <c r="L441" s="124">
        <f t="shared" si="60"/>
        <v>-39.900000000000205</v>
      </c>
      <c r="M441" s="125">
        <f>IF(ISERROR(L441/H441), "", L441/H441)</f>
        <v>-3.9790575916230565E-2</v>
      </c>
      <c r="N441" s="154" t="str">
        <f>IF(ISERROR(ABS(M441)), "", IF(ABS(M441)&gt;=4%, "In the manager's summary, discuss the reasoning for the change in RTSR rates", ""))</f>
        <v/>
      </c>
    </row>
    <row r="442" spans="1:14" ht="25.5" x14ac:dyDescent="0.2">
      <c r="A442" s="46" t="str">
        <f t="shared" si="63"/>
        <v>STREET LIGHTING SERVICE CLASSIFICATION</v>
      </c>
      <c r="B442" s="46" t="s">
        <v>184</v>
      </c>
      <c r="C442" s="115">
        <f>B36</f>
        <v>7</v>
      </c>
      <c r="D442" s="145" t="s">
        <v>185</v>
      </c>
      <c r="E442" s="130"/>
      <c r="F442" s="147"/>
      <c r="G442" s="148"/>
      <c r="H442" s="149">
        <f>SUM(H439:H441)</f>
        <v>16414.04</v>
      </c>
      <c r="I442" s="150"/>
      <c r="J442" s="135"/>
      <c r="K442" s="149">
        <f>SUM(K439:K441)</f>
        <v>14747.470000000001</v>
      </c>
      <c r="L442" s="136">
        <f t="shared" si="60"/>
        <v>-1666.5699999999997</v>
      </c>
      <c r="M442" s="137">
        <f>IF((H442)=0,"",(L442/H442))</f>
        <v>-0.10153319962666106</v>
      </c>
    </row>
    <row r="443" spans="1:14" ht="25.5" x14ac:dyDescent="0.2">
      <c r="A443" s="46" t="str">
        <f t="shared" si="63"/>
        <v>STREET LIGHTING SERVICE CLASSIFICATION</v>
      </c>
      <c r="C443" s="115"/>
      <c r="D443" s="156" t="s">
        <v>186</v>
      </c>
      <c r="E443" s="117"/>
      <c r="F443" s="126">
        <f>IF(AND('[1]1. Information Sheet'!$F$26:$H$26&gt;='[1]17. Regulatory Charges'!$D$14,'[1]1. Information Sheet'!$F$26:$H$26&lt;'[1]17. Regulatory Charges'!$E$14),'[1]17. Regulatory Charges'!$D$15+'[1]17. Regulatory Charges'!$D$16,'[1]17. Regulatory Charges'!$E$15+'[1]17. Regulatory Charges'!$E$16)</f>
        <v>3.4000000000000002E-3</v>
      </c>
      <c r="G443" s="139">
        <f>E416*E418</f>
        <v>412280</v>
      </c>
      <c r="H443" s="157">
        <f t="shared" ref="H443:H449" si="65">G443*F443</f>
        <v>1401.7520000000002</v>
      </c>
      <c r="I443" s="127">
        <f>'[1]17. Regulatory Charges'!$E$15+'[1]17. Regulatory Charges'!$E$16</f>
        <v>3.4000000000000002E-3</v>
      </c>
      <c r="J443" s="140">
        <f>E416*E419</f>
        <v>412280</v>
      </c>
      <c r="K443" s="123">
        <f t="shared" ref="K443:K449" si="66">J443*I443</f>
        <v>1401.7520000000002</v>
      </c>
      <c r="L443" s="124">
        <f t="shared" si="60"/>
        <v>0</v>
      </c>
      <c r="M443" s="125">
        <f t="shared" ref="M443:M451" si="67">IF(ISERROR(L443/H443), "", L443/H443)</f>
        <v>0</v>
      </c>
    </row>
    <row r="444" spans="1:14" ht="25.5" x14ac:dyDescent="0.2">
      <c r="A444" s="46" t="str">
        <f t="shared" si="63"/>
        <v>STREET LIGHTING SERVICE CLASSIFICATION</v>
      </c>
      <c r="C444" s="115"/>
      <c r="D444" s="156" t="s">
        <v>187</v>
      </c>
      <c r="E444" s="117"/>
      <c r="F444" s="126">
        <f>IF(AND('[1]1. Information Sheet'!$F$26:$H$26&gt;='[1]17. Regulatory Charges'!$D$14,'[1]1. Information Sheet'!$F$26:$H$26&lt;'[1]17. Regulatory Charges'!$D$14),'[1]17. Regulatory Charges'!$D$17,'[1]17. Regulatory Charges'!$E$17)</f>
        <v>5.0000000000000001E-4</v>
      </c>
      <c r="G444" s="139">
        <f>E416*E418</f>
        <v>412280</v>
      </c>
      <c r="H444" s="157">
        <f t="shared" si="65"/>
        <v>206.14000000000001</v>
      </c>
      <c r="I444" s="127">
        <f>'[1]17. Regulatory Charges'!$E$17</f>
        <v>5.0000000000000001E-4</v>
      </c>
      <c r="J444" s="140">
        <f>E416*E419</f>
        <v>412280</v>
      </c>
      <c r="K444" s="123">
        <f t="shared" si="66"/>
        <v>206.14000000000001</v>
      </c>
      <c r="L444" s="124">
        <f t="shared" si="60"/>
        <v>0</v>
      </c>
      <c r="M444" s="125">
        <f t="shared" si="67"/>
        <v>0</v>
      </c>
    </row>
    <row r="445" spans="1:14" x14ac:dyDescent="0.2">
      <c r="A445" s="46" t="str">
        <f t="shared" si="63"/>
        <v>STREET LIGHTING SERVICE CLASSIFICATION</v>
      </c>
      <c r="C445" s="115"/>
      <c r="D445" s="158" t="s">
        <v>188</v>
      </c>
      <c r="E445" s="117"/>
      <c r="F445" s="143">
        <f>IF(AND('[1]1. Information Sheet'!$F$26:$H$26&gt;='[1]17. Regulatory Charges'!$D$14,'[1]1. Information Sheet'!$F$26:$H$26&lt;'[1]17. Regulatory Charges'!$D$14),'[1]17. Regulatory Charges'!$D$18,'[1]17. Regulatory Charges'!$E$18)</f>
        <v>0.25</v>
      </c>
      <c r="G445" s="119">
        <v>547</v>
      </c>
      <c r="H445" s="157">
        <f t="shared" si="65"/>
        <v>136.75</v>
      </c>
      <c r="I445" s="144">
        <f>'[1]17. Regulatory Charges'!$E$18</f>
        <v>0.25</v>
      </c>
      <c r="J445" s="122">
        <v>547</v>
      </c>
      <c r="K445" s="123">
        <f t="shared" si="66"/>
        <v>136.75</v>
      </c>
      <c r="L445" s="124">
        <f t="shared" si="60"/>
        <v>0</v>
      </c>
      <c r="M445" s="125">
        <f t="shared" si="67"/>
        <v>0</v>
      </c>
    </row>
    <row r="446" spans="1:14" ht="25.5" hidden="1" x14ac:dyDescent="0.2">
      <c r="A446" s="46" t="str">
        <f t="shared" si="63"/>
        <v>STREET LIGHTING SERVICE CLASSIFICATION</v>
      </c>
      <c r="C446" s="115"/>
      <c r="D446" s="156" t="s">
        <v>189</v>
      </c>
      <c r="E446" s="117"/>
      <c r="F446" s="126"/>
      <c r="G446" s="139"/>
      <c r="H446" s="157"/>
      <c r="I446" s="127"/>
      <c r="J446" s="140"/>
      <c r="K446" s="123"/>
      <c r="L446" s="124"/>
      <c r="M446" s="125"/>
    </row>
    <row r="447" spans="1:14" hidden="1" x14ac:dyDescent="0.2">
      <c r="A447" s="46" t="str">
        <f t="shared" si="63"/>
        <v>STREET LIGHTING SERVICE CLASSIFICATION</v>
      </c>
      <c r="B447" s="46" t="s">
        <v>139</v>
      </c>
      <c r="C447" s="115"/>
      <c r="D447" s="158" t="s">
        <v>190</v>
      </c>
      <c r="E447" s="117"/>
      <c r="F447" s="159">
        <f>OffPeak</f>
        <v>7.3999999999999996E-2</v>
      </c>
      <c r="G447" s="160">
        <f>IF(AND(E416*12&gt;=150000),0.64*E416*E418,0.64*E416)</f>
        <v>263859.20000000001</v>
      </c>
      <c r="H447" s="157">
        <f t="shared" si="65"/>
        <v>19525.5808</v>
      </c>
      <c r="I447" s="161">
        <f>OffPeak</f>
        <v>7.3999999999999996E-2</v>
      </c>
      <c r="J447" s="162">
        <f>IF(AND(E416*12&gt;=150000),0.64*E416*E419,0.64*E416)</f>
        <v>263859.20000000001</v>
      </c>
      <c r="K447" s="123">
        <f t="shared" si="66"/>
        <v>19525.5808</v>
      </c>
      <c r="L447" s="124">
        <f>K447-H447</f>
        <v>0</v>
      </c>
      <c r="M447" s="125">
        <f t="shared" si="67"/>
        <v>0</v>
      </c>
    </row>
    <row r="448" spans="1:14" hidden="1" x14ac:dyDescent="0.2">
      <c r="A448" s="46" t="str">
        <f t="shared" si="63"/>
        <v>STREET LIGHTING SERVICE CLASSIFICATION</v>
      </c>
      <c r="B448" s="46" t="s">
        <v>139</v>
      </c>
      <c r="C448" s="115"/>
      <c r="D448" s="158" t="s">
        <v>191</v>
      </c>
      <c r="E448" s="117"/>
      <c r="F448" s="159">
        <f>MidPeak</f>
        <v>0.10199999999999999</v>
      </c>
      <c r="G448" s="160">
        <f>IF(AND(E416*12&gt;=150000),0.18*E416*E418,0.18*E416)</f>
        <v>74210.399999999994</v>
      </c>
      <c r="H448" s="157">
        <f t="shared" si="65"/>
        <v>7569.4607999999989</v>
      </c>
      <c r="I448" s="161">
        <f>MidPeak</f>
        <v>0.10199999999999999</v>
      </c>
      <c r="J448" s="162">
        <f>IF(AND(E416*12&gt;=150000),0.18*E416*E419,0.18*E416)</f>
        <v>74210.399999999994</v>
      </c>
      <c r="K448" s="123">
        <f t="shared" si="66"/>
        <v>7569.4607999999989</v>
      </c>
      <c r="L448" s="124">
        <f>K448-H448</f>
        <v>0</v>
      </c>
      <c r="M448" s="125">
        <f t="shared" si="67"/>
        <v>0</v>
      </c>
    </row>
    <row r="449" spans="1:13" hidden="1" x14ac:dyDescent="0.2">
      <c r="A449" s="46" t="str">
        <f t="shared" si="63"/>
        <v>STREET LIGHTING SERVICE CLASSIFICATION</v>
      </c>
      <c r="B449" s="46" t="s">
        <v>139</v>
      </c>
      <c r="C449" s="115"/>
      <c r="D449" s="46" t="s">
        <v>192</v>
      </c>
      <c r="E449" s="117"/>
      <c r="F449" s="159">
        <f>OnPeak</f>
        <v>0.151</v>
      </c>
      <c r="G449" s="160">
        <f>IF(AND(E416*12&gt;=150000),0.18*E416*E418,0.18*E416)</f>
        <v>74210.399999999994</v>
      </c>
      <c r="H449" s="157">
        <f t="shared" si="65"/>
        <v>11205.770399999999</v>
      </c>
      <c r="I449" s="161">
        <f>OnPeak</f>
        <v>0.151</v>
      </c>
      <c r="J449" s="162">
        <f>IF(AND(E416*12&gt;=150000),0.18*E416*E419,0.18*E416)</f>
        <v>74210.399999999994</v>
      </c>
      <c r="K449" s="123">
        <f t="shared" si="66"/>
        <v>11205.770399999999</v>
      </c>
      <c r="L449" s="124">
        <f>K449-H449</f>
        <v>0</v>
      </c>
      <c r="M449" s="125">
        <f t="shared" si="67"/>
        <v>0</v>
      </c>
    </row>
    <row r="450" spans="1:13" hidden="1" x14ac:dyDescent="0.2">
      <c r="A450" s="46" t="str">
        <f t="shared" si="63"/>
        <v>STREET LIGHTING SERVICE CLASSIFICATION</v>
      </c>
      <c r="B450" s="46" t="s">
        <v>141</v>
      </c>
      <c r="C450" s="115"/>
      <c r="D450" s="158" t="s">
        <v>193</v>
      </c>
      <c r="E450" s="117"/>
      <c r="F450" s="163">
        <v>9.6699999999999994E-2</v>
      </c>
      <c r="G450" s="160">
        <f>IF(AND(E416*12&gt;=150000),E416*E418,E416)</f>
        <v>412280</v>
      </c>
      <c r="H450" s="157">
        <f>G450*F450</f>
        <v>39867.475999999995</v>
      </c>
      <c r="I450" s="164">
        <f>F450</f>
        <v>9.6699999999999994E-2</v>
      </c>
      <c r="J450" s="162">
        <f>IF(AND(E416*12&gt;=150000),E416*E419,E416)</f>
        <v>412280</v>
      </c>
      <c r="K450" s="123">
        <f>J450*I450</f>
        <v>39867.475999999995</v>
      </c>
      <c r="L450" s="124">
        <f>K450-H450</f>
        <v>0</v>
      </c>
      <c r="M450" s="125">
        <f t="shared" si="67"/>
        <v>0</v>
      </c>
    </row>
    <row r="451" spans="1:13" ht="13.5" thickBot="1" x14ac:dyDescent="0.25">
      <c r="A451" s="46" t="str">
        <f t="shared" si="63"/>
        <v>STREET LIGHTING SERVICE CLASSIFICATION</v>
      </c>
      <c r="B451" s="46" t="s">
        <v>140</v>
      </c>
      <c r="C451" s="115"/>
      <c r="D451" s="158" t="s">
        <v>194</v>
      </c>
      <c r="E451" s="117"/>
      <c r="F451" s="163">
        <v>9.6699999999999994E-2</v>
      </c>
      <c r="G451" s="160">
        <f>IF(AND(E416*12&gt;=150000),E416*E418,E416)</f>
        <v>412280</v>
      </c>
      <c r="H451" s="157">
        <f>G451*F451</f>
        <v>39867.475999999995</v>
      </c>
      <c r="I451" s="164">
        <f>F451</f>
        <v>9.6699999999999994E-2</v>
      </c>
      <c r="J451" s="162">
        <f>IF(AND(E416*12&gt;=150000),E416*E419,E416)</f>
        <v>412280</v>
      </c>
      <c r="K451" s="123">
        <f>J451*I451</f>
        <v>39867.475999999995</v>
      </c>
      <c r="L451" s="124">
        <f>K451-H451</f>
        <v>0</v>
      </c>
      <c r="M451" s="125">
        <f t="shared" si="67"/>
        <v>0</v>
      </c>
    </row>
    <row r="452" spans="1:13" ht="13.5" thickBot="1" x14ac:dyDescent="0.25">
      <c r="A452" s="46" t="str">
        <f t="shared" si="63"/>
        <v>STREET LIGHTING SERVICE CLASSIFICATION</v>
      </c>
      <c r="C452" s="115"/>
      <c r="D452" s="165"/>
      <c r="E452" s="166"/>
      <c r="F452" s="167"/>
      <c r="G452" s="168"/>
      <c r="H452" s="169"/>
      <c r="I452" s="167"/>
      <c r="J452" s="170"/>
      <c r="K452" s="169"/>
      <c r="L452" s="171"/>
      <c r="M452" s="172"/>
    </row>
    <row r="453" spans="1:13" hidden="1" x14ac:dyDescent="0.2">
      <c r="A453" s="46" t="str">
        <f t="shared" si="63"/>
        <v>STREET LIGHTING SERVICE CLASSIFICATION</v>
      </c>
      <c r="B453" s="46" t="s">
        <v>139</v>
      </c>
      <c r="C453" s="115"/>
      <c r="D453" s="173" t="s">
        <v>195</v>
      </c>
      <c r="E453" s="158"/>
      <c r="F453" s="174"/>
      <c r="G453" s="175"/>
      <c r="H453" s="176">
        <f>SUM(H443:H449,H442)</f>
        <v>56459.493999999999</v>
      </c>
      <c r="I453" s="177"/>
      <c r="J453" s="177"/>
      <c r="K453" s="176">
        <f>SUM(K443:K449,K442)</f>
        <v>54792.923999999999</v>
      </c>
      <c r="L453" s="178">
        <f>K453-H453</f>
        <v>-1666.5699999999997</v>
      </c>
      <c r="M453" s="179">
        <f>IF((H453)=0,"",(L453/H453))</f>
        <v>-2.9517976197236194E-2</v>
      </c>
    </row>
    <row r="454" spans="1:13" hidden="1" x14ac:dyDescent="0.2">
      <c r="A454" s="46" t="str">
        <f t="shared" si="63"/>
        <v>STREET LIGHTING SERVICE CLASSIFICATION</v>
      </c>
      <c r="B454" s="46" t="s">
        <v>139</v>
      </c>
      <c r="C454" s="115"/>
      <c r="D454" s="180" t="s">
        <v>196</v>
      </c>
      <c r="E454" s="158"/>
      <c r="F454" s="174">
        <v>0.13</v>
      </c>
      <c r="G454" s="181"/>
      <c r="H454" s="182">
        <f>H453*F454</f>
        <v>7339.7342200000003</v>
      </c>
      <c r="I454" s="183">
        <v>0.13</v>
      </c>
      <c r="J454" s="119"/>
      <c r="K454" s="182">
        <f>K453*I454</f>
        <v>7123.0801200000005</v>
      </c>
      <c r="L454" s="124">
        <f>K454-H454</f>
        <v>-216.65409999999974</v>
      </c>
      <c r="M454" s="184">
        <f>IF((H454)=0,"",(L454/H454))</f>
        <v>-2.9517976197236163E-2</v>
      </c>
    </row>
    <row r="455" spans="1:13" ht="15" hidden="1" x14ac:dyDescent="0.25">
      <c r="A455" s="46" t="str">
        <f t="shared" si="63"/>
        <v>STREET LIGHTING SERVICE CLASSIFICATION</v>
      </c>
      <c r="B455" s="46" t="s">
        <v>139</v>
      </c>
      <c r="C455" s="115"/>
      <c r="D455" s="180" t="s">
        <v>197</v>
      </c>
      <c r="E455"/>
      <c r="F455" s="185">
        <v>0.11700000000000001</v>
      </c>
      <c r="G455" s="181"/>
      <c r="H455" s="182">
        <f>IF(OR(ISNUMBER(SEARCH("[DGEN]", E414))=TRUE, ISNUMBER(SEARCH("STREET LIGHT", E414))=TRUE), 0, IF(AND(E416=0, E417=0),0, IF(AND(E417=0, E416*12&gt;250000), 0, IF(AND(E416=0, E417&gt;=50), 0, IF(E416*12&lt;=250000, F455*H453*-1, IF(E417&lt;50, F455*H453*-1, 0))))))</f>
        <v>0</v>
      </c>
      <c r="I455" s="185">
        <v>0.11700000000000001</v>
      </c>
      <c r="J455" s="119"/>
      <c r="K455" s="182">
        <f>IF(OR(ISNUMBER(SEARCH("[DGEN]", E414))=TRUE, ISNUMBER(SEARCH("STREET LIGHT", E414))=TRUE), 0, IF(AND(E416=0, E417=0),0, IF(AND(E417=0, E416*12&gt;250000), 0, IF(AND(E416=0, E417&gt;=50), 0, IF(E416*12&lt;=250000, I455*K453*-1, IF(E417&lt;50, I455*K453*-1, 0))))))</f>
        <v>0</v>
      </c>
      <c r="L455" s="124">
        <f>K455-H455</f>
        <v>0</v>
      </c>
      <c r="M455" s="184"/>
    </row>
    <row r="456" spans="1:13" hidden="1" x14ac:dyDescent="0.2">
      <c r="A456" s="46" t="str">
        <f t="shared" si="63"/>
        <v>STREET LIGHTING SERVICE CLASSIFICATION</v>
      </c>
      <c r="B456" s="46" t="s">
        <v>198</v>
      </c>
      <c r="C456" s="115"/>
      <c r="D456" s="186" t="s">
        <v>199</v>
      </c>
      <c r="E456" s="186"/>
      <c r="F456" s="187"/>
      <c r="G456" s="188"/>
      <c r="H456" s="189">
        <f>H453+H454+H455</f>
        <v>63799.228219999997</v>
      </c>
      <c r="I456" s="190"/>
      <c r="J456" s="190"/>
      <c r="K456" s="191">
        <f>K453+K454+K455</f>
        <v>61916.004119999998</v>
      </c>
      <c r="L456" s="192">
        <f>K456-H456</f>
        <v>-1883.2240999999995</v>
      </c>
      <c r="M456" s="193">
        <f>IF((H456)=0,"",(L456/H456))</f>
        <v>-2.9517976197236191E-2</v>
      </c>
    </row>
    <row r="457" spans="1:13" ht="13.5" hidden="1" thickBot="1" x14ac:dyDescent="0.25">
      <c r="A457" s="46" t="str">
        <f t="shared" si="63"/>
        <v>STREET LIGHTING SERVICE CLASSIFICATION</v>
      </c>
      <c r="B457" s="46" t="s">
        <v>139</v>
      </c>
      <c r="C457" s="115"/>
      <c r="D457" s="165"/>
      <c r="E457" s="166"/>
      <c r="F457" s="167"/>
      <c r="G457" s="168"/>
      <c r="H457" s="169"/>
      <c r="I457" s="167"/>
      <c r="J457" s="170"/>
      <c r="K457" s="169"/>
      <c r="L457" s="171"/>
      <c r="M457" s="172"/>
    </row>
    <row r="458" spans="1:13" hidden="1" x14ac:dyDescent="0.2">
      <c r="A458" s="46" t="str">
        <f t="shared" si="63"/>
        <v>STREET LIGHTING SERVICE CLASSIFICATION</v>
      </c>
      <c r="B458" s="46" t="s">
        <v>141</v>
      </c>
      <c r="C458" s="115"/>
      <c r="D458" s="173" t="s">
        <v>200</v>
      </c>
      <c r="E458" s="158"/>
      <c r="F458" s="174"/>
      <c r="G458" s="175"/>
      <c r="H458" s="176">
        <f>SUM(H450,H443:H446,H442)</f>
        <v>58026.157999999996</v>
      </c>
      <c r="I458" s="177"/>
      <c r="J458" s="177"/>
      <c r="K458" s="176">
        <f>SUM(K450,K443:K446,K442)</f>
        <v>56359.587999999996</v>
      </c>
      <c r="L458" s="178">
        <f>K458-H458</f>
        <v>-1666.5699999999997</v>
      </c>
      <c r="M458" s="179">
        <f>IF((H458)=0,"",(L458/H458))</f>
        <v>-2.8721012340675731E-2</v>
      </c>
    </row>
    <row r="459" spans="1:13" hidden="1" x14ac:dyDescent="0.2">
      <c r="A459" s="46" t="str">
        <f t="shared" si="63"/>
        <v>STREET LIGHTING SERVICE CLASSIFICATION</v>
      </c>
      <c r="B459" s="46" t="s">
        <v>141</v>
      </c>
      <c r="C459" s="115"/>
      <c r="D459" s="180" t="s">
        <v>196</v>
      </c>
      <c r="E459" s="158"/>
      <c r="F459" s="174">
        <v>0.13</v>
      </c>
      <c r="G459" s="175"/>
      <c r="H459" s="182">
        <f>H458*F459</f>
        <v>7543.4005399999996</v>
      </c>
      <c r="I459" s="174">
        <v>0.13</v>
      </c>
      <c r="J459" s="183"/>
      <c r="K459" s="182">
        <f>K458*I459</f>
        <v>7326.7464399999999</v>
      </c>
      <c r="L459" s="124">
        <f>K459-H459</f>
        <v>-216.65409999999974</v>
      </c>
      <c r="M459" s="184">
        <f>IF((H459)=0,"",(L459/H459))</f>
        <v>-2.8721012340675704E-2</v>
      </c>
    </row>
    <row r="460" spans="1:13" ht="15" hidden="1" x14ac:dyDescent="0.25">
      <c r="A460" s="46" t="str">
        <f t="shared" si="63"/>
        <v>STREET LIGHTING SERVICE CLASSIFICATION</v>
      </c>
      <c r="B460" s="46" t="s">
        <v>141</v>
      </c>
      <c r="C460" s="115"/>
      <c r="D460" s="180" t="s">
        <v>197</v>
      </c>
      <c r="E460"/>
      <c r="F460" s="185">
        <v>0.11700000000000001</v>
      </c>
      <c r="G460" s="175"/>
      <c r="H460" s="182">
        <f>IF(OR(ISNUMBER(SEARCH("[DGEN]", E414))=TRUE, ISNUMBER(SEARCH("STREET LIGHT", E414))=TRUE), 0, IF(AND(E416=0, E417=0),0, IF(AND(E417=0, E416*12&gt;250000), 0, IF(AND(E416=0, E417&gt;=50), 0, IF(E416*12&lt;=250000, F460*H458*-1, IF(E417&lt;50, F460*H458*-1, 0))))))</f>
        <v>0</v>
      </c>
      <c r="I460" s="185">
        <v>0.11700000000000001</v>
      </c>
      <c r="J460" s="183"/>
      <c r="K460" s="182">
        <f>IF(OR(ISNUMBER(SEARCH("[DGEN]", E414))=TRUE, ISNUMBER(SEARCH("STREET LIGHT", E414))=TRUE), 0, IF(AND(E416=0, E417=0),0, IF(AND(E417=0, E416*12&gt;250000), 0, IF(AND(E416=0, E417&gt;=50), 0, IF(E416*12&lt;=250000, I460*K458*-1, IF(E417&lt;50, I460*K458*-1, 0))))))</f>
        <v>0</v>
      </c>
      <c r="L460" s="124"/>
      <c r="M460" s="184"/>
    </row>
    <row r="461" spans="1:13" hidden="1" x14ac:dyDescent="0.2">
      <c r="A461" s="46" t="str">
        <f t="shared" si="63"/>
        <v>STREET LIGHTING SERVICE CLASSIFICATION</v>
      </c>
      <c r="B461" s="46" t="s">
        <v>201</v>
      </c>
      <c r="C461" s="115"/>
      <c r="D461" s="186" t="s">
        <v>200</v>
      </c>
      <c r="E461" s="186"/>
      <c r="F461" s="194"/>
      <c r="G461" s="195"/>
      <c r="H461" s="189">
        <f>SUM(H458,H459)</f>
        <v>65569.558539999998</v>
      </c>
      <c r="I461" s="196"/>
      <c r="J461" s="196"/>
      <c r="K461" s="189">
        <f>SUM(K458,K459)</f>
        <v>63686.334439999999</v>
      </c>
      <c r="L461" s="197">
        <f>K461-H461</f>
        <v>-1883.2240999999995</v>
      </c>
      <c r="M461" s="198">
        <f>IF((H461)=0,"",(L461/H461))</f>
        <v>-2.8721012340675728E-2</v>
      </c>
    </row>
    <row r="462" spans="1:13" ht="13.5" hidden="1" thickBot="1" x14ac:dyDescent="0.25">
      <c r="A462" s="46" t="str">
        <f t="shared" si="63"/>
        <v>STREET LIGHTING SERVICE CLASSIFICATION</v>
      </c>
      <c r="B462" s="46" t="s">
        <v>141</v>
      </c>
      <c r="C462" s="115"/>
      <c r="D462" s="165"/>
      <c r="E462" s="166"/>
      <c r="F462" s="199"/>
      <c r="G462" s="200"/>
      <c r="H462" s="201"/>
      <c r="I462" s="199"/>
      <c r="J462" s="168"/>
      <c r="K462" s="201"/>
      <c r="L462" s="202"/>
      <c r="M462" s="172"/>
    </row>
    <row r="463" spans="1:13" x14ac:dyDescent="0.2">
      <c r="A463" s="46" t="str">
        <f t="shared" si="63"/>
        <v>STREET LIGHTING SERVICE CLASSIFICATION</v>
      </c>
      <c r="B463" s="46" t="s">
        <v>140</v>
      </c>
      <c r="C463" s="115"/>
      <c r="D463" s="173" t="s">
        <v>202</v>
      </c>
      <c r="E463" s="158"/>
      <c r="F463" s="174"/>
      <c r="G463" s="175"/>
      <c r="H463" s="176">
        <f>SUM(H451,H443:H446,H442)</f>
        <v>58026.157999999996</v>
      </c>
      <c r="I463" s="177"/>
      <c r="J463" s="177"/>
      <c r="K463" s="176">
        <f>SUM(K451,K443:K446,K442)</f>
        <v>56359.587999999996</v>
      </c>
      <c r="L463" s="178">
        <f>K463-H463</f>
        <v>-1666.5699999999997</v>
      </c>
      <c r="M463" s="179">
        <f>IF((H463)=0,"",(L463/H463))</f>
        <v>-2.8721012340675731E-2</v>
      </c>
    </row>
    <row r="464" spans="1:13" x14ac:dyDescent="0.2">
      <c r="A464" s="46" t="str">
        <f t="shared" si="63"/>
        <v>STREET LIGHTING SERVICE CLASSIFICATION</v>
      </c>
      <c r="B464" s="46" t="s">
        <v>140</v>
      </c>
      <c r="C464" s="115"/>
      <c r="D464" s="180" t="s">
        <v>196</v>
      </c>
      <c r="E464" s="158"/>
      <c r="F464" s="174">
        <v>0.13</v>
      </c>
      <c r="G464" s="175"/>
      <c r="H464" s="182">
        <f>H463*F464</f>
        <v>7543.4005399999996</v>
      </c>
      <c r="I464" s="174">
        <v>0.13</v>
      </c>
      <c r="J464" s="183"/>
      <c r="K464" s="182">
        <f>K463*I464</f>
        <v>7326.7464399999999</v>
      </c>
      <c r="L464" s="124">
        <f>K464-H464</f>
        <v>-216.65409999999974</v>
      </c>
      <c r="M464" s="184">
        <f>IF((H464)=0,"",(L464/H464))</f>
        <v>-2.8721012340675704E-2</v>
      </c>
    </row>
    <row r="465" spans="1:14" ht="15" x14ac:dyDescent="0.25">
      <c r="A465" s="46" t="str">
        <f t="shared" si="63"/>
        <v>STREET LIGHTING SERVICE CLASSIFICATION</v>
      </c>
      <c r="B465" s="46" t="s">
        <v>140</v>
      </c>
      <c r="C465" s="115"/>
      <c r="D465" s="180" t="s">
        <v>197</v>
      </c>
      <c r="E465"/>
      <c r="F465" s="185">
        <v>0.11700000000000001</v>
      </c>
      <c r="G465" s="175"/>
      <c r="H465" s="182">
        <f>IF(OR(ISNUMBER(SEARCH("[DGEN]", E414))=TRUE, ISNUMBER(SEARCH("STREET LIGHT", E414))=TRUE), 0, IF(AND(E416=0, E417=0),0, IF(AND(E417=0, E416*12&gt;250000), 0, IF(AND(E416=0, E417&gt;=50), 0, IF(E416*12&lt;=250000, F465*H463*-1, IF(E417&lt;50, F465*H463*-1, 0))))))</f>
        <v>0</v>
      </c>
      <c r="I465" s="185">
        <v>0.11700000000000001</v>
      </c>
      <c r="J465" s="183"/>
      <c r="K465" s="182">
        <f>IF(OR(ISNUMBER(SEARCH("[DGEN]", E414))=TRUE, ISNUMBER(SEARCH("STREET LIGHT", E414))=TRUE), 0, IF(AND(E416=0, E417=0),0, IF(AND(E417=0, E416*12&gt;250000), 0, IF(AND(E416=0, E417&gt;=50), 0, IF(E416*12&lt;=250000, I465*K463*-1, IF(E417&lt;50, I465*K463*-1, 0))))))</f>
        <v>0</v>
      </c>
      <c r="L465" s="124"/>
      <c r="M465" s="184"/>
    </row>
    <row r="466" spans="1:14" ht="13.5" thickBot="1" x14ac:dyDescent="0.25">
      <c r="A466" s="46" t="str">
        <f t="shared" si="63"/>
        <v>STREET LIGHTING SERVICE CLASSIFICATION</v>
      </c>
      <c r="B466" s="46" t="s">
        <v>203</v>
      </c>
      <c r="C466" s="115">
        <f>B36</f>
        <v>7</v>
      </c>
      <c r="D466" s="186" t="s">
        <v>202</v>
      </c>
      <c r="E466" s="186"/>
      <c r="F466" s="194"/>
      <c r="G466" s="195"/>
      <c r="H466" s="189">
        <f>SUM(H463,H464)</f>
        <v>65569.558539999998</v>
      </c>
      <c r="I466" s="196"/>
      <c r="J466" s="196"/>
      <c r="K466" s="189">
        <f>SUM(K463,K464)</f>
        <v>63686.334439999999</v>
      </c>
      <c r="L466" s="197">
        <f>K466-H466</f>
        <v>-1883.2240999999995</v>
      </c>
      <c r="M466" s="198">
        <f>IF((H466)=0,"",(L466/H466))</f>
        <v>-2.8721012340675728E-2</v>
      </c>
    </row>
    <row r="467" spans="1:14" ht="13.5" thickBot="1" x14ac:dyDescent="0.25">
      <c r="A467" s="46" t="str">
        <f t="shared" si="63"/>
        <v>STREET LIGHTING SERVICE CLASSIFICATION</v>
      </c>
      <c r="B467" s="46" t="s">
        <v>140</v>
      </c>
      <c r="C467" s="115"/>
      <c r="D467" s="165"/>
      <c r="E467" s="166"/>
      <c r="F467" s="203"/>
      <c r="G467" s="200"/>
      <c r="H467" s="204"/>
      <c r="I467" s="203"/>
      <c r="J467" s="168"/>
      <c r="K467" s="204"/>
      <c r="L467" s="202"/>
      <c r="M467" s="205"/>
    </row>
    <row r="470" spans="1:14" x14ac:dyDescent="0.2">
      <c r="C470" s="46"/>
      <c r="D470" s="90" t="s">
        <v>150</v>
      </c>
      <c r="E470" s="91" t="str">
        <f>D37</f>
        <v>SENTINEL LIGHTING SERVICE CLASSIFICATION</v>
      </c>
      <c r="F470" s="91"/>
      <c r="G470" s="91"/>
      <c r="H470" s="91"/>
      <c r="I470" s="91"/>
      <c r="J470" s="91"/>
      <c r="K470" s="46" t="str">
        <f>IF(N37="DEMAND - INTERVAL","RTSR - INTERVAL METERED","")</f>
        <v/>
      </c>
    </row>
    <row r="471" spans="1:14" x14ac:dyDescent="0.2">
      <c r="C471" s="46"/>
      <c r="D471" s="90" t="s">
        <v>151</v>
      </c>
      <c r="E471" s="92" t="str">
        <f>H37</f>
        <v>RPP</v>
      </c>
      <c r="F471" s="92"/>
      <c r="G471" s="92"/>
      <c r="H471" s="93"/>
      <c r="I471" s="93"/>
    </row>
    <row r="472" spans="1:14" ht="15.75" x14ac:dyDescent="0.2">
      <c r="C472" s="46"/>
      <c r="D472" s="90" t="s">
        <v>152</v>
      </c>
      <c r="E472" s="94">
        <f>K37</f>
        <v>10000</v>
      </c>
      <c r="F472" s="95" t="s">
        <v>153</v>
      </c>
      <c r="J472" s="96"/>
      <c r="K472" s="96"/>
      <c r="L472" s="96"/>
      <c r="M472" s="96"/>
      <c r="N472" s="96"/>
    </row>
    <row r="473" spans="1:14" ht="15.75" x14ac:dyDescent="0.25">
      <c r="C473" s="46"/>
      <c r="D473" s="90" t="s">
        <v>154</v>
      </c>
      <c r="E473" s="94">
        <f>L37</f>
        <v>29</v>
      </c>
      <c r="F473" s="97" t="s">
        <v>155</v>
      </c>
      <c r="G473" s="98"/>
      <c r="H473" s="99"/>
      <c r="I473" s="99"/>
      <c r="J473" s="99"/>
    </row>
    <row r="474" spans="1:14" x14ac:dyDescent="0.2">
      <c r="C474" s="46"/>
      <c r="D474" s="90" t="s">
        <v>156</v>
      </c>
      <c r="E474" s="100">
        <f>I37</f>
        <v>1.0306999999999999</v>
      </c>
    </row>
    <row r="475" spans="1:14" x14ac:dyDescent="0.2">
      <c r="C475" s="46"/>
      <c r="D475" s="90" t="s">
        <v>157</v>
      </c>
      <c r="E475" s="100">
        <f>J37</f>
        <v>1.0306999999999999</v>
      </c>
    </row>
    <row r="476" spans="1:14" x14ac:dyDescent="0.2">
      <c r="C476" s="46"/>
    </row>
    <row r="477" spans="1:14" x14ac:dyDescent="0.2">
      <c r="C477" s="46"/>
      <c r="E477" s="95"/>
      <c r="F477" s="101" t="s">
        <v>204</v>
      </c>
      <c r="G477" s="102"/>
      <c r="H477" s="103"/>
      <c r="I477" s="101" t="s">
        <v>205</v>
      </c>
      <c r="J477" s="102"/>
      <c r="K477" s="103"/>
      <c r="L477" s="101" t="s">
        <v>158</v>
      </c>
      <c r="M477" s="103"/>
    </row>
    <row r="478" spans="1:14" x14ac:dyDescent="0.2">
      <c r="C478" s="46"/>
      <c r="E478" s="104"/>
      <c r="F478" s="105" t="s">
        <v>159</v>
      </c>
      <c r="G478" s="105" t="s">
        <v>160</v>
      </c>
      <c r="H478" s="106" t="s">
        <v>161</v>
      </c>
      <c r="I478" s="105" t="s">
        <v>159</v>
      </c>
      <c r="J478" s="107" t="s">
        <v>160</v>
      </c>
      <c r="K478" s="106" t="s">
        <v>161</v>
      </c>
      <c r="L478" s="108" t="s">
        <v>162</v>
      </c>
      <c r="M478" s="109" t="s">
        <v>163</v>
      </c>
    </row>
    <row r="479" spans="1:14" x14ac:dyDescent="0.2">
      <c r="C479" s="46"/>
      <c r="E479" s="110"/>
      <c r="F479" s="111" t="s">
        <v>164</v>
      </c>
      <c r="G479" s="111"/>
      <c r="H479" s="112" t="s">
        <v>164</v>
      </c>
      <c r="I479" s="111" t="s">
        <v>164</v>
      </c>
      <c r="J479" s="112"/>
      <c r="K479" s="112" t="s">
        <v>164</v>
      </c>
      <c r="L479" s="113"/>
      <c r="M479" s="114"/>
    </row>
    <row r="480" spans="1:14" x14ac:dyDescent="0.2">
      <c r="A480" s="46" t="str">
        <f>$E470</f>
        <v>SENTINEL LIGHTING SERVICE CLASSIFICATION</v>
      </c>
      <c r="C480" s="115"/>
      <c r="D480" s="116" t="s">
        <v>165</v>
      </c>
      <c r="E480" s="117"/>
      <c r="F480" s="118">
        <v>3.02</v>
      </c>
      <c r="G480" s="119">
        <v>1</v>
      </c>
      <c r="H480" s="120">
        <f>G480*F480</f>
        <v>3.02</v>
      </c>
      <c r="I480" s="121">
        <v>3.13</v>
      </c>
      <c r="J480" s="122">
        <v>1</v>
      </c>
      <c r="K480" s="123">
        <f>J480*I480</f>
        <v>3.13</v>
      </c>
      <c r="L480" s="124">
        <f t="shared" ref="L480:L501" si="68">K480-H480</f>
        <v>0.10999999999999988</v>
      </c>
      <c r="M480" s="125">
        <f>IF(ISERROR(L480/H480), "", L480/H480)</f>
        <v>3.6423841059602606E-2</v>
      </c>
    </row>
    <row r="481" spans="1:14" x14ac:dyDescent="0.2">
      <c r="A481" s="46" t="str">
        <f>A480</f>
        <v>SENTINEL LIGHTING SERVICE CLASSIFICATION</v>
      </c>
      <c r="C481" s="115"/>
      <c r="D481" s="116" t="s">
        <v>30</v>
      </c>
      <c r="E481" s="117"/>
      <c r="F481" s="126">
        <v>45.149700000000003</v>
      </c>
      <c r="G481" s="119">
        <f>IF($E473&gt;0, $E473, $E472)</f>
        <v>29</v>
      </c>
      <c r="H481" s="120">
        <f t="shared" ref="H481:H493" si="69">G481*F481</f>
        <v>1309.3413</v>
      </c>
      <c r="I481" s="127">
        <v>46.752499999999998</v>
      </c>
      <c r="J481" s="122">
        <f>IF($E473&gt;0, $E473, $E472)</f>
        <v>29</v>
      </c>
      <c r="K481" s="123">
        <f>J481*I481</f>
        <v>1355.8225</v>
      </c>
      <c r="L481" s="124">
        <f t="shared" si="68"/>
        <v>46.481199999999944</v>
      </c>
      <c r="M481" s="125">
        <f t="shared" ref="M481:M491" si="70">IF(ISERROR(L481/H481), "", L481/H481)</f>
        <v>3.5499682168430753E-2</v>
      </c>
    </row>
    <row r="482" spans="1:14" hidden="1" x14ac:dyDescent="0.2">
      <c r="A482" s="46" t="str">
        <f t="shared" ref="A482:A523" si="71">A481</f>
        <v>SENTINEL LIGHTING SERVICE CLASSIFICATION</v>
      </c>
      <c r="C482" s="115"/>
      <c r="D482" s="116" t="s">
        <v>166</v>
      </c>
      <c r="E482" s="117"/>
      <c r="F482" s="126"/>
      <c r="G482" s="119">
        <f>IF($E473&gt;0, $E473, $E472)</f>
        <v>29</v>
      </c>
      <c r="H482" s="120">
        <v>0</v>
      </c>
      <c r="I482" s="127"/>
      <c r="J482" s="122">
        <f>IF($E473&gt;0, $E473, $E472)</f>
        <v>29</v>
      </c>
      <c r="K482" s="123">
        <v>0</v>
      </c>
      <c r="L482" s="124"/>
      <c r="M482" s="125"/>
    </row>
    <row r="483" spans="1:14" hidden="1" x14ac:dyDescent="0.2">
      <c r="A483" s="46" t="str">
        <f t="shared" si="71"/>
        <v>SENTINEL LIGHTING SERVICE CLASSIFICATION</v>
      </c>
      <c r="C483" s="115"/>
      <c r="D483" s="116" t="s">
        <v>167</v>
      </c>
      <c r="E483" s="117"/>
      <c r="F483" s="126"/>
      <c r="G483" s="119">
        <f>IF($E473&gt;0, $E473, $E472)</f>
        <v>29</v>
      </c>
      <c r="H483" s="120">
        <v>0</v>
      </c>
      <c r="I483" s="127"/>
      <c r="J483" s="128">
        <f>IF($E473&gt;0, $E473, $E472)</f>
        <v>29</v>
      </c>
      <c r="K483" s="123">
        <v>0</v>
      </c>
      <c r="L483" s="124">
        <f>K483-H483</f>
        <v>0</v>
      </c>
      <c r="M483" s="125" t="str">
        <f>IF(ISERROR(L483/H483), "", L483/H483)</f>
        <v/>
      </c>
    </row>
    <row r="484" spans="1:14" x14ac:dyDescent="0.2">
      <c r="A484" s="46" t="str">
        <f t="shared" si="71"/>
        <v>SENTINEL LIGHTING SERVICE CLASSIFICATION</v>
      </c>
      <c r="C484" s="115"/>
      <c r="D484" s="116" t="s">
        <v>168</v>
      </c>
      <c r="E484" s="117"/>
      <c r="F484" s="118">
        <v>0.32</v>
      </c>
      <c r="G484" s="119">
        <v>1</v>
      </c>
      <c r="H484" s="120">
        <f t="shared" si="69"/>
        <v>0.32</v>
      </c>
      <c r="I484" s="121">
        <v>0.32</v>
      </c>
      <c r="J484" s="122">
        <v>1</v>
      </c>
      <c r="K484" s="123">
        <f t="shared" ref="K484:K491" si="72">J484*I484</f>
        <v>0.32</v>
      </c>
      <c r="L484" s="124">
        <f t="shared" si="68"/>
        <v>0</v>
      </c>
      <c r="M484" s="125">
        <f t="shared" si="70"/>
        <v>0</v>
      </c>
    </row>
    <row r="485" spans="1:14" x14ac:dyDescent="0.2">
      <c r="A485" s="46" t="str">
        <f t="shared" si="71"/>
        <v>SENTINEL LIGHTING SERVICE CLASSIFICATION</v>
      </c>
      <c r="C485" s="115"/>
      <c r="D485" s="116" t="s">
        <v>169</v>
      </c>
      <c r="E485" s="117"/>
      <c r="F485" s="126">
        <v>0</v>
      </c>
      <c r="G485" s="119">
        <f>IF($E473&gt;0, $E473, $E472)</f>
        <v>29</v>
      </c>
      <c r="H485" s="120">
        <f t="shared" si="69"/>
        <v>0</v>
      </c>
      <c r="I485" s="127">
        <v>0</v>
      </c>
      <c r="J485" s="122">
        <f>IF($E473&gt;0, $E473, $E472)</f>
        <v>29</v>
      </c>
      <c r="K485" s="123">
        <f t="shared" si="72"/>
        <v>0</v>
      </c>
      <c r="L485" s="124">
        <f t="shared" si="68"/>
        <v>0</v>
      </c>
      <c r="M485" s="125" t="str">
        <f t="shared" si="70"/>
        <v/>
      </c>
    </row>
    <row r="486" spans="1:14" x14ac:dyDescent="0.2">
      <c r="A486" s="46" t="str">
        <f t="shared" si="71"/>
        <v>SENTINEL LIGHTING SERVICE CLASSIFICATION</v>
      </c>
      <c r="B486" s="46" t="s">
        <v>170</v>
      </c>
      <c r="C486" s="115">
        <f>B37</f>
        <v>8</v>
      </c>
      <c r="D486" s="129" t="s">
        <v>171</v>
      </c>
      <c r="E486" s="130"/>
      <c r="F486" s="131"/>
      <c r="G486" s="132"/>
      <c r="H486" s="133">
        <f>SUM(H480:H485)</f>
        <v>1312.6813</v>
      </c>
      <c r="I486" s="134"/>
      <c r="J486" s="135"/>
      <c r="K486" s="133">
        <f>SUM(K480:K485)</f>
        <v>1359.2725</v>
      </c>
      <c r="L486" s="136">
        <f t="shared" si="68"/>
        <v>46.591200000000072</v>
      </c>
      <c r="M486" s="137">
        <f>IF((H486)=0,"",(L486/H486))</f>
        <v>3.5493154355135607E-2</v>
      </c>
    </row>
    <row r="487" spans="1:14" x14ac:dyDescent="0.2">
      <c r="A487" s="46" t="str">
        <f t="shared" si="71"/>
        <v>SENTINEL LIGHTING SERVICE CLASSIFICATION</v>
      </c>
      <c r="C487" s="115"/>
      <c r="D487" s="138" t="s">
        <v>172</v>
      </c>
      <c r="E487" s="117"/>
      <c r="F487" s="126">
        <f>IF((E472*12&gt;=150000), 0, IF(E471="RPP",(F503*0.64+F504*0.18+F505*0.18),IF(E471="Non-RPP (Retailer)",F506,F507)))</f>
        <v>9.2899999999999996E-2</v>
      </c>
      <c r="G487" s="139">
        <f>IF(F487=0, 0, $E472*E474-E472)</f>
        <v>307</v>
      </c>
      <c r="H487" s="120">
        <f>G487*F487</f>
        <v>28.520299999999999</v>
      </c>
      <c r="I487" s="127">
        <f>IF((E472*12&gt;=150000), 0, IF(E471="RPP",(I503*0.64+I504*0.18+I505*0.18),IF(E471="Non-RPP (Retailer)",I506,I507)))</f>
        <v>9.2899999999999996E-2</v>
      </c>
      <c r="J487" s="140">
        <f>IF(I487=0, 0, E472*E475-E472)</f>
        <v>307</v>
      </c>
      <c r="K487" s="123">
        <f>J487*I487</f>
        <v>28.520299999999999</v>
      </c>
      <c r="L487" s="124">
        <f>K487-H487</f>
        <v>0</v>
      </c>
      <c r="M487" s="125">
        <f>IF(ISERROR(L487/H487), "", L487/H487)</f>
        <v>0</v>
      </c>
    </row>
    <row r="488" spans="1:14" ht="25.5" x14ac:dyDescent="0.2">
      <c r="A488" s="46" t="str">
        <f t="shared" si="71"/>
        <v>SENTINEL LIGHTING SERVICE CLASSIFICATION</v>
      </c>
      <c r="C488" s="115"/>
      <c r="D488" s="138" t="s">
        <v>173</v>
      </c>
      <c r="E488" s="117"/>
      <c r="F488" s="126">
        <v>6.4199999999999993E-2</v>
      </c>
      <c r="G488" s="141">
        <f>IF($E473&gt;0, $E473, $E472)</f>
        <v>29</v>
      </c>
      <c r="H488" s="120">
        <f t="shared" si="69"/>
        <v>1.8617999999999999</v>
      </c>
      <c r="I488" s="127">
        <f>'Proposed Tariff'!D278+'Proposed Tariff'!D277</f>
        <v>0.65199999999999991</v>
      </c>
      <c r="J488" s="142">
        <f>IF($E473&gt;0, $E473, $E472)</f>
        <v>29</v>
      </c>
      <c r="K488" s="123">
        <f t="shared" si="72"/>
        <v>18.907999999999998</v>
      </c>
      <c r="L488" s="124">
        <f t="shared" si="68"/>
        <v>17.046199999999999</v>
      </c>
      <c r="M488" s="125">
        <f t="shared" si="70"/>
        <v>9.1557632398753892</v>
      </c>
    </row>
    <row r="489" spans="1:14" x14ac:dyDescent="0.2">
      <c r="A489" s="46" t="str">
        <f t="shared" si="71"/>
        <v>SENTINEL LIGHTING SERVICE CLASSIFICATION</v>
      </c>
      <c r="C489" s="115"/>
      <c r="D489" s="138" t="s">
        <v>174</v>
      </c>
      <c r="E489" s="117"/>
      <c r="F489" s="126">
        <v>0</v>
      </c>
      <c r="G489" s="141">
        <f>IF($E473&gt;0, $E473, $E472)</f>
        <v>29</v>
      </c>
      <c r="H489" s="120">
        <f>G489*F489</f>
        <v>0</v>
      </c>
      <c r="I489" s="127">
        <f>'Proposed Tariff'!D276</f>
        <v>-4.1000000000000003E-3</v>
      </c>
      <c r="J489" s="142">
        <f>IF($E473&gt;0, $E473, $E472)</f>
        <v>29</v>
      </c>
      <c r="K489" s="123">
        <f>J489*I489</f>
        <v>-0.11890000000000001</v>
      </c>
      <c r="L489" s="124">
        <f t="shared" si="68"/>
        <v>-0.11890000000000001</v>
      </c>
      <c r="M489" s="125" t="str">
        <f t="shared" si="70"/>
        <v/>
      </c>
    </row>
    <row r="490" spans="1:14" x14ac:dyDescent="0.2">
      <c r="A490" s="46" t="str">
        <f t="shared" si="71"/>
        <v>SENTINEL LIGHTING SERVICE CLASSIFICATION</v>
      </c>
      <c r="C490" s="115"/>
      <c r="D490" s="138" t="s">
        <v>175</v>
      </c>
      <c r="E490" s="117"/>
      <c r="F490" s="126">
        <v>0</v>
      </c>
      <c r="G490" s="141">
        <f>E472</f>
        <v>10000</v>
      </c>
      <c r="H490" s="120">
        <f>G490*F490</f>
        <v>0</v>
      </c>
      <c r="I490" s="127">
        <v>0</v>
      </c>
      <c r="J490" s="142">
        <f>E472</f>
        <v>10000</v>
      </c>
      <c r="K490" s="123">
        <f t="shared" si="72"/>
        <v>0</v>
      </c>
      <c r="L490" s="124">
        <f t="shared" si="68"/>
        <v>0</v>
      </c>
      <c r="M490" s="125" t="str">
        <f t="shared" si="70"/>
        <v/>
      </c>
    </row>
    <row r="491" spans="1:14" x14ac:dyDescent="0.2">
      <c r="A491" s="46" t="str">
        <f t="shared" si="71"/>
        <v>SENTINEL LIGHTING SERVICE CLASSIFICATION</v>
      </c>
      <c r="C491" s="115"/>
      <c r="D491" s="116" t="s">
        <v>176</v>
      </c>
      <c r="E491" s="117"/>
      <c r="F491" s="126">
        <v>7.5300000000000006E-2</v>
      </c>
      <c r="G491" s="141">
        <f>IF($E473&gt;0, $E473, $E472)</f>
        <v>29</v>
      </c>
      <c r="H491" s="120">
        <f t="shared" si="69"/>
        <v>2.1837</v>
      </c>
      <c r="I491" s="127">
        <v>7.5300000000000006E-2</v>
      </c>
      <c r="J491" s="142">
        <f>IF($E473&gt;0, $E473, $E472)</f>
        <v>29</v>
      </c>
      <c r="K491" s="123">
        <f t="shared" si="72"/>
        <v>2.1837</v>
      </c>
      <c r="L491" s="124">
        <f t="shared" si="68"/>
        <v>0</v>
      </c>
      <c r="M491" s="125">
        <f t="shared" si="70"/>
        <v>0</v>
      </c>
    </row>
    <row r="492" spans="1:14" ht="25.5" x14ac:dyDescent="0.2">
      <c r="A492" s="46" t="str">
        <f t="shared" si="71"/>
        <v>SENTINEL LIGHTING SERVICE CLASSIFICATION</v>
      </c>
      <c r="C492" s="115"/>
      <c r="D492" s="138" t="s">
        <v>177</v>
      </c>
      <c r="E492" s="117"/>
      <c r="F492" s="143">
        <f>IF(OR(ISNUMBER(SEARCH("RESIDENTIAL", E470))=TRUE, ISNUMBER(SEARCH("GENERAL SERVICE LESS THAN 50", E470))=TRUE), 0.43, 0)</f>
        <v>0</v>
      </c>
      <c r="G492" s="119">
        <v>1</v>
      </c>
      <c r="H492" s="120">
        <f>G492*F492</f>
        <v>0</v>
      </c>
      <c r="I492" s="144">
        <f>IF(OR(ISNUMBER(SEARCH("RESIDENTIAL", E470))=TRUE, ISNUMBER(SEARCH("GENERAL SERVICE LESS THAN 50", E470))=TRUE), SME, 0)</f>
        <v>0</v>
      </c>
      <c r="J492" s="128">
        <v>1</v>
      </c>
      <c r="K492" s="123">
        <f>J492*I492</f>
        <v>0</v>
      </c>
      <c r="L492" s="124">
        <f t="shared" si="68"/>
        <v>0</v>
      </c>
      <c r="M492" s="125" t="str">
        <f>IF(ISERROR(L492/H492), "", L492/H492)</f>
        <v/>
      </c>
    </row>
    <row r="493" spans="1:14" x14ac:dyDescent="0.2">
      <c r="A493" s="46" t="str">
        <f t="shared" si="71"/>
        <v>SENTINEL LIGHTING SERVICE CLASSIFICATION</v>
      </c>
      <c r="C493" s="115"/>
      <c r="D493" s="116" t="s">
        <v>178</v>
      </c>
      <c r="E493" s="117"/>
      <c r="F493" s="118">
        <v>0</v>
      </c>
      <c r="G493" s="119">
        <v>1</v>
      </c>
      <c r="H493" s="120">
        <f t="shared" si="69"/>
        <v>0</v>
      </c>
      <c r="I493" s="121">
        <v>0</v>
      </c>
      <c r="J493" s="128">
        <v>1</v>
      </c>
      <c r="K493" s="123">
        <f>J493*I493</f>
        <v>0</v>
      </c>
      <c r="L493" s="124">
        <f>K493-H493</f>
        <v>0</v>
      </c>
      <c r="M493" s="125" t="str">
        <f>IF(ISERROR(L493/H493), "", L493/H493)</f>
        <v/>
      </c>
    </row>
    <row r="494" spans="1:14" x14ac:dyDescent="0.2">
      <c r="A494" s="46" t="str">
        <f t="shared" si="71"/>
        <v>SENTINEL LIGHTING SERVICE CLASSIFICATION</v>
      </c>
      <c r="C494" s="115"/>
      <c r="D494" s="116" t="s">
        <v>179</v>
      </c>
      <c r="E494" s="117"/>
      <c r="F494" s="126">
        <v>0</v>
      </c>
      <c r="G494" s="141">
        <f>IF($E473&gt;0, $E473, $E472)</f>
        <v>29</v>
      </c>
      <c r="H494" s="120">
        <f>G494*F494</f>
        <v>0</v>
      </c>
      <c r="I494" s="127">
        <v>0</v>
      </c>
      <c r="J494" s="142">
        <f>IF($E473&gt;0, $E473, $E472)</f>
        <v>29</v>
      </c>
      <c r="K494" s="123">
        <f>J494*I494</f>
        <v>0</v>
      </c>
      <c r="L494" s="124">
        <f t="shared" si="68"/>
        <v>0</v>
      </c>
      <c r="M494" s="125" t="str">
        <f>IF(ISERROR(L494/H494), "", L494/H494)</f>
        <v/>
      </c>
    </row>
    <row r="495" spans="1:14" ht="25.5" x14ac:dyDescent="0.2">
      <c r="A495" s="46" t="str">
        <f t="shared" si="71"/>
        <v>SENTINEL LIGHTING SERVICE CLASSIFICATION</v>
      </c>
      <c r="B495" s="46" t="s">
        <v>180</v>
      </c>
      <c r="C495" s="115">
        <f>B37</f>
        <v>8</v>
      </c>
      <c r="D495" s="145" t="s">
        <v>181</v>
      </c>
      <c r="E495" s="146"/>
      <c r="F495" s="147"/>
      <c r="G495" s="148"/>
      <c r="H495" s="149">
        <f>SUM(H486:H494)</f>
        <v>1345.2470999999998</v>
      </c>
      <c r="I495" s="150"/>
      <c r="J495" s="151"/>
      <c r="K495" s="149">
        <f>SUM(K486:K494)</f>
        <v>1408.7655999999999</v>
      </c>
      <c r="L495" s="136">
        <f t="shared" si="68"/>
        <v>63.518500000000131</v>
      </c>
      <c r="M495" s="137">
        <f>IF((H495)=0,"",(L495/H495))</f>
        <v>4.7216975974153849E-2</v>
      </c>
    </row>
    <row r="496" spans="1:14" x14ac:dyDescent="0.2">
      <c r="A496" s="46" t="str">
        <f t="shared" si="71"/>
        <v>SENTINEL LIGHTING SERVICE CLASSIFICATION</v>
      </c>
      <c r="C496" s="115"/>
      <c r="D496" s="152" t="s">
        <v>182</v>
      </c>
      <c r="E496" s="117"/>
      <c r="F496" s="126">
        <v>2.6766000000000001</v>
      </c>
      <c r="G496" s="139">
        <f>IF($E473&gt;0, $E473, $E472*$E474)</f>
        <v>29</v>
      </c>
      <c r="H496" s="120">
        <f>G496*F496</f>
        <v>77.621400000000008</v>
      </c>
      <c r="I496" s="153">
        <v>2.7690000000000001</v>
      </c>
      <c r="J496" s="140">
        <f>IF($E473&gt;0, $E473, $E472*$E475)</f>
        <v>29</v>
      </c>
      <c r="K496" s="123">
        <f>J496*I496</f>
        <v>80.301000000000002</v>
      </c>
      <c r="L496" s="124">
        <f t="shared" si="68"/>
        <v>2.6795999999999935</v>
      </c>
      <c r="M496" s="125">
        <f>IF(ISERROR(L496/H496), "", L496/H496)</f>
        <v>3.4521407756108409E-2</v>
      </c>
      <c r="N496" s="154" t="str">
        <f>IF(ISERROR(ABS(M496)), "", IF(ABS(M496)&gt;=4%, "In the manager's summary, discuss the reasoning for the change in RTSR rates", ""))</f>
        <v/>
      </c>
    </row>
    <row r="497" spans="1:14" ht="25.5" x14ac:dyDescent="0.2">
      <c r="A497" s="46" t="str">
        <f t="shared" si="71"/>
        <v>SENTINEL LIGHTING SERVICE CLASSIFICATION</v>
      </c>
      <c r="C497" s="115"/>
      <c r="D497" s="155" t="s">
        <v>183</v>
      </c>
      <c r="E497" s="117"/>
      <c r="F497" s="126">
        <v>1.3852</v>
      </c>
      <c r="G497" s="139">
        <f>IF($E473&gt;0, $E473, $E472*$E474)</f>
        <v>29</v>
      </c>
      <c r="H497" s="120">
        <f>G497*F497</f>
        <v>40.1708</v>
      </c>
      <c r="I497" s="153">
        <v>1.3301000000000001</v>
      </c>
      <c r="J497" s="140">
        <f>IF($E473&gt;0, $E473, $E472*$E475)</f>
        <v>29</v>
      </c>
      <c r="K497" s="123">
        <f>J497*I497</f>
        <v>38.572900000000004</v>
      </c>
      <c r="L497" s="124">
        <f t="shared" si="68"/>
        <v>-1.5978999999999957</v>
      </c>
      <c r="M497" s="125">
        <f>IF(ISERROR(L497/H497), "", L497/H497)</f>
        <v>-3.977764943690431E-2</v>
      </c>
      <c r="N497" s="154" t="str">
        <f>IF(ISERROR(ABS(M497)), "", IF(ABS(M497)&gt;=4%, "In the manager's summary, discuss the reasoning for the change in RTSR rates", ""))</f>
        <v/>
      </c>
    </row>
    <row r="498" spans="1:14" ht="25.5" x14ac:dyDescent="0.2">
      <c r="A498" s="46" t="str">
        <f t="shared" si="71"/>
        <v>SENTINEL LIGHTING SERVICE CLASSIFICATION</v>
      </c>
      <c r="B498" s="46" t="s">
        <v>184</v>
      </c>
      <c r="C498" s="115">
        <f>B37</f>
        <v>8</v>
      </c>
      <c r="D498" s="145" t="s">
        <v>185</v>
      </c>
      <c r="E498" s="130"/>
      <c r="F498" s="147"/>
      <c r="G498" s="148"/>
      <c r="H498" s="149">
        <f>SUM(H495:H497)</f>
        <v>1463.0392999999999</v>
      </c>
      <c r="I498" s="150"/>
      <c r="J498" s="135"/>
      <c r="K498" s="149">
        <f>SUM(K495:K497)</f>
        <v>1527.6394999999998</v>
      </c>
      <c r="L498" s="136">
        <f t="shared" si="68"/>
        <v>64.600199999999859</v>
      </c>
      <c r="M498" s="137">
        <f>IF((H498)=0,"",(L498/H498))</f>
        <v>4.4154794748165589E-2</v>
      </c>
    </row>
    <row r="499" spans="1:14" ht="25.5" x14ac:dyDescent="0.2">
      <c r="A499" s="46" t="str">
        <f t="shared" si="71"/>
        <v>SENTINEL LIGHTING SERVICE CLASSIFICATION</v>
      </c>
      <c r="C499" s="115"/>
      <c r="D499" s="156" t="s">
        <v>186</v>
      </c>
      <c r="E499" s="117"/>
      <c r="F499" s="126">
        <f>IF(AND('[1]1. Information Sheet'!$F$26:$H$26&gt;='[1]17. Regulatory Charges'!$D$14,'[1]1. Information Sheet'!$F$26:$H$26&lt;'[1]17. Regulatory Charges'!$E$14),'[1]17. Regulatory Charges'!$D$15+'[1]17. Regulatory Charges'!$D$16,'[1]17. Regulatory Charges'!$E$15+'[1]17. Regulatory Charges'!$E$16)</f>
        <v>3.4000000000000002E-3</v>
      </c>
      <c r="G499" s="139">
        <f>E472*E474</f>
        <v>10307</v>
      </c>
      <c r="H499" s="157">
        <f t="shared" ref="H499:H505" si="73">G499*F499</f>
        <v>35.043800000000005</v>
      </c>
      <c r="I499" s="127">
        <f>'[1]17. Regulatory Charges'!$E$15+'[1]17. Regulatory Charges'!$E$16</f>
        <v>3.4000000000000002E-3</v>
      </c>
      <c r="J499" s="140">
        <f>E472*E475</f>
        <v>10307</v>
      </c>
      <c r="K499" s="123">
        <f t="shared" ref="K499:K505" si="74">J499*I499</f>
        <v>35.043800000000005</v>
      </c>
      <c r="L499" s="124">
        <f t="shared" si="68"/>
        <v>0</v>
      </c>
      <c r="M499" s="125">
        <f t="shared" ref="M499:M507" si="75">IF(ISERROR(L499/H499), "", L499/H499)</f>
        <v>0</v>
      </c>
    </row>
    <row r="500" spans="1:14" ht="25.5" x14ac:dyDescent="0.2">
      <c r="A500" s="46" t="str">
        <f t="shared" si="71"/>
        <v>SENTINEL LIGHTING SERVICE CLASSIFICATION</v>
      </c>
      <c r="C500" s="115"/>
      <c r="D500" s="156" t="s">
        <v>187</v>
      </c>
      <c r="E500" s="117"/>
      <c r="F500" s="126">
        <f>IF(AND('[1]1. Information Sheet'!$F$26:$H$26&gt;='[1]17. Regulatory Charges'!$D$14,'[1]1. Information Sheet'!$F$26:$H$26&lt;'[1]17. Regulatory Charges'!$D$14),'[1]17. Regulatory Charges'!$D$17,'[1]17. Regulatory Charges'!$E$17)</f>
        <v>5.0000000000000001E-4</v>
      </c>
      <c r="G500" s="139">
        <f>E472*E474</f>
        <v>10307</v>
      </c>
      <c r="H500" s="157">
        <f t="shared" si="73"/>
        <v>5.1535000000000002</v>
      </c>
      <c r="I500" s="127">
        <f>'[1]17. Regulatory Charges'!$E$17</f>
        <v>5.0000000000000001E-4</v>
      </c>
      <c r="J500" s="140">
        <f>E472*E475</f>
        <v>10307</v>
      </c>
      <c r="K500" s="123">
        <f t="shared" si="74"/>
        <v>5.1535000000000002</v>
      </c>
      <c r="L500" s="124">
        <f t="shared" si="68"/>
        <v>0</v>
      </c>
      <c r="M500" s="125">
        <f t="shared" si="75"/>
        <v>0</v>
      </c>
    </row>
    <row r="501" spans="1:14" x14ac:dyDescent="0.2">
      <c r="A501" s="46" t="str">
        <f t="shared" si="71"/>
        <v>SENTINEL LIGHTING SERVICE CLASSIFICATION</v>
      </c>
      <c r="C501" s="115"/>
      <c r="D501" s="158" t="s">
        <v>188</v>
      </c>
      <c r="E501" s="117"/>
      <c r="F501" s="143">
        <f>IF(AND('[1]1. Information Sheet'!$F$26:$H$26&gt;='[1]17. Regulatory Charges'!$D$14,'[1]1. Information Sheet'!$F$26:$H$26&lt;'[1]17. Regulatory Charges'!$D$14),'[1]17. Regulatory Charges'!$D$18,'[1]17. Regulatory Charges'!$E$18)</f>
        <v>0.25</v>
      </c>
      <c r="G501" s="119">
        <v>1</v>
      </c>
      <c r="H501" s="157">
        <f t="shared" si="73"/>
        <v>0.25</v>
      </c>
      <c r="I501" s="144">
        <f>'[1]17. Regulatory Charges'!$E$18</f>
        <v>0.25</v>
      </c>
      <c r="J501" s="122">
        <v>1</v>
      </c>
      <c r="K501" s="123">
        <f t="shared" si="74"/>
        <v>0.25</v>
      </c>
      <c r="L501" s="124">
        <f t="shared" si="68"/>
        <v>0</v>
      </c>
      <c r="M501" s="125">
        <f t="shared" si="75"/>
        <v>0</v>
      </c>
    </row>
    <row r="502" spans="1:14" ht="25.5" hidden="1" x14ac:dyDescent="0.2">
      <c r="A502" s="46" t="str">
        <f t="shared" si="71"/>
        <v>SENTINEL LIGHTING SERVICE CLASSIFICATION</v>
      </c>
      <c r="C502" s="115"/>
      <c r="D502" s="156" t="s">
        <v>189</v>
      </c>
      <c r="E502" s="117"/>
      <c r="F502" s="126"/>
      <c r="G502" s="139"/>
      <c r="H502" s="157"/>
      <c r="I502" s="127"/>
      <c r="J502" s="140"/>
      <c r="K502" s="123"/>
      <c r="L502" s="124"/>
      <c r="M502" s="125"/>
    </row>
    <row r="503" spans="1:14" x14ac:dyDescent="0.2">
      <c r="A503" s="46" t="str">
        <f t="shared" si="71"/>
        <v>SENTINEL LIGHTING SERVICE CLASSIFICATION</v>
      </c>
      <c r="B503" s="46" t="s">
        <v>139</v>
      </c>
      <c r="C503" s="115"/>
      <c r="D503" s="158" t="s">
        <v>190</v>
      </c>
      <c r="E503" s="117"/>
      <c r="F503" s="159">
        <f>OffPeak</f>
        <v>7.3999999999999996E-2</v>
      </c>
      <c r="G503" s="160">
        <f>IF(AND(E472*12&gt;=150000),0.64*E472*E474,0.64*E472)</f>
        <v>6400</v>
      </c>
      <c r="H503" s="157">
        <f t="shared" si="73"/>
        <v>473.59999999999997</v>
      </c>
      <c r="I503" s="161">
        <f>OffPeak</f>
        <v>7.3999999999999996E-2</v>
      </c>
      <c r="J503" s="162">
        <f>IF(AND(E472*12&gt;=150000),0.64*E472*E475,0.64*E472)</f>
        <v>6400</v>
      </c>
      <c r="K503" s="123">
        <f t="shared" si="74"/>
        <v>473.59999999999997</v>
      </c>
      <c r="L503" s="124">
        <f>K503-H503</f>
        <v>0</v>
      </c>
      <c r="M503" s="125">
        <f t="shared" si="75"/>
        <v>0</v>
      </c>
    </row>
    <row r="504" spans="1:14" x14ac:dyDescent="0.2">
      <c r="A504" s="46" t="str">
        <f t="shared" si="71"/>
        <v>SENTINEL LIGHTING SERVICE CLASSIFICATION</v>
      </c>
      <c r="B504" s="46" t="s">
        <v>139</v>
      </c>
      <c r="C504" s="115"/>
      <c r="D504" s="158" t="s">
        <v>191</v>
      </c>
      <c r="E504" s="117"/>
      <c r="F504" s="159">
        <f>MidPeak</f>
        <v>0.10199999999999999</v>
      </c>
      <c r="G504" s="160">
        <f>IF(AND(E472*12&gt;=150000),0.18*E472*E474,0.18*E472)</f>
        <v>1800</v>
      </c>
      <c r="H504" s="157">
        <f t="shared" si="73"/>
        <v>183.6</v>
      </c>
      <c r="I504" s="161">
        <f>MidPeak</f>
        <v>0.10199999999999999</v>
      </c>
      <c r="J504" s="162">
        <f>IF(AND(E472*12&gt;=150000),0.18*E472*E475,0.18*E472)</f>
        <v>1800</v>
      </c>
      <c r="K504" s="123">
        <f t="shared" si="74"/>
        <v>183.6</v>
      </c>
      <c r="L504" s="124">
        <f>K504-H504</f>
        <v>0</v>
      </c>
      <c r="M504" s="125">
        <f t="shared" si="75"/>
        <v>0</v>
      </c>
    </row>
    <row r="505" spans="1:14" ht="13.5" thickBot="1" x14ac:dyDescent="0.25">
      <c r="A505" s="46" t="str">
        <f t="shared" si="71"/>
        <v>SENTINEL LIGHTING SERVICE CLASSIFICATION</v>
      </c>
      <c r="B505" s="46" t="s">
        <v>139</v>
      </c>
      <c r="C505" s="115"/>
      <c r="D505" s="46" t="s">
        <v>192</v>
      </c>
      <c r="E505" s="117"/>
      <c r="F505" s="159">
        <f>OnPeak</f>
        <v>0.151</v>
      </c>
      <c r="G505" s="160">
        <f>IF(AND(E472*12&gt;=150000),0.18*E472*E474,0.18*E472)</f>
        <v>1800</v>
      </c>
      <c r="H505" s="157">
        <f t="shared" si="73"/>
        <v>271.8</v>
      </c>
      <c r="I505" s="161">
        <f>OnPeak</f>
        <v>0.151</v>
      </c>
      <c r="J505" s="162">
        <f>IF(AND(E472*12&gt;=150000),0.18*E472*E475,0.18*E472)</f>
        <v>1800</v>
      </c>
      <c r="K505" s="123">
        <f t="shared" si="74"/>
        <v>271.8</v>
      </c>
      <c r="L505" s="124">
        <f>K505-H505</f>
        <v>0</v>
      </c>
      <c r="M505" s="125">
        <f t="shared" si="75"/>
        <v>0</v>
      </c>
    </row>
    <row r="506" spans="1:14" ht="13.5" hidden="1" thickBot="1" x14ac:dyDescent="0.25">
      <c r="A506" s="46" t="str">
        <f t="shared" si="71"/>
        <v>SENTINEL LIGHTING SERVICE CLASSIFICATION</v>
      </c>
      <c r="B506" s="46" t="s">
        <v>141</v>
      </c>
      <c r="C506" s="115"/>
      <c r="D506" s="158" t="s">
        <v>193</v>
      </c>
      <c r="E506" s="117"/>
      <c r="F506" s="163">
        <v>9.6699999999999994E-2</v>
      </c>
      <c r="G506" s="160">
        <f>IF(AND(E472*12&gt;=150000),E472*E474,E472)</f>
        <v>10000</v>
      </c>
      <c r="H506" s="157">
        <f>G506*F506</f>
        <v>966.99999999999989</v>
      </c>
      <c r="I506" s="164">
        <f>F506</f>
        <v>9.6699999999999994E-2</v>
      </c>
      <c r="J506" s="162">
        <f>IF(AND(E472*12&gt;=150000),E472*E475,E472)</f>
        <v>10000</v>
      </c>
      <c r="K506" s="123">
        <f>J506*I506</f>
        <v>966.99999999999989</v>
      </c>
      <c r="L506" s="124">
        <f>K506-H506</f>
        <v>0</v>
      </c>
      <c r="M506" s="125">
        <f t="shared" si="75"/>
        <v>0</v>
      </c>
    </row>
    <row r="507" spans="1:14" ht="13.5" hidden="1" thickBot="1" x14ac:dyDescent="0.25">
      <c r="A507" s="46" t="str">
        <f t="shared" si="71"/>
        <v>SENTINEL LIGHTING SERVICE CLASSIFICATION</v>
      </c>
      <c r="B507" s="46" t="s">
        <v>140</v>
      </c>
      <c r="C507" s="115"/>
      <c r="D507" s="158" t="s">
        <v>194</v>
      </c>
      <c r="E507" s="117"/>
      <c r="F507" s="163">
        <v>9.6699999999999994E-2</v>
      </c>
      <c r="G507" s="160">
        <f>IF(AND(E472*12&gt;=150000),E472*E474,E472)</f>
        <v>10000</v>
      </c>
      <c r="H507" s="157">
        <f>G507*F507</f>
        <v>966.99999999999989</v>
      </c>
      <c r="I507" s="164">
        <f>F507</f>
        <v>9.6699999999999994E-2</v>
      </c>
      <c r="J507" s="162">
        <f>IF(AND(E472*12&gt;=150000),E472*E475,E472)</f>
        <v>10000</v>
      </c>
      <c r="K507" s="123">
        <f>J507*I507</f>
        <v>966.99999999999989</v>
      </c>
      <c r="L507" s="124">
        <f>K507-H507</f>
        <v>0</v>
      </c>
      <c r="M507" s="125">
        <f t="shared" si="75"/>
        <v>0</v>
      </c>
    </row>
    <row r="508" spans="1:14" ht="13.5" thickBot="1" x14ac:dyDescent="0.25">
      <c r="A508" s="46" t="str">
        <f t="shared" si="71"/>
        <v>SENTINEL LIGHTING SERVICE CLASSIFICATION</v>
      </c>
      <c r="C508" s="115"/>
      <c r="D508" s="165"/>
      <c r="E508" s="166"/>
      <c r="F508" s="167"/>
      <c r="G508" s="168"/>
      <c r="H508" s="169"/>
      <c r="I508" s="167"/>
      <c r="J508" s="170"/>
      <c r="K508" s="169"/>
      <c r="L508" s="171"/>
      <c r="M508" s="172"/>
    </row>
    <row r="509" spans="1:14" x14ac:dyDescent="0.2">
      <c r="A509" s="46" t="str">
        <f t="shared" si="71"/>
        <v>SENTINEL LIGHTING SERVICE CLASSIFICATION</v>
      </c>
      <c r="B509" s="46" t="s">
        <v>139</v>
      </c>
      <c r="C509" s="115"/>
      <c r="D509" s="173" t="s">
        <v>195</v>
      </c>
      <c r="E509" s="158"/>
      <c r="F509" s="174"/>
      <c r="G509" s="175"/>
      <c r="H509" s="176">
        <f>SUM(H499:H505,H498)</f>
        <v>2432.4866000000002</v>
      </c>
      <c r="I509" s="177"/>
      <c r="J509" s="177"/>
      <c r="K509" s="176">
        <f>SUM(K499:K505,K498)</f>
        <v>2497.0868</v>
      </c>
      <c r="L509" s="178">
        <f>K509-H509</f>
        <v>64.600199999999859</v>
      </c>
      <c r="M509" s="179">
        <f>IF((H509)=0,"",(L509/H509))</f>
        <v>2.6557268599136312E-2</v>
      </c>
    </row>
    <row r="510" spans="1:14" x14ac:dyDescent="0.2">
      <c r="A510" s="46" t="str">
        <f t="shared" si="71"/>
        <v>SENTINEL LIGHTING SERVICE CLASSIFICATION</v>
      </c>
      <c r="B510" s="46" t="s">
        <v>139</v>
      </c>
      <c r="C510" s="115"/>
      <c r="D510" s="180" t="s">
        <v>196</v>
      </c>
      <c r="E510" s="158"/>
      <c r="F510" s="174">
        <v>0.13</v>
      </c>
      <c r="G510" s="181"/>
      <c r="H510" s="182">
        <f>H509*F510</f>
        <v>316.22325800000004</v>
      </c>
      <c r="I510" s="183">
        <v>0.13</v>
      </c>
      <c r="J510" s="119"/>
      <c r="K510" s="182">
        <f>K509*I510</f>
        <v>324.621284</v>
      </c>
      <c r="L510" s="124">
        <f>K510-H510</f>
        <v>8.3980259999999589</v>
      </c>
      <c r="M510" s="184">
        <f>IF((H510)=0,"",(L510/H510))</f>
        <v>2.6557268599136239E-2</v>
      </c>
    </row>
    <row r="511" spans="1:14" ht="15" x14ac:dyDescent="0.25">
      <c r="A511" s="46" t="str">
        <f t="shared" si="71"/>
        <v>SENTINEL LIGHTING SERVICE CLASSIFICATION</v>
      </c>
      <c r="B511" s="46" t="s">
        <v>139</v>
      </c>
      <c r="C511" s="115"/>
      <c r="D511" s="180" t="s">
        <v>197</v>
      </c>
      <c r="E511"/>
      <c r="F511" s="185">
        <v>0.11700000000000001</v>
      </c>
      <c r="G511" s="181"/>
      <c r="H511" s="182">
        <f>IF(OR(ISNUMBER(SEARCH("[DGEN]", E470))=TRUE, ISNUMBER(SEARCH("STREET LIGHT", E470))=TRUE), 0, IF(AND(E472=0, E473=0),0, IF(AND(E473=0, E472*12&gt;250000), 0, IF(AND(E472=0, E473&gt;=50), 0, IF(E472*12&lt;=250000, F511*H509*-1, IF(E473&lt;50, F511*H509*-1, 0))))))</f>
        <v>-284.60093220000005</v>
      </c>
      <c r="I511" s="185">
        <v>0.11700000000000001</v>
      </c>
      <c r="J511" s="119"/>
      <c r="K511" s="182">
        <f>IF(OR(ISNUMBER(SEARCH("[DGEN]", E470))=TRUE, ISNUMBER(SEARCH("STREET LIGHT", E470))=TRUE), 0, IF(AND(E472=0, E473=0),0, IF(AND(E473=0, E472*12&gt;250000), 0, IF(AND(E472=0, E473&gt;=50), 0, IF(E472*12&lt;=250000, I511*K509*-1, IF(E473&lt;50, I511*K509*-1, 0))))))</f>
        <v>-292.15915560000002</v>
      </c>
      <c r="L511" s="124">
        <f>K511-H511</f>
        <v>-7.5582233999999744</v>
      </c>
      <c r="M511" s="184"/>
    </row>
    <row r="512" spans="1:14" ht="13.5" thickBot="1" x14ac:dyDescent="0.25">
      <c r="A512" s="46" t="str">
        <f t="shared" si="71"/>
        <v>SENTINEL LIGHTING SERVICE CLASSIFICATION</v>
      </c>
      <c r="B512" s="46" t="s">
        <v>198</v>
      </c>
      <c r="C512" s="115">
        <f>B37</f>
        <v>8</v>
      </c>
      <c r="D512" s="186" t="s">
        <v>199</v>
      </c>
      <c r="E512" s="186"/>
      <c r="F512" s="187"/>
      <c r="G512" s="188"/>
      <c r="H512" s="189">
        <f>H509+H510+H511</f>
        <v>2464.1089258000002</v>
      </c>
      <c r="I512" s="190"/>
      <c r="J512" s="190"/>
      <c r="K512" s="191">
        <f>K509+K510+K511</f>
        <v>2529.5489284</v>
      </c>
      <c r="L512" s="192">
        <f>K512-H512</f>
        <v>65.440002599999843</v>
      </c>
      <c r="M512" s="193">
        <f>IF((H512)=0,"",(L512/H512))</f>
        <v>2.6557268599136308E-2</v>
      </c>
    </row>
    <row r="513" spans="1:14" ht="13.5" thickBot="1" x14ac:dyDescent="0.25">
      <c r="A513" s="46" t="str">
        <f t="shared" si="71"/>
        <v>SENTINEL LIGHTING SERVICE CLASSIFICATION</v>
      </c>
      <c r="B513" s="46" t="s">
        <v>139</v>
      </c>
      <c r="C513" s="115"/>
      <c r="D513" s="165"/>
      <c r="E513" s="166"/>
      <c r="F513" s="167"/>
      <c r="G513" s="168"/>
      <c r="H513" s="169"/>
      <c r="I513" s="167"/>
      <c r="J513" s="170"/>
      <c r="K513" s="169"/>
      <c r="L513" s="171"/>
      <c r="M513" s="172"/>
    </row>
    <row r="514" spans="1:14" hidden="1" x14ac:dyDescent="0.2">
      <c r="A514" s="46" t="str">
        <f t="shared" si="71"/>
        <v>SENTINEL LIGHTING SERVICE CLASSIFICATION</v>
      </c>
      <c r="B514" s="46" t="s">
        <v>141</v>
      </c>
      <c r="C514" s="115"/>
      <c r="D514" s="173" t="s">
        <v>200</v>
      </c>
      <c r="E514" s="158"/>
      <c r="F514" s="174"/>
      <c r="G514" s="175"/>
      <c r="H514" s="176">
        <f>SUM(H506,H499:H502,H498)</f>
        <v>2470.4865999999997</v>
      </c>
      <c r="I514" s="177"/>
      <c r="J514" s="177"/>
      <c r="K514" s="176">
        <f>SUM(K506,K499:K502,K498)</f>
        <v>2535.0867999999996</v>
      </c>
      <c r="L514" s="178">
        <f>K514-H514</f>
        <v>64.600199999999859</v>
      </c>
      <c r="M514" s="179">
        <f>IF((H514)=0,"",(L514/H514))</f>
        <v>2.6148775710825498E-2</v>
      </c>
    </row>
    <row r="515" spans="1:14" hidden="1" x14ac:dyDescent="0.2">
      <c r="A515" s="46" t="str">
        <f t="shared" si="71"/>
        <v>SENTINEL LIGHTING SERVICE CLASSIFICATION</v>
      </c>
      <c r="B515" s="46" t="s">
        <v>141</v>
      </c>
      <c r="C515" s="115"/>
      <c r="D515" s="180" t="s">
        <v>196</v>
      </c>
      <c r="E515" s="158"/>
      <c r="F515" s="174">
        <v>0.13</v>
      </c>
      <c r="G515" s="175"/>
      <c r="H515" s="182">
        <f>H514*F515</f>
        <v>321.16325799999998</v>
      </c>
      <c r="I515" s="174">
        <v>0.13</v>
      </c>
      <c r="J515" s="183"/>
      <c r="K515" s="182">
        <f>K514*I515</f>
        <v>329.56128399999994</v>
      </c>
      <c r="L515" s="124">
        <f>K515-H515</f>
        <v>8.3980259999999589</v>
      </c>
      <c r="M515" s="184">
        <f>IF((H515)=0,"",(L515/H515))</f>
        <v>2.6148775710825425E-2</v>
      </c>
    </row>
    <row r="516" spans="1:14" ht="15" hidden="1" x14ac:dyDescent="0.25">
      <c r="A516" s="46" t="str">
        <f t="shared" si="71"/>
        <v>SENTINEL LIGHTING SERVICE CLASSIFICATION</v>
      </c>
      <c r="B516" s="46" t="s">
        <v>141</v>
      </c>
      <c r="C516" s="115"/>
      <c r="D516" s="180" t="s">
        <v>197</v>
      </c>
      <c r="E516"/>
      <c r="F516" s="185">
        <v>0.11700000000000001</v>
      </c>
      <c r="G516" s="175"/>
      <c r="H516" s="182">
        <f>IF(OR(ISNUMBER(SEARCH("[DGEN]", E470))=TRUE, ISNUMBER(SEARCH("STREET LIGHT", E470))=TRUE), 0, IF(AND(E472=0, E473=0),0, IF(AND(E473=0, E472*12&gt;250000), 0, IF(AND(E472=0, E473&gt;=50), 0, IF(E472*12&lt;=250000, F516*H514*-1, IF(E473&lt;50, F516*H514*-1, 0))))))</f>
        <v>-289.04693219999996</v>
      </c>
      <c r="I516" s="185">
        <v>0.11700000000000001</v>
      </c>
      <c r="J516" s="183"/>
      <c r="K516" s="182">
        <f>IF(OR(ISNUMBER(SEARCH("[DGEN]", E470))=TRUE, ISNUMBER(SEARCH("STREET LIGHT", E470))=TRUE), 0, IF(AND(E472=0, E473=0),0, IF(AND(E473=0, E472*12&gt;250000), 0, IF(AND(E472=0, E473&gt;=50), 0, IF(E472*12&lt;=250000, I516*K514*-1, IF(E473&lt;50, I516*K514*-1, 0))))))</f>
        <v>-296.60515559999999</v>
      </c>
      <c r="L516" s="124"/>
      <c r="M516" s="184"/>
    </row>
    <row r="517" spans="1:14" hidden="1" x14ac:dyDescent="0.2">
      <c r="A517" s="46" t="str">
        <f t="shared" si="71"/>
        <v>SENTINEL LIGHTING SERVICE CLASSIFICATION</v>
      </c>
      <c r="B517" s="46" t="s">
        <v>201</v>
      </c>
      <c r="C517" s="115"/>
      <c r="D517" s="186" t="s">
        <v>200</v>
      </c>
      <c r="E517" s="186"/>
      <c r="F517" s="194"/>
      <c r="G517" s="195"/>
      <c r="H517" s="189">
        <f>SUM(H514,H515)</f>
        <v>2791.6498579999998</v>
      </c>
      <c r="I517" s="196"/>
      <c r="J517" s="196"/>
      <c r="K517" s="189">
        <f>SUM(K514,K515)</f>
        <v>2864.6480839999995</v>
      </c>
      <c r="L517" s="197">
        <f>K517-H517</f>
        <v>72.998225999999704</v>
      </c>
      <c r="M517" s="198">
        <f>IF((H517)=0,"",(L517/H517))</f>
        <v>2.6148775710825446E-2</v>
      </c>
    </row>
    <row r="518" spans="1:14" ht="13.5" hidden="1" thickBot="1" x14ac:dyDescent="0.25">
      <c r="A518" s="46" t="str">
        <f t="shared" si="71"/>
        <v>SENTINEL LIGHTING SERVICE CLASSIFICATION</v>
      </c>
      <c r="B518" s="46" t="s">
        <v>141</v>
      </c>
      <c r="C518" s="115"/>
      <c r="D518" s="165"/>
      <c r="E518" s="166"/>
      <c r="F518" s="199"/>
      <c r="G518" s="200"/>
      <c r="H518" s="201"/>
      <c r="I518" s="199"/>
      <c r="J518" s="168"/>
      <c r="K518" s="201"/>
      <c r="L518" s="202"/>
      <c r="M518" s="172"/>
    </row>
    <row r="519" spans="1:14" hidden="1" x14ac:dyDescent="0.2">
      <c r="A519" s="46" t="str">
        <f t="shared" si="71"/>
        <v>SENTINEL LIGHTING SERVICE CLASSIFICATION</v>
      </c>
      <c r="B519" s="46" t="s">
        <v>140</v>
      </c>
      <c r="C519" s="115"/>
      <c r="D519" s="173" t="s">
        <v>202</v>
      </c>
      <c r="E519" s="158"/>
      <c r="F519" s="174"/>
      <c r="G519" s="175"/>
      <c r="H519" s="176">
        <f>SUM(H507,H499:H502,H498)</f>
        <v>2470.4865999999997</v>
      </c>
      <c r="I519" s="177"/>
      <c r="J519" s="177"/>
      <c r="K519" s="176">
        <f>SUM(K507,K499:K502,K498)</f>
        <v>2535.0867999999996</v>
      </c>
      <c r="L519" s="178">
        <f>K519-H519</f>
        <v>64.600199999999859</v>
      </c>
      <c r="M519" s="179">
        <f>IF((H519)=0,"",(L519/H519))</f>
        <v>2.6148775710825498E-2</v>
      </c>
    </row>
    <row r="520" spans="1:14" hidden="1" x14ac:dyDescent="0.2">
      <c r="A520" s="46" t="str">
        <f t="shared" si="71"/>
        <v>SENTINEL LIGHTING SERVICE CLASSIFICATION</v>
      </c>
      <c r="B520" s="46" t="s">
        <v>140</v>
      </c>
      <c r="C520" s="115"/>
      <c r="D520" s="180" t="s">
        <v>196</v>
      </c>
      <c r="E520" s="158"/>
      <c r="F520" s="174">
        <v>0.13</v>
      </c>
      <c r="G520" s="175"/>
      <c r="H520" s="182">
        <f>H519*F520</f>
        <v>321.16325799999998</v>
      </c>
      <c r="I520" s="174">
        <v>0.13</v>
      </c>
      <c r="J520" s="183"/>
      <c r="K520" s="182">
        <f>K519*I520</f>
        <v>329.56128399999994</v>
      </c>
      <c r="L520" s="124">
        <f>K520-H520</f>
        <v>8.3980259999999589</v>
      </c>
      <c r="M520" s="184">
        <f>IF((H520)=0,"",(L520/H520))</f>
        <v>2.6148775710825425E-2</v>
      </c>
    </row>
    <row r="521" spans="1:14" ht="15" hidden="1" x14ac:dyDescent="0.25">
      <c r="A521" s="46" t="str">
        <f t="shared" si="71"/>
        <v>SENTINEL LIGHTING SERVICE CLASSIFICATION</v>
      </c>
      <c r="B521" s="46" t="s">
        <v>140</v>
      </c>
      <c r="C521" s="115"/>
      <c r="D521" s="180" t="s">
        <v>197</v>
      </c>
      <c r="E521"/>
      <c r="F521" s="185">
        <v>0.11700000000000001</v>
      </c>
      <c r="G521" s="175"/>
      <c r="H521" s="182">
        <f>IF(OR(ISNUMBER(SEARCH("[DGEN]", E470))=TRUE, ISNUMBER(SEARCH("STREET LIGHT", E470))=TRUE), 0, IF(AND(E472=0, E473=0),0, IF(AND(E473=0, E472*12&gt;250000), 0, IF(AND(E472=0, E473&gt;=50), 0, IF(E472*12&lt;=250000, F521*H519*-1, IF(E473&lt;50, F521*H519*-1, 0))))))</f>
        <v>-289.04693219999996</v>
      </c>
      <c r="I521" s="185">
        <v>0.11700000000000001</v>
      </c>
      <c r="J521" s="183"/>
      <c r="K521" s="182">
        <f>IF(OR(ISNUMBER(SEARCH("[DGEN]", E470))=TRUE, ISNUMBER(SEARCH("STREET LIGHT", E470))=TRUE), 0, IF(AND(E472=0, E473=0),0, IF(AND(E473=0, E472*12&gt;250000), 0, IF(AND(E472=0, E473&gt;=50), 0, IF(E472*12&lt;=250000, I521*K519*-1, IF(E473&lt;50, I521*K519*-1, 0))))))</f>
        <v>-296.60515559999999</v>
      </c>
      <c r="L521" s="124"/>
      <c r="M521" s="184"/>
    </row>
    <row r="522" spans="1:14" hidden="1" x14ac:dyDescent="0.2">
      <c r="A522" s="46" t="str">
        <f t="shared" si="71"/>
        <v>SENTINEL LIGHTING SERVICE CLASSIFICATION</v>
      </c>
      <c r="B522" s="46" t="s">
        <v>203</v>
      </c>
      <c r="C522" s="115"/>
      <c r="D522" s="186" t="s">
        <v>202</v>
      </c>
      <c r="E522" s="186"/>
      <c r="F522" s="194"/>
      <c r="G522" s="195"/>
      <c r="H522" s="189">
        <f>SUM(H519,H520)</f>
        <v>2791.6498579999998</v>
      </c>
      <c r="I522" s="196"/>
      <c r="J522" s="196"/>
      <c r="K522" s="189">
        <f>SUM(K519,K520)</f>
        <v>2864.6480839999995</v>
      </c>
      <c r="L522" s="197">
        <f>K522-H522</f>
        <v>72.998225999999704</v>
      </c>
      <c r="M522" s="198">
        <f>IF((H522)=0,"",(L522/H522))</f>
        <v>2.6148775710825446E-2</v>
      </c>
    </row>
    <row r="523" spans="1:14" ht="13.5" hidden="1" thickBot="1" x14ac:dyDescent="0.25">
      <c r="A523" s="46" t="str">
        <f t="shared" si="71"/>
        <v>SENTINEL LIGHTING SERVICE CLASSIFICATION</v>
      </c>
      <c r="B523" s="46" t="s">
        <v>140</v>
      </c>
      <c r="C523" s="115"/>
      <c r="D523" s="165"/>
      <c r="E523" s="166"/>
      <c r="F523" s="203"/>
      <c r="G523" s="200"/>
      <c r="H523" s="204"/>
      <c r="I523" s="203"/>
      <c r="J523" s="168"/>
      <c r="K523" s="204"/>
      <c r="L523" s="202"/>
      <c r="M523" s="205"/>
    </row>
    <row r="526" spans="1:14" x14ac:dyDescent="0.2">
      <c r="C526" s="46"/>
      <c r="D526" s="90" t="s">
        <v>150</v>
      </c>
      <c r="E526" s="91" t="str">
        <f>D38</f>
        <v>EMBEDDED DISTRIBUTOR SERVICE CLASSIFICATION - HYDRO ONE CND</v>
      </c>
      <c r="F526" s="91"/>
      <c r="G526" s="91"/>
      <c r="H526" s="91"/>
      <c r="I526" s="91"/>
      <c r="J526" s="91"/>
      <c r="K526" s="46" t="str">
        <f>IF(N38="DEMAND - INTERVAL","RTSR - INTERVAL METERED","")</f>
        <v/>
      </c>
    </row>
    <row r="527" spans="1:14" x14ac:dyDescent="0.2">
      <c r="C527" s="46"/>
      <c r="D527" s="90" t="s">
        <v>151</v>
      </c>
      <c r="E527" s="92" t="str">
        <f>H38</f>
        <v>Non-RPP (Other)</v>
      </c>
      <c r="F527" s="92"/>
      <c r="G527" s="92"/>
      <c r="H527" s="93"/>
      <c r="I527" s="93"/>
    </row>
    <row r="528" spans="1:14" ht="15.75" x14ac:dyDescent="0.2">
      <c r="C528" s="46"/>
      <c r="D528" s="90" t="s">
        <v>152</v>
      </c>
      <c r="E528" s="94">
        <f>K38</f>
        <v>1382000</v>
      </c>
      <c r="F528" s="95" t="s">
        <v>153</v>
      </c>
      <c r="J528" s="96"/>
      <c r="K528" s="96"/>
      <c r="L528" s="96"/>
      <c r="M528" s="96"/>
      <c r="N528" s="96"/>
    </row>
    <row r="529" spans="1:13" ht="15.75" x14ac:dyDescent="0.25">
      <c r="C529" s="46"/>
      <c r="D529" s="90" t="s">
        <v>154</v>
      </c>
      <c r="E529" s="94">
        <f>L38</f>
        <v>2574</v>
      </c>
      <c r="F529" s="97" t="s">
        <v>155</v>
      </c>
      <c r="G529" s="98"/>
      <c r="H529" s="99"/>
      <c r="I529" s="99"/>
      <c r="J529" s="99"/>
    </row>
    <row r="530" spans="1:13" x14ac:dyDescent="0.2">
      <c r="C530" s="46"/>
      <c r="D530" s="90" t="s">
        <v>156</v>
      </c>
      <c r="E530" s="100">
        <f>I38</f>
        <v>1.0306999999999999</v>
      </c>
    </row>
    <row r="531" spans="1:13" x14ac:dyDescent="0.2">
      <c r="C531" s="46"/>
      <c r="D531" s="90" t="s">
        <v>157</v>
      </c>
      <c r="E531" s="100">
        <f>J38</f>
        <v>1.0306999999999999</v>
      </c>
    </row>
    <row r="532" spans="1:13" x14ac:dyDescent="0.2">
      <c r="C532" s="46"/>
    </row>
    <row r="533" spans="1:13" x14ac:dyDescent="0.2">
      <c r="C533" s="46"/>
      <c r="E533" s="95"/>
      <c r="F533" s="101" t="s">
        <v>204</v>
      </c>
      <c r="G533" s="102"/>
      <c r="H533" s="103"/>
      <c r="I533" s="101" t="s">
        <v>205</v>
      </c>
      <c r="J533" s="102"/>
      <c r="K533" s="103"/>
      <c r="L533" s="101" t="s">
        <v>158</v>
      </c>
      <c r="M533" s="103"/>
    </row>
    <row r="534" spans="1:13" x14ac:dyDescent="0.2">
      <c r="C534" s="46"/>
      <c r="E534" s="104"/>
      <c r="F534" s="105" t="s">
        <v>159</v>
      </c>
      <c r="G534" s="105" t="s">
        <v>160</v>
      </c>
      <c r="H534" s="106" t="s">
        <v>161</v>
      </c>
      <c r="I534" s="105" t="s">
        <v>159</v>
      </c>
      <c r="J534" s="107" t="s">
        <v>160</v>
      </c>
      <c r="K534" s="106" t="s">
        <v>161</v>
      </c>
      <c r="L534" s="108" t="s">
        <v>162</v>
      </c>
      <c r="M534" s="109" t="s">
        <v>163</v>
      </c>
    </row>
    <row r="535" spans="1:13" x14ac:dyDescent="0.2">
      <c r="C535" s="46"/>
      <c r="E535" s="110"/>
      <c r="F535" s="111" t="s">
        <v>164</v>
      </c>
      <c r="G535" s="111"/>
      <c r="H535" s="112" t="s">
        <v>164</v>
      </c>
      <c r="I535" s="111" t="s">
        <v>164</v>
      </c>
      <c r="J535" s="112"/>
      <c r="K535" s="112" t="s">
        <v>164</v>
      </c>
      <c r="L535" s="113"/>
      <c r="M535" s="114"/>
    </row>
    <row r="536" spans="1:13" x14ac:dyDescent="0.2">
      <c r="A536" s="46" t="str">
        <f>$E526</f>
        <v>EMBEDDED DISTRIBUTOR SERVICE CLASSIFICATION - HYDRO ONE CND</v>
      </c>
      <c r="C536" s="115"/>
      <c r="D536" s="116" t="s">
        <v>165</v>
      </c>
      <c r="E536" s="117"/>
      <c r="F536" s="118">
        <v>0</v>
      </c>
      <c r="G536" s="119">
        <v>1</v>
      </c>
      <c r="H536" s="120">
        <f>G536*F536</f>
        <v>0</v>
      </c>
      <c r="I536" s="121">
        <v>0</v>
      </c>
      <c r="J536" s="122">
        <f>G536</f>
        <v>1</v>
      </c>
      <c r="K536" s="123">
        <f>J536*I536</f>
        <v>0</v>
      </c>
      <c r="L536" s="124">
        <f t="shared" ref="L536:L557" si="76">K536-H536</f>
        <v>0</v>
      </c>
      <c r="M536" s="125" t="str">
        <f>IF(ISERROR(L536/H536), "", L536/H536)</f>
        <v/>
      </c>
    </row>
    <row r="537" spans="1:13" x14ac:dyDescent="0.2">
      <c r="A537" s="46" t="str">
        <f>A536</f>
        <v>EMBEDDED DISTRIBUTOR SERVICE CLASSIFICATION - HYDRO ONE CND</v>
      </c>
      <c r="C537" s="115"/>
      <c r="D537" s="116" t="s">
        <v>30</v>
      </c>
      <c r="E537" s="117"/>
      <c r="F537" s="126">
        <v>2.2624</v>
      </c>
      <c r="G537" s="119">
        <f>IF($E529&gt;0, $E529, $E528)</f>
        <v>2574</v>
      </c>
      <c r="H537" s="120">
        <f t="shared" ref="H537:H549" si="77">G537*F537</f>
        <v>5823.4175999999998</v>
      </c>
      <c r="I537" s="127">
        <v>2.3426999999999998</v>
      </c>
      <c r="J537" s="122">
        <f>IF($E529&gt;0, $E529, $E528)</f>
        <v>2574</v>
      </c>
      <c r="K537" s="123">
        <f>J537*I537</f>
        <v>6030.1097999999993</v>
      </c>
      <c r="L537" s="124">
        <f t="shared" si="76"/>
        <v>206.6921999999995</v>
      </c>
      <c r="M537" s="125">
        <f t="shared" ref="M537:M547" si="78">IF(ISERROR(L537/H537), "", L537/H537)</f>
        <v>3.5493281471004161E-2</v>
      </c>
    </row>
    <row r="538" spans="1:13" hidden="1" x14ac:dyDescent="0.2">
      <c r="A538" s="46" t="str">
        <f t="shared" ref="A538:A579" si="79">A537</f>
        <v>EMBEDDED DISTRIBUTOR SERVICE CLASSIFICATION - HYDRO ONE CND</v>
      </c>
      <c r="C538" s="115"/>
      <c r="D538" s="116" t="s">
        <v>166</v>
      </c>
      <c r="E538" s="117"/>
      <c r="F538" s="126"/>
      <c r="G538" s="119">
        <f>IF($E529&gt;0, $E529, $E528)</f>
        <v>2574</v>
      </c>
      <c r="H538" s="120">
        <v>0</v>
      </c>
      <c r="I538" s="127"/>
      <c r="J538" s="122">
        <f>IF($E529&gt;0, $E529, $E528)</f>
        <v>2574</v>
      </c>
      <c r="K538" s="123">
        <v>0</v>
      </c>
      <c r="L538" s="124"/>
      <c r="M538" s="125"/>
    </row>
    <row r="539" spans="1:13" hidden="1" x14ac:dyDescent="0.2">
      <c r="A539" s="46" t="str">
        <f t="shared" si="79"/>
        <v>EMBEDDED DISTRIBUTOR SERVICE CLASSIFICATION - HYDRO ONE CND</v>
      </c>
      <c r="C539" s="115"/>
      <c r="D539" s="116" t="s">
        <v>167</v>
      </c>
      <c r="E539" s="117"/>
      <c r="F539" s="126"/>
      <c r="G539" s="119">
        <f>IF($E529&gt;0, $E529, $E528)</f>
        <v>2574</v>
      </c>
      <c r="H539" s="120">
        <v>0</v>
      </c>
      <c r="I539" s="127"/>
      <c r="J539" s="128">
        <f>IF($E529&gt;0, $E529, $E528)</f>
        <v>2574</v>
      </c>
      <c r="K539" s="123">
        <v>0</v>
      </c>
      <c r="L539" s="124">
        <f>K539-H539</f>
        <v>0</v>
      </c>
      <c r="M539" s="125" t="str">
        <f>IF(ISERROR(L539/H539), "", L539/H539)</f>
        <v/>
      </c>
    </row>
    <row r="540" spans="1:13" x14ac:dyDescent="0.2">
      <c r="A540" s="46" t="str">
        <f t="shared" si="79"/>
        <v>EMBEDDED DISTRIBUTOR SERVICE CLASSIFICATION - HYDRO ONE CND</v>
      </c>
      <c r="C540" s="115"/>
      <c r="D540" s="116" t="s">
        <v>168</v>
      </c>
      <c r="E540" s="117"/>
      <c r="F540" s="118">
        <v>113.95</v>
      </c>
      <c r="G540" s="119">
        <v>1</v>
      </c>
      <c r="H540" s="120">
        <f t="shared" si="77"/>
        <v>113.95</v>
      </c>
      <c r="I540" s="121">
        <v>113.95</v>
      </c>
      <c r="J540" s="122">
        <f>G540</f>
        <v>1</v>
      </c>
      <c r="K540" s="123">
        <f t="shared" ref="K540:K547" si="80">J540*I540</f>
        <v>113.95</v>
      </c>
      <c r="L540" s="124">
        <f t="shared" si="76"/>
        <v>0</v>
      </c>
      <c r="M540" s="125">
        <f t="shared" si="78"/>
        <v>0</v>
      </c>
    </row>
    <row r="541" spans="1:13" x14ac:dyDescent="0.2">
      <c r="A541" s="46" t="str">
        <f t="shared" si="79"/>
        <v>EMBEDDED DISTRIBUTOR SERVICE CLASSIFICATION - HYDRO ONE CND</v>
      </c>
      <c r="C541" s="115"/>
      <c r="D541" s="116" t="s">
        <v>169</v>
      </c>
      <c r="E541" s="117"/>
      <c r="F541" s="126">
        <v>0</v>
      </c>
      <c r="G541" s="119">
        <f>IF($E529&gt;0, $E529, $E528)</f>
        <v>2574</v>
      </c>
      <c r="H541" s="120">
        <f t="shared" si="77"/>
        <v>0</v>
      </c>
      <c r="I541" s="127">
        <v>0</v>
      </c>
      <c r="J541" s="122">
        <f>IF($E529&gt;0, $E529, $E528)</f>
        <v>2574</v>
      </c>
      <c r="K541" s="123">
        <f t="shared" si="80"/>
        <v>0</v>
      </c>
      <c r="L541" s="124">
        <f t="shared" si="76"/>
        <v>0</v>
      </c>
      <c r="M541" s="125" t="str">
        <f t="shared" si="78"/>
        <v/>
      </c>
    </row>
    <row r="542" spans="1:13" x14ac:dyDescent="0.2">
      <c r="A542" s="46" t="str">
        <f t="shared" si="79"/>
        <v>EMBEDDED DISTRIBUTOR SERVICE CLASSIFICATION - HYDRO ONE CND</v>
      </c>
      <c r="B542" s="46" t="s">
        <v>170</v>
      </c>
      <c r="C542" s="115">
        <f>B38</f>
        <v>9</v>
      </c>
      <c r="D542" s="129" t="s">
        <v>171</v>
      </c>
      <c r="E542" s="130"/>
      <c r="F542" s="131"/>
      <c r="G542" s="132"/>
      <c r="H542" s="133">
        <f>SUM(H536:H541)</f>
        <v>5937.3675999999996</v>
      </c>
      <c r="I542" s="134"/>
      <c r="J542" s="135"/>
      <c r="K542" s="133">
        <f>SUM(K536:K541)</f>
        <v>6144.0597999999991</v>
      </c>
      <c r="L542" s="136">
        <f t="shared" si="76"/>
        <v>206.6921999999995</v>
      </c>
      <c r="M542" s="137">
        <f>IF((H542)=0,"",(L542/H542))</f>
        <v>3.4812094167792393E-2</v>
      </c>
    </row>
    <row r="543" spans="1:13" x14ac:dyDescent="0.2">
      <c r="A543" s="46" t="str">
        <f t="shared" si="79"/>
        <v>EMBEDDED DISTRIBUTOR SERVICE CLASSIFICATION - HYDRO ONE CND</v>
      </c>
      <c r="C543" s="115"/>
      <c r="D543" s="138" t="s">
        <v>172</v>
      </c>
      <c r="E543" s="117"/>
      <c r="F543" s="126">
        <f>IF((E528*12&gt;=150000), 0, IF(E527="RPP",(F559*0.64+F560*0.18+F561*0.18),IF(E527="Non-RPP (Retailer)",F562,F563)))</f>
        <v>0</v>
      </c>
      <c r="G543" s="139">
        <f>IF(F543=0, 0, $E528*E530-E528)</f>
        <v>0</v>
      </c>
      <c r="H543" s="120">
        <f>G543*F543</f>
        <v>0</v>
      </c>
      <c r="I543" s="127">
        <f>IF((E528*12&gt;=150000), 0, IF(E527="RPP",(I559*0.64+I560*0.18+I561*0.18),IF(E527="Non-RPP (Retailer)",I562,I563)))</f>
        <v>0</v>
      </c>
      <c r="J543" s="140">
        <f>IF(I543=0, 0, E528*E531-E528)</f>
        <v>0</v>
      </c>
      <c r="K543" s="123">
        <f>J543*I543</f>
        <v>0</v>
      </c>
      <c r="L543" s="124">
        <f>K543-H543</f>
        <v>0</v>
      </c>
      <c r="M543" s="125" t="str">
        <f>IF(ISERROR(L543/H543), "", L543/H543)</f>
        <v/>
      </c>
    </row>
    <row r="544" spans="1:13" ht="25.5" x14ac:dyDescent="0.2">
      <c r="A544" s="46" t="str">
        <f t="shared" si="79"/>
        <v>EMBEDDED DISTRIBUTOR SERVICE CLASSIFICATION - HYDRO ONE CND</v>
      </c>
      <c r="C544" s="115"/>
      <c r="D544" s="138" t="s">
        <v>173</v>
      </c>
      <c r="E544" s="117"/>
      <c r="F544" s="126">
        <v>0.69889999999999997</v>
      </c>
      <c r="G544" s="141">
        <f>IF($E529&gt;0, $E529, $E528)</f>
        <v>2574</v>
      </c>
      <c r="H544" s="120">
        <f t="shared" si="77"/>
        <v>1798.9685999999999</v>
      </c>
      <c r="I544" s="127">
        <f>'Proposed Tariff'!D307+'Proposed Tariff'!D305</f>
        <v>1.1712</v>
      </c>
      <c r="J544" s="142">
        <f>IF($E529&gt;0, $E529, $E528)</f>
        <v>2574</v>
      </c>
      <c r="K544" s="123">
        <f t="shared" si="80"/>
        <v>3014.6687999999999</v>
      </c>
      <c r="L544" s="124">
        <f t="shared" si="76"/>
        <v>1215.7002</v>
      </c>
      <c r="M544" s="125">
        <f t="shared" si="78"/>
        <v>0.67577621977393054</v>
      </c>
    </row>
    <row r="545" spans="1:14" x14ac:dyDescent="0.2">
      <c r="A545" s="46" t="str">
        <f t="shared" si="79"/>
        <v>EMBEDDED DISTRIBUTOR SERVICE CLASSIFICATION - HYDRO ONE CND</v>
      </c>
      <c r="C545" s="115"/>
      <c r="D545" s="138" t="s">
        <v>174</v>
      </c>
      <c r="E545" s="117"/>
      <c r="F545" s="126">
        <v>0</v>
      </c>
      <c r="G545" s="141">
        <f>IF($E529&gt;0, $E529, $E528)</f>
        <v>2574</v>
      </c>
      <c r="H545" s="120">
        <f>G545*F545</f>
        <v>0</v>
      </c>
      <c r="I545" s="127">
        <f>'Proposed Tariff'!D306</f>
        <v>-5.4899999999999997E-2</v>
      </c>
      <c r="J545" s="142">
        <f>IF($E529&gt;0, $E529, $E528)</f>
        <v>2574</v>
      </c>
      <c r="K545" s="123">
        <f>J545*I545</f>
        <v>-141.3126</v>
      </c>
      <c r="L545" s="124">
        <f t="shared" si="76"/>
        <v>-141.3126</v>
      </c>
      <c r="M545" s="125" t="str">
        <f t="shared" si="78"/>
        <v/>
      </c>
    </row>
    <row r="546" spans="1:14" x14ac:dyDescent="0.2">
      <c r="A546" s="46" t="str">
        <f t="shared" si="79"/>
        <v>EMBEDDED DISTRIBUTOR SERVICE CLASSIFICATION - HYDRO ONE CND</v>
      </c>
      <c r="C546" s="115"/>
      <c r="D546" s="138" t="s">
        <v>175</v>
      </c>
      <c r="E546" s="117"/>
      <c r="F546" s="126">
        <v>1.6000000000000001E-3</v>
      </c>
      <c r="G546" s="141">
        <f>E528</f>
        <v>1382000</v>
      </c>
      <c r="H546" s="120">
        <f>G546*F546</f>
        <v>2211.2000000000003</v>
      </c>
      <c r="I546" s="127">
        <f>'Proposed Tariff'!D304</f>
        <v>-4.4999999999999997E-3</v>
      </c>
      <c r="J546" s="142">
        <f>E528</f>
        <v>1382000</v>
      </c>
      <c r="K546" s="123">
        <f t="shared" si="80"/>
        <v>-6218.9999999999991</v>
      </c>
      <c r="L546" s="124">
        <f t="shared" si="76"/>
        <v>-8430.1999999999989</v>
      </c>
      <c r="M546" s="125">
        <f t="shared" si="78"/>
        <v>-3.8124999999999991</v>
      </c>
    </row>
    <row r="547" spans="1:14" x14ac:dyDescent="0.2">
      <c r="A547" s="46" t="str">
        <f t="shared" si="79"/>
        <v>EMBEDDED DISTRIBUTOR SERVICE CLASSIFICATION - HYDRO ONE CND</v>
      </c>
      <c r="C547" s="115"/>
      <c r="D547" s="116" t="s">
        <v>176</v>
      </c>
      <c r="E547" s="117"/>
      <c r="F547" s="126">
        <v>0</v>
      </c>
      <c r="G547" s="141">
        <f>IF($E529&gt;0, $E529, $E528)</f>
        <v>2574</v>
      </c>
      <c r="H547" s="120">
        <f t="shared" si="77"/>
        <v>0</v>
      </c>
      <c r="I547" s="127"/>
      <c r="J547" s="142">
        <f>IF($E529&gt;0, $E529, $E528)</f>
        <v>2574</v>
      </c>
      <c r="K547" s="123">
        <f t="shared" si="80"/>
        <v>0</v>
      </c>
      <c r="L547" s="124">
        <f t="shared" si="76"/>
        <v>0</v>
      </c>
      <c r="M547" s="125" t="str">
        <f t="shared" si="78"/>
        <v/>
      </c>
    </row>
    <row r="548" spans="1:14" ht="25.5" x14ac:dyDescent="0.2">
      <c r="A548" s="46" t="str">
        <f t="shared" si="79"/>
        <v>EMBEDDED DISTRIBUTOR SERVICE CLASSIFICATION - HYDRO ONE CND</v>
      </c>
      <c r="C548" s="115"/>
      <c r="D548" s="138" t="s">
        <v>177</v>
      </c>
      <c r="E548" s="117"/>
      <c r="F548" s="143">
        <f>IF(OR(ISNUMBER(SEARCH("RESIDENTIAL", E526))=TRUE, ISNUMBER(SEARCH("GENERAL SERVICE LESS THAN 50", E526))=TRUE), 0.43, 0)</f>
        <v>0</v>
      </c>
      <c r="G548" s="119">
        <v>1</v>
      </c>
      <c r="H548" s="120">
        <f>G548*F548</f>
        <v>0</v>
      </c>
      <c r="I548" s="144">
        <f>IF(OR(ISNUMBER(SEARCH("RESIDENTIAL", E526))=TRUE, ISNUMBER(SEARCH("GENERAL SERVICE LESS THAN 50", E526))=TRUE), SME, 0)</f>
        <v>0</v>
      </c>
      <c r="J548" s="128">
        <v>1</v>
      </c>
      <c r="K548" s="123">
        <f>J548*I548</f>
        <v>0</v>
      </c>
      <c r="L548" s="124">
        <f t="shared" si="76"/>
        <v>0</v>
      </c>
      <c r="M548" s="125" t="str">
        <f>IF(ISERROR(L548/H548), "", L548/H548)</f>
        <v/>
      </c>
    </row>
    <row r="549" spans="1:14" x14ac:dyDescent="0.2">
      <c r="A549" s="46" t="str">
        <f t="shared" si="79"/>
        <v>EMBEDDED DISTRIBUTOR SERVICE CLASSIFICATION - HYDRO ONE CND</v>
      </c>
      <c r="C549" s="115"/>
      <c r="D549" s="116" t="s">
        <v>178</v>
      </c>
      <c r="E549" s="117"/>
      <c r="F549" s="118">
        <v>0</v>
      </c>
      <c r="G549" s="119">
        <v>1</v>
      </c>
      <c r="H549" s="120">
        <f t="shared" si="77"/>
        <v>0</v>
      </c>
      <c r="I549" s="121">
        <v>0</v>
      </c>
      <c r="J549" s="128">
        <v>1</v>
      </c>
      <c r="K549" s="123">
        <f>J549*I549</f>
        <v>0</v>
      </c>
      <c r="L549" s="124">
        <f>K549-H549</f>
        <v>0</v>
      </c>
      <c r="M549" s="125" t="str">
        <f>IF(ISERROR(L549/H549), "", L549/H549)</f>
        <v/>
      </c>
    </row>
    <row r="550" spans="1:14" x14ac:dyDescent="0.2">
      <c r="A550" s="46" t="str">
        <f t="shared" si="79"/>
        <v>EMBEDDED DISTRIBUTOR SERVICE CLASSIFICATION - HYDRO ONE CND</v>
      </c>
      <c r="C550" s="115"/>
      <c r="D550" s="116" t="s">
        <v>179</v>
      </c>
      <c r="E550" s="117"/>
      <c r="F550" s="126">
        <v>0</v>
      </c>
      <c r="G550" s="141">
        <f>IF($E529&gt;0, $E529, $E528)</f>
        <v>2574</v>
      </c>
      <c r="H550" s="120">
        <f>G550*F550</f>
        <v>0</v>
      </c>
      <c r="I550" s="127">
        <v>0</v>
      </c>
      <c r="J550" s="142">
        <f>IF($E529&gt;0, $E529, $E528)</f>
        <v>2574</v>
      </c>
      <c r="K550" s="123">
        <f>J550*I550</f>
        <v>0</v>
      </c>
      <c r="L550" s="124">
        <f t="shared" si="76"/>
        <v>0</v>
      </c>
      <c r="M550" s="125" t="str">
        <f>IF(ISERROR(L550/H550), "", L550/H550)</f>
        <v/>
      </c>
    </row>
    <row r="551" spans="1:14" ht="25.5" x14ac:dyDescent="0.2">
      <c r="A551" s="46" t="str">
        <f t="shared" si="79"/>
        <v>EMBEDDED DISTRIBUTOR SERVICE CLASSIFICATION - HYDRO ONE CND</v>
      </c>
      <c r="B551" s="46" t="s">
        <v>180</v>
      </c>
      <c r="C551" s="115">
        <f>B38</f>
        <v>9</v>
      </c>
      <c r="D551" s="145" t="s">
        <v>181</v>
      </c>
      <c r="E551" s="146"/>
      <c r="F551" s="147"/>
      <c r="G551" s="148"/>
      <c r="H551" s="149">
        <f>SUM(H542:H550)</f>
        <v>9947.5362000000005</v>
      </c>
      <c r="I551" s="150"/>
      <c r="J551" s="151"/>
      <c r="K551" s="149">
        <f>SUM(K542:K550)</f>
        <v>2798.4160000000002</v>
      </c>
      <c r="L551" s="136">
        <f t="shared" si="76"/>
        <v>-7149.1202000000003</v>
      </c>
      <c r="M551" s="137">
        <f>IF((H551)=0,"",(L551/H551))</f>
        <v>-0.71868250150223123</v>
      </c>
    </row>
    <row r="552" spans="1:14" x14ac:dyDescent="0.2">
      <c r="A552" s="46" t="str">
        <f t="shared" si="79"/>
        <v>EMBEDDED DISTRIBUTOR SERVICE CLASSIFICATION - HYDRO ONE CND</v>
      </c>
      <c r="C552" s="115"/>
      <c r="D552" s="152" t="s">
        <v>182</v>
      </c>
      <c r="E552" s="117"/>
      <c r="F552" s="126">
        <v>3.4489999999999998</v>
      </c>
      <c r="G552" s="139">
        <f>IF($E529&gt;0, $E529, $E528*$E530)</f>
        <v>2574</v>
      </c>
      <c r="H552" s="120">
        <f>G552*F552</f>
        <v>8877.7259999999987</v>
      </c>
      <c r="I552" s="153">
        <v>3.5680000000000001</v>
      </c>
      <c r="J552" s="140">
        <f>IF($E529&gt;0, $E529, $E528*$E531)</f>
        <v>2574</v>
      </c>
      <c r="K552" s="123">
        <f>J552*I552</f>
        <v>9184.0320000000011</v>
      </c>
      <c r="L552" s="124">
        <f t="shared" si="76"/>
        <v>306.30600000000231</v>
      </c>
      <c r="M552" s="125">
        <f>IF(ISERROR(L552/H552), "", L552/H552)</f>
        <v>3.4502754421571732E-2</v>
      </c>
      <c r="N552" s="154" t="str">
        <f>IF(ISERROR(ABS(M552)), "", IF(ABS(M552)&gt;=4%, "In the manager's summary, discuss the reasoning for the change in RTSR rates", ""))</f>
        <v/>
      </c>
    </row>
    <row r="553" spans="1:14" ht="25.5" x14ac:dyDescent="0.2">
      <c r="A553" s="46" t="str">
        <f t="shared" si="79"/>
        <v>EMBEDDED DISTRIBUTOR SERVICE CLASSIFICATION - HYDRO ONE CND</v>
      </c>
      <c r="C553" s="115"/>
      <c r="D553" s="155" t="s">
        <v>183</v>
      </c>
      <c r="E553" s="117"/>
      <c r="F553" s="126">
        <v>2.2951999999999999</v>
      </c>
      <c r="G553" s="139">
        <f>IF($E529&gt;0, $E529, $E528*$E530)</f>
        <v>2574</v>
      </c>
      <c r="H553" s="120">
        <f>G553*F553</f>
        <v>5907.8447999999999</v>
      </c>
      <c r="I553" s="153">
        <v>2.2039</v>
      </c>
      <c r="J553" s="140">
        <f>IF($E529&gt;0, $E529, $E528*$E531)</f>
        <v>2574</v>
      </c>
      <c r="K553" s="123">
        <f>J553*I553</f>
        <v>5672.8386</v>
      </c>
      <c r="L553" s="124">
        <f t="shared" si="76"/>
        <v>-235.00619999999981</v>
      </c>
      <c r="M553" s="125">
        <f>IF(ISERROR(L553/H553), "", L553/H553)</f>
        <v>-3.9778668525618649E-2</v>
      </c>
      <c r="N553" s="154" t="str">
        <f>IF(ISERROR(ABS(M553)), "", IF(ABS(M553)&gt;=4%, "In the manager's summary, discuss the reasoning for the change in RTSR rates", ""))</f>
        <v/>
      </c>
    </row>
    <row r="554" spans="1:14" ht="25.5" x14ac:dyDescent="0.2">
      <c r="A554" s="46" t="str">
        <f t="shared" si="79"/>
        <v>EMBEDDED DISTRIBUTOR SERVICE CLASSIFICATION - HYDRO ONE CND</v>
      </c>
      <c r="B554" s="46" t="s">
        <v>184</v>
      </c>
      <c r="C554" s="115">
        <f>B38</f>
        <v>9</v>
      </c>
      <c r="D554" s="145" t="s">
        <v>185</v>
      </c>
      <c r="E554" s="130"/>
      <c r="F554" s="147"/>
      <c r="G554" s="148"/>
      <c r="H554" s="149">
        <f>SUM(H551:H553)</f>
        <v>24733.106999999996</v>
      </c>
      <c r="I554" s="150"/>
      <c r="J554" s="135"/>
      <c r="K554" s="149">
        <f>SUM(K551:K553)</f>
        <v>17655.286599999999</v>
      </c>
      <c r="L554" s="136">
        <f t="shared" si="76"/>
        <v>-7077.8203999999969</v>
      </c>
      <c r="M554" s="137">
        <f>IF((H554)=0,"",(L554/H554))</f>
        <v>-0.28616786398894395</v>
      </c>
    </row>
    <row r="555" spans="1:14" ht="25.5" x14ac:dyDescent="0.2">
      <c r="A555" s="46" t="str">
        <f t="shared" si="79"/>
        <v>EMBEDDED DISTRIBUTOR SERVICE CLASSIFICATION - HYDRO ONE CND</v>
      </c>
      <c r="C555" s="115"/>
      <c r="D555" s="156" t="s">
        <v>186</v>
      </c>
      <c r="E555" s="117"/>
      <c r="F555" s="126">
        <f>IF(AND('[1]1. Information Sheet'!$F$26:$H$26&gt;='[1]17. Regulatory Charges'!$D$14,'[1]1. Information Sheet'!$F$26:$H$26&lt;'[1]17. Regulatory Charges'!$E$14),'[1]17. Regulatory Charges'!$D$15+'[1]17. Regulatory Charges'!$D$16,'[1]17. Regulatory Charges'!$E$15+'[1]17. Regulatory Charges'!$E$16)</f>
        <v>3.4000000000000002E-3</v>
      </c>
      <c r="G555" s="139">
        <f>E528*E530</f>
        <v>1424427.4</v>
      </c>
      <c r="H555" s="157">
        <f t="shared" ref="H555:H561" si="81">G555*F555</f>
        <v>4843.0531600000004</v>
      </c>
      <c r="I555" s="127">
        <f>'[1]17. Regulatory Charges'!$E$15+'[1]17. Regulatory Charges'!$E$16</f>
        <v>3.4000000000000002E-3</v>
      </c>
      <c r="J555" s="140">
        <f>E528*E531</f>
        <v>1424427.4</v>
      </c>
      <c r="K555" s="123">
        <f t="shared" ref="K555:K561" si="82">J555*I555</f>
        <v>4843.0531600000004</v>
      </c>
      <c r="L555" s="124">
        <f t="shared" si="76"/>
        <v>0</v>
      </c>
      <c r="M555" s="125">
        <f t="shared" ref="M555:M563" si="83">IF(ISERROR(L555/H555), "", L555/H555)</f>
        <v>0</v>
      </c>
    </row>
    <row r="556" spans="1:14" ht="25.5" x14ac:dyDescent="0.2">
      <c r="A556" s="46" t="str">
        <f t="shared" si="79"/>
        <v>EMBEDDED DISTRIBUTOR SERVICE CLASSIFICATION - HYDRO ONE CND</v>
      </c>
      <c r="C556" s="115"/>
      <c r="D556" s="156" t="s">
        <v>187</v>
      </c>
      <c r="E556" s="117"/>
      <c r="F556" s="126">
        <f>IF(AND('[1]1. Information Sheet'!$F$26:$H$26&gt;='[1]17. Regulatory Charges'!$D$14,'[1]1. Information Sheet'!$F$26:$H$26&lt;'[1]17. Regulatory Charges'!$D$14),'[1]17. Regulatory Charges'!$D$17,'[1]17. Regulatory Charges'!$E$17)</f>
        <v>5.0000000000000001E-4</v>
      </c>
      <c r="G556" s="139">
        <f>E528*E530</f>
        <v>1424427.4</v>
      </c>
      <c r="H556" s="157">
        <f t="shared" si="81"/>
        <v>712.21370000000002</v>
      </c>
      <c r="I556" s="127">
        <f>'[1]17. Regulatory Charges'!$E$17</f>
        <v>5.0000000000000001E-4</v>
      </c>
      <c r="J556" s="140">
        <f>E528*E531</f>
        <v>1424427.4</v>
      </c>
      <c r="K556" s="123">
        <f t="shared" si="82"/>
        <v>712.21370000000002</v>
      </c>
      <c r="L556" s="124">
        <f t="shared" si="76"/>
        <v>0</v>
      </c>
      <c r="M556" s="125">
        <f t="shared" si="83"/>
        <v>0</v>
      </c>
    </row>
    <row r="557" spans="1:14" x14ac:dyDescent="0.2">
      <c r="A557" s="46" t="str">
        <f t="shared" si="79"/>
        <v>EMBEDDED DISTRIBUTOR SERVICE CLASSIFICATION - HYDRO ONE CND</v>
      </c>
      <c r="C557" s="115"/>
      <c r="D557" s="158" t="s">
        <v>188</v>
      </c>
      <c r="E557" s="117"/>
      <c r="F557" s="143">
        <f>IF(AND('[1]1. Information Sheet'!$F$26:$H$26&gt;='[1]17. Regulatory Charges'!$D$14,'[1]1. Information Sheet'!$F$26:$H$26&lt;'[1]17. Regulatory Charges'!$D$14),'[1]17. Regulatory Charges'!$D$18,'[1]17. Regulatory Charges'!$E$18)</f>
        <v>0.25</v>
      </c>
      <c r="G557" s="119">
        <v>1</v>
      </c>
      <c r="H557" s="157">
        <f t="shared" si="81"/>
        <v>0.25</v>
      </c>
      <c r="I557" s="144">
        <f>'[1]17. Regulatory Charges'!$E$18</f>
        <v>0.25</v>
      </c>
      <c r="J557" s="122">
        <v>1</v>
      </c>
      <c r="K557" s="123">
        <f t="shared" si="82"/>
        <v>0.25</v>
      </c>
      <c r="L557" s="124">
        <f t="shared" si="76"/>
        <v>0</v>
      </c>
      <c r="M557" s="125">
        <f t="shared" si="83"/>
        <v>0</v>
      </c>
    </row>
    <row r="558" spans="1:14" ht="25.5" hidden="1" x14ac:dyDescent="0.2">
      <c r="A558" s="46" t="str">
        <f t="shared" si="79"/>
        <v>EMBEDDED DISTRIBUTOR SERVICE CLASSIFICATION - HYDRO ONE CND</v>
      </c>
      <c r="C558" s="115"/>
      <c r="D558" s="156" t="s">
        <v>189</v>
      </c>
      <c r="E558" s="117"/>
      <c r="F558" s="126"/>
      <c r="G558" s="139"/>
      <c r="H558" s="157"/>
      <c r="I558" s="127"/>
      <c r="J558" s="140"/>
      <c r="K558" s="123"/>
      <c r="L558" s="124"/>
      <c r="M558" s="125"/>
    </row>
    <row r="559" spans="1:14" hidden="1" x14ac:dyDescent="0.2">
      <c r="A559" s="46" t="str">
        <f t="shared" si="79"/>
        <v>EMBEDDED DISTRIBUTOR SERVICE CLASSIFICATION - HYDRO ONE CND</v>
      </c>
      <c r="B559" s="46" t="s">
        <v>139</v>
      </c>
      <c r="C559" s="115"/>
      <c r="D559" s="158" t="s">
        <v>190</v>
      </c>
      <c r="E559" s="117"/>
      <c r="F559" s="159">
        <f>OffPeak</f>
        <v>7.3999999999999996E-2</v>
      </c>
      <c r="G559" s="160">
        <f>IF(AND(E528*12&gt;=150000),0.64*E528*E530,0.64*E528)</f>
        <v>911633.53599999996</v>
      </c>
      <c r="H559" s="157">
        <f t="shared" si="81"/>
        <v>67460.881664</v>
      </c>
      <c r="I559" s="161">
        <f>OffPeak</f>
        <v>7.3999999999999996E-2</v>
      </c>
      <c r="J559" s="162">
        <f>IF(AND(E528*12&gt;=150000),0.64*E528*E531,0.64*E528)</f>
        <v>911633.53599999996</v>
      </c>
      <c r="K559" s="123">
        <f t="shared" si="82"/>
        <v>67460.881664</v>
      </c>
      <c r="L559" s="124">
        <f>K559-H559</f>
        <v>0</v>
      </c>
      <c r="M559" s="125">
        <f t="shared" si="83"/>
        <v>0</v>
      </c>
    </row>
    <row r="560" spans="1:14" hidden="1" x14ac:dyDescent="0.2">
      <c r="A560" s="46" t="str">
        <f t="shared" si="79"/>
        <v>EMBEDDED DISTRIBUTOR SERVICE CLASSIFICATION - HYDRO ONE CND</v>
      </c>
      <c r="B560" s="46" t="s">
        <v>139</v>
      </c>
      <c r="C560" s="115"/>
      <c r="D560" s="158" t="s">
        <v>191</v>
      </c>
      <c r="E560" s="117"/>
      <c r="F560" s="159">
        <f>MidPeak</f>
        <v>0.10199999999999999</v>
      </c>
      <c r="G560" s="160">
        <f>IF(AND(E528*12&gt;=150000),0.18*E528*E530,0.18*E528)</f>
        <v>256396.932</v>
      </c>
      <c r="H560" s="157">
        <f t="shared" si="81"/>
        <v>26152.487063999997</v>
      </c>
      <c r="I560" s="161">
        <f>MidPeak</f>
        <v>0.10199999999999999</v>
      </c>
      <c r="J560" s="162">
        <f>IF(AND(E528*12&gt;=150000),0.18*E528*E531,0.18*E528)</f>
        <v>256396.932</v>
      </c>
      <c r="K560" s="123">
        <f t="shared" si="82"/>
        <v>26152.487063999997</v>
      </c>
      <c r="L560" s="124">
        <f>K560-H560</f>
        <v>0</v>
      </c>
      <c r="M560" s="125">
        <f t="shared" si="83"/>
        <v>0</v>
      </c>
    </row>
    <row r="561" spans="1:13" hidden="1" x14ac:dyDescent="0.2">
      <c r="A561" s="46" t="str">
        <f t="shared" si="79"/>
        <v>EMBEDDED DISTRIBUTOR SERVICE CLASSIFICATION - HYDRO ONE CND</v>
      </c>
      <c r="B561" s="46" t="s">
        <v>139</v>
      </c>
      <c r="C561" s="115"/>
      <c r="D561" s="46" t="s">
        <v>192</v>
      </c>
      <c r="E561" s="117"/>
      <c r="F561" s="159">
        <f>OnPeak</f>
        <v>0.151</v>
      </c>
      <c r="G561" s="160">
        <f>IF(AND(E528*12&gt;=150000),0.18*E528*E530,0.18*E528)</f>
        <v>256396.932</v>
      </c>
      <c r="H561" s="157">
        <f t="shared" si="81"/>
        <v>38715.936732000002</v>
      </c>
      <c r="I561" s="161">
        <f>OnPeak</f>
        <v>0.151</v>
      </c>
      <c r="J561" s="162">
        <f>IF(AND(E528*12&gt;=150000),0.18*E528*E531,0.18*E528)</f>
        <v>256396.932</v>
      </c>
      <c r="K561" s="123">
        <f t="shared" si="82"/>
        <v>38715.936732000002</v>
      </c>
      <c r="L561" s="124">
        <f>K561-H561</f>
        <v>0</v>
      </c>
      <c r="M561" s="125">
        <f t="shared" si="83"/>
        <v>0</v>
      </c>
    </row>
    <row r="562" spans="1:13" hidden="1" x14ac:dyDescent="0.2">
      <c r="A562" s="46" t="str">
        <f t="shared" si="79"/>
        <v>EMBEDDED DISTRIBUTOR SERVICE CLASSIFICATION - HYDRO ONE CND</v>
      </c>
      <c r="B562" s="46" t="s">
        <v>141</v>
      </c>
      <c r="C562" s="115"/>
      <c r="D562" s="158" t="s">
        <v>193</v>
      </c>
      <c r="E562" s="117"/>
      <c r="F562" s="163">
        <v>9.6699999999999994E-2</v>
      </c>
      <c r="G562" s="160">
        <f>IF(AND(E528*12&gt;=150000),E528*E530,E528)</f>
        <v>1424427.4</v>
      </c>
      <c r="H562" s="157">
        <f>G562*F562</f>
        <v>137742.12957999998</v>
      </c>
      <c r="I562" s="164">
        <f>F562</f>
        <v>9.6699999999999994E-2</v>
      </c>
      <c r="J562" s="162">
        <f>IF(AND(E528*12&gt;=150000),E528*E531,E528)</f>
        <v>1424427.4</v>
      </c>
      <c r="K562" s="123">
        <f>J562*I562</f>
        <v>137742.12957999998</v>
      </c>
      <c r="L562" s="124">
        <f>K562-H562</f>
        <v>0</v>
      </c>
      <c r="M562" s="125">
        <f t="shared" si="83"/>
        <v>0</v>
      </c>
    </row>
    <row r="563" spans="1:13" ht="13.5" thickBot="1" x14ac:dyDescent="0.25">
      <c r="A563" s="46" t="str">
        <f t="shared" si="79"/>
        <v>EMBEDDED DISTRIBUTOR SERVICE CLASSIFICATION - HYDRO ONE CND</v>
      </c>
      <c r="B563" s="46" t="s">
        <v>140</v>
      </c>
      <c r="C563" s="115"/>
      <c r="D563" s="158" t="s">
        <v>194</v>
      </c>
      <c r="E563" s="117"/>
      <c r="F563" s="163">
        <v>9.6699999999999994E-2</v>
      </c>
      <c r="G563" s="160">
        <f>IF(AND(E528*12&gt;=150000),E528*E530,E528)</f>
        <v>1424427.4</v>
      </c>
      <c r="H563" s="157">
        <f>G563*F563</f>
        <v>137742.12957999998</v>
      </c>
      <c r="I563" s="164">
        <f>F563</f>
        <v>9.6699999999999994E-2</v>
      </c>
      <c r="J563" s="162">
        <f>IF(AND(E528*12&gt;=150000),E528*E531,E528)</f>
        <v>1424427.4</v>
      </c>
      <c r="K563" s="123">
        <f>J563*I563</f>
        <v>137742.12957999998</v>
      </c>
      <c r="L563" s="124">
        <f>K563-H563</f>
        <v>0</v>
      </c>
      <c r="M563" s="125">
        <f t="shared" si="83"/>
        <v>0</v>
      </c>
    </row>
    <row r="564" spans="1:13" ht="13.5" thickBot="1" x14ac:dyDescent="0.25">
      <c r="A564" s="46" t="str">
        <f t="shared" si="79"/>
        <v>EMBEDDED DISTRIBUTOR SERVICE CLASSIFICATION - HYDRO ONE CND</v>
      </c>
      <c r="C564" s="115"/>
      <c r="D564" s="165"/>
      <c r="E564" s="166"/>
      <c r="F564" s="167"/>
      <c r="G564" s="168"/>
      <c r="H564" s="169"/>
      <c r="I564" s="167"/>
      <c r="J564" s="170"/>
      <c r="K564" s="169"/>
      <c r="L564" s="171"/>
      <c r="M564" s="172"/>
    </row>
    <row r="565" spans="1:13" hidden="1" x14ac:dyDescent="0.2">
      <c r="A565" s="46" t="str">
        <f t="shared" si="79"/>
        <v>EMBEDDED DISTRIBUTOR SERVICE CLASSIFICATION - HYDRO ONE CND</v>
      </c>
      <c r="B565" s="46" t="s">
        <v>139</v>
      </c>
      <c r="C565" s="115"/>
      <c r="D565" s="173" t="s">
        <v>195</v>
      </c>
      <c r="E565" s="158"/>
      <c r="F565" s="174"/>
      <c r="G565" s="175"/>
      <c r="H565" s="176">
        <f>SUM(H555:H561,H554)</f>
        <v>162617.92932</v>
      </c>
      <c r="I565" s="177"/>
      <c r="J565" s="177"/>
      <c r="K565" s="176">
        <f>SUM(K555:K561,K554)</f>
        <v>155540.10892</v>
      </c>
      <c r="L565" s="178">
        <f>K565-H565</f>
        <v>-7077.8203999999969</v>
      </c>
      <c r="M565" s="179">
        <f>IF((H565)=0,"",(L565/H565))</f>
        <v>-4.3524231489089023E-2</v>
      </c>
    </row>
    <row r="566" spans="1:13" hidden="1" x14ac:dyDescent="0.2">
      <c r="A566" s="46" t="str">
        <f t="shared" si="79"/>
        <v>EMBEDDED DISTRIBUTOR SERVICE CLASSIFICATION - HYDRO ONE CND</v>
      </c>
      <c r="B566" s="46" t="s">
        <v>139</v>
      </c>
      <c r="C566" s="115"/>
      <c r="D566" s="180" t="s">
        <v>196</v>
      </c>
      <c r="E566" s="158"/>
      <c r="F566" s="174">
        <v>0.13</v>
      </c>
      <c r="G566" s="181"/>
      <c r="H566" s="182">
        <f>H565*F566</f>
        <v>21140.330811600001</v>
      </c>
      <c r="I566" s="183">
        <v>0.13</v>
      </c>
      <c r="J566" s="119"/>
      <c r="K566" s="182">
        <f>K565*I566</f>
        <v>20220.2141596</v>
      </c>
      <c r="L566" s="124">
        <f>K566-H566</f>
        <v>-920.11665200000061</v>
      </c>
      <c r="M566" s="184">
        <f>IF((H566)=0,"",(L566/H566))</f>
        <v>-4.3524231489089071E-2</v>
      </c>
    </row>
    <row r="567" spans="1:13" ht="15" hidden="1" x14ac:dyDescent="0.25">
      <c r="A567" s="46" t="str">
        <f t="shared" si="79"/>
        <v>EMBEDDED DISTRIBUTOR SERVICE CLASSIFICATION - HYDRO ONE CND</v>
      </c>
      <c r="B567" s="46" t="s">
        <v>139</v>
      </c>
      <c r="C567" s="115"/>
      <c r="D567" s="180" t="s">
        <v>197</v>
      </c>
      <c r="E567"/>
      <c r="F567" s="185">
        <v>0.11700000000000001</v>
      </c>
      <c r="G567" s="181"/>
      <c r="H567" s="182">
        <f>IF(OR(ISNUMBER(SEARCH("[DGEN]", E526))=TRUE, ISNUMBER(SEARCH("STREET LIGHT", E526))=TRUE), 0, IF(AND(E528=0, E529=0),0, IF(AND(E529=0, E528*12&gt;250000), 0, IF(AND(E528=0, E529&gt;=50), 0, IF(E528*12&lt;=250000, F567*H565*-1, IF(E529&lt;50, F567*H565*-1, 0))))))</f>
        <v>0</v>
      </c>
      <c r="I567" s="185">
        <v>0.11700000000000001</v>
      </c>
      <c r="J567" s="119"/>
      <c r="K567" s="182">
        <f>IF(OR(ISNUMBER(SEARCH("[DGEN]", E526))=TRUE, ISNUMBER(SEARCH("STREET LIGHT", E526))=TRUE), 0, IF(AND(E528=0, E529=0),0, IF(AND(E529=0, E528*12&gt;250000), 0, IF(AND(E528=0, E529&gt;=50), 0, IF(E528*12&lt;=250000, I567*K565*-1, IF(E529&lt;50, I567*K565*-1, 0))))))</f>
        <v>0</v>
      </c>
      <c r="L567" s="124">
        <f>K567-H567</f>
        <v>0</v>
      </c>
      <c r="M567" s="184"/>
    </row>
    <row r="568" spans="1:13" hidden="1" x14ac:dyDescent="0.2">
      <c r="A568" s="46" t="str">
        <f t="shared" si="79"/>
        <v>EMBEDDED DISTRIBUTOR SERVICE CLASSIFICATION - HYDRO ONE CND</v>
      </c>
      <c r="B568" s="46" t="s">
        <v>198</v>
      </c>
      <c r="C568" s="115"/>
      <c r="D568" s="186" t="s">
        <v>199</v>
      </c>
      <c r="E568" s="186"/>
      <c r="F568" s="187"/>
      <c r="G568" s="188"/>
      <c r="H568" s="189">
        <f>H565+H566+H567</f>
        <v>183758.26013159999</v>
      </c>
      <c r="I568" s="190"/>
      <c r="J568" s="190"/>
      <c r="K568" s="191">
        <f>K565+K566+K567</f>
        <v>175760.3230796</v>
      </c>
      <c r="L568" s="192">
        <f>K568-H568</f>
        <v>-7997.9370519999939</v>
      </c>
      <c r="M568" s="193">
        <f>IF((H568)=0,"",(L568/H568))</f>
        <v>-4.3524231489089009E-2</v>
      </c>
    </row>
    <row r="569" spans="1:13" ht="13.5" hidden="1" thickBot="1" x14ac:dyDescent="0.25">
      <c r="A569" s="46" t="str">
        <f t="shared" si="79"/>
        <v>EMBEDDED DISTRIBUTOR SERVICE CLASSIFICATION - HYDRO ONE CND</v>
      </c>
      <c r="B569" s="46" t="s">
        <v>139</v>
      </c>
      <c r="C569" s="115"/>
      <c r="D569" s="165"/>
      <c r="E569" s="166"/>
      <c r="F569" s="167"/>
      <c r="G569" s="168"/>
      <c r="H569" s="169"/>
      <c r="I569" s="167"/>
      <c r="J569" s="170"/>
      <c r="K569" s="169"/>
      <c r="L569" s="171"/>
      <c r="M569" s="172"/>
    </row>
    <row r="570" spans="1:13" hidden="1" x14ac:dyDescent="0.2">
      <c r="A570" s="46" t="str">
        <f t="shared" si="79"/>
        <v>EMBEDDED DISTRIBUTOR SERVICE CLASSIFICATION - HYDRO ONE CND</v>
      </c>
      <c r="B570" s="46" t="s">
        <v>141</v>
      </c>
      <c r="C570" s="115"/>
      <c r="D570" s="173" t="s">
        <v>200</v>
      </c>
      <c r="E570" s="158"/>
      <c r="F570" s="174"/>
      <c r="G570" s="175"/>
      <c r="H570" s="176">
        <f>SUM(H562,H555:H558,H554)</f>
        <v>168030.75343999997</v>
      </c>
      <c r="I570" s="177"/>
      <c r="J570" s="177"/>
      <c r="K570" s="176">
        <f>SUM(K562,K555:K558,K554)</f>
        <v>160952.93303999997</v>
      </c>
      <c r="L570" s="178">
        <f>K570-H570</f>
        <v>-7077.8203999999969</v>
      </c>
      <c r="M570" s="179">
        <f>IF((H570)=0,"",(L570/H570))</f>
        <v>-4.2122172608880959E-2</v>
      </c>
    </row>
    <row r="571" spans="1:13" hidden="1" x14ac:dyDescent="0.2">
      <c r="A571" s="46" t="str">
        <f t="shared" si="79"/>
        <v>EMBEDDED DISTRIBUTOR SERVICE CLASSIFICATION - HYDRO ONE CND</v>
      </c>
      <c r="B571" s="46" t="s">
        <v>141</v>
      </c>
      <c r="C571" s="115"/>
      <c r="D571" s="180" t="s">
        <v>196</v>
      </c>
      <c r="E571" s="158"/>
      <c r="F571" s="174">
        <v>0.13</v>
      </c>
      <c r="G571" s="175"/>
      <c r="H571" s="182">
        <f>H570*F571</f>
        <v>21843.997947199998</v>
      </c>
      <c r="I571" s="174">
        <v>0.13</v>
      </c>
      <c r="J571" s="183"/>
      <c r="K571" s="182">
        <f>K570*I571</f>
        <v>20923.881295199997</v>
      </c>
      <c r="L571" s="124">
        <f>K571-H571</f>
        <v>-920.11665200000061</v>
      </c>
      <c r="M571" s="184">
        <f>IF((H571)=0,"",(L571/H571))</f>
        <v>-4.2122172608881001E-2</v>
      </c>
    </row>
    <row r="572" spans="1:13" ht="15" hidden="1" x14ac:dyDescent="0.25">
      <c r="A572" s="46" t="str">
        <f t="shared" si="79"/>
        <v>EMBEDDED DISTRIBUTOR SERVICE CLASSIFICATION - HYDRO ONE CND</v>
      </c>
      <c r="B572" s="46" t="s">
        <v>141</v>
      </c>
      <c r="C572" s="115"/>
      <c r="D572" s="180" t="s">
        <v>197</v>
      </c>
      <c r="E572"/>
      <c r="F572" s="185">
        <v>0.11700000000000001</v>
      </c>
      <c r="G572" s="175"/>
      <c r="H572" s="182">
        <f>IF(OR(ISNUMBER(SEARCH("[DGEN]", E526))=TRUE, ISNUMBER(SEARCH("STREET LIGHT", E526))=TRUE), 0, IF(AND(E528=0, E529=0),0, IF(AND(E529=0, E528*12&gt;250000), 0, IF(AND(E528=0, E529&gt;=50), 0, IF(E528*12&lt;=250000, F572*H570*-1, IF(E529&lt;50, F572*H570*-1, 0))))))</f>
        <v>0</v>
      </c>
      <c r="I572" s="185">
        <v>0.11700000000000001</v>
      </c>
      <c r="J572" s="183"/>
      <c r="K572" s="182">
        <f>IF(OR(ISNUMBER(SEARCH("[DGEN]", E526))=TRUE, ISNUMBER(SEARCH("STREET LIGHT", E526))=TRUE), 0, IF(AND(E528=0, E529=0),0, IF(AND(E529=0, E528*12&gt;250000), 0, IF(AND(E528=0, E529&gt;=50), 0, IF(E528*12&lt;=250000, I572*K570*-1, IF(E529&lt;50, I572*K570*-1, 0))))))</f>
        <v>0</v>
      </c>
      <c r="L572" s="124"/>
      <c r="M572" s="184"/>
    </row>
    <row r="573" spans="1:13" hidden="1" x14ac:dyDescent="0.2">
      <c r="A573" s="46" t="str">
        <f t="shared" si="79"/>
        <v>EMBEDDED DISTRIBUTOR SERVICE CLASSIFICATION - HYDRO ONE CND</v>
      </c>
      <c r="B573" s="46" t="s">
        <v>201</v>
      </c>
      <c r="C573" s="115"/>
      <c r="D573" s="186" t="s">
        <v>200</v>
      </c>
      <c r="E573" s="186"/>
      <c r="F573" s="194"/>
      <c r="G573" s="195"/>
      <c r="H573" s="189">
        <f>SUM(H570,H571)</f>
        <v>189874.75138719997</v>
      </c>
      <c r="I573" s="196"/>
      <c r="J573" s="196"/>
      <c r="K573" s="189">
        <f>SUM(K570,K571)</f>
        <v>181876.81433519998</v>
      </c>
      <c r="L573" s="197">
        <f>K573-H573</f>
        <v>-7997.9370519999939</v>
      </c>
      <c r="M573" s="198">
        <f>IF((H573)=0,"",(L573/H573))</f>
        <v>-4.2122172608880945E-2</v>
      </c>
    </row>
    <row r="574" spans="1:13" ht="13.5" hidden="1" thickBot="1" x14ac:dyDescent="0.25">
      <c r="A574" s="46" t="str">
        <f t="shared" si="79"/>
        <v>EMBEDDED DISTRIBUTOR SERVICE CLASSIFICATION - HYDRO ONE CND</v>
      </c>
      <c r="B574" s="46" t="s">
        <v>141</v>
      </c>
      <c r="C574" s="115"/>
      <c r="D574" s="165"/>
      <c r="E574" s="166"/>
      <c r="F574" s="199"/>
      <c r="G574" s="200"/>
      <c r="H574" s="201"/>
      <c r="I574" s="199"/>
      <c r="J574" s="168"/>
      <c r="K574" s="201"/>
      <c r="L574" s="202"/>
      <c r="M574" s="172"/>
    </row>
    <row r="575" spans="1:13" x14ac:dyDescent="0.2">
      <c r="A575" s="46" t="str">
        <f t="shared" si="79"/>
        <v>EMBEDDED DISTRIBUTOR SERVICE CLASSIFICATION - HYDRO ONE CND</v>
      </c>
      <c r="B575" s="46" t="s">
        <v>140</v>
      </c>
      <c r="C575" s="115"/>
      <c r="D575" s="173" t="s">
        <v>202</v>
      </c>
      <c r="E575" s="158"/>
      <c r="F575" s="174"/>
      <c r="G575" s="175"/>
      <c r="H575" s="176">
        <f>SUM(H563,H555:H558,H554)</f>
        <v>168030.75343999997</v>
      </c>
      <c r="I575" s="177"/>
      <c r="J575" s="177"/>
      <c r="K575" s="176">
        <f>SUM(K563,K555:K558,K554)</f>
        <v>160952.93303999997</v>
      </c>
      <c r="L575" s="178">
        <f>K575-H575</f>
        <v>-7077.8203999999969</v>
      </c>
      <c r="M575" s="179">
        <f>IF((H575)=0,"",(L575/H575))</f>
        <v>-4.2122172608880959E-2</v>
      </c>
    </row>
    <row r="576" spans="1:13" x14ac:dyDescent="0.2">
      <c r="A576" s="46" t="str">
        <f t="shared" si="79"/>
        <v>EMBEDDED DISTRIBUTOR SERVICE CLASSIFICATION - HYDRO ONE CND</v>
      </c>
      <c r="B576" s="46" t="s">
        <v>140</v>
      </c>
      <c r="C576" s="115"/>
      <c r="D576" s="180" t="s">
        <v>196</v>
      </c>
      <c r="E576" s="158"/>
      <c r="F576" s="174">
        <v>0.13</v>
      </c>
      <c r="G576" s="175"/>
      <c r="H576" s="182">
        <f>H575*F576</f>
        <v>21843.997947199998</v>
      </c>
      <c r="I576" s="174">
        <v>0.13</v>
      </c>
      <c r="J576" s="183"/>
      <c r="K576" s="182">
        <f>K575*I576</f>
        <v>20923.881295199997</v>
      </c>
      <c r="L576" s="124">
        <f>K576-H576</f>
        <v>-920.11665200000061</v>
      </c>
      <c r="M576" s="184">
        <f>IF((H576)=0,"",(L576/H576))</f>
        <v>-4.2122172608881001E-2</v>
      </c>
    </row>
    <row r="577" spans="1:14" ht="15" x14ac:dyDescent="0.25">
      <c r="A577" s="46" t="str">
        <f t="shared" si="79"/>
        <v>EMBEDDED DISTRIBUTOR SERVICE CLASSIFICATION - HYDRO ONE CND</v>
      </c>
      <c r="B577" s="46" t="s">
        <v>140</v>
      </c>
      <c r="C577" s="115"/>
      <c r="D577" s="180" t="s">
        <v>197</v>
      </c>
      <c r="E577"/>
      <c r="F577" s="185">
        <v>0.11700000000000001</v>
      </c>
      <c r="G577" s="175"/>
      <c r="H577" s="182">
        <f>IF(OR(ISNUMBER(SEARCH("[DGEN]", E526))=TRUE, ISNUMBER(SEARCH("STREET LIGHT", E526))=TRUE), 0, IF(AND(E528=0, E529=0),0, IF(AND(E529=0, E528*12&gt;250000), 0, IF(AND(E528=0, E529&gt;=50), 0, IF(E528*12&lt;=250000, F577*H575*-1, IF(E529&lt;50, F577*H575*-1, 0))))))</f>
        <v>0</v>
      </c>
      <c r="I577" s="185">
        <v>0.11700000000000001</v>
      </c>
      <c r="J577" s="183"/>
      <c r="K577" s="182">
        <f>IF(OR(ISNUMBER(SEARCH("[DGEN]", E526))=TRUE, ISNUMBER(SEARCH("STREET LIGHT", E526))=TRUE), 0, IF(AND(E528=0, E529=0),0, IF(AND(E529=0, E528*12&gt;250000), 0, IF(AND(E528=0, E529&gt;=50), 0, IF(E528*12&lt;=250000, I577*K575*-1, IF(E529&lt;50, I577*K575*-1, 0))))))</f>
        <v>0</v>
      </c>
      <c r="L577" s="124"/>
      <c r="M577" s="184"/>
    </row>
    <row r="578" spans="1:14" ht="13.5" thickBot="1" x14ac:dyDescent="0.25">
      <c r="A578" s="46" t="str">
        <f t="shared" si="79"/>
        <v>EMBEDDED DISTRIBUTOR SERVICE CLASSIFICATION - HYDRO ONE CND</v>
      </c>
      <c r="B578" s="46" t="s">
        <v>203</v>
      </c>
      <c r="C578" s="115">
        <f>B38</f>
        <v>9</v>
      </c>
      <c r="D578" s="186" t="s">
        <v>202</v>
      </c>
      <c r="E578" s="186"/>
      <c r="F578" s="194"/>
      <c r="G578" s="195"/>
      <c r="H578" s="189">
        <f>SUM(H575,H576)</f>
        <v>189874.75138719997</v>
      </c>
      <c r="I578" s="196"/>
      <c r="J578" s="196"/>
      <c r="K578" s="189">
        <f>SUM(K575,K576)</f>
        <v>181876.81433519998</v>
      </c>
      <c r="L578" s="197">
        <f>K578-H578</f>
        <v>-7997.9370519999939</v>
      </c>
      <c r="M578" s="198">
        <f>IF((H578)=0,"",(L578/H578))</f>
        <v>-4.2122172608880945E-2</v>
      </c>
    </row>
    <row r="579" spans="1:14" ht="13.5" thickBot="1" x14ac:dyDescent="0.25">
      <c r="A579" s="46" t="str">
        <f t="shared" si="79"/>
        <v>EMBEDDED DISTRIBUTOR SERVICE CLASSIFICATION - HYDRO ONE CND</v>
      </c>
      <c r="B579" s="46" t="s">
        <v>140</v>
      </c>
      <c r="C579" s="115"/>
      <c r="D579" s="165"/>
      <c r="E579" s="166"/>
      <c r="F579" s="203"/>
      <c r="G579" s="200"/>
      <c r="H579" s="204"/>
      <c r="I579" s="203"/>
      <c r="J579" s="168"/>
      <c r="K579" s="204"/>
      <c r="L579" s="202"/>
      <c r="M579" s="205"/>
    </row>
    <row r="582" spans="1:14" x14ac:dyDescent="0.2">
      <c r="C582" s="46"/>
      <c r="D582" s="90" t="s">
        <v>150</v>
      </c>
      <c r="E582" s="91" t="str">
        <f>D39</f>
        <v>EMBEDDED DISTRIBUTOR SERVICE CLASSIFICATION - WATERLOO</v>
      </c>
      <c r="F582" s="91"/>
      <c r="G582" s="91"/>
      <c r="H582" s="91"/>
      <c r="I582" s="91"/>
      <c r="J582" s="91"/>
      <c r="K582" s="46" t="str">
        <f>IF(N39="DEMAND - INTERVAL","RTSR - INTERVAL METERED","")</f>
        <v/>
      </c>
    </row>
    <row r="583" spans="1:14" x14ac:dyDescent="0.2">
      <c r="C583" s="46"/>
      <c r="D583" s="90" t="s">
        <v>151</v>
      </c>
      <c r="E583" s="92" t="str">
        <f>H39</f>
        <v>Non-RPP (Other)</v>
      </c>
      <c r="F583" s="92"/>
      <c r="G583" s="92"/>
      <c r="H583" s="93"/>
      <c r="I583" s="93"/>
    </row>
    <row r="584" spans="1:14" ht="15.75" x14ac:dyDescent="0.2">
      <c r="C584" s="46"/>
      <c r="D584" s="90" t="s">
        <v>152</v>
      </c>
      <c r="E584" s="94">
        <f>K39</f>
        <v>0</v>
      </c>
      <c r="F584" s="95" t="s">
        <v>153</v>
      </c>
      <c r="J584" s="96"/>
      <c r="K584" s="96"/>
      <c r="L584" s="96"/>
      <c r="M584" s="96"/>
      <c r="N584" s="96"/>
    </row>
    <row r="585" spans="1:14" ht="15.75" x14ac:dyDescent="0.25">
      <c r="C585" s="46"/>
      <c r="D585" s="90" t="s">
        <v>154</v>
      </c>
      <c r="E585" s="94">
        <f>L39</f>
        <v>8280</v>
      </c>
      <c r="F585" s="97" t="s">
        <v>155</v>
      </c>
      <c r="G585" s="98"/>
      <c r="H585" s="99"/>
      <c r="I585" s="99"/>
      <c r="J585" s="99"/>
    </row>
    <row r="586" spans="1:14" x14ac:dyDescent="0.2">
      <c r="C586" s="46"/>
      <c r="D586" s="90" t="s">
        <v>156</v>
      </c>
      <c r="E586" s="100">
        <f>I39</f>
        <v>1.0306999999999999</v>
      </c>
    </row>
    <row r="587" spans="1:14" x14ac:dyDescent="0.2">
      <c r="C587" s="46"/>
      <c r="D587" s="90" t="s">
        <v>157</v>
      </c>
      <c r="E587" s="100">
        <f>J39</f>
        <v>1.0306999999999999</v>
      </c>
    </row>
    <row r="588" spans="1:14" x14ac:dyDescent="0.2">
      <c r="C588" s="46"/>
    </row>
    <row r="589" spans="1:14" x14ac:dyDescent="0.2">
      <c r="C589" s="46"/>
      <c r="E589" s="95"/>
      <c r="F589" s="101" t="s">
        <v>204</v>
      </c>
      <c r="G589" s="102"/>
      <c r="H589" s="103"/>
      <c r="I589" s="101" t="s">
        <v>205</v>
      </c>
      <c r="J589" s="102"/>
      <c r="K589" s="103"/>
      <c r="L589" s="101" t="s">
        <v>158</v>
      </c>
      <c r="M589" s="103"/>
    </row>
    <row r="590" spans="1:14" x14ac:dyDescent="0.2">
      <c r="C590" s="46"/>
      <c r="E590" s="104"/>
      <c r="F590" s="105" t="s">
        <v>159</v>
      </c>
      <c r="G590" s="105" t="s">
        <v>160</v>
      </c>
      <c r="H590" s="106" t="s">
        <v>161</v>
      </c>
      <c r="I590" s="105" t="s">
        <v>159</v>
      </c>
      <c r="J590" s="107" t="s">
        <v>160</v>
      </c>
      <c r="K590" s="106" t="s">
        <v>161</v>
      </c>
      <c r="L590" s="108" t="s">
        <v>162</v>
      </c>
      <c r="M590" s="109" t="s">
        <v>163</v>
      </c>
    </row>
    <row r="591" spans="1:14" x14ac:dyDescent="0.2">
      <c r="C591" s="46"/>
      <c r="E591" s="110"/>
      <c r="F591" s="111" t="s">
        <v>164</v>
      </c>
      <c r="G591" s="111"/>
      <c r="H591" s="112" t="s">
        <v>164</v>
      </c>
      <c r="I591" s="111" t="s">
        <v>164</v>
      </c>
      <c r="J591" s="112"/>
      <c r="K591" s="112" t="s">
        <v>164</v>
      </c>
      <c r="L591" s="113"/>
      <c r="M591" s="114"/>
    </row>
    <row r="592" spans="1:14" x14ac:dyDescent="0.2">
      <c r="A592" s="46" t="str">
        <f>$E582</f>
        <v>EMBEDDED DISTRIBUTOR SERVICE CLASSIFICATION - WATERLOO</v>
      </c>
      <c r="C592" s="115"/>
      <c r="D592" s="116" t="s">
        <v>165</v>
      </c>
      <c r="E592" s="117"/>
      <c r="F592" s="118">
        <v>0</v>
      </c>
      <c r="G592" s="119">
        <v>1</v>
      </c>
      <c r="H592" s="120">
        <f>G592*F592</f>
        <v>0</v>
      </c>
      <c r="I592" s="121">
        <v>0</v>
      </c>
      <c r="J592" s="122">
        <f>G592</f>
        <v>1</v>
      </c>
      <c r="K592" s="123">
        <f>J592*I592</f>
        <v>0</v>
      </c>
      <c r="L592" s="124">
        <f t="shared" ref="L592:L613" si="84">K592-H592</f>
        <v>0</v>
      </c>
      <c r="M592" s="125" t="str">
        <f>IF(ISERROR(L592/H592), "", L592/H592)</f>
        <v/>
      </c>
    </row>
    <row r="593" spans="1:14" x14ac:dyDescent="0.2">
      <c r="A593" s="46" t="str">
        <f>A592</f>
        <v>EMBEDDED DISTRIBUTOR SERVICE CLASSIFICATION - WATERLOO</v>
      </c>
      <c r="C593" s="115"/>
      <c r="D593" s="116" t="s">
        <v>30</v>
      </c>
      <c r="E593" s="117"/>
      <c r="F593" s="126">
        <v>1.7562</v>
      </c>
      <c r="G593" s="119">
        <f>IF($E585&gt;0, $E585, $E584)</f>
        <v>8280</v>
      </c>
      <c r="H593" s="120">
        <f t="shared" ref="H593:H605" si="85">G593*F593</f>
        <v>14541.335999999999</v>
      </c>
      <c r="I593" s="127">
        <v>1.8185</v>
      </c>
      <c r="J593" s="122">
        <f>IF($E585&gt;0, $E585, $E584)</f>
        <v>8280</v>
      </c>
      <c r="K593" s="123">
        <f>J593*I593</f>
        <v>15057.18</v>
      </c>
      <c r="L593" s="124">
        <f t="shared" si="84"/>
        <v>515.84400000000096</v>
      </c>
      <c r="M593" s="125">
        <f t="shared" ref="M593:M603" si="86">IF(ISERROR(L593/H593), "", L593/H593)</f>
        <v>3.5474319553581664E-2</v>
      </c>
    </row>
    <row r="594" spans="1:14" hidden="1" x14ac:dyDescent="0.2">
      <c r="A594" s="46" t="str">
        <f t="shared" ref="A594:A635" si="87">A593</f>
        <v>EMBEDDED DISTRIBUTOR SERVICE CLASSIFICATION - WATERLOO</v>
      </c>
      <c r="C594" s="115"/>
      <c r="D594" s="116" t="s">
        <v>166</v>
      </c>
      <c r="E594" s="117"/>
      <c r="F594" s="126"/>
      <c r="G594" s="119">
        <f>IF($E585&gt;0, $E585, $E584)</f>
        <v>8280</v>
      </c>
      <c r="H594" s="120">
        <v>0</v>
      </c>
      <c r="I594" s="127"/>
      <c r="J594" s="122">
        <f>IF($E585&gt;0, $E585, $E584)</f>
        <v>8280</v>
      </c>
      <c r="K594" s="123">
        <v>0</v>
      </c>
      <c r="L594" s="124"/>
      <c r="M594" s="125"/>
    </row>
    <row r="595" spans="1:14" hidden="1" x14ac:dyDescent="0.2">
      <c r="A595" s="46" t="str">
        <f t="shared" si="87"/>
        <v>EMBEDDED DISTRIBUTOR SERVICE CLASSIFICATION - WATERLOO</v>
      </c>
      <c r="C595" s="115"/>
      <c r="D595" s="116" t="s">
        <v>167</v>
      </c>
      <c r="E595" s="117"/>
      <c r="F595" s="126"/>
      <c r="G595" s="119">
        <f>IF($E585&gt;0, $E585, $E584)</f>
        <v>8280</v>
      </c>
      <c r="H595" s="120">
        <v>0</v>
      </c>
      <c r="I595" s="127"/>
      <c r="J595" s="128">
        <f>IF($E585&gt;0, $E585, $E584)</f>
        <v>8280</v>
      </c>
      <c r="K595" s="123">
        <v>0</v>
      </c>
      <c r="L595" s="124">
        <f>K595-H595</f>
        <v>0</v>
      </c>
      <c r="M595" s="125" t="str">
        <f>IF(ISERROR(L595/H595), "", L595/H595)</f>
        <v/>
      </c>
    </row>
    <row r="596" spans="1:14" x14ac:dyDescent="0.2">
      <c r="A596" s="46" t="str">
        <f t="shared" si="87"/>
        <v>EMBEDDED DISTRIBUTOR SERVICE CLASSIFICATION - WATERLOO</v>
      </c>
      <c r="C596" s="115"/>
      <c r="D596" s="116" t="s">
        <v>168</v>
      </c>
      <c r="E596" s="117"/>
      <c r="F596" s="118">
        <v>113.95</v>
      </c>
      <c r="G596" s="119">
        <v>1</v>
      </c>
      <c r="H596" s="120">
        <f t="shared" si="85"/>
        <v>113.95</v>
      </c>
      <c r="I596" s="121">
        <v>113.95</v>
      </c>
      <c r="J596" s="122">
        <f>G596</f>
        <v>1</v>
      </c>
      <c r="K596" s="123">
        <f t="shared" ref="K596:K603" si="88">J596*I596</f>
        <v>113.95</v>
      </c>
      <c r="L596" s="124">
        <f t="shared" si="84"/>
        <v>0</v>
      </c>
      <c r="M596" s="125">
        <f t="shared" si="86"/>
        <v>0</v>
      </c>
    </row>
    <row r="597" spans="1:14" x14ac:dyDescent="0.2">
      <c r="A597" s="46" t="str">
        <f t="shared" si="87"/>
        <v>EMBEDDED DISTRIBUTOR SERVICE CLASSIFICATION - WATERLOO</v>
      </c>
      <c r="C597" s="115"/>
      <c r="D597" s="116" t="s">
        <v>169</v>
      </c>
      <c r="E597" s="117"/>
      <c r="F597" s="126">
        <v>0</v>
      </c>
      <c r="G597" s="119">
        <f>IF($E585&gt;0, $E585, $E584)</f>
        <v>8280</v>
      </c>
      <c r="H597" s="120">
        <f t="shared" si="85"/>
        <v>0</v>
      </c>
      <c r="I597" s="127">
        <v>0</v>
      </c>
      <c r="J597" s="122">
        <f>IF($E585&gt;0, $E585, $E584)</f>
        <v>8280</v>
      </c>
      <c r="K597" s="123">
        <f t="shared" si="88"/>
        <v>0</v>
      </c>
      <c r="L597" s="124">
        <f t="shared" si="84"/>
        <v>0</v>
      </c>
      <c r="M597" s="125" t="str">
        <f t="shared" si="86"/>
        <v/>
      </c>
    </row>
    <row r="598" spans="1:14" x14ac:dyDescent="0.2">
      <c r="A598" s="46" t="str">
        <f t="shared" si="87"/>
        <v>EMBEDDED DISTRIBUTOR SERVICE CLASSIFICATION - WATERLOO</v>
      </c>
      <c r="B598" s="46" t="s">
        <v>170</v>
      </c>
      <c r="C598" s="115">
        <f>B39</f>
        <v>10</v>
      </c>
      <c r="D598" s="129" t="s">
        <v>171</v>
      </c>
      <c r="E598" s="130"/>
      <c r="F598" s="131"/>
      <c r="G598" s="132"/>
      <c r="H598" s="133">
        <f>SUM(H592:H597)</f>
        <v>14655.286</v>
      </c>
      <c r="I598" s="134"/>
      <c r="J598" s="135"/>
      <c r="K598" s="133">
        <f>SUM(K592:K597)</f>
        <v>15171.130000000001</v>
      </c>
      <c r="L598" s="136">
        <f t="shared" si="84"/>
        <v>515.84400000000096</v>
      </c>
      <c r="M598" s="137">
        <f>IF((H598)=0,"",(L598/H598))</f>
        <v>3.5198494249788159E-2</v>
      </c>
    </row>
    <row r="599" spans="1:14" x14ac:dyDescent="0.2">
      <c r="A599" s="46" t="str">
        <f t="shared" si="87"/>
        <v>EMBEDDED DISTRIBUTOR SERVICE CLASSIFICATION - WATERLOO</v>
      </c>
      <c r="C599" s="115"/>
      <c r="D599" s="138" t="s">
        <v>172</v>
      </c>
      <c r="E599" s="117"/>
      <c r="F599" s="126">
        <f>IF((E584*12&gt;=150000), 0, IF(E583="RPP",(F615*0.64+F616*0.18+F617*0.18),IF(E583="Non-RPP (Retailer)",F618,F619)))</f>
        <v>9.6699999999999994E-2</v>
      </c>
      <c r="G599" s="139">
        <f>IF(F599=0, 0, $E584*E586-E584)</f>
        <v>0</v>
      </c>
      <c r="H599" s="120">
        <f>G599*F599</f>
        <v>0</v>
      </c>
      <c r="I599" s="127">
        <f>IF((E584*12&gt;=150000), 0, IF(E583="RPP",(I615*0.64+I616*0.18+I617*0.18),IF(E583="Non-RPP (Retailer)",I618,I619)))</f>
        <v>9.6699999999999994E-2</v>
      </c>
      <c r="J599" s="140">
        <f>IF(I599=0, 0, E584*E587-E584)</f>
        <v>0</v>
      </c>
      <c r="K599" s="123">
        <f>J599*I599</f>
        <v>0</v>
      </c>
      <c r="L599" s="124">
        <f>K599-H599</f>
        <v>0</v>
      </c>
      <c r="M599" s="125" t="str">
        <f>IF(ISERROR(L599/H599), "", L599/H599)</f>
        <v/>
      </c>
    </row>
    <row r="600" spans="1:14" ht="25.5" x14ac:dyDescent="0.2">
      <c r="A600" s="46" t="str">
        <f t="shared" si="87"/>
        <v>EMBEDDED DISTRIBUTOR SERVICE CLASSIFICATION - WATERLOO</v>
      </c>
      <c r="C600" s="115"/>
      <c r="D600" s="138" t="s">
        <v>173</v>
      </c>
      <c r="E600" s="117"/>
      <c r="F600" s="126">
        <v>0.55779999999999996</v>
      </c>
      <c r="G600" s="141">
        <f>IF($E585&gt;0, $E585, $E584)</f>
        <v>8280</v>
      </c>
      <c r="H600" s="120">
        <f t="shared" si="85"/>
        <v>4618.5839999999998</v>
      </c>
      <c r="I600" s="127">
        <f>'Proposed Tariff'!D339+'Proposed Tariff'!D338</f>
        <v>0.70069999999999999</v>
      </c>
      <c r="J600" s="142">
        <f>IF($E585&gt;0, $E585, $E584)</f>
        <v>8280</v>
      </c>
      <c r="K600" s="123">
        <f t="shared" si="88"/>
        <v>5801.7960000000003</v>
      </c>
      <c r="L600" s="124">
        <f t="shared" si="84"/>
        <v>1183.2120000000004</v>
      </c>
      <c r="M600" s="125">
        <f t="shared" si="86"/>
        <v>0.25618501254930093</v>
      </c>
    </row>
    <row r="601" spans="1:14" x14ac:dyDescent="0.2">
      <c r="A601" s="46" t="str">
        <f t="shared" si="87"/>
        <v>EMBEDDED DISTRIBUTOR SERVICE CLASSIFICATION - WATERLOO</v>
      </c>
      <c r="C601" s="115"/>
      <c r="D601" s="138" t="s">
        <v>174</v>
      </c>
      <c r="E601" s="117"/>
      <c r="F601" s="126">
        <v>0</v>
      </c>
      <c r="G601" s="141">
        <f>IF($E585&gt;0, $E585, $E584)</f>
        <v>8280</v>
      </c>
      <c r="H601" s="120">
        <f>G601*F601</f>
        <v>0</v>
      </c>
      <c r="I601" s="127">
        <v>0</v>
      </c>
      <c r="J601" s="142">
        <f>IF($E585&gt;0, $E585, $E584)</f>
        <v>8280</v>
      </c>
      <c r="K601" s="123">
        <f>J601*I601</f>
        <v>0</v>
      </c>
      <c r="L601" s="124">
        <f t="shared" si="84"/>
        <v>0</v>
      </c>
      <c r="M601" s="125" t="str">
        <f t="shared" si="86"/>
        <v/>
      </c>
    </row>
    <row r="602" spans="1:14" x14ac:dyDescent="0.2">
      <c r="A602" s="46" t="str">
        <f t="shared" si="87"/>
        <v>EMBEDDED DISTRIBUTOR SERVICE CLASSIFICATION - WATERLOO</v>
      </c>
      <c r="C602" s="115"/>
      <c r="D602" s="138" t="s">
        <v>175</v>
      </c>
      <c r="E602" s="117"/>
      <c r="F602" s="126">
        <v>0</v>
      </c>
      <c r="G602" s="141">
        <f>E584</f>
        <v>0</v>
      </c>
      <c r="H602" s="120">
        <f>G602*F602</f>
        <v>0</v>
      </c>
      <c r="I602" s="127">
        <v>0</v>
      </c>
      <c r="J602" s="142">
        <f>E584</f>
        <v>0</v>
      </c>
      <c r="K602" s="123">
        <f t="shared" si="88"/>
        <v>0</v>
      </c>
      <c r="L602" s="124">
        <f t="shared" si="84"/>
        <v>0</v>
      </c>
      <c r="M602" s="125" t="str">
        <f t="shared" si="86"/>
        <v/>
      </c>
    </row>
    <row r="603" spans="1:14" x14ac:dyDescent="0.2">
      <c r="A603" s="46" t="str">
        <f t="shared" si="87"/>
        <v>EMBEDDED DISTRIBUTOR SERVICE CLASSIFICATION - WATERLOO</v>
      </c>
      <c r="C603" s="115"/>
      <c r="D603" s="116" t="s">
        <v>176</v>
      </c>
      <c r="E603" s="117"/>
      <c r="F603" s="126">
        <v>0.12479999999999999</v>
      </c>
      <c r="G603" s="141">
        <f>IF($E585&gt;0, $E585, $E584)</f>
        <v>8280</v>
      </c>
      <c r="H603" s="120">
        <f t="shared" si="85"/>
        <v>1033.3440000000001</v>
      </c>
      <c r="I603" s="127">
        <v>0.12479999999999999</v>
      </c>
      <c r="J603" s="142">
        <f>IF($E585&gt;0, $E585, $E584)</f>
        <v>8280</v>
      </c>
      <c r="K603" s="123">
        <f t="shared" si="88"/>
        <v>1033.3440000000001</v>
      </c>
      <c r="L603" s="124">
        <f t="shared" si="84"/>
        <v>0</v>
      </c>
      <c r="M603" s="125">
        <f t="shared" si="86"/>
        <v>0</v>
      </c>
    </row>
    <row r="604" spans="1:14" ht="25.5" x14ac:dyDescent="0.2">
      <c r="A604" s="46" t="str">
        <f t="shared" si="87"/>
        <v>EMBEDDED DISTRIBUTOR SERVICE CLASSIFICATION - WATERLOO</v>
      </c>
      <c r="C604" s="115"/>
      <c r="D604" s="138" t="s">
        <v>177</v>
      </c>
      <c r="E604" s="117"/>
      <c r="F604" s="143">
        <f>IF(OR(ISNUMBER(SEARCH("RESIDENTIAL", E582))=TRUE, ISNUMBER(SEARCH("GENERAL SERVICE LESS THAN 50", E582))=TRUE), 0.43, 0)</f>
        <v>0</v>
      </c>
      <c r="G604" s="119">
        <v>1</v>
      </c>
      <c r="H604" s="120">
        <f>G604*F604</f>
        <v>0</v>
      </c>
      <c r="I604" s="144">
        <f>IF(OR(ISNUMBER(SEARCH("RESIDENTIAL", E582))=TRUE, ISNUMBER(SEARCH("GENERAL SERVICE LESS THAN 50", E582))=TRUE), SME, 0)</f>
        <v>0</v>
      </c>
      <c r="J604" s="128">
        <v>1</v>
      </c>
      <c r="K604" s="123">
        <f>J604*I604</f>
        <v>0</v>
      </c>
      <c r="L604" s="124">
        <f t="shared" si="84"/>
        <v>0</v>
      </c>
      <c r="M604" s="125" t="str">
        <f>IF(ISERROR(L604/H604), "", L604/H604)</f>
        <v/>
      </c>
    </row>
    <row r="605" spans="1:14" x14ac:dyDescent="0.2">
      <c r="A605" s="46" t="str">
        <f t="shared" si="87"/>
        <v>EMBEDDED DISTRIBUTOR SERVICE CLASSIFICATION - WATERLOO</v>
      </c>
      <c r="C605" s="115"/>
      <c r="D605" s="116" t="s">
        <v>178</v>
      </c>
      <c r="E605" s="117"/>
      <c r="F605" s="118">
        <v>0</v>
      </c>
      <c r="G605" s="119">
        <v>1</v>
      </c>
      <c r="H605" s="120">
        <f t="shared" si="85"/>
        <v>0</v>
      </c>
      <c r="I605" s="121">
        <v>0</v>
      </c>
      <c r="J605" s="128">
        <v>1</v>
      </c>
      <c r="K605" s="123">
        <f>J605*I605</f>
        <v>0</v>
      </c>
      <c r="L605" s="124">
        <f>K605-H605</f>
        <v>0</v>
      </c>
      <c r="M605" s="125" t="str">
        <f>IF(ISERROR(L605/H605), "", L605/H605)</f>
        <v/>
      </c>
    </row>
    <row r="606" spans="1:14" x14ac:dyDescent="0.2">
      <c r="A606" s="46" t="str">
        <f t="shared" si="87"/>
        <v>EMBEDDED DISTRIBUTOR SERVICE CLASSIFICATION - WATERLOO</v>
      </c>
      <c r="C606" s="115"/>
      <c r="D606" s="116" t="s">
        <v>179</v>
      </c>
      <c r="E606" s="117"/>
      <c r="F606" s="126">
        <v>0</v>
      </c>
      <c r="G606" s="141">
        <f>IF($E585&gt;0, $E585, $E584)</f>
        <v>8280</v>
      </c>
      <c r="H606" s="120">
        <f>G606*F606</f>
        <v>0</v>
      </c>
      <c r="I606" s="127">
        <v>0</v>
      </c>
      <c r="J606" s="142">
        <f>IF($E585&gt;0, $E585, $E584)</f>
        <v>8280</v>
      </c>
      <c r="K606" s="123">
        <f>J606*I606</f>
        <v>0</v>
      </c>
      <c r="L606" s="124">
        <f t="shared" si="84"/>
        <v>0</v>
      </c>
      <c r="M606" s="125" t="str">
        <f>IF(ISERROR(L606/H606), "", L606/H606)</f>
        <v/>
      </c>
    </row>
    <row r="607" spans="1:14" ht="25.5" x14ac:dyDescent="0.2">
      <c r="A607" s="46" t="str">
        <f t="shared" si="87"/>
        <v>EMBEDDED DISTRIBUTOR SERVICE CLASSIFICATION - WATERLOO</v>
      </c>
      <c r="B607" s="46" t="s">
        <v>180</v>
      </c>
      <c r="C607" s="115">
        <f>B39</f>
        <v>10</v>
      </c>
      <c r="D607" s="145" t="s">
        <v>181</v>
      </c>
      <c r="E607" s="146"/>
      <c r="F607" s="147"/>
      <c r="G607" s="148"/>
      <c r="H607" s="149">
        <f>SUM(H598:H606)</f>
        <v>20307.214</v>
      </c>
      <c r="I607" s="150"/>
      <c r="J607" s="151"/>
      <c r="K607" s="149">
        <f>SUM(K598:K606)</f>
        <v>22006.27</v>
      </c>
      <c r="L607" s="136">
        <f t="shared" si="84"/>
        <v>1699.0560000000005</v>
      </c>
      <c r="M607" s="137">
        <f>IF((H607)=0,"",(L607/H607))</f>
        <v>8.3667606989319188E-2</v>
      </c>
    </row>
    <row r="608" spans="1:14" x14ac:dyDescent="0.2">
      <c r="A608" s="46" t="str">
        <f t="shared" si="87"/>
        <v>EMBEDDED DISTRIBUTOR SERVICE CLASSIFICATION - WATERLOO</v>
      </c>
      <c r="C608" s="115"/>
      <c r="D608" s="152" t="s">
        <v>182</v>
      </c>
      <c r="E608" s="117"/>
      <c r="F608" s="126">
        <v>3.4489999999999998</v>
      </c>
      <c r="G608" s="139">
        <f>IF($E585&gt;0, $E585, $E584*$E586)</f>
        <v>8280</v>
      </c>
      <c r="H608" s="120">
        <f>G608*F608</f>
        <v>28557.719999999998</v>
      </c>
      <c r="I608" s="153">
        <v>3.5680000000000001</v>
      </c>
      <c r="J608" s="140">
        <f>IF($E585&gt;0, $E585, $E584*$E587)</f>
        <v>8280</v>
      </c>
      <c r="K608" s="123">
        <f>J608*I608</f>
        <v>29543.040000000001</v>
      </c>
      <c r="L608" s="124">
        <f t="shared" si="84"/>
        <v>985.32000000000335</v>
      </c>
      <c r="M608" s="125">
        <f>IF(ISERROR(L608/H608), "", L608/H608)</f>
        <v>3.4502754421571587E-2</v>
      </c>
      <c r="N608" s="154" t="str">
        <f>IF(ISERROR(ABS(M608)), "", IF(ABS(M608)&gt;=4%, "In the manager's summary, discuss the reasoning for the change in RTSR rates", ""))</f>
        <v/>
      </c>
    </row>
    <row r="609" spans="1:14" ht="25.5" x14ac:dyDescent="0.2">
      <c r="A609" s="46" t="str">
        <f t="shared" si="87"/>
        <v>EMBEDDED DISTRIBUTOR SERVICE CLASSIFICATION - WATERLOO</v>
      </c>
      <c r="C609" s="115"/>
      <c r="D609" s="155" t="s">
        <v>183</v>
      </c>
      <c r="E609" s="117"/>
      <c r="F609" s="126">
        <v>2.2951999999999999</v>
      </c>
      <c r="G609" s="139">
        <f>IF($E585&gt;0, $E585, $E584*$E586)</f>
        <v>8280</v>
      </c>
      <c r="H609" s="120">
        <f>G609*F609</f>
        <v>19004.255999999998</v>
      </c>
      <c r="I609" s="153">
        <v>2.2039</v>
      </c>
      <c r="J609" s="140">
        <f>IF($E585&gt;0, $E585, $E584*$E587)</f>
        <v>8280</v>
      </c>
      <c r="K609" s="123">
        <f>J609*I609</f>
        <v>18248.292000000001</v>
      </c>
      <c r="L609" s="124">
        <f t="shared" si="84"/>
        <v>-755.9639999999963</v>
      </c>
      <c r="M609" s="125">
        <f>IF(ISERROR(L609/H609), "", L609/H609)</f>
        <v>-3.9778668525618496E-2</v>
      </c>
      <c r="N609" s="154" t="str">
        <f>IF(ISERROR(ABS(M609)), "", IF(ABS(M609)&gt;=4%, "In the manager's summary, discuss the reasoning for the change in RTSR rates", ""))</f>
        <v/>
      </c>
    </row>
    <row r="610" spans="1:14" ht="25.5" x14ac:dyDescent="0.2">
      <c r="A610" s="46" t="str">
        <f t="shared" si="87"/>
        <v>EMBEDDED DISTRIBUTOR SERVICE CLASSIFICATION - WATERLOO</v>
      </c>
      <c r="B610" s="46" t="s">
        <v>184</v>
      </c>
      <c r="C610" s="115">
        <f>B39</f>
        <v>10</v>
      </c>
      <c r="D610" s="145" t="s">
        <v>185</v>
      </c>
      <c r="E610" s="130"/>
      <c r="F610" s="147"/>
      <c r="G610" s="148"/>
      <c r="H610" s="149">
        <f>SUM(H607:H609)</f>
        <v>67869.189999999988</v>
      </c>
      <c r="I610" s="150"/>
      <c r="J610" s="135"/>
      <c r="K610" s="149">
        <f>SUM(K607:K609)</f>
        <v>69797.601999999999</v>
      </c>
      <c r="L610" s="136">
        <f t="shared" si="84"/>
        <v>1928.4120000000112</v>
      </c>
      <c r="M610" s="137">
        <f>IF((H610)=0,"",(L610/H610))</f>
        <v>2.8413658686659019E-2</v>
      </c>
    </row>
    <row r="611" spans="1:14" ht="25.5" x14ac:dyDescent="0.2">
      <c r="A611" s="46" t="str">
        <f t="shared" si="87"/>
        <v>EMBEDDED DISTRIBUTOR SERVICE CLASSIFICATION - WATERLOO</v>
      </c>
      <c r="C611" s="115"/>
      <c r="D611" s="156" t="s">
        <v>186</v>
      </c>
      <c r="E611" s="117"/>
      <c r="F611" s="126">
        <f>IF(AND('[1]1. Information Sheet'!$F$26:$H$26&gt;='[1]17. Regulatory Charges'!$D$14,'[1]1. Information Sheet'!$F$26:$H$26&lt;'[1]17. Regulatory Charges'!$E$14),'[1]17. Regulatory Charges'!$D$15+'[1]17. Regulatory Charges'!$D$16,'[1]17. Regulatory Charges'!$E$15+'[1]17. Regulatory Charges'!$E$16)</f>
        <v>3.4000000000000002E-3</v>
      </c>
      <c r="G611" s="139">
        <f>E584*E586</f>
        <v>0</v>
      </c>
      <c r="H611" s="157">
        <f t="shared" ref="H611:H617" si="89">G611*F611</f>
        <v>0</v>
      </c>
      <c r="I611" s="127">
        <f>'[1]17. Regulatory Charges'!$E$15+'[1]17. Regulatory Charges'!$E$16</f>
        <v>3.4000000000000002E-3</v>
      </c>
      <c r="J611" s="140">
        <f>E584*E587</f>
        <v>0</v>
      </c>
      <c r="K611" s="123">
        <f t="shared" ref="K611:K617" si="90">J611*I611</f>
        <v>0</v>
      </c>
      <c r="L611" s="124">
        <f t="shared" si="84"/>
        <v>0</v>
      </c>
      <c r="M611" s="125" t="str">
        <f t="shared" ref="M611:M619" si="91">IF(ISERROR(L611/H611), "", L611/H611)</f>
        <v/>
      </c>
    </row>
    <row r="612" spans="1:14" ht="25.5" x14ac:dyDescent="0.2">
      <c r="A612" s="46" t="str">
        <f t="shared" si="87"/>
        <v>EMBEDDED DISTRIBUTOR SERVICE CLASSIFICATION - WATERLOO</v>
      </c>
      <c r="C612" s="115"/>
      <c r="D612" s="156" t="s">
        <v>187</v>
      </c>
      <c r="E612" s="117"/>
      <c r="F612" s="126">
        <f>IF(AND('[1]1. Information Sheet'!$F$26:$H$26&gt;='[1]17. Regulatory Charges'!$D$14,'[1]1. Information Sheet'!$F$26:$H$26&lt;'[1]17. Regulatory Charges'!$D$14),'[1]17. Regulatory Charges'!$D$17,'[1]17. Regulatory Charges'!$E$17)</f>
        <v>5.0000000000000001E-4</v>
      </c>
      <c r="G612" s="139">
        <f>E584*E586</f>
        <v>0</v>
      </c>
      <c r="H612" s="157">
        <f t="shared" si="89"/>
        <v>0</v>
      </c>
      <c r="I612" s="127">
        <f>'[1]17. Regulatory Charges'!$E$17</f>
        <v>5.0000000000000001E-4</v>
      </c>
      <c r="J612" s="140">
        <f>E584*E587</f>
        <v>0</v>
      </c>
      <c r="K612" s="123">
        <f t="shared" si="90"/>
        <v>0</v>
      </c>
      <c r="L612" s="124">
        <f t="shared" si="84"/>
        <v>0</v>
      </c>
      <c r="M612" s="125" t="str">
        <f t="shared" si="91"/>
        <v/>
      </c>
    </row>
    <row r="613" spans="1:14" x14ac:dyDescent="0.2">
      <c r="A613" s="46" t="str">
        <f t="shared" si="87"/>
        <v>EMBEDDED DISTRIBUTOR SERVICE CLASSIFICATION - WATERLOO</v>
      </c>
      <c r="C613" s="115"/>
      <c r="D613" s="158" t="s">
        <v>188</v>
      </c>
      <c r="E613" s="117"/>
      <c r="F613" s="143">
        <f>IF(AND('[1]1. Information Sheet'!$F$26:$H$26&gt;='[1]17. Regulatory Charges'!$D$14,'[1]1. Information Sheet'!$F$26:$H$26&lt;'[1]17. Regulatory Charges'!$D$14),'[1]17. Regulatory Charges'!$D$18,'[1]17. Regulatory Charges'!$E$18)</f>
        <v>0.25</v>
      </c>
      <c r="G613" s="119">
        <v>1</v>
      </c>
      <c r="H613" s="157">
        <f t="shared" si="89"/>
        <v>0.25</v>
      </c>
      <c r="I613" s="144">
        <f>'[1]17. Regulatory Charges'!$E$18</f>
        <v>0.25</v>
      </c>
      <c r="J613" s="122">
        <v>1</v>
      </c>
      <c r="K613" s="123">
        <f t="shared" si="90"/>
        <v>0.25</v>
      </c>
      <c r="L613" s="124">
        <f t="shared" si="84"/>
        <v>0</v>
      </c>
      <c r="M613" s="125">
        <f t="shared" si="91"/>
        <v>0</v>
      </c>
    </row>
    <row r="614" spans="1:14" ht="25.5" hidden="1" x14ac:dyDescent="0.2">
      <c r="A614" s="46" t="str">
        <f t="shared" si="87"/>
        <v>EMBEDDED DISTRIBUTOR SERVICE CLASSIFICATION - WATERLOO</v>
      </c>
      <c r="C614" s="115"/>
      <c r="D614" s="156" t="s">
        <v>189</v>
      </c>
      <c r="E614" s="117"/>
      <c r="F614" s="126"/>
      <c r="G614" s="139"/>
      <c r="H614" s="157"/>
      <c r="I614" s="127"/>
      <c r="J614" s="140"/>
      <c r="K614" s="123"/>
      <c r="L614" s="124"/>
      <c r="M614" s="125"/>
    </row>
    <row r="615" spans="1:14" hidden="1" x14ac:dyDescent="0.2">
      <c r="A615" s="46" t="str">
        <f t="shared" si="87"/>
        <v>EMBEDDED DISTRIBUTOR SERVICE CLASSIFICATION - WATERLOO</v>
      </c>
      <c r="B615" s="46" t="s">
        <v>139</v>
      </c>
      <c r="C615" s="115"/>
      <c r="D615" s="158" t="s">
        <v>190</v>
      </c>
      <c r="E615" s="117"/>
      <c r="F615" s="159">
        <f>OffPeak</f>
        <v>7.3999999999999996E-2</v>
      </c>
      <c r="G615" s="160">
        <f>IF(AND(E584*12&gt;=150000),0.64*E584*E586,0.64*E584)</f>
        <v>0</v>
      </c>
      <c r="H615" s="157">
        <f t="shared" si="89"/>
        <v>0</v>
      </c>
      <c r="I615" s="161">
        <f>OffPeak</f>
        <v>7.3999999999999996E-2</v>
      </c>
      <c r="J615" s="162">
        <f>IF(AND(E584*12&gt;=150000),0.64*E584*E587,0.64*E584)</f>
        <v>0</v>
      </c>
      <c r="K615" s="123">
        <f t="shared" si="90"/>
        <v>0</v>
      </c>
      <c r="L615" s="124">
        <f>K615-H615</f>
        <v>0</v>
      </c>
      <c r="M615" s="125" t="str">
        <f t="shared" si="91"/>
        <v/>
      </c>
    </row>
    <row r="616" spans="1:14" hidden="1" x14ac:dyDescent="0.2">
      <c r="A616" s="46" t="str">
        <f t="shared" si="87"/>
        <v>EMBEDDED DISTRIBUTOR SERVICE CLASSIFICATION - WATERLOO</v>
      </c>
      <c r="B616" s="46" t="s">
        <v>139</v>
      </c>
      <c r="C616" s="115"/>
      <c r="D616" s="158" t="s">
        <v>191</v>
      </c>
      <c r="E616" s="117"/>
      <c r="F616" s="159">
        <f>MidPeak</f>
        <v>0.10199999999999999</v>
      </c>
      <c r="G616" s="160">
        <f>IF(AND(E584*12&gt;=150000),0.18*E584*E586,0.18*E584)</f>
        <v>0</v>
      </c>
      <c r="H616" s="157">
        <f t="shared" si="89"/>
        <v>0</v>
      </c>
      <c r="I616" s="161">
        <f>MidPeak</f>
        <v>0.10199999999999999</v>
      </c>
      <c r="J616" s="162">
        <f>IF(AND(E584*12&gt;=150000),0.18*E584*E587,0.18*E584)</f>
        <v>0</v>
      </c>
      <c r="K616" s="123">
        <f t="shared" si="90"/>
        <v>0</v>
      </c>
      <c r="L616" s="124">
        <f>K616-H616</f>
        <v>0</v>
      </c>
      <c r="M616" s="125" t="str">
        <f t="shared" si="91"/>
        <v/>
      </c>
    </row>
    <row r="617" spans="1:14" hidden="1" x14ac:dyDescent="0.2">
      <c r="A617" s="46" t="str">
        <f t="shared" si="87"/>
        <v>EMBEDDED DISTRIBUTOR SERVICE CLASSIFICATION - WATERLOO</v>
      </c>
      <c r="B617" s="46" t="s">
        <v>139</v>
      </c>
      <c r="C617" s="115"/>
      <c r="D617" s="46" t="s">
        <v>192</v>
      </c>
      <c r="E617" s="117"/>
      <c r="F617" s="159">
        <f>OnPeak</f>
        <v>0.151</v>
      </c>
      <c r="G617" s="160">
        <f>IF(AND(E584*12&gt;=150000),0.18*E584*E586,0.18*E584)</f>
        <v>0</v>
      </c>
      <c r="H617" s="157">
        <f t="shared" si="89"/>
        <v>0</v>
      </c>
      <c r="I617" s="161">
        <f>OnPeak</f>
        <v>0.151</v>
      </c>
      <c r="J617" s="162">
        <f>IF(AND(E584*12&gt;=150000),0.18*E584*E587,0.18*E584)</f>
        <v>0</v>
      </c>
      <c r="K617" s="123">
        <f t="shared" si="90"/>
        <v>0</v>
      </c>
      <c r="L617" s="124">
        <f>K617-H617</f>
        <v>0</v>
      </c>
      <c r="M617" s="125" t="str">
        <f t="shared" si="91"/>
        <v/>
      </c>
    </row>
    <row r="618" spans="1:14" hidden="1" x14ac:dyDescent="0.2">
      <c r="A618" s="46" t="str">
        <f t="shared" si="87"/>
        <v>EMBEDDED DISTRIBUTOR SERVICE CLASSIFICATION - WATERLOO</v>
      </c>
      <c r="B618" s="46" t="s">
        <v>141</v>
      </c>
      <c r="C618" s="115"/>
      <c r="D618" s="158" t="s">
        <v>193</v>
      </c>
      <c r="E618" s="117"/>
      <c r="F618" s="163">
        <v>9.6699999999999994E-2</v>
      </c>
      <c r="G618" s="160">
        <f>IF(AND(E584*12&gt;=150000),E584*E586,E584)</f>
        <v>0</v>
      </c>
      <c r="H618" s="157">
        <f>G618*F618</f>
        <v>0</v>
      </c>
      <c r="I618" s="164">
        <f>F618</f>
        <v>9.6699999999999994E-2</v>
      </c>
      <c r="J618" s="162">
        <f>IF(AND(E584*12&gt;=150000),E584*E587,E584)</f>
        <v>0</v>
      </c>
      <c r="K618" s="123">
        <f>J618*I618</f>
        <v>0</v>
      </c>
      <c r="L618" s="124">
        <f>K618-H618</f>
        <v>0</v>
      </c>
      <c r="M618" s="125" t="str">
        <f t="shared" si="91"/>
        <v/>
      </c>
    </row>
    <row r="619" spans="1:14" ht="13.5" thickBot="1" x14ac:dyDescent="0.25">
      <c r="A619" s="46" t="str">
        <f t="shared" si="87"/>
        <v>EMBEDDED DISTRIBUTOR SERVICE CLASSIFICATION - WATERLOO</v>
      </c>
      <c r="B619" s="46" t="s">
        <v>140</v>
      </c>
      <c r="C619" s="115"/>
      <c r="D619" s="158" t="s">
        <v>194</v>
      </c>
      <c r="E619" s="117"/>
      <c r="F619" s="163">
        <v>9.6699999999999994E-2</v>
      </c>
      <c r="G619" s="160">
        <f>IF(AND(E584*12&gt;=150000),E584*E586,E584)</f>
        <v>0</v>
      </c>
      <c r="H619" s="157">
        <f>G619*F619</f>
        <v>0</v>
      </c>
      <c r="I619" s="164">
        <f>F619</f>
        <v>9.6699999999999994E-2</v>
      </c>
      <c r="J619" s="162">
        <f>IF(AND(E584*12&gt;=150000),E584*E587,E584)</f>
        <v>0</v>
      </c>
      <c r="K619" s="123">
        <f>J619*I619</f>
        <v>0</v>
      </c>
      <c r="L619" s="124">
        <f>K619-H619</f>
        <v>0</v>
      </c>
      <c r="M619" s="125" t="str">
        <f t="shared" si="91"/>
        <v/>
      </c>
    </row>
    <row r="620" spans="1:14" ht="13.5" thickBot="1" x14ac:dyDescent="0.25">
      <c r="A620" s="46" t="str">
        <f t="shared" si="87"/>
        <v>EMBEDDED DISTRIBUTOR SERVICE CLASSIFICATION - WATERLOO</v>
      </c>
      <c r="C620" s="115"/>
      <c r="D620" s="165"/>
      <c r="E620" s="166"/>
      <c r="F620" s="167"/>
      <c r="G620" s="168"/>
      <c r="H620" s="169"/>
      <c r="I620" s="167"/>
      <c r="J620" s="170"/>
      <c r="K620" s="169"/>
      <c r="L620" s="171"/>
      <c r="M620" s="172"/>
    </row>
    <row r="621" spans="1:14" hidden="1" x14ac:dyDescent="0.2">
      <c r="A621" s="46" t="str">
        <f t="shared" si="87"/>
        <v>EMBEDDED DISTRIBUTOR SERVICE CLASSIFICATION - WATERLOO</v>
      </c>
      <c r="B621" s="46" t="s">
        <v>139</v>
      </c>
      <c r="C621" s="115"/>
      <c r="D621" s="173" t="s">
        <v>195</v>
      </c>
      <c r="E621" s="158"/>
      <c r="F621" s="174"/>
      <c r="G621" s="175"/>
      <c r="H621" s="176">
        <f>SUM(H611:H617,H610)</f>
        <v>67869.439999999988</v>
      </c>
      <c r="I621" s="177"/>
      <c r="J621" s="177"/>
      <c r="K621" s="176">
        <f>SUM(K611:K617,K610)</f>
        <v>69797.851999999999</v>
      </c>
      <c r="L621" s="178">
        <f>K621-H621</f>
        <v>1928.4120000000112</v>
      </c>
      <c r="M621" s="179">
        <f>IF((H621)=0,"",(L621/H621))</f>
        <v>2.8413554023725723E-2</v>
      </c>
    </row>
    <row r="622" spans="1:14" hidden="1" x14ac:dyDescent="0.2">
      <c r="A622" s="46" t="str">
        <f t="shared" si="87"/>
        <v>EMBEDDED DISTRIBUTOR SERVICE CLASSIFICATION - WATERLOO</v>
      </c>
      <c r="B622" s="46" t="s">
        <v>139</v>
      </c>
      <c r="C622" s="115"/>
      <c r="D622" s="180" t="s">
        <v>196</v>
      </c>
      <c r="E622" s="158"/>
      <c r="F622" s="174">
        <v>0.13</v>
      </c>
      <c r="G622" s="181"/>
      <c r="H622" s="182">
        <f>H621*F622</f>
        <v>8823.0271999999986</v>
      </c>
      <c r="I622" s="183">
        <v>0.13</v>
      </c>
      <c r="J622" s="119"/>
      <c r="K622" s="182">
        <f>K621*I622</f>
        <v>9073.7207600000002</v>
      </c>
      <c r="L622" s="124">
        <f>K622-H622</f>
        <v>250.69356000000153</v>
      </c>
      <c r="M622" s="184">
        <f>IF((H622)=0,"",(L622/H622))</f>
        <v>2.841355402372573E-2</v>
      </c>
    </row>
    <row r="623" spans="1:14" ht="15" hidden="1" x14ac:dyDescent="0.25">
      <c r="A623" s="46" t="str">
        <f t="shared" si="87"/>
        <v>EMBEDDED DISTRIBUTOR SERVICE CLASSIFICATION - WATERLOO</v>
      </c>
      <c r="B623" s="46" t="s">
        <v>139</v>
      </c>
      <c r="C623" s="115"/>
      <c r="D623" s="180" t="s">
        <v>197</v>
      </c>
      <c r="E623"/>
      <c r="F623" s="185">
        <v>0.11700000000000001</v>
      </c>
      <c r="G623" s="181"/>
      <c r="H623" s="182">
        <f>IF(OR(ISNUMBER(SEARCH("[DGEN]", E582))=TRUE, ISNUMBER(SEARCH("STREET LIGHT", E582))=TRUE), 0, IF(AND(E584=0, E585=0),0, IF(AND(E585=0, E584*12&gt;250000), 0, IF(AND(E584=0, E585&gt;=50), 0, IF(E584*12&lt;=250000, F623*H621*-1, IF(E585&lt;50, F623*H621*-1, 0))))))</f>
        <v>0</v>
      </c>
      <c r="I623" s="185">
        <v>0.11700000000000001</v>
      </c>
      <c r="J623" s="119"/>
      <c r="K623" s="182">
        <f>IF(OR(ISNUMBER(SEARCH("[DGEN]", E582))=TRUE, ISNUMBER(SEARCH("STREET LIGHT", E582))=TRUE), 0, IF(AND(E584=0, E585=0),0, IF(AND(E585=0, E584*12&gt;250000), 0, IF(AND(E584=0, E585&gt;=50), 0, IF(E584*12&lt;=250000, I623*K621*-1, IF(E585&lt;50, I623*K621*-1, 0))))))</f>
        <v>0</v>
      </c>
      <c r="L623" s="124">
        <f>K623-H623</f>
        <v>0</v>
      </c>
      <c r="M623" s="184"/>
    </row>
    <row r="624" spans="1:14" hidden="1" x14ac:dyDescent="0.2">
      <c r="A624" s="46" t="str">
        <f t="shared" si="87"/>
        <v>EMBEDDED DISTRIBUTOR SERVICE CLASSIFICATION - WATERLOO</v>
      </c>
      <c r="B624" s="46" t="s">
        <v>198</v>
      </c>
      <c r="C624" s="115"/>
      <c r="D624" s="186" t="s">
        <v>199</v>
      </c>
      <c r="E624" s="186"/>
      <c r="F624" s="187"/>
      <c r="G624" s="188"/>
      <c r="H624" s="189">
        <f>H621+H622+H623</f>
        <v>76692.467199999985</v>
      </c>
      <c r="I624" s="190"/>
      <c r="J624" s="190"/>
      <c r="K624" s="191">
        <f>K621+K622+K623</f>
        <v>78871.572759999995</v>
      </c>
      <c r="L624" s="192">
        <f>K624-H624</f>
        <v>2179.1055600000109</v>
      </c>
      <c r="M624" s="193">
        <f>IF((H624)=0,"",(L624/H624))</f>
        <v>2.8413554023725699E-2</v>
      </c>
    </row>
    <row r="625" spans="1:14" ht="13.5" hidden="1" thickBot="1" x14ac:dyDescent="0.25">
      <c r="A625" s="46" t="str">
        <f t="shared" si="87"/>
        <v>EMBEDDED DISTRIBUTOR SERVICE CLASSIFICATION - WATERLOO</v>
      </c>
      <c r="B625" s="46" t="s">
        <v>139</v>
      </c>
      <c r="C625" s="115"/>
      <c r="D625" s="165"/>
      <c r="E625" s="166"/>
      <c r="F625" s="167"/>
      <c r="G625" s="168"/>
      <c r="H625" s="169"/>
      <c r="I625" s="167"/>
      <c r="J625" s="170"/>
      <c r="K625" s="169"/>
      <c r="L625" s="171"/>
      <c r="M625" s="172"/>
    </row>
    <row r="626" spans="1:14" hidden="1" x14ac:dyDescent="0.2">
      <c r="A626" s="46" t="str">
        <f t="shared" si="87"/>
        <v>EMBEDDED DISTRIBUTOR SERVICE CLASSIFICATION - WATERLOO</v>
      </c>
      <c r="B626" s="46" t="s">
        <v>141</v>
      </c>
      <c r="C626" s="115"/>
      <c r="D626" s="173" t="s">
        <v>200</v>
      </c>
      <c r="E626" s="158"/>
      <c r="F626" s="174"/>
      <c r="G626" s="175"/>
      <c r="H626" s="176">
        <f>SUM(H618,H611:H614,H610)</f>
        <v>67869.439999999988</v>
      </c>
      <c r="I626" s="177"/>
      <c r="J626" s="177"/>
      <c r="K626" s="176">
        <f>SUM(K618,K611:K614,K610)</f>
        <v>69797.851999999999</v>
      </c>
      <c r="L626" s="178">
        <f>K626-H626</f>
        <v>1928.4120000000112</v>
      </c>
      <c r="M626" s="179">
        <f>IF((H626)=0,"",(L626/H626))</f>
        <v>2.8413554023725723E-2</v>
      </c>
    </row>
    <row r="627" spans="1:14" hidden="1" x14ac:dyDescent="0.2">
      <c r="A627" s="46" t="str">
        <f t="shared" si="87"/>
        <v>EMBEDDED DISTRIBUTOR SERVICE CLASSIFICATION - WATERLOO</v>
      </c>
      <c r="B627" s="46" t="s">
        <v>141</v>
      </c>
      <c r="C627" s="115"/>
      <c r="D627" s="180" t="s">
        <v>196</v>
      </c>
      <c r="E627" s="158"/>
      <c r="F627" s="174">
        <v>0.13</v>
      </c>
      <c r="G627" s="175"/>
      <c r="H627" s="182">
        <f>H626*F627</f>
        <v>8823.0271999999986</v>
      </c>
      <c r="I627" s="174">
        <v>0.13</v>
      </c>
      <c r="J627" s="183"/>
      <c r="K627" s="182">
        <f>K626*I627</f>
        <v>9073.7207600000002</v>
      </c>
      <c r="L627" s="124">
        <f>K627-H627</f>
        <v>250.69356000000153</v>
      </c>
      <c r="M627" s="184">
        <f>IF((H627)=0,"",(L627/H627))</f>
        <v>2.841355402372573E-2</v>
      </c>
    </row>
    <row r="628" spans="1:14" ht="15" hidden="1" x14ac:dyDescent="0.25">
      <c r="A628" s="46" t="str">
        <f t="shared" si="87"/>
        <v>EMBEDDED DISTRIBUTOR SERVICE CLASSIFICATION - WATERLOO</v>
      </c>
      <c r="B628" s="46" t="s">
        <v>141</v>
      </c>
      <c r="C628" s="115"/>
      <c r="D628" s="180" t="s">
        <v>197</v>
      </c>
      <c r="E628"/>
      <c r="F628" s="185">
        <v>0.11700000000000001</v>
      </c>
      <c r="G628" s="175"/>
      <c r="H628" s="182">
        <f>IF(OR(ISNUMBER(SEARCH("[DGEN]", E582))=TRUE, ISNUMBER(SEARCH("STREET LIGHT", E582))=TRUE), 0, IF(AND(E584=0, E585=0),0, IF(AND(E585=0, E584*12&gt;250000), 0, IF(AND(E584=0, E585&gt;=50), 0, IF(E584*12&lt;=250000, F628*H626*-1, IF(E585&lt;50, F628*H626*-1, 0))))))</f>
        <v>0</v>
      </c>
      <c r="I628" s="185">
        <v>0.11700000000000001</v>
      </c>
      <c r="J628" s="183"/>
      <c r="K628" s="182">
        <f>IF(OR(ISNUMBER(SEARCH("[DGEN]", E582))=TRUE, ISNUMBER(SEARCH("STREET LIGHT", E582))=TRUE), 0, IF(AND(E584=0, E585=0),0, IF(AND(E585=0, E584*12&gt;250000), 0, IF(AND(E584=0, E585&gt;=50), 0, IF(E584*12&lt;=250000, I628*K626*-1, IF(E585&lt;50, I628*K626*-1, 0))))))</f>
        <v>0</v>
      </c>
      <c r="L628" s="124"/>
      <c r="M628" s="184"/>
    </row>
    <row r="629" spans="1:14" hidden="1" x14ac:dyDescent="0.2">
      <c r="A629" s="46" t="str">
        <f t="shared" si="87"/>
        <v>EMBEDDED DISTRIBUTOR SERVICE CLASSIFICATION - WATERLOO</v>
      </c>
      <c r="B629" s="46" t="s">
        <v>201</v>
      </c>
      <c r="C629" s="115"/>
      <c r="D629" s="186" t="s">
        <v>200</v>
      </c>
      <c r="E629" s="186"/>
      <c r="F629" s="194"/>
      <c r="G629" s="195"/>
      <c r="H629" s="189">
        <f>SUM(H626,H627)</f>
        <v>76692.467199999985</v>
      </c>
      <c r="I629" s="196"/>
      <c r="J629" s="196"/>
      <c r="K629" s="189">
        <f>SUM(K626,K627)</f>
        <v>78871.572759999995</v>
      </c>
      <c r="L629" s="197">
        <f>K629-H629</f>
        <v>2179.1055600000109</v>
      </c>
      <c r="M629" s="198">
        <f>IF((H629)=0,"",(L629/H629))</f>
        <v>2.8413554023725699E-2</v>
      </c>
    </row>
    <row r="630" spans="1:14" ht="13.5" hidden="1" thickBot="1" x14ac:dyDescent="0.25">
      <c r="A630" s="46" t="str">
        <f t="shared" si="87"/>
        <v>EMBEDDED DISTRIBUTOR SERVICE CLASSIFICATION - WATERLOO</v>
      </c>
      <c r="B630" s="46" t="s">
        <v>141</v>
      </c>
      <c r="C630" s="115"/>
      <c r="D630" s="165"/>
      <c r="E630" s="166"/>
      <c r="F630" s="199"/>
      <c r="G630" s="200"/>
      <c r="H630" s="201"/>
      <c r="I630" s="199"/>
      <c r="J630" s="168"/>
      <c r="K630" s="201"/>
      <c r="L630" s="202"/>
      <c r="M630" s="172"/>
    </row>
    <row r="631" spans="1:14" x14ac:dyDescent="0.2">
      <c r="A631" s="46" t="str">
        <f t="shared" si="87"/>
        <v>EMBEDDED DISTRIBUTOR SERVICE CLASSIFICATION - WATERLOO</v>
      </c>
      <c r="B631" s="46" t="s">
        <v>140</v>
      </c>
      <c r="C631" s="115"/>
      <c r="D631" s="173" t="s">
        <v>202</v>
      </c>
      <c r="E631" s="158"/>
      <c r="F631" s="174"/>
      <c r="G631" s="175"/>
      <c r="H631" s="176">
        <f>SUM(H619,H611:H614,H610)</f>
        <v>67869.439999999988</v>
      </c>
      <c r="I631" s="177"/>
      <c r="J631" s="177"/>
      <c r="K631" s="176">
        <f>SUM(K619,K611:K614,K610)</f>
        <v>69797.851999999999</v>
      </c>
      <c r="L631" s="178">
        <f>K631-H631</f>
        <v>1928.4120000000112</v>
      </c>
      <c r="M631" s="179">
        <f>IF((H631)=0,"",(L631/H631))</f>
        <v>2.8413554023725723E-2</v>
      </c>
    </row>
    <row r="632" spans="1:14" x14ac:dyDescent="0.2">
      <c r="A632" s="46" t="str">
        <f t="shared" si="87"/>
        <v>EMBEDDED DISTRIBUTOR SERVICE CLASSIFICATION - WATERLOO</v>
      </c>
      <c r="B632" s="46" t="s">
        <v>140</v>
      </c>
      <c r="C632" s="115"/>
      <c r="D632" s="180" t="s">
        <v>196</v>
      </c>
      <c r="E632" s="158"/>
      <c r="F632" s="174">
        <v>0.13</v>
      </c>
      <c r="G632" s="175"/>
      <c r="H632" s="182">
        <f>H631*F632</f>
        <v>8823.0271999999986</v>
      </c>
      <c r="I632" s="174">
        <v>0.13</v>
      </c>
      <c r="J632" s="183"/>
      <c r="K632" s="182">
        <f>K631*I632</f>
        <v>9073.7207600000002</v>
      </c>
      <c r="L632" s="124">
        <f>K632-H632</f>
        <v>250.69356000000153</v>
      </c>
      <c r="M632" s="184">
        <f>IF((H632)=0,"",(L632/H632))</f>
        <v>2.841355402372573E-2</v>
      </c>
    </row>
    <row r="633" spans="1:14" ht="15" x14ac:dyDescent="0.25">
      <c r="A633" s="46" t="str">
        <f t="shared" si="87"/>
        <v>EMBEDDED DISTRIBUTOR SERVICE CLASSIFICATION - WATERLOO</v>
      </c>
      <c r="B633" s="46" t="s">
        <v>140</v>
      </c>
      <c r="C633" s="115"/>
      <c r="D633" s="180" t="s">
        <v>197</v>
      </c>
      <c r="E633"/>
      <c r="F633" s="185">
        <v>0.11700000000000001</v>
      </c>
      <c r="G633" s="175"/>
      <c r="H633" s="182">
        <f>IF(OR(ISNUMBER(SEARCH("[DGEN]", E582))=TRUE, ISNUMBER(SEARCH("STREET LIGHT", E582))=TRUE), 0, IF(AND(E584=0, E585=0),0, IF(AND(E585=0, E584*12&gt;250000), 0, IF(AND(E584=0, E585&gt;=50), 0, IF(E584*12&lt;=250000, F633*H631*-1, IF(E585&lt;50, F633*H631*-1, 0))))))</f>
        <v>0</v>
      </c>
      <c r="I633" s="185">
        <v>0.11700000000000001</v>
      </c>
      <c r="J633" s="183"/>
      <c r="K633" s="182">
        <f>IF(OR(ISNUMBER(SEARCH("[DGEN]", E582))=TRUE, ISNUMBER(SEARCH("STREET LIGHT", E582))=TRUE), 0, IF(AND(E584=0, E585=0),0, IF(AND(E585=0, E584*12&gt;250000), 0, IF(AND(E584=0, E585&gt;=50), 0, IF(E584*12&lt;=250000, I633*K631*-1, IF(E585&lt;50, I633*K631*-1, 0))))))</f>
        <v>0</v>
      </c>
      <c r="L633" s="124"/>
      <c r="M633" s="184"/>
    </row>
    <row r="634" spans="1:14" ht="13.5" thickBot="1" x14ac:dyDescent="0.25">
      <c r="A634" s="46" t="str">
        <f t="shared" si="87"/>
        <v>EMBEDDED DISTRIBUTOR SERVICE CLASSIFICATION - WATERLOO</v>
      </c>
      <c r="B634" s="46" t="s">
        <v>203</v>
      </c>
      <c r="C634" s="115">
        <f>B39</f>
        <v>10</v>
      </c>
      <c r="D634" s="186" t="s">
        <v>202</v>
      </c>
      <c r="E634" s="186"/>
      <c r="F634" s="194"/>
      <c r="G634" s="195"/>
      <c r="H634" s="189">
        <f>SUM(H631,H632)</f>
        <v>76692.467199999985</v>
      </c>
      <c r="I634" s="196"/>
      <c r="J634" s="196"/>
      <c r="K634" s="189">
        <f>SUM(K631,K632)</f>
        <v>78871.572759999995</v>
      </c>
      <c r="L634" s="197">
        <f>K634-H634</f>
        <v>2179.1055600000109</v>
      </c>
      <c r="M634" s="198">
        <f>IF((H634)=0,"",(L634/H634))</f>
        <v>2.8413554023725699E-2</v>
      </c>
    </row>
    <row r="635" spans="1:14" ht="13.5" thickBot="1" x14ac:dyDescent="0.25">
      <c r="A635" s="46" t="str">
        <f t="shared" si="87"/>
        <v>EMBEDDED DISTRIBUTOR SERVICE CLASSIFICATION - WATERLOO</v>
      </c>
      <c r="B635" s="46" t="s">
        <v>140</v>
      </c>
      <c r="C635" s="115"/>
      <c r="D635" s="165"/>
      <c r="E635" s="166"/>
      <c r="F635" s="203"/>
      <c r="G635" s="200"/>
      <c r="H635" s="204"/>
      <c r="I635" s="203"/>
      <c r="J635" s="168"/>
      <c r="K635" s="204"/>
      <c r="L635" s="202"/>
      <c r="M635" s="205"/>
    </row>
    <row r="638" spans="1:14" x14ac:dyDescent="0.2">
      <c r="C638" s="46"/>
      <c r="D638" s="90" t="s">
        <v>150</v>
      </c>
      <c r="E638" s="91" t="str">
        <f>D40</f>
        <v>EMBEDDED DISTRIBUTOR SERVICE CLASSIFICATION - BRANTFORD</v>
      </c>
      <c r="F638" s="91"/>
      <c r="G638" s="91"/>
      <c r="H638" s="91"/>
      <c r="I638" s="91"/>
      <c r="J638" s="91"/>
      <c r="K638" s="46" t="str">
        <f>IF(N40="DEMAND - INTERVAL","RTSR - INTERVAL METERED","")</f>
        <v/>
      </c>
    </row>
    <row r="639" spans="1:14" x14ac:dyDescent="0.2">
      <c r="C639" s="46"/>
      <c r="D639" s="90" t="s">
        <v>151</v>
      </c>
      <c r="E639" s="92" t="str">
        <f>H40</f>
        <v>Non-RPP (Other)</v>
      </c>
      <c r="F639" s="92"/>
      <c r="G639" s="92"/>
      <c r="H639" s="93"/>
      <c r="I639" s="93"/>
    </row>
    <row r="640" spans="1:14" ht="15.75" x14ac:dyDescent="0.2">
      <c r="C640" s="46"/>
      <c r="D640" s="90" t="s">
        <v>152</v>
      </c>
      <c r="E640" s="94">
        <f>K40</f>
        <v>50000</v>
      </c>
      <c r="F640" s="95" t="s">
        <v>153</v>
      </c>
      <c r="J640" s="96"/>
      <c r="K640" s="96"/>
      <c r="L640" s="96"/>
      <c r="M640" s="96"/>
      <c r="N640" s="96"/>
    </row>
    <row r="641" spans="1:13" ht="15.75" x14ac:dyDescent="0.25">
      <c r="C641" s="46"/>
      <c r="D641" s="90" t="s">
        <v>154</v>
      </c>
      <c r="E641" s="94">
        <f>L40</f>
        <v>27</v>
      </c>
      <c r="F641" s="97" t="s">
        <v>155</v>
      </c>
      <c r="G641" s="98"/>
      <c r="H641" s="99"/>
      <c r="I641" s="99"/>
      <c r="J641" s="99"/>
    </row>
    <row r="642" spans="1:13" x14ac:dyDescent="0.2">
      <c r="C642" s="46"/>
      <c r="D642" s="90" t="s">
        <v>156</v>
      </c>
      <c r="E642" s="100">
        <f>I40</f>
        <v>1.0306999999999999</v>
      </c>
    </row>
    <row r="643" spans="1:13" x14ac:dyDescent="0.2">
      <c r="C643" s="46"/>
      <c r="D643" s="90" t="s">
        <v>157</v>
      </c>
      <c r="E643" s="100">
        <f>J40</f>
        <v>1.0306999999999999</v>
      </c>
    </row>
    <row r="644" spans="1:13" x14ac:dyDescent="0.2">
      <c r="C644" s="46"/>
    </row>
    <row r="645" spans="1:13" x14ac:dyDescent="0.2">
      <c r="C645" s="46"/>
      <c r="E645" s="95"/>
      <c r="F645" s="101" t="s">
        <v>204</v>
      </c>
      <c r="G645" s="102"/>
      <c r="H645" s="103"/>
      <c r="I645" s="101" t="s">
        <v>205</v>
      </c>
      <c r="J645" s="102"/>
      <c r="K645" s="103"/>
      <c r="L645" s="101" t="s">
        <v>158</v>
      </c>
      <c r="M645" s="103"/>
    </row>
    <row r="646" spans="1:13" x14ac:dyDescent="0.2">
      <c r="C646" s="46"/>
      <c r="E646" s="104"/>
      <c r="F646" s="105" t="s">
        <v>159</v>
      </c>
      <c r="G646" s="105" t="s">
        <v>160</v>
      </c>
      <c r="H646" s="106" t="s">
        <v>161</v>
      </c>
      <c r="I646" s="105" t="s">
        <v>159</v>
      </c>
      <c r="J646" s="107" t="s">
        <v>160</v>
      </c>
      <c r="K646" s="106" t="s">
        <v>161</v>
      </c>
      <c r="L646" s="108" t="s">
        <v>162</v>
      </c>
      <c r="M646" s="109" t="s">
        <v>163</v>
      </c>
    </row>
    <row r="647" spans="1:13" x14ac:dyDescent="0.2">
      <c r="C647" s="46"/>
      <c r="E647" s="110"/>
      <c r="F647" s="111" t="s">
        <v>164</v>
      </c>
      <c r="G647" s="111"/>
      <c r="H647" s="112" t="s">
        <v>164</v>
      </c>
      <c r="I647" s="111" t="s">
        <v>164</v>
      </c>
      <c r="J647" s="112"/>
      <c r="K647" s="112" t="s">
        <v>164</v>
      </c>
      <c r="L647" s="113"/>
      <c r="M647" s="114"/>
    </row>
    <row r="648" spans="1:13" x14ac:dyDescent="0.2">
      <c r="A648" s="46" t="str">
        <f>$E638</f>
        <v>EMBEDDED DISTRIBUTOR SERVICE CLASSIFICATION - BRANTFORD</v>
      </c>
      <c r="C648" s="115"/>
      <c r="D648" s="116" t="s">
        <v>165</v>
      </c>
      <c r="E648" s="117"/>
      <c r="F648" s="118">
        <v>0</v>
      </c>
      <c r="G648" s="119">
        <v>1</v>
      </c>
      <c r="H648" s="120">
        <f>G648*F648</f>
        <v>0</v>
      </c>
      <c r="I648" s="121">
        <v>0</v>
      </c>
      <c r="J648" s="122">
        <f>G648</f>
        <v>1</v>
      </c>
      <c r="K648" s="123">
        <f>J648*I648</f>
        <v>0</v>
      </c>
      <c r="L648" s="124">
        <f t="shared" ref="L648:L669" si="92">K648-H648</f>
        <v>0</v>
      </c>
      <c r="M648" s="125" t="str">
        <f>IF(ISERROR(L648/H648), "", L648/H648)</f>
        <v/>
      </c>
    </row>
    <row r="649" spans="1:13" x14ac:dyDescent="0.2">
      <c r="A649" s="46" t="str">
        <f>A648</f>
        <v>EMBEDDED DISTRIBUTOR SERVICE CLASSIFICATION - BRANTFORD</v>
      </c>
      <c r="C649" s="115"/>
      <c r="D649" s="116" t="s">
        <v>30</v>
      </c>
      <c r="E649" s="117"/>
      <c r="F649" s="126">
        <v>10.0517</v>
      </c>
      <c r="G649" s="119">
        <f>IF($E641&gt;0, $E641, $E640)</f>
        <v>27</v>
      </c>
      <c r="H649" s="120">
        <f t="shared" ref="H649:H661" si="93">G649*F649</f>
        <v>271.39589999999998</v>
      </c>
      <c r="I649" s="127">
        <v>10.4085</v>
      </c>
      <c r="J649" s="122">
        <f>IF($E641&gt;0, $E641, $E640)</f>
        <v>27</v>
      </c>
      <c r="K649" s="123">
        <f>J649*I649</f>
        <v>281.02949999999998</v>
      </c>
      <c r="L649" s="124">
        <f t="shared" si="92"/>
        <v>9.6336000000000013</v>
      </c>
      <c r="M649" s="125">
        <f t="shared" ref="M649:M659" si="94">IF(ISERROR(L649/H649), "", L649/H649)</f>
        <v>3.5496483181949326E-2</v>
      </c>
    </row>
    <row r="650" spans="1:13" hidden="1" x14ac:dyDescent="0.2">
      <c r="A650" s="46" t="str">
        <f t="shared" ref="A650:A691" si="95">A649</f>
        <v>EMBEDDED DISTRIBUTOR SERVICE CLASSIFICATION - BRANTFORD</v>
      </c>
      <c r="C650" s="115"/>
      <c r="D650" s="116" t="s">
        <v>166</v>
      </c>
      <c r="E650" s="117"/>
      <c r="F650" s="126"/>
      <c r="G650" s="119">
        <f>IF($E641&gt;0, $E641, $E640)</f>
        <v>27</v>
      </c>
      <c r="H650" s="120">
        <v>0</v>
      </c>
      <c r="I650" s="127"/>
      <c r="J650" s="122">
        <f>IF($E641&gt;0, $E641, $E640)</f>
        <v>27</v>
      </c>
      <c r="K650" s="123">
        <v>0</v>
      </c>
      <c r="L650" s="124"/>
      <c r="M650" s="125"/>
    </row>
    <row r="651" spans="1:13" hidden="1" x14ac:dyDescent="0.2">
      <c r="A651" s="46" t="str">
        <f t="shared" si="95"/>
        <v>EMBEDDED DISTRIBUTOR SERVICE CLASSIFICATION - BRANTFORD</v>
      </c>
      <c r="C651" s="115"/>
      <c r="D651" s="116" t="s">
        <v>167</v>
      </c>
      <c r="E651" s="117"/>
      <c r="F651" s="126"/>
      <c r="G651" s="119">
        <f>IF($E641&gt;0, $E641, $E640)</f>
        <v>27</v>
      </c>
      <c r="H651" s="120">
        <v>0</v>
      </c>
      <c r="I651" s="127"/>
      <c r="J651" s="128">
        <f>IF($E641&gt;0, $E641, $E640)</f>
        <v>27</v>
      </c>
      <c r="K651" s="123">
        <v>0</v>
      </c>
      <c r="L651" s="124">
        <f>K651-H651</f>
        <v>0</v>
      </c>
      <c r="M651" s="125" t="str">
        <f>IF(ISERROR(L651/H651), "", L651/H651)</f>
        <v/>
      </c>
    </row>
    <row r="652" spans="1:13" x14ac:dyDescent="0.2">
      <c r="A652" s="46" t="str">
        <f t="shared" si="95"/>
        <v>EMBEDDED DISTRIBUTOR SERVICE CLASSIFICATION - BRANTFORD</v>
      </c>
      <c r="C652" s="115"/>
      <c r="D652" s="116" t="s">
        <v>168</v>
      </c>
      <c r="E652" s="117"/>
      <c r="F652" s="118">
        <v>113.95</v>
      </c>
      <c r="G652" s="119">
        <v>1</v>
      </c>
      <c r="H652" s="120">
        <f t="shared" si="93"/>
        <v>113.95</v>
      </c>
      <c r="I652" s="121">
        <v>113.95</v>
      </c>
      <c r="J652" s="122">
        <f>G652</f>
        <v>1</v>
      </c>
      <c r="K652" s="123">
        <f t="shared" ref="K652:K659" si="96">J652*I652</f>
        <v>113.95</v>
      </c>
      <c r="L652" s="124">
        <f t="shared" si="92"/>
        <v>0</v>
      </c>
      <c r="M652" s="125">
        <f t="shared" si="94"/>
        <v>0</v>
      </c>
    </row>
    <row r="653" spans="1:13" x14ac:dyDescent="0.2">
      <c r="A653" s="46" t="str">
        <f t="shared" si="95"/>
        <v>EMBEDDED DISTRIBUTOR SERVICE CLASSIFICATION - BRANTFORD</v>
      </c>
      <c r="C653" s="115"/>
      <c r="D653" s="116" t="s">
        <v>169</v>
      </c>
      <c r="E653" s="117"/>
      <c r="F653" s="126">
        <v>0</v>
      </c>
      <c r="G653" s="119">
        <f>IF($E641&gt;0, $E641, $E640)</f>
        <v>27</v>
      </c>
      <c r="H653" s="120">
        <f t="shared" si="93"/>
        <v>0</v>
      </c>
      <c r="I653" s="127">
        <v>0</v>
      </c>
      <c r="J653" s="122">
        <f>IF($E641&gt;0, $E641, $E640)</f>
        <v>27</v>
      </c>
      <c r="K653" s="123">
        <f t="shared" si="96"/>
        <v>0</v>
      </c>
      <c r="L653" s="124">
        <f t="shared" si="92"/>
        <v>0</v>
      </c>
      <c r="M653" s="125" t="str">
        <f t="shared" si="94"/>
        <v/>
      </c>
    </row>
    <row r="654" spans="1:13" x14ac:dyDescent="0.2">
      <c r="A654" s="46" t="str">
        <f t="shared" si="95"/>
        <v>EMBEDDED DISTRIBUTOR SERVICE CLASSIFICATION - BRANTFORD</v>
      </c>
      <c r="B654" s="46" t="s">
        <v>170</v>
      </c>
      <c r="C654" s="115">
        <f>B40</f>
        <v>11</v>
      </c>
      <c r="D654" s="129" t="s">
        <v>171</v>
      </c>
      <c r="E654" s="130"/>
      <c r="F654" s="131"/>
      <c r="G654" s="132"/>
      <c r="H654" s="133">
        <f>SUM(H648:H653)</f>
        <v>385.34589999999997</v>
      </c>
      <c r="I654" s="134"/>
      <c r="J654" s="135"/>
      <c r="K654" s="133">
        <f>SUM(K648:K653)</f>
        <v>394.97949999999997</v>
      </c>
      <c r="L654" s="136">
        <f t="shared" si="92"/>
        <v>9.6336000000000013</v>
      </c>
      <c r="M654" s="137">
        <f>IF((H654)=0,"",(L654/H654))</f>
        <v>2.4999876734123815E-2</v>
      </c>
    </row>
    <row r="655" spans="1:13" x14ac:dyDescent="0.2">
      <c r="A655" s="46" t="str">
        <f t="shared" si="95"/>
        <v>EMBEDDED DISTRIBUTOR SERVICE CLASSIFICATION - BRANTFORD</v>
      </c>
      <c r="C655" s="115"/>
      <c r="D655" s="138" t="s">
        <v>172</v>
      </c>
      <c r="E655" s="117"/>
      <c r="F655" s="126">
        <f>IF((E640*12&gt;=150000), 0, IF(E639="RPP",(F671*0.64+F672*0.18+F673*0.18),IF(E639="Non-RPP (Retailer)",F674,F675)))</f>
        <v>0</v>
      </c>
      <c r="G655" s="139">
        <f>IF(F655=0, 0, $E640*E642-E640)</f>
        <v>0</v>
      </c>
      <c r="H655" s="120">
        <f>G655*F655</f>
        <v>0</v>
      </c>
      <c r="I655" s="127">
        <f>IF((E640*12&gt;=150000), 0, IF(E639="RPP",(I671*0.64+I672*0.18+I673*0.18),IF(E639="Non-RPP (Retailer)",I674,I675)))</f>
        <v>0</v>
      </c>
      <c r="J655" s="140">
        <f>IF(I655=0, 0, E640*E643-E640)</f>
        <v>0</v>
      </c>
      <c r="K655" s="123">
        <f>J655*I655</f>
        <v>0</v>
      </c>
      <c r="L655" s="124">
        <f>K655-H655</f>
        <v>0</v>
      </c>
      <c r="M655" s="125" t="str">
        <f>IF(ISERROR(L655/H655), "", L655/H655)</f>
        <v/>
      </c>
    </row>
    <row r="656" spans="1:13" ht="25.5" x14ac:dyDescent="0.2">
      <c r="A656" s="46" t="str">
        <f t="shared" si="95"/>
        <v>EMBEDDED DISTRIBUTOR SERVICE CLASSIFICATION - BRANTFORD</v>
      </c>
      <c r="C656" s="115"/>
      <c r="D656" s="138" t="s">
        <v>173</v>
      </c>
      <c r="E656" s="117"/>
      <c r="F656" s="126">
        <v>0.43230000000000002</v>
      </c>
      <c r="G656" s="141">
        <f>IF($E641&gt;0, $E641, $E640)</f>
        <v>27</v>
      </c>
      <c r="H656" s="120">
        <f t="shared" si="93"/>
        <v>11.6721</v>
      </c>
      <c r="I656" s="127">
        <f>'Proposed Tariff'!D371+'Proposed Tariff'!D369</f>
        <v>2.5232000000000001</v>
      </c>
      <c r="J656" s="142">
        <f>IF($E641&gt;0, $E641, $E640)</f>
        <v>27</v>
      </c>
      <c r="K656" s="123">
        <f t="shared" si="96"/>
        <v>68.126400000000004</v>
      </c>
      <c r="L656" s="124">
        <f t="shared" si="92"/>
        <v>56.454300000000003</v>
      </c>
      <c r="M656" s="125">
        <f t="shared" si="94"/>
        <v>4.8366874855424475</v>
      </c>
    </row>
    <row r="657" spans="1:14" x14ac:dyDescent="0.2">
      <c r="A657" s="46" t="str">
        <f t="shared" si="95"/>
        <v>EMBEDDED DISTRIBUTOR SERVICE CLASSIFICATION - BRANTFORD</v>
      </c>
      <c r="C657" s="115"/>
      <c r="D657" s="138" t="s">
        <v>174</v>
      </c>
      <c r="E657" s="117"/>
      <c r="F657" s="126">
        <v>0</v>
      </c>
      <c r="G657" s="141">
        <f>IF($E641&gt;0, $E641, $E640)</f>
        <v>27</v>
      </c>
      <c r="H657" s="120">
        <f>G657*F657</f>
        <v>0</v>
      </c>
      <c r="I657" s="127">
        <f>'Proposed Tariff'!D370</f>
        <v>-3.6900000000000002E-2</v>
      </c>
      <c r="J657" s="142">
        <f>IF($E641&gt;0, $E641, $E640)</f>
        <v>27</v>
      </c>
      <c r="K657" s="123">
        <f>J657*I657</f>
        <v>-0.99630000000000007</v>
      </c>
      <c r="L657" s="124">
        <f t="shared" si="92"/>
        <v>-0.99630000000000007</v>
      </c>
      <c r="M657" s="125" t="str">
        <f t="shared" si="94"/>
        <v/>
      </c>
    </row>
    <row r="658" spans="1:14" x14ac:dyDescent="0.2">
      <c r="A658" s="46" t="str">
        <f t="shared" si="95"/>
        <v>EMBEDDED DISTRIBUTOR SERVICE CLASSIFICATION - BRANTFORD</v>
      </c>
      <c r="C658" s="115"/>
      <c r="D658" s="138" t="s">
        <v>175</v>
      </c>
      <c r="E658" s="117"/>
      <c r="F658" s="126">
        <v>1.6000000000000001E-3</v>
      </c>
      <c r="G658" s="141">
        <f>E640</f>
        <v>50000</v>
      </c>
      <c r="H658" s="120">
        <f>G658*F658</f>
        <v>80</v>
      </c>
      <c r="I658" s="127">
        <f>'Proposed Tariff'!D368</f>
        <v>-4.4999999999999997E-3</v>
      </c>
      <c r="J658" s="142">
        <f>E640</f>
        <v>50000</v>
      </c>
      <c r="K658" s="123">
        <f t="shared" si="96"/>
        <v>-224.99999999999997</v>
      </c>
      <c r="L658" s="124">
        <f t="shared" si="92"/>
        <v>-305</v>
      </c>
      <c r="M658" s="125">
        <f t="shared" si="94"/>
        <v>-3.8125</v>
      </c>
    </row>
    <row r="659" spans="1:14" x14ac:dyDescent="0.2">
      <c r="A659" s="46" t="str">
        <f t="shared" si="95"/>
        <v>EMBEDDED DISTRIBUTOR SERVICE CLASSIFICATION - BRANTFORD</v>
      </c>
      <c r="C659" s="115"/>
      <c r="D659" s="116" t="s">
        <v>176</v>
      </c>
      <c r="E659" s="117"/>
      <c r="F659" s="126">
        <v>0.10299999999999999</v>
      </c>
      <c r="G659" s="141">
        <f>IF($E641&gt;0, $E641, $E640)</f>
        <v>27</v>
      </c>
      <c r="H659" s="120">
        <f t="shared" si="93"/>
        <v>2.7809999999999997</v>
      </c>
      <c r="I659" s="127">
        <v>0.10299999999999999</v>
      </c>
      <c r="J659" s="142">
        <f>IF($E641&gt;0, $E641, $E640)</f>
        <v>27</v>
      </c>
      <c r="K659" s="123">
        <f t="shared" si="96"/>
        <v>2.7809999999999997</v>
      </c>
      <c r="L659" s="124">
        <f t="shared" si="92"/>
        <v>0</v>
      </c>
      <c r="M659" s="125">
        <f t="shared" si="94"/>
        <v>0</v>
      </c>
    </row>
    <row r="660" spans="1:14" ht="25.5" x14ac:dyDescent="0.2">
      <c r="A660" s="46" t="str">
        <f t="shared" si="95"/>
        <v>EMBEDDED DISTRIBUTOR SERVICE CLASSIFICATION - BRANTFORD</v>
      </c>
      <c r="C660" s="115"/>
      <c r="D660" s="138" t="s">
        <v>177</v>
      </c>
      <c r="E660" s="117"/>
      <c r="F660" s="143">
        <f>IF(OR(ISNUMBER(SEARCH("RESIDENTIAL", E638))=TRUE, ISNUMBER(SEARCH("GENERAL SERVICE LESS THAN 50", E638))=TRUE), 0.43, 0)</f>
        <v>0</v>
      </c>
      <c r="G660" s="119">
        <v>1</v>
      </c>
      <c r="H660" s="120">
        <f>G660*F660</f>
        <v>0</v>
      </c>
      <c r="I660" s="144">
        <f>IF(OR(ISNUMBER(SEARCH("RESIDENTIAL", E638))=TRUE, ISNUMBER(SEARCH("GENERAL SERVICE LESS THAN 50", E638))=TRUE), SME, 0)</f>
        <v>0</v>
      </c>
      <c r="J660" s="128">
        <v>1</v>
      </c>
      <c r="K660" s="123">
        <f>J660*I660</f>
        <v>0</v>
      </c>
      <c r="L660" s="124">
        <f t="shared" si="92"/>
        <v>0</v>
      </c>
      <c r="M660" s="125" t="str">
        <f>IF(ISERROR(L660/H660), "", L660/H660)</f>
        <v/>
      </c>
    </row>
    <row r="661" spans="1:14" x14ac:dyDescent="0.2">
      <c r="A661" s="46" t="str">
        <f t="shared" si="95"/>
        <v>EMBEDDED DISTRIBUTOR SERVICE CLASSIFICATION - BRANTFORD</v>
      </c>
      <c r="C661" s="115"/>
      <c r="D661" s="116" t="s">
        <v>178</v>
      </c>
      <c r="E661" s="117"/>
      <c r="F661" s="118">
        <v>0</v>
      </c>
      <c r="G661" s="119">
        <v>1</v>
      </c>
      <c r="H661" s="120">
        <f t="shared" si="93"/>
        <v>0</v>
      </c>
      <c r="I661" s="121">
        <v>0</v>
      </c>
      <c r="J661" s="128">
        <v>1</v>
      </c>
      <c r="K661" s="123">
        <f>J661*I661</f>
        <v>0</v>
      </c>
      <c r="L661" s="124">
        <f>K661-H661</f>
        <v>0</v>
      </c>
      <c r="M661" s="125" t="str">
        <f>IF(ISERROR(L661/H661), "", L661/H661)</f>
        <v/>
      </c>
    </row>
    <row r="662" spans="1:14" x14ac:dyDescent="0.2">
      <c r="A662" s="46" t="str">
        <f t="shared" si="95"/>
        <v>EMBEDDED DISTRIBUTOR SERVICE CLASSIFICATION - BRANTFORD</v>
      </c>
      <c r="C662" s="115"/>
      <c r="D662" s="116" t="s">
        <v>179</v>
      </c>
      <c r="E662" s="117"/>
      <c r="F662" s="126">
        <v>0</v>
      </c>
      <c r="G662" s="141">
        <f>IF($E641&gt;0, $E641, $E640)</f>
        <v>27</v>
      </c>
      <c r="H662" s="120">
        <f>G662*F662</f>
        <v>0</v>
      </c>
      <c r="I662" s="127">
        <v>0</v>
      </c>
      <c r="J662" s="142">
        <f>IF($E641&gt;0, $E641, $E640)</f>
        <v>27</v>
      </c>
      <c r="K662" s="123">
        <f>J662*I662</f>
        <v>0</v>
      </c>
      <c r="L662" s="124">
        <f t="shared" si="92"/>
        <v>0</v>
      </c>
      <c r="M662" s="125" t="str">
        <f>IF(ISERROR(L662/H662), "", L662/H662)</f>
        <v/>
      </c>
    </row>
    <row r="663" spans="1:14" ht="25.5" x14ac:dyDescent="0.2">
      <c r="A663" s="46" t="str">
        <f t="shared" si="95"/>
        <v>EMBEDDED DISTRIBUTOR SERVICE CLASSIFICATION - BRANTFORD</v>
      </c>
      <c r="B663" s="46" t="s">
        <v>180</v>
      </c>
      <c r="C663" s="115">
        <f>B40</f>
        <v>11</v>
      </c>
      <c r="D663" s="145" t="s">
        <v>181</v>
      </c>
      <c r="E663" s="146"/>
      <c r="F663" s="147"/>
      <c r="G663" s="148"/>
      <c r="H663" s="149">
        <f>SUM(H654:H662)</f>
        <v>479.79899999999998</v>
      </c>
      <c r="I663" s="150"/>
      <c r="J663" s="151"/>
      <c r="K663" s="149">
        <f>SUM(K654:K662)</f>
        <v>239.89059999999998</v>
      </c>
      <c r="L663" s="136">
        <f t="shared" si="92"/>
        <v>-239.9084</v>
      </c>
      <c r="M663" s="137">
        <f>IF((H663)=0,"",(L663/H663))</f>
        <v>-0.50001854943424229</v>
      </c>
    </row>
    <row r="664" spans="1:14" x14ac:dyDescent="0.2">
      <c r="A664" s="46" t="str">
        <f t="shared" si="95"/>
        <v>EMBEDDED DISTRIBUTOR SERVICE CLASSIFICATION - BRANTFORD</v>
      </c>
      <c r="C664" s="115"/>
      <c r="D664" s="152" t="s">
        <v>182</v>
      </c>
      <c r="E664" s="117"/>
      <c r="F664" s="126">
        <v>3.8521000000000001</v>
      </c>
      <c r="G664" s="139">
        <f>IF($E641&gt;0, $E641, $E640*$E642)</f>
        <v>27</v>
      </c>
      <c r="H664" s="120">
        <f>G664*F664</f>
        <v>104.0067</v>
      </c>
      <c r="I664" s="153">
        <v>3.9849999999999999</v>
      </c>
      <c r="J664" s="140">
        <f>IF($E641&gt;0, $E641, $E640*$E643)</f>
        <v>27</v>
      </c>
      <c r="K664" s="123">
        <f>J664*I664</f>
        <v>107.595</v>
      </c>
      <c r="L664" s="124">
        <f t="shared" si="92"/>
        <v>3.5883000000000038</v>
      </c>
      <c r="M664" s="125">
        <f>IF(ISERROR(L664/H664), "", L664/H664)</f>
        <v>3.4500661976584239E-2</v>
      </c>
      <c r="N664" s="154" t="str">
        <f>IF(ISERROR(ABS(M664)), "", IF(ABS(M664)&gt;=4%, "In the manager's summary, discuss the reasoning for the change in RTSR rates", ""))</f>
        <v/>
      </c>
    </row>
    <row r="665" spans="1:14" ht="25.5" x14ac:dyDescent="0.2">
      <c r="A665" s="46" t="str">
        <f t="shared" si="95"/>
        <v>EMBEDDED DISTRIBUTOR SERVICE CLASSIFICATION - BRANTFORD</v>
      </c>
      <c r="C665" s="115"/>
      <c r="D665" s="155" t="s">
        <v>183</v>
      </c>
      <c r="E665" s="117"/>
      <c r="F665" s="126">
        <v>1.8946000000000001</v>
      </c>
      <c r="G665" s="139">
        <f>IF($E641&gt;0, $E641, $E640*$E642)</f>
        <v>27</v>
      </c>
      <c r="H665" s="120">
        <f>G665*F665</f>
        <v>51.154200000000003</v>
      </c>
      <c r="I665" s="153">
        <v>1.8191999999999999</v>
      </c>
      <c r="J665" s="140">
        <f>IF($E641&gt;0, $E641, $E640*$E643)</f>
        <v>27</v>
      </c>
      <c r="K665" s="123">
        <f>J665*I665</f>
        <v>49.118400000000001</v>
      </c>
      <c r="L665" s="124">
        <f t="shared" si="92"/>
        <v>-2.0358000000000018</v>
      </c>
      <c r="M665" s="125">
        <f>IF(ISERROR(L665/H665), "", L665/H665)</f>
        <v>-3.9797318695239135E-2</v>
      </c>
      <c r="N665" s="154" t="str">
        <f>IF(ISERROR(ABS(M665)), "", IF(ABS(M665)&gt;=4%, "In the manager's summary, discuss the reasoning for the change in RTSR rates", ""))</f>
        <v/>
      </c>
    </row>
    <row r="666" spans="1:14" ht="25.5" x14ac:dyDescent="0.2">
      <c r="A666" s="46" t="str">
        <f t="shared" si="95"/>
        <v>EMBEDDED DISTRIBUTOR SERVICE CLASSIFICATION - BRANTFORD</v>
      </c>
      <c r="B666" s="46" t="s">
        <v>184</v>
      </c>
      <c r="C666" s="115">
        <f>B40</f>
        <v>11</v>
      </c>
      <c r="D666" s="145" t="s">
        <v>185</v>
      </c>
      <c r="E666" s="130"/>
      <c r="F666" s="147"/>
      <c r="G666" s="148"/>
      <c r="H666" s="149">
        <f>SUM(H663:H665)</f>
        <v>634.95990000000006</v>
      </c>
      <c r="I666" s="150"/>
      <c r="J666" s="135"/>
      <c r="K666" s="149">
        <f>SUM(K663:K665)</f>
        <v>396.60399999999998</v>
      </c>
      <c r="L666" s="136">
        <f t="shared" si="92"/>
        <v>-238.35590000000008</v>
      </c>
      <c r="M666" s="137">
        <f>IF((H666)=0,"",(L666/H666))</f>
        <v>-0.37538732760919241</v>
      </c>
    </row>
    <row r="667" spans="1:14" ht="25.5" x14ac:dyDescent="0.2">
      <c r="A667" s="46" t="str">
        <f t="shared" si="95"/>
        <v>EMBEDDED DISTRIBUTOR SERVICE CLASSIFICATION - BRANTFORD</v>
      </c>
      <c r="C667" s="115"/>
      <c r="D667" s="156" t="s">
        <v>186</v>
      </c>
      <c r="E667" s="117"/>
      <c r="F667" s="126">
        <f>IF(AND('[1]1. Information Sheet'!$F$26:$H$26&gt;='[1]17. Regulatory Charges'!$D$14,'[1]1. Information Sheet'!$F$26:$H$26&lt;'[1]17. Regulatory Charges'!$E$14),'[1]17. Regulatory Charges'!$D$15+'[1]17. Regulatory Charges'!$D$16,'[1]17. Regulatory Charges'!$E$15+'[1]17. Regulatory Charges'!$E$16)</f>
        <v>3.4000000000000002E-3</v>
      </c>
      <c r="G667" s="139">
        <f>E640*E642</f>
        <v>51535</v>
      </c>
      <c r="H667" s="157">
        <f t="shared" ref="H667:H673" si="97">G667*F667</f>
        <v>175.21900000000002</v>
      </c>
      <c r="I667" s="127">
        <f>'[1]17. Regulatory Charges'!$E$15+'[1]17. Regulatory Charges'!$E$16</f>
        <v>3.4000000000000002E-3</v>
      </c>
      <c r="J667" s="140">
        <f>E640*E643</f>
        <v>51535</v>
      </c>
      <c r="K667" s="123">
        <f t="shared" ref="K667:K673" si="98">J667*I667</f>
        <v>175.21900000000002</v>
      </c>
      <c r="L667" s="124">
        <f t="shared" si="92"/>
        <v>0</v>
      </c>
      <c r="M667" s="125">
        <f t="shared" ref="M667:M675" si="99">IF(ISERROR(L667/H667), "", L667/H667)</f>
        <v>0</v>
      </c>
    </row>
    <row r="668" spans="1:14" ht="25.5" x14ac:dyDescent="0.2">
      <c r="A668" s="46" t="str">
        <f t="shared" si="95"/>
        <v>EMBEDDED DISTRIBUTOR SERVICE CLASSIFICATION - BRANTFORD</v>
      </c>
      <c r="C668" s="115"/>
      <c r="D668" s="156" t="s">
        <v>187</v>
      </c>
      <c r="E668" s="117"/>
      <c r="F668" s="126">
        <f>IF(AND('[1]1. Information Sheet'!$F$26:$H$26&gt;='[1]17. Regulatory Charges'!$D$14,'[1]1. Information Sheet'!$F$26:$H$26&lt;'[1]17. Regulatory Charges'!$D$14),'[1]17. Regulatory Charges'!$D$17,'[1]17. Regulatory Charges'!$E$17)</f>
        <v>5.0000000000000001E-4</v>
      </c>
      <c r="G668" s="139">
        <f>E640*E642</f>
        <v>51535</v>
      </c>
      <c r="H668" s="157">
        <f t="shared" si="97"/>
        <v>25.767500000000002</v>
      </c>
      <c r="I668" s="127">
        <f>'[1]17. Regulatory Charges'!$E$17</f>
        <v>5.0000000000000001E-4</v>
      </c>
      <c r="J668" s="140">
        <f>E640*E643</f>
        <v>51535</v>
      </c>
      <c r="K668" s="123">
        <f t="shared" si="98"/>
        <v>25.767500000000002</v>
      </c>
      <c r="L668" s="124">
        <f t="shared" si="92"/>
        <v>0</v>
      </c>
      <c r="M668" s="125">
        <f t="shared" si="99"/>
        <v>0</v>
      </c>
    </row>
    <row r="669" spans="1:14" x14ac:dyDescent="0.2">
      <c r="A669" s="46" t="str">
        <f t="shared" si="95"/>
        <v>EMBEDDED DISTRIBUTOR SERVICE CLASSIFICATION - BRANTFORD</v>
      </c>
      <c r="C669" s="115"/>
      <c r="D669" s="158" t="s">
        <v>188</v>
      </c>
      <c r="E669" s="117"/>
      <c r="F669" s="143">
        <f>IF(AND('[1]1. Information Sheet'!$F$26:$H$26&gt;='[1]17. Regulatory Charges'!$D$14,'[1]1. Information Sheet'!$F$26:$H$26&lt;'[1]17. Regulatory Charges'!$D$14),'[1]17. Regulatory Charges'!$D$18,'[1]17. Regulatory Charges'!$E$18)</f>
        <v>0.25</v>
      </c>
      <c r="G669" s="119">
        <v>1</v>
      </c>
      <c r="H669" s="157">
        <f t="shared" si="97"/>
        <v>0.25</v>
      </c>
      <c r="I669" s="144">
        <f>'[1]17. Regulatory Charges'!$E$18</f>
        <v>0.25</v>
      </c>
      <c r="J669" s="122">
        <v>1</v>
      </c>
      <c r="K669" s="123">
        <f t="shared" si="98"/>
        <v>0.25</v>
      </c>
      <c r="L669" s="124">
        <f t="shared" si="92"/>
        <v>0</v>
      </c>
      <c r="M669" s="125">
        <f t="shared" si="99"/>
        <v>0</v>
      </c>
    </row>
    <row r="670" spans="1:14" ht="25.5" hidden="1" x14ac:dyDescent="0.2">
      <c r="A670" s="46" t="str">
        <f t="shared" si="95"/>
        <v>EMBEDDED DISTRIBUTOR SERVICE CLASSIFICATION - BRANTFORD</v>
      </c>
      <c r="C670" s="115"/>
      <c r="D670" s="156" t="s">
        <v>189</v>
      </c>
      <c r="E670" s="117"/>
      <c r="F670" s="126"/>
      <c r="G670" s="139"/>
      <c r="H670" s="157"/>
      <c r="I670" s="127"/>
      <c r="J670" s="140"/>
      <c r="K670" s="123"/>
      <c r="L670" s="124"/>
      <c r="M670" s="125"/>
    </row>
    <row r="671" spans="1:14" hidden="1" x14ac:dyDescent="0.2">
      <c r="A671" s="46" t="str">
        <f t="shared" si="95"/>
        <v>EMBEDDED DISTRIBUTOR SERVICE CLASSIFICATION - BRANTFORD</v>
      </c>
      <c r="B671" s="46" t="s">
        <v>139</v>
      </c>
      <c r="C671" s="115"/>
      <c r="D671" s="158" t="s">
        <v>190</v>
      </c>
      <c r="E671" s="117"/>
      <c r="F671" s="159">
        <f>OffPeak</f>
        <v>7.3999999999999996E-2</v>
      </c>
      <c r="G671" s="160">
        <f>IF(AND(E640*12&gt;=150000),0.64*E640*E642,0.64*E640)</f>
        <v>32982.400000000001</v>
      </c>
      <c r="H671" s="157">
        <f t="shared" si="97"/>
        <v>2440.6976</v>
      </c>
      <c r="I671" s="161">
        <f>OffPeak</f>
        <v>7.3999999999999996E-2</v>
      </c>
      <c r="J671" s="162">
        <f>IF(AND(E640*12&gt;=150000),0.64*E640*E643,0.64*E640)</f>
        <v>32982.400000000001</v>
      </c>
      <c r="K671" s="123">
        <f t="shared" si="98"/>
        <v>2440.6976</v>
      </c>
      <c r="L671" s="124">
        <f>K671-H671</f>
        <v>0</v>
      </c>
      <c r="M671" s="125">
        <f t="shared" si="99"/>
        <v>0</v>
      </c>
    </row>
    <row r="672" spans="1:14" hidden="1" x14ac:dyDescent="0.2">
      <c r="A672" s="46" t="str">
        <f t="shared" si="95"/>
        <v>EMBEDDED DISTRIBUTOR SERVICE CLASSIFICATION - BRANTFORD</v>
      </c>
      <c r="B672" s="46" t="s">
        <v>139</v>
      </c>
      <c r="C672" s="115"/>
      <c r="D672" s="158" t="s">
        <v>191</v>
      </c>
      <c r="E672" s="117"/>
      <c r="F672" s="159">
        <f>MidPeak</f>
        <v>0.10199999999999999</v>
      </c>
      <c r="G672" s="160">
        <f>IF(AND(E640*12&gt;=150000),0.18*E640*E642,0.18*E640)</f>
        <v>9276.2999999999993</v>
      </c>
      <c r="H672" s="157">
        <f t="shared" si="97"/>
        <v>946.18259999999987</v>
      </c>
      <c r="I672" s="161">
        <f>MidPeak</f>
        <v>0.10199999999999999</v>
      </c>
      <c r="J672" s="162">
        <f>IF(AND(E640*12&gt;=150000),0.18*E640*E643,0.18*E640)</f>
        <v>9276.2999999999993</v>
      </c>
      <c r="K672" s="123">
        <f t="shared" si="98"/>
        <v>946.18259999999987</v>
      </c>
      <c r="L672" s="124">
        <f>K672-H672</f>
        <v>0</v>
      </c>
      <c r="M672" s="125">
        <f t="shared" si="99"/>
        <v>0</v>
      </c>
    </row>
    <row r="673" spans="1:13" hidden="1" x14ac:dyDescent="0.2">
      <c r="A673" s="46" t="str">
        <f t="shared" si="95"/>
        <v>EMBEDDED DISTRIBUTOR SERVICE CLASSIFICATION - BRANTFORD</v>
      </c>
      <c r="B673" s="46" t="s">
        <v>139</v>
      </c>
      <c r="C673" s="115"/>
      <c r="D673" s="46" t="s">
        <v>192</v>
      </c>
      <c r="E673" s="117"/>
      <c r="F673" s="159">
        <f>OnPeak</f>
        <v>0.151</v>
      </c>
      <c r="G673" s="160">
        <f>IF(AND(E640*12&gt;=150000),0.18*E640*E642,0.18*E640)</f>
        <v>9276.2999999999993</v>
      </c>
      <c r="H673" s="157">
        <f t="shared" si="97"/>
        <v>1400.7212999999999</v>
      </c>
      <c r="I673" s="161">
        <f>OnPeak</f>
        <v>0.151</v>
      </c>
      <c r="J673" s="162">
        <f>IF(AND(E640*12&gt;=150000),0.18*E640*E643,0.18*E640)</f>
        <v>9276.2999999999993</v>
      </c>
      <c r="K673" s="123">
        <f t="shared" si="98"/>
        <v>1400.7212999999999</v>
      </c>
      <c r="L673" s="124">
        <f>K673-H673</f>
        <v>0</v>
      </c>
      <c r="M673" s="125">
        <f t="shared" si="99"/>
        <v>0</v>
      </c>
    </row>
    <row r="674" spans="1:13" hidden="1" x14ac:dyDescent="0.2">
      <c r="A674" s="46" t="str">
        <f t="shared" si="95"/>
        <v>EMBEDDED DISTRIBUTOR SERVICE CLASSIFICATION - BRANTFORD</v>
      </c>
      <c r="B674" s="46" t="s">
        <v>141</v>
      </c>
      <c r="C674" s="115"/>
      <c r="D674" s="158" t="s">
        <v>193</v>
      </c>
      <c r="E674" s="117"/>
      <c r="F674" s="163">
        <v>9.6699999999999994E-2</v>
      </c>
      <c r="G674" s="160">
        <f>IF(AND(E640*12&gt;=150000),E640*E642,E640)</f>
        <v>51535</v>
      </c>
      <c r="H674" s="157">
        <f>G674*F674</f>
        <v>4983.4344999999994</v>
      </c>
      <c r="I674" s="164">
        <f>F674</f>
        <v>9.6699999999999994E-2</v>
      </c>
      <c r="J674" s="162">
        <f>IF(AND(E640*12&gt;=150000),E640*E643,E640)</f>
        <v>51535</v>
      </c>
      <c r="K674" s="123">
        <f>J674*I674</f>
        <v>4983.4344999999994</v>
      </c>
      <c r="L674" s="124">
        <f>K674-H674</f>
        <v>0</v>
      </c>
      <c r="M674" s="125">
        <f t="shared" si="99"/>
        <v>0</v>
      </c>
    </row>
    <row r="675" spans="1:13" ht="13.5" thickBot="1" x14ac:dyDescent="0.25">
      <c r="A675" s="46" t="str">
        <f t="shared" si="95"/>
        <v>EMBEDDED DISTRIBUTOR SERVICE CLASSIFICATION - BRANTFORD</v>
      </c>
      <c r="B675" s="46" t="s">
        <v>140</v>
      </c>
      <c r="C675" s="115"/>
      <c r="D675" s="158" t="s">
        <v>194</v>
      </c>
      <c r="E675" s="117"/>
      <c r="F675" s="163">
        <v>9.6699999999999994E-2</v>
      </c>
      <c r="G675" s="160">
        <f>IF(AND(E640*12&gt;=150000),E640*E642,E640)</f>
        <v>51535</v>
      </c>
      <c r="H675" s="157">
        <f>G675*F675</f>
        <v>4983.4344999999994</v>
      </c>
      <c r="I675" s="164">
        <f>F675</f>
        <v>9.6699999999999994E-2</v>
      </c>
      <c r="J675" s="162">
        <f>IF(AND(E640*12&gt;=150000),E640*E643,E640)</f>
        <v>51535</v>
      </c>
      <c r="K675" s="123">
        <f>J675*I675</f>
        <v>4983.4344999999994</v>
      </c>
      <c r="L675" s="124">
        <f>K675-H675</f>
        <v>0</v>
      </c>
      <c r="M675" s="125">
        <f t="shared" si="99"/>
        <v>0</v>
      </c>
    </row>
    <row r="676" spans="1:13" ht="13.5" thickBot="1" x14ac:dyDescent="0.25">
      <c r="A676" s="46" t="str">
        <f t="shared" si="95"/>
        <v>EMBEDDED DISTRIBUTOR SERVICE CLASSIFICATION - BRANTFORD</v>
      </c>
      <c r="C676" s="115"/>
      <c r="D676" s="165"/>
      <c r="E676" s="166"/>
      <c r="F676" s="167"/>
      <c r="G676" s="168"/>
      <c r="H676" s="169"/>
      <c r="I676" s="167"/>
      <c r="J676" s="170"/>
      <c r="K676" s="169"/>
      <c r="L676" s="171"/>
      <c r="M676" s="172"/>
    </row>
    <row r="677" spans="1:13" hidden="1" x14ac:dyDescent="0.2">
      <c r="A677" s="46" t="str">
        <f t="shared" si="95"/>
        <v>EMBEDDED DISTRIBUTOR SERVICE CLASSIFICATION - BRANTFORD</v>
      </c>
      <c r="B677" s="46" t="s">
        <v>139</v>
      </c>
      <c r="C677" s="115"/>
      <c r="D677" s="173" t="s">
        <v>195</v>
      </c>
      <c r="E677" s="158"/>
      <c r="F677" s="174"/>
      <c r="G677" s="175"/>
      <c r="H677" s="176">
        <f>SUM(H667:H673,H666)</f>
        <v>5623.7978999999996</v>
      </c>
      <c r="I677" s="177"/>
      <c r="J677" s="177"/>
      <c r="K677" s="176">
        <f>SUM(K667:K673,K666)</f>
        <v>5385.442</v>
      </c>
      <c r="L677" s="178">
        <f>K677-H677</f>
        <v>-238.35589999999956</v>
      </c>
      <c r="M677" s="179">
        <f>IF((H677)=0,"",(L677/H677))</f>
        <v>-4.2383439845873477E-2</v>
      </c>
    </row>
    <row r="678" spans="1:13" hidden="1" x14ac:dyDescent="0.2">
      <c r="A678" s="46" t="str">
        <f t="shared" si="95"/>
        <v>EMBEDDED DISTRIBUTOR SERVICE CLASSIFICATION - BRANTFORD</v>
      </c>
      <c r="B678" s="46" t="s">
        <v>139</v>
      </c>
      <c r="C678" s="115"/>
      <c r="D678" s="180" t="s">
        <v>196</v>
      </c>
      <c r="E678" s="158"/>
      <c r="F678" s="174">
        <v>0.13</v>
      </c>
      <c r="G678" s="181"/>
      <c r="H678" s="182">
        <f>H677*F678</f>
        <v>731.09372699999994</v>
      </c>
      <c r="I678" s="183">
        <v>0.13</v>
      </c>
      <c r="J678" s="119"/>
      <c r="K678" s="182">
        <f>K677*I678</f>
        <v>700.10746000000006</v>
      </c>
      <c r="L678" s="124">
        <f>K678-H678</f>
        <v>-30.986266999999884</v>
      </c>
      <c r="M678" s="184">
        <f>IF((H678)=0,"",(L678/H678))</f>
        <v>-4.2383439845873394E-2</v>
      </c>
    </row>
    <row r="679" spans="1:13" ht="15" hidden="1" x14ac:dyDescent="0.25">
      <c r="A679" s="46" t="str">
        <f t="shared" si="95"/>
        <v>EMBEDDED DISTRIBUTOR SERVICE CLASSIFICATION - BRANTFORD</v>
      </c>
      <c r="B679" s="46" t="s">
        <v>139</v>
      </c>
      <c r="C679" s="115"/>
      <c r="D679" s="180" t="s">
        <v>197</v>
      </c>
      <c r="E679"/>
      <c r="F679" s="185">
        <v>0.11700000000000001</v>
      </c>
      <c r="G679" s="181"/>
      <c r="H679" s="182">
        <f>IF(OR(ISNUMBER(SEARCH("[DGEN]", E638))=TRUE, ISNUMBER(SEARCH("STREET LIGHT", E638))=TRUE), 0, IF(AND(E640=0, E641=0),0, IF(AND(E641=0, E640*12&gt;250000), 0, IF(AND(E640=0, E641&gt;=50), 0, IF(E640*12&lt;=250000, F679*H677*-1, IF(E641&lt;50, F679*H677*-1, 0))))))</f>
        <v>-657.98435429999995</v>
      </c>
      <c r="I679" s="185">
        <v>0.11700000000000001</v>
      </c>
      <c r="J679" s="119"/>
      <c r="K679" s="182">
        <f>IF(OR(ISNUMBER(SEARCH("[DGEN]", E638))=TRUE, ISNUMBER(SEARCH("STREET LIGHT", E638))=TRUE), 0, IF(AND(E640=0, E641=0),0, IF(AND(E641=0, E640*12&gt;250000), 0, IF(AND(E640=0, E641&gt;=50), 0, IF(E640*12&lt;=250000, I679*K677*-1, IF(E641&lt;50, I679*K677*-1, 0))))))</f>
        <v>-630.09671400000002</v>
      </c>
      <c r="L679" s="124">
        <f>K679-H679</f>
        <v>27.88764029999993</v>
      </c>
      <c r="M679" s="184"/>
    </row>
    <row r="680" spans="1:13" hidden="1" x14ac:dyDescent="0.2">
      <c r="A680" s="46" t="str">
        <f t="shared" si="95"/>
        <v>EMBEDDED DISTRIBUTOR SERVICE CLASSIFICATION - BRANTFORD</v>
      </c>
      <c r="B680" s="46" t="s">
        <v>198</v>
      </c>
      <c r="C680" s="115"/>
      <c r="D680" s="186" t="s">
        <v>199</v>
      </c>
      <c r="E680" s="186"/>
      <c r="F680" s="187"/>
      <c r="G680" s="188"/>
      <c r="H680" s="189">
        <f>H677+H678+H679</f>
        <v>5696.9072726999993</v>
      </c>
      <c r="I680" s="190"/>
      <c r="J680" s="190"/>
      <c r="K680" s="191">
        <f>K677+K678+K679</f>
        <v>5455.4527459999999</v>
      </c>
      <c r="L680" s="192">
        <f>K680-H680</f>
        <v>-241.45452669999941</v>
      </c>
      <c r="M680" s="193">
        <f>IF((H680)=0,"",(L680/H680))</f>
        <v>-4.238343984587345E-2</v>
      </c>
    </row>
    <row r="681" spans="1:13" ht="13.5" hidden="1" thickBot="1" x14ac:dyDescent="0.25">
      <c r="A681" s="46" t="str">
        <f t="shared" si="95"/>
        <v>EMBEDDED DISTRIBUTOR SERVICE CLASSIFICATION - BRANTFORD</v>
      </c>
      <c r="B681" s="46" t="s">
        <v>139</v>
      </c>
      <c r="C681" s="115"/>
      <c r="D681" s="165"/>
      <c r="E681" s="166"/>
      <c r="F681" s="167"/>
      <c r="G681" s="168"/>
      <c r="H681" s="169"/>
      <c r="I681" s="167"/>
      <c r="J681" s="170"/>
      <c r="K681" s="169"/>
      <c r="L681" s="171"/>
      <c r="M681" s="172"/>
    </row>
    <row r="682" spans="1:13" hidden="1" x14ac:dyDescent="0.2">
      <c r="A682" s="46" t="str">
        <f t="shared" si="95"/>
        <v>EMBEDDED DISTRIBUTOR SERVICE CLASSIFICATION - BRANTFORD</v>
      </c>
      <c r="B682" s="46" t="s">
        <v>141</v>
      </c>
      <c r="C682" s="115"/>
      <c r="D682" s="173" t="s">
        <v>200</v>
      </c>
      <c r="E682" s="158"/>
      <c r="F682" s="174"/>
      <c r="G682" s="175"/>
      <c r="H682" s="176">
        <f>SUM(H674,H667:H670,H666)</f>
        <v>5819.6308999999992</v>
      </c>
      <c r="I682" s="177"/>
      <c r="J682" s="177"/>
      <c r="K682" s="176">
        <f>SUM(K674,K667:K670,K666)</f>
        <v>5581.2749999999996</v>
      </c>
      <c r="L682" s="178">
        <f>K682-H682</f>
        <v>-238.35589999999956</v>
      </c>
      <c r="M682" s="179">
        <f>IF((H682)=0,"",(L682/H682))</f>
        <v>-4.0957219469021582E-2</v>
      </c>
    </row>
    <row r="683" spans="1:13" hidden="1" x14ac:dyDescent="0.2">
      <c r="A683" s="46" t="str">
        <f t="shared" si="95"/>
        <v>EMBEDDED DISTRIBUTOR SERVICE CLASSIFICATION - BRANTFORD</v>
      </c>
      <c r="B683" s="46" t="s">
        <v>141</v>
      </c>
      <c r="C683" s="115"/>
      <c r="D683" s="180" t="s">
        <v>196</v>
      </c>
      <c r="E683" s="158"/>
      <c r="F683" s="174">
        <v>0.13</v>
      </c>
      <c r="G683" s="175"/>
      <c r="H683" s="182">
        <f>H682*F683</f>
        <v>756.55201699999998</v>
      </c>
      <c r="I683" s="174">
        <v>0.13</v>
      </c>
      <c r="J683" s="183"/>
      <c r="K683" s="182">
        <f>K682*I683</f>
        <v>725.56574999999998</v>
      </c>
      <c r="L683" s="124">
        <f>K683-H683</f>
        <v>-30.986266999999998</v>
      </c>
      <c r="M683" s="184">
        <f>IF((H683)=0,"",(L683/H683))</f>
        <v>-4.0957219469021651E-2</v>
      </c>
    </row>
    <row r="684" spans="1:13" ht="15" hidden="1" x14ac:dyDescent="0.25">
      <c r="A684" s="46" t="str">
        <f t="shared" si="95"/>
        <v>EMBEDDED DISTRIBUTOR SERVICE CLASSIFICATION - BRANTFORD</v>
      </c>
      <c r="B684" s="46" t="s">
        <v>141</v>
      </c>
      <c r="C684" s="115"/>
      <c r="D684" s="180" t="s">
        <v>197</v>
      </c>
      <c r="E684"/>
      <c r="F684" s="185">
        <v>0.11700000000000001</v>
      </c>
      <c r="G684" s="175"/>
      <c r="H684" s="182">
        <f>IF(OR(ISNUMBER(SEARCH("[DGEN]", E638))=TRUE, ISNUMBER(SEARCH("STREET LIGHT", E638))=TRUE), 0, IF(AND(E640=0, E641=0),0, IF(AND(E641=0, E640*12&gt;250000), 0, IF(AND(E640=0, E641&gt;=50), 0, IF(E640*12&lt;=250000, F684*H682*-1, IF(E641&lt;50, F684*H682*-1, 0))))))</f>
        <v>-680.89681529999996</v>
      </c>
      <c r="I684" s="185">
        <v>0.11700000000000001</v>
      </c>
      <c r="J684" s="183"/>
      <c r="K684" s="182">
        <f>IF(OR(ISNUMBER(SEARCH("[DGEN]", E638))=TRUE, ISNUMBER(SEARCH("STREET LIGHT", E638))=TRUE), 0, IF(AND(E640=0, E641=0),0, IF(AND(E641=0, E640*12&gt;250000), 0, IF(AND(E640=0, E641&gt;=50), 0, IF(E640*12&lt;=250000, I684*K682*-1, IF(E641&lt;50, I684*K682*-1, 0))))))</f>
        <v>-653.00917500000003</v>
      </c>
      <c r="L684" s="124"/>
      <c r="M684" s="184"/>
    </row>
    <row r="685" spans="1:13" hidden="1" x14ac:dyDescent="0.2">
      <c r="A685" s="46" t="str">
        <f t="shared" si="95"/>
        <v>EMBEDDED DISTRIBUTOR SERVICE CLASSIFICATION - BRANTFORD</v>
      </c>
      <c r="B685" s="46" t="s">
        <v>201</v>
      </c>
      <c r="C685" s="115"/>
      <c r="D685" s="186" t="s">
        <v>200</v>
      </c>
      <c r="E685" s="186"/>
      <c r="F685" s="194"/>
      <c r="G685" s="195"/>
      <c r="H685" s="189">
        <f>SUM(H682,H683)</f>
        <v>6576.1829169999992</v>
      </c>
      <c r="I685" s="196"/>
      <c r="J685" s="196"/>
      <c r="K685" s="189">
        <f>SUM(K682,K683)</f>
        <v>6306.8407499999994</v>
      </c>
      <c r="L685" s="197">
        <f>K685-H685</f>
        <v>-269.34216699999979</v>
      </c>
      <c r="M685" s="198">
        <f>IF((H685)=0,"",(L685/H685))</f>
        <v>-4.0957219469021623E-2</v>
      </c>
    </row>
    <row r="686" spans="1:13" ht="13.5" hidden="1" thickBot="1" x14ac:dyDescent="0.25">
      <c r="A686" s="46" t="str">
        <f t="shared" si="95"/>
        <v>EMBEDDED DISTRIBUTOR SERVICE CLASSIFICATION - BRANTFORD</v>
      </c>
      <c r="B686" s="46" t="s">
        <v>141</v>
      </c>
      <c r="C686" s="115"/>
      <c r="D686" s="165"/>
      <c r="E686" s="166"/>
      <c r="F686" s="199"/>
      <c r="G686" s="200"/>
      <c r="H686" s="201"/>
      <c r="I686" s="199"/>
      <c r="J686" s="168"/>
      <c r="K686" s="201"/>
      <c r="L686" s="202"/>
      <c r="M686" s="172"/>
    </row>
    <row r="687" spans="1:13" x14ac:dyDescent="0.2">
      <c r="A687" s="46" t="str">
        <f t="shared" si="95"/>
        <v>EMBEDDED DISTRIBUTOR SERVICE CLASSIFICATION - BRANTFORD</v>
      </c>
      <c r="B687" s="46" t="s">
        <v>140</v>
      </c>
      <c r="C687" s="115"/>
      <c r="D687" s="173" t="s">
        <v>202</v>
      </c>
      <c r="E687" s="158"/>
      <c r="F687" s="174"/>
      <c r="G687" s="175"/>
      <c r="H687" s="176">
        <f>SUM(H675,H667:H670,H666)</f>
        <v>5819.6308999999992</v>
      </c>
      <c r="I687" s="177"/>
      <c r="J687" s="177"/>
      <c r="K687" s="176">
        <f>SUM(K675,K667:K670,K666)</f>
        <v>5581.2749999999996</v>
      </c>
      <c r="L687" s="178">
        <f>K687-H687</f>
        <v>-238.35589999999956</v>
      </c>
      <c r="M687" s="179">
        <f>IF((H687)=0,"",(L687/H687))</f>
        <v>-4.0957219469021582E-2</v>
      </c>
    </row>
    <row r="688" spans="1:13" x14ac:dyDescent="0.2">
      <c r="A688" s="46" t="str">
        <f t="shared" si="95"/>
        <v>EMBEDDED DISTRIBUTOR SERVICE CLASSIFICATION - BRANTFORD</v>
      </c>
      <c r="B688" s="46" t="s">
        <v>140</v>
      </c>
      <c r="C688" s="115"/>
      <c r="D688" s="180" t="s">
        <v>196</v>
      </c>
      <c r="E688" s="158"/>
      <c r="F688" s="174">
        <v>0.13</v>
      </c>
      <c r="G688" s="175"/>
      <c r="H688" s="182">
        <f>H687*F688</f>
        <v>756.55201699999998</v>
      </c>
      <c r="I688" s="174">
        <v>0.13</v>
      </c>
      <c r="J688" s="183"/>
      <c r="K688" s="182">
        <f>K687*I688</f>
        <v>725.56574999999998</v>
      </c>
      <c r="L688" s="124">
        <f>K688-H688</f>
        <v>-30.986266999999998</v>
      </c>
      <c r="M688" s="184">
        <f>IF((H688)=0,"",(L688/H688))</f>
        <v>-4.0957219469021651E-2</v>
      </c>
    </row>
    <row r="689" spans="1:14" ht="15" x14ac:dyDescent="0.25">
      <c r="A689" s="46" t="str">
        <f t="shared" si="95"/>
        <v>EMBEDDED DISTRIBUTOR SERVICE CLASSIFICATION - BRANTFORD</v>
      </c>
      <c r="B689" s="46" t="s">
        <v>140</v>
      </c>
      <c r="C689" s="115"/>
      <c r="D689" s="180" t="s">
        <v>197</v>
      </c>
      <c r="E689"/>
      <c r="F689" s="185">
        <v>0.11700000000000001</v>
      </c>
      <c r="G689" s="175"/>
      <c r="H689" s="182">
        <f>IF(OR(ISNUMBER(SEARCH("[DGEN]", E638))=TRUE, ISNUMBER(SEARCH("STREET LIGHT", E638))=TRUE), 0, IF(AND(E640=0, E641=0),0, IF(AND(E641=0, E640*12&gt;250000), 0, IF(AND(E640=0, E641&gt;=50), 0, IF(E640*12&lt;=250000, F689*H687*-1, IF(E641&lt;50, F689*H687*-1, 0))))))</f>
        <v>-680.89681529999996</v>
      </c>
      <c r="I689" s="185">
        <v>0.11700000000000001</v>
      </c>
      <c r="J689" s="183"/>
      <c r="K689" s="182">
        <f>IF(OR(ISNUMBER(SEARCH("[DGEN]", E638))=TRUE, ISNUMBER(SEARCH("STREET LIGHT", E638))=TRUE), 0, IF(AND(E640=0, E641=0),0, IF(AND(E641=0, E640*12&gt;250000), 0, IF(AND(E640=0, E641&gt;=50), 0, IF(E640*12&lt;=250000, I689*K687*-1, IF(E641&lt;50, I689*K687*-1, 0))))))</f>
        <v>-653.00917500000003</v>
      </c>
      <c r="L689" s="124"/>
      <c r="M689" s="184"/>
    </row>
    <row r="690" spans="1:14" ht="13.5" thickBot="1" x14ac:dyDescent="0.25">
      <c r="A690" s="46" t="str">
        <f t="shared" si="95"/>
        <v>EMBEDDED DISTRIBUTOR SERVICE CLASSIFICATION - BRANTFORD</v>
      </c>
      <c r="B690" s="46" t="s">
        <v>203</v>
      </c>
      <c r="C690" s="115">
        <f>B40</f>
        <v>11</v>
      </c>
      <c r="D690" s="186" t="s">
        <v>202</v>
      </c>
      <c r="E690" s="186"/>
      <c r="F690" s="194"/>
      <c r="G690" s="195"/>
      <c r="H690" s="189">
        <f>SUM(H687,H688)</f>
        <v>6576.1829169999992</v>
      </c>
      <c r="I690" s="196"/>
      <c r="J690" s="196"/>
      <c r="K690" s="189">
        <f>SUM(K687,K688)</f>
        <v>6306.8407499999994</v>
      </c>
      <c r="L690" s="197">
        <f>K690-H690</f>
        <v>-269.34216699999979</v>
      </c>
      <c r="M690" s="198">
        <f>IF((H690)=0,"",(L690/H690))</f>
        <v>-4.0957219469021623E-2</v>
      </c>
    </row>
    <row r="691" spans="1:14" ht="13.5" thickBot="1" x14ac:dyDescent="0.25">
      <c r="A691" s="46" t="str">
        <f t="shared" si="95"/>
        <v>EMBEDDED DISTRIBUTOR SERVICE CLASSIFICATION - BRANTFORD</v>
      </c>
      <c r="B691" s="46" t="s">
        <v>140</v>
      </c>
      <c r="C691" s="115"/>
      <c r="D691" s="165"/>
      <c r="E691" s="166"/>
      <c r="F691" s="203"/>
      <c r="G691" s="200"/>
      <c r="H691" s="204"/>
      <c r="I691" s="203"/>
      <c r="J691" s="168"/>
      <c r="K691" s="204"/>
      <c r="L691" s="202"/>
      <c r="M691" s="205"/>
    </row>
    <row r="694" spans="1:14" x14ac:dyDescent="0.2">
      <c r="C694" s="46"/>
      <c r="D694" s="90" t="s">
        <v>150</v>
      </c>
      <c r="E694" s="91" t="str">
        <f>D41</f>
        <v>EMBEDDED DISTRIBUTOR SERVICE CLASSIFICATION - HYDRO ONE #1</v>
      </c>
      <c r="F694" s="91"/>
      <c r="G694" s="91"/>
      <c r="H694" s="91"/>
      <c r="I694" s="91"/>
      <c r="J694" s="91"/>
      <c r="K694" s="46" t="str">
        <f>IF(N41="DEMAND - INTERVAL","RTSR - INTERVAL METERED","")</f>
        <v/>
      </c>
    </row>
    <row r="695" spans="1:14" x14ac:dyDescent="0.2">
      <c r="C695" s="46"/>
      <c r="D695" s="90" t="s">
        <v>151</v>
      </c>
      <c r="E695" s="92" t="str">
        <f>H41</f>
        <v>Non-RPP (Other)</v>
      </c>
      <c r="F695" s="92"/>
      <c r="G695" s="92"/>
      <c r="H695" s="93"/>
      <c r="I695" s="93"/>
    </row>
    <row r="696" spans="1:14" ht="15.75" x14ac:dyDescent="0.2">
      <c r="C696" s="46"/>
      <c r="D696" s="90" t="s">
        <v>152</v>
      </c>
      <c r="E696" s="94">
        <f>K41</f>
        <v>1300000</v>
      </c>
      <c r="F696" s="95" t="s">
        <v>153</v>
      </c>
      <c r="J696" s="96"/>
      <c r="K696" s="96"/>
      <c r="L696" s="96"/>
      <c r="M696" s="96"/>
      <c r="N696" s="96"/>
    </row>
    <row r="697" spans="1:14" ht="15.75" x14ac:dyDescent="0.25">
      <c r="C697" s="46"/>
      <c r="D697" s="90" t="s">
        <v>154</v>
      </c>
      <c r="E697" s="94">
        <f>L41</f>
        <v>2340</v>
      </c>
      <c r="F697" s="97" t="s">
        <v>155</v>
      </c>
      <c r="G697" s="98"/>
      <c r="H697" s="99"/>
      <c r="I697" s="99"/>
      <c r="J697" s="99"/>
    </row>
    <row r="698" spans="1:14" x14ac:dyDescent="0.2">
      <c r="C698" s="46"/>
      <c r="D698" s="90" t="s">
        <v>156</v>
      </c>
      <c r="E698" s="100">
        <f>I41</f>
        <v>1.0306999999999999</v>
      </c>
    </row>
    <row r="699" spans="1:14" x14ac:dyDescent="0.2">
      <c r="C699" s="46"/>
      <c r="D699" s="90" t="s">
        <v>157</v>
      </c>
      <c r="E699" s="100">
        <f>J41</f>
        <v>1.0306999999999999</v>
      </c>
    </row>
    <row r="700" spans="1:14" x14ac:dyDescent="0.2">
      <c r="C700" s="46"/>
    </row>
    <row r="701" spans="1:14" x14ac:dyDescent="0.2">
      <c r="C701" s="46"/>
      <c r="E701" s="95"/>
      <c r="F701" s="101" t="s">
        <v>204</v>
      </c>
      <c r="G701" s="102"/>
      <c r="H701" s="103"/>
      <c r="I701" s="101" t="s">
        <v>205</v>
      </c>
      <c r="J701" s="102"/>
      <c r="K701" s="103"/>
      <c r="L701" s="101" t="s">
        <v>158</v>
      </c>
      <c r="M701" s="103"/>
    </row>
    <row r="702" spans="1:14" x14ac:dyDescent="0.2">
      <c r="C702" s="46"/>
      <c r="E702" s="104"/>
      <c r="F702" s="105" t="s">
        <v>159</v>
      </c>
      <c r="G702" s="105" t="s">
        <v>160</v>
      </c>
      <c r="H702" s="106" t="s">
        <v>161</v>
      </c>
      <c r="I702" s="105" t="s">
        <v>159</v>
      </c>
      <c r="J702" s="107" t="s">
        <v>160</v>
      </c>
      <c r="K702" s="106" t="s">
        <v>161</v>
      </c>
      <c r="L702" s="108" t="s">
        <v>162</v>
      </c>
      <c r="M702" s="109" t="s">
        <v>163</v>
      </c>
    </row>
    <row r="703" spans="1:14" x14ac:dyDescent="0.2">
      <c r="C703" s="46"/>
      <c r="E703" s="110"/>
      <c r="F703" s="111" t="s">
        <v>164</v>
      </c>
      <c r="G703" s="111"/>
      <c r="H703" s="112" t="s">
        <v>164</v>
      </c>
      <c r="I703" s="111" t="s">
        <v>164</v>
      </c>
      <c r="J703" s="112"/>
      <c r="K703" s="112" t="s">
        <v>164</v>
      </c>
      <c r="L703" s="113"/>
      <c r="M703" s="114"/>
    </row>
    <row r="704" spans="1:14" x14ac:dyDescent="0.2">
      <c r="A704" s="46" t="str">
        <f>$E694</f>
        <v>EMBEDDED DISTRIBUTOR SERVICE CLASSIFICATION - HYDRO ONE #1</v>
      </c>
      <c r="C704" s="115"/>
      <c r="D704" s="116" t="s">
        <v>165</v>
      </c>
      <c r="E704" s="117"/>
      <c r="F704" s="118">
        <v>74.83</v>
      </c>
      <c r="G704" s="119">
        <v>1</v>
      </c>
      <c r="H704" s="120">
        <f>G704*F704</f>
        <v>74.83</v>
      </c>
      <c r="I704" s="121">
        <v>77.489999999999995</v>
      </c>
      <c r="J704" s="122">
        <f>G704</f>
        <v>1</v>
      </c>
      <c r="K704" s="123">
        <f>J704*I704</f>
        <v>77.489999999999995</v>
      </c>
      <c r="L704" s="124">
        <f t="shared" ref="L704:L725" si="100">K704-H704</f>
        <v>2.6599999999999966</v>
      </c>
      <c r="M704" s="125">
        <f>IF(ISERROR(L704/H704), "", L704/H704)</f>
        <v>3.5547240411599582E-2</v>
      </c>
    </row>
    <row r="705" spans="1:14" x14ac:dyDescent="0.2">
      <c r="A705" s="46" t="str">
        <f>A704</f>
        <v>EMBEDDED DISTRIBUTOR SERVICE CLASSIFICATION - HYDRO ONE #1</v>
      </c>
      <c r="C705" s="115"/>
      <c r="D705" s="116" t="s">
        <v>30</v>
      </c>
      <c r="E705" s="117"/>
      <c r="F705" s="126">
        <v>1.2661</v>
      </c>
      <c r="G705" s="119">
        <f>IF($E697&gt;0, $E697, $E696)</f>
        <v>2340</v>
      </c>
      <c r="H705" s="120">
        <f t="shared" ref="H705:H717" si="101">G705*F705</f>
        <v>2962.674</v>
      </c>
      <c r="I705" s="127">
        <v>1.3109999999999999</v>
      </c>
      <c r="J705" s="122">
        <f>IF($E697&gt;0, $E697, $E696)</f>
        <v>2340</v>
      </c>
      <c r="K705" s="123">
        <f>J705*I705</f>
        <v>3067.74</v>
      </c>
      <c r="L705" s="124">
        <f t="shared" si="100"/>
        <v>105.0659999999998</v>
      </c>
      <c r="M705" s="125">
        <f t="shared" ref="M705:M715" si="102">IF(ISERROR(L705/H705), "", L705/H705)</f>
        <v>3.5463233551852082E-2</v>
      </c>
    </row>
    <row r="706" spans="1:14" hidden="1" x14ac:dyDescent="0.2">
      <c r="A706" s="46" t="str">
        <f t="shared" ref="A706:A747" si="103">A705</f>
        <v>EMBEDDED DISTRIBUTOR SERVICE CLASSIFICATION - HYDRO ONE #1</v>
      </c>
      <c r="C706" s="115"/>
      <c r="D706" s="116" t="s">
        <v>166</v>
      </c>
      <c r="E706" s="117"/>
      <c r="F706" s="126"/>
      <c r="G706" s="119">
        <f>IF($E697&gt;0, $E697, $E696)</f>
        <v>2340</v>
      </c>
      <c r="H706" s="120">
        <v>0</v>
      </c>
      <c r="I706" s="127"/>
      <c r="J706" s="122">
        <f>IF($E697&gt;0, $E697, $E696)</f>
        <v>2340</v>
      </c>
      <c r="K706" s="123">
        <v>0</v>
      </c>
      <c r="L706" s="124"/>
      <c r="M706" s="125"/>
    </row>
    <row r="707" spans="1:14" hidden="1" x14ac:dyDescent="0.2">
      <c r="A707" s="46" t="str">
        <f t="shared" si="103"/>
        <v>EMBEDDED DISTRIBUTOR SERVICE CLASSIFICATION - HYDRO ONE #1</v>
      </c>
      <c r="C707" s="115"/>
      <c r="D707" s="116" t="s">
        <v>167</v>
      </c>
      <c r="E707" s="117"/>
      <c r="F707" s="126"/>
      <c r="G707" s="119">
        <f>IF($E697&gt;0, $E697, $E696)</f>
        <v>2340</v>
      </c>
      <c r="H707" s="120">
        <v>0</v>
      </c>
      <c r="I707" s="127"/>
      <c r="J707" s="128">
        <f>IF($E697&gt;0, $E697, $E696)</f>
        <v>2340</v>
      </c>
      <c r="K707" s="123">
        <v>0</v>
      </c>
      <c r="L707" s="124">
        <f>K707-H707</f>
        <v>0</v>
      </c>
      <c r="M707" s="125" t="str">
        <f>IF(ISERROR(L707/H707), "", L707/H707)</f>
        <v/>
      </c>
    </row>
    <row r="708" spans="1:14" x14ac:dyDescent="0.2">
      <c r="A708" s="46" t="str">
        <f t="shared" si="103"/>
        <v>EMBEDDED DISTRIBUTOR SERVICE CLASSIFICATION - HYDRO ONE #1</v>
      </c>
      <c r="C708" s="115"/>
      <c r="D708" s="116" t="s">
        <v>168</v>
      </c>
      <c r="E708" s="117"/>
      <c r="F708" s="118">
        <v>113.95</v>
      </c>
      <c r="G708" s="119">
        <v>1</v>
      </c>
      <c r="H708" s="120">
        <f t="shared" si="101"/>
        <v>113.95</v>
      </c>
      <c r="I708" s="121">
        <v>113.95</v>
      </c>
      <c r="J708" s="122">
        <f>G708</f>
        <v>1</v>
      </c>
      <c r="K708" s="123">
        <f t="shared" ref="K708:K715" si="104">J708*I708</f>
        <v>113.95</v>
      </c>
      <c r="L708" s="124">
        <f t="shared" si="100"/>
        <v>0</v>
      </c>
      <c r="M708" s="125">
        <f t="shared" si="102"/>
        <v>0</v>
      </c>
    </row>
    <row r="709" spans="1:14" x14ac:dyDescent="0.2">
      <c r="A709" s="46" t="str">
        <f t="shared" si="103"/>
        <v>EMBEDDED DISTRIBUTOR SERVICE CLASSIFICATION - HYDRO ONE #1</v>
      </c>
      <c r="C709" s="115"/>
      <c r="D709" s="116" t="s">
        <v>169</v>
      </c>
      <c r="E709" s="117"/>
      <c r="F709" s="126">
        <v>0</v>
      </c>
      <c r="G709" s="119">
        <f>IF($E697&gt;0, $E697, $E696)</f>
        <v>2340</v>
      </c>
      <c r="H709" s="120">
        <f t="shared" si="101"/>
        <v>0</v>
      </c>
      <c r="I709" s="127">
        <v>0</v>
      </c>
      <c r="J709" s="122">
        <f>IF($E697&gt;0, $E697, $E696)</f>
        <v>2340</v>
      </c>
      <c r="K709" s="123">
        <f t="shared" si="104"/>
        <v>0</v>
      </c>
      <c r="L709" s="124">
        <f t="shared" si="100"/>
        <v>0</v>
      </c>
      <c r="M709" s="125" t="str">
        <f t="shared" si="102"/>
        <v/>
      </c>
    </row>
    <row r="710" spans="1:14" x14ac:dyDescent="0.2">
      <c r="A710" s="46" t="str">
        <f t="shared" si="103"/>
        <v>EMBEDDED DISTRIBUTOR SERVICE CLASSIFICATION - HYDRO ONE #1</v>
      </c>
      <c r="B710" s="46" t="s">
        <v>170</v>
      </c>
      <c r="C710" s="115">
        <f>B41</f>
        <v>12</v>
      </c>
      <c r="D710" s="129" t="s">
        <v>171</v>
      </c>
      <c r="E710" s="130"/>
      <c r="F710" s="131"/>
      <c r="G710" s="132"/>
      <c r="H710" s="133">
        <f>SUM(H704:H709)</f>
        <v>3151.4539999999997</v>
      </c>
      <c r="I710" s="134"/>
      <c r="J710" s="135"/>
      <c r="K710" s="133">
        <f>SUM(K704:K709)</f>
        <v>3259.1799999999994</v>
      </c>
      <c r="L710" s="136">
        <f t="shared" si="100"/>
        <v>107.72599999999966</v>
      </c>
      <c r="M710" s="137">
        <f>IF((H710)=0,"",(L710/H710))</f>
        <v>3.418295174227505E-2</v>
      </c>
    </row>
    <row r="711" spans="1:14" x14ac:dyDescent="0.2">
      <c r="A711" s="46" t="str">
        <f t="shared" si="103"/>
        <v>EMBEDDED DISTRIBUTOR SERVICE CLASSIFICATION - HYDRO ONE #1</v>
      </c>
      <c r="C711" s="115"/>
      <c r="D711" s="138" t="s">
        <v>172</v>
      </c>
      <c r="E711" s="117"/>
      <c r="F711" s="126">
        <f>IF((E696*12&gt;=150000), 0, IF(E695="RPP",(F727*0.64+F728*0.18+F729*0.18),IF(E695="Non-RPP (Retailer)",F730,F731)))</f>
        <v>0</v>
      </c>
      <c r="G711" s="139">
        <f>IF(F711=0, 0, $E696*E698-E696)</f>
        <v>0</v>
      </c>
      <c r="H711" s="120">
        <f>G711*F711</f>
        <v>0</v>
      </c>
      <c r="I711" s="127">
        <f>IF((E696*12&gt;=150000), 0, IF(E695="RPP",(I727*0.64+I728*0.18+I729*0.18),IF(E695="Non-RPP (Retailer)",I730,I731)))</f>
        <v>0</v>
      </c>
      <c r="J711" s="140">
        <f>IF(I711=0, 0, E696*E699-E696)</f>
        <v>0</v>
      </c>
      <c r="K711" s="123">
        <f>J711*I711</f>
        <v>0</v>
      </c>
      <c r="L711" s="124">
        <f>K711-H711</f>
        <v>0</v>
      </c>
      <c r="M711" s="125" t="str">
        <f>IF(ISERROR(L711/H711), "", L711/H711)</f>
        <v/>
      </c>
    </row>
    <row r="712" spans="1:14" ht="25.5" x14ac:dyDescent="0.2">
      <c r="A712" s="46" t="str">
        <f t="shared" si="103"/>
        <v>EMBEDDED DISTRIBUTOR SERVICE CLASSIFICATION - HYDRO ONE #1</v>
      </c>
      <c r="C712" s="115"/>
      <c r="D712" s="138" t="s">
        <v>173</v>
      </c>
      <c r="E712" s="117"/>
      <c r="F712" s="126">
        <v>0.67449999999999999</v>
      </c>
      <c r="G712" s="141">
        <f>IF($E697&gt;0, $E697, $E696)</f>
        <v>2340</v>
      </c>
      <c r="H712" s="120">
        <f t="shared" si="101"/>
        <v>1578.33</v>
      </c>
      <c r="I712" s="127">
        <f>'Proposed Tariff'!D401+'Proposed Tariff'!D403</f>
        <v>1.1326000000000001</v>
      </c>
      <c r="J712" s="142">
        <f>IF($E697&gt;0, $E697, $E696)</f>
        <v>2340</v>
      </c>
      <c r="K712" s="123">
        <f t="shared" si="104"/>
        <v>2650.2840000000001</v>
      </c>
      <c r="L712" s="124">
        <f t="shared" si="100"/>
        <v>1071.9540000000002</v>
      </c>
      <c r="M712" s="125">
        <f t="shared" si="102"/>
        <v>0.67916975537435154</v>
      </c>
    </row>
    <row r="713" spans="1:14" x14ac:dyDescent="0.2">
      <c r="A713" s="46" t="str">
        <f t="shared" si="103"/>
        <v>EMBEDDED DISTRIBUTOR SERVICE CLASSIFICATION - HYDRO ONE #1</v>
      </c>
      <c r="C713" s="115"/>
      <c r="D713" s="138" t="s">
        <v>174</v>
      </c>
      <c r="E713" s="117"/>
      <c r="F713" s="126">
        <v>0</v>
      </c>
      <c r="G713" s="141">
        <f>IF($E697&gt;0, $E697, $E696)</f>
        <v>2340</v>
      </c>
      <c r="H713" s="120">
        <f>G713*F713</f>
        <v>0</v>
      </c>
      <c r="I713" s="127">
        <f>'Proposed Tariff'!D402</f>
        <v>-5.3100000000000001E-2</v>
      </c>
      <c r="J713" s="142">
        <f>IF($E697&gt;0, $E697, $E696)</f>
        <v>2340</v>
      </c>
      <c r="K713" s="123">
        <f>J713*I713</f>
        <v>-124.254</v>
      </c>
      <c r="L713" s="124">
        <f t="shared" si="100"/>
        <v>-124.254</v>
      </c>
      <c r="M713" s="125" t="str">
        <f t="shared" si="102"/>
        <v/>
      </c>
    </row>
    <row r="714" spans="1:14" x14ac:dyDescent="0.2">
      <c r="A714" s="46" t="str">
        <f t="shared" si="103"/>
        <v>EMBEDDED DISTRIBUTOR SERVICE CLASSIFICATION - HYDRO ONE #1</v>
      </c>
      <c r="C714" s="115"/>
      <c r="D714" s="138" t="s">
        <v>175</v>
      </c>
      <c r="E714" s="117"/>
      <c r="F714" s="126">
        <v>1.6000000000000001E-3</v>
      </c>
      <c r="G714" s="141">
        <f>E696</f>
        <v>1300000</v>
      </c>
      <c r="H714" s="120">
        <f>G714*F714</f>
        <v>2080</v>
      </c>
      <c r="I714" s="127">
        <f>'Proposed Tariff'!D400</f>
        <v>-4.4999999999999997E-3</v>
      </c>
      <c r="J714" s="142">
        <f>E696</f>
        <v>1300000</v>
      </c>
      <c r="K714" s="123">
        <f t="shared" si="104"/>
        <v>-5850</v>
      </c>
      <c r="L714" s="124">
        <f t="shared" si="100"/>
        <v>-7930</v>
      </c>
      <c r="M714" s="125">
        <f t="shared" si="102"/>
        <v>-3.8125</v>
      </c>
    </row>
    <row r="715" spans="1:14" x14ac:dyDescent="0.2">
      <c r="A715" s="46" t="str">
        <f t="shared" si="103"/>
        <v>EMBEDDED DISTRIBUTOR SERVICE CLASSIFICATION - HYDRO ONE #1</v>
      </c>
      <c r="C715" s="115"/>
      <c r="D715" s="116" t="s">
        <v>176</v>
      </c>
      <c r="E715" s="117"/>
      <c r="F715" s="126">
        <v>0</v>
      </c>
      <c r="G715" s="141">
        <f>IF($E697&gt;0, $E697, $E696)</f>
        <v>2340</v>
      </c>
      <c r="H715" s="120">
        <f t="shared" si="101"/>
        <v>0</v>
      </c>
      <c r="I715" s="127"/>
      <c r="J715" s="142">
        <f>IF($E697&gt;0, $E697, $E696)</f>
        <v>2340</v>
      </c>
      <c r="K715" s="123">
        <f t="shared" si="104"/>
        <v>0</v>
      </c>
      <c r="L715" s="124">
        <f t="shared" si="100"/>
        <v>0</v>
      </c>
      <c r="M715" s="125" t="str">
        <f t="shared" si="102"/>
        <v/>
      </c>
    </row>
    <row r="716" spans="1:14" ht="25.5" x14ac:dyDescent="0.2">
      <c r="A716" s="46" t="str">
        <f t="shared" si="103"/>
        <v>EMBEDDED DISTRIBUTOR SERVICE CLASSIFICATION - HYDRO ONE #1</v>
      </c>
      <c r="C716" s="115"/>
      <c r="D716" s="138" t="s">
        <v>177</v>
      </c>
      <c r="E716" s="117"/>
      <c r="F716" s="143">
        <f>IF(OR(ISNUMBER(SEARCH("RESIDENTIAL", E694))=TRUE, ISNUMBER(SEARCH("GENERAL SERVICE LESS THAN 50", E694))=TRUE), 0.43, 0)</f>
        <v>0</v>
      </c>
      <c r="G716" s="119">
        <v>1</v>
      </c>
      <c r="H716" s="120">
        <f>G716*F716</f>
        <v>0</v>
      </c>
      <c r="I716" s="144">
        <f>IF(OR(ISNUMBER(SEARCH("RESIDENTIAL", E694))=TRUE, ISNUMBER(SEARCH("GENERAL SERVICE LESS THAN 50", E694))=TRUE), SME, 0)</f>
        <v>0</v>
      </c>
      <c r="J716" s="128">
        <v>1</v>
      </c>
      <c r="K716" s="123">
        <f>J716*I716</f>
        <v>0</v>
      </c>
      <c r="L716" s="124">
        <f t="shared" si="100"/>
        <v>0</v>
      </c>
      <c r="M716" s="125" t="str">
        <f>IF(ISERROR(L716/H716), "", L716/H716)</f>
        <v/>
      </c>
    </row>
    <row r="717" spans="1:14" x14ac:dyDescent="0.2">
      <c r="A717" s="46" t="str">
        <f t="shared" si="103"/>
        <v>EMBEDDED DISTRIBUTOR SERVICE CLASSIFICATION - HYDRO ONE #1</v>
      </c>
      <c r="C717" s="115"/>
      <c r="D717" s="116" t="s">
        <v>178</v>
      </c>
      <c r="E717" s="117"/>
      <c r="F717" s="118">
        <v>0</v>
      </c>
      <c r="G717" s="119">
        <v>1</v>
      </c>
      <c r="H717" s="120">
        <f t="shared" si="101"/>
        <v>0</v>
      </c>
      <c r="I717" s="121">
        <v>0</v>
      </c>
      <c r="J717" s="128">
        <v>1</v>
      </c>
      <c r="K717" s="123">
        <f>J717*I717</f>
        <v>0</v>
      </c>
      <c r="L717" s="124">
        <f>K717-H717</f>
        <v>0</v>
      </c>
      <c r="M717" s="125" t="str">
        <f>IF(ISERROR(L717/H717), "", L717/H717)</f>
        <v/>
      </c>
    </row>
    <row r="718" spans="1:14" x14ac:dyDescent="0.2">
      <c r="A718" s="46" t="str">
        <f t="shared" si="103"/>
        <v>EMBEDDED DISTRIBUTOR SERVICE CLASSIFICATION - HYDRO ONE #1</v>
      </c>
      <c r="C718" s="115"/>
      <c r="D718" s="116" t="s">
        <v>179</v>
      </c>
      <c r="E718" s="117"/>
      <c r="F718" s="126">
        <v>0</v>
      </c>
      <c r="G718" s="141">
        <f>IF($E697&gt;0, $E697, $E696)</f>
        <v>2340</v>
      </c>
      <c r="H718" s="120">
        <f>G718*F718</f>
        <v>0</v>
      </c>
      <c r="I718" s="127">
        <v>0</v>
      </c>
      <c r="J718" s="142">
        <f>IF($E697&gt;0, $E697, $E696)</f>
        <v>2340</v>
      </c>
      <c r="K718" s="123">
        <f>J718*I718</f>
        <v>0</v>
      </c>
      <c r="L718" s="124">
        <f t="shared" si="100"/>
        <v>0</v>
      </c>
      <c r="M718" s="125" t="str">
        <f>IF(ISERROR(L718/H718), "", L718/H718)</f>
        <v/>
      </c>
    </row>
    <row r="719" spans="1:14" ht="25.5" x14ac:dyDescent="0.2">
      <c r="A719" s="46" t="str">
        <f t="shared" si="103"/>
        <v>EMBEDDED DISTRIBUTOR SERVICE CLASSIFICATION - HYDRO ONE #1</v>
      </c>
      <c r="B719" s="46" t="s">
        <v>180</v>
      </c>
      <c r="C719" s="115">
        <f>B41</f>
        <v>12</v>
      </c>
      <c r="D719" s="145" t="s">
        <v>181</v>
      </c>
      <c r="E719" s="146"/>
      <c r="F719" s="147"/>
      <c r="G719" s="148"/>
      <c r="H719" s="149">
        <f>SUM(H710:H718)</f>
        <v>6809.7839999999997</v>
      </c>
      <c r="I719" s="150"/>
      <c r="J719" s="151"/>
      <c r="K719" s="149">
        <f>SUM(K710:K718)</f>
        <v>-64.789999999999964</v>
      </c>
      <c r="L719" s="136">
        <f t="shared" si="100"/>
        <v>-6874.5739999999996</v>
      </c>
      <c r="M719" s="137">
        <f>IF((H719)=0,"",(L719/H719))</f>
        <v>-1.0095142518470483</v>
      </c>
    </row>
    <row r="720" spans="1:14" x14ac:dyDescent="0.2">
      <c r="A720" s="46" t="str">
        <f t="shared" si="103"/>
        <v>EMBEDDED DISTRIBUTOR SERVICE CLASSIFICATION - HYDRO ONE #1</v>
      </c>
      <c r="C720" s="115"/>
      <c r="D720" s="152" t="s">
        <v>182</v>
      </c>
      <c r="E720" s="117"/>
      <c r="F720" s="126">
        <v>3.8521000000000001</v>
      </c>
      <c r="G720" s="139">
        <f>IF($E697&gt;0, $E697, $E696*$E698)</f>
        <v>2340</v>
      </c>
      <c r="H720" s="120">
        <f>G720*F720</f>
        <v>9013.9140000000007</v>
      </c>
      <c r="I720" s="153">
        <v>3.9849999999999999</v>
      </c>
      <c r="J720" s="140">
        <f>IF($E697&gt;0, $E697, $E696*$E699)</f>
        <v>2340</v>
      </c>
      <c r="K720" s="123">
        <f>J720*I720</f>
        <v>9324.9</v>
      </c>
      <c r="L720" s="124">
        <f t="shared" si="100"/>
        <v>310.98599999999897</v>
      </c>
      <c r="M720" s="125">
        <f>IF(ISERROR(L720/H720), "", L720/H720)</f>
        <v>3.4500661976584086E-2</v>
      </c>
      <c r="N720" s="154" t="str">
        <f>IF(ISERROR(ABS(M720)), "", IF(ABS(M720)&gt;=4%, "In the manager's summary, discuss the reasoning for the change in RTSR rates", ""))</f>
        <v/>
      </c>
    </row>
    <row r="721" spans="1:14" ht="25.5" x14ac:dyDescent="0.2">
      <c r="A721" s="46" t="str">
        <f t="shared" si="103"/>
        <v>EMBEDDED DISTRIBUTOR SERVICE CLASSIFICATION - HYDRO ONE #1</v>
      </c>
      <c r="C721" s="115"/>
      <c r="D721" s="155" t="s">
        <v>183</v>
      </c>
      <c r="E721" s="117"/>
      <c r="F721" s="126">
        <v>1.8945000000000001</v>
      </c>
      <c r="G721" s="139">
        <f>IF($E697&gt;0, $E697, $E696*$E698)</f>
        <v>2340</v>
      </c>
      <c r="H721" s="120">
        <f>G721*F721</f>
        <v>4433.13</v>
      </c>
      <c r="I721" s="153">
        <v>1.8190999999999999</v>
      </c>
      <c r="J721" s="140">
        <f>IF($E697&gt;0, $E697, $E696*$E699)</f>
        <v>2340</v>
      </c>
      <c r="K721" s="123">
        <f>J721*I721</f>
        <v>4256.6939999999995</v>
      </c>
      <c r="L721" s="124">
        <f t="shared" si="100"/>
        <v>-176.4360000000006</v>
      </c>
      <c r="M721" s="125">
        <f>IF(ISERROR(L721/H721), "", L721/H721)</f>
        <v>-3.9799419371866061E-2</v>
      </c>
      <c r="N721" s="154" t="str">
        <f>IF(ISERROR(ABS(M721)), "", IF(ABS(M721)&gt;=4%, "In the manager's summary, discuss the reasoning for the change in RTSR rates", ""))</f>
        <v/>
      </c>
    </row>
    <row r="722" spans="1:14" ht="25.5" x14ac:dyDescent="0.2">
      <c r="A722" s="46" t="str">
        <f t="shared" si="103"/>
        <v>EMBEDDED DISTRIBUTOR SERVICE CLASSIFICATION - HYDRO ONE #1</v>
      </c>
      <c r="B722" s="46" t="s">
        <v>184</v>
      </c>
      <c r="C722" s="115">
        <f>B41</f>
        <v>12</v>
      </c>
      <c r="D722" s="145" t="s">
        <v>185</v>
      </c>
      <c r="E722" s="130"/>
      <c r="F722" s="147"/>
      <c r="G722" s="148"/>
      <c r="H722" s="149">
        <f>SUM(H719:H721)</f>
        <v>20256.828000000001</v>
      </c>
      <c r="I722" s="150"/>
      <c r="J722" s="135"/>
      <c r="K722" s="149">
        <f>SUM(K719:K721)</f>
        <v>13516.804</v>
      </c>
      <c r="L722" s="136">
        <f t="shared" si="100"/>
        <v>-6740.0240000000013</v>
      </c>
      <c r="M722" s="137">
        <f>IF((H722)=0,"",(L722/H722))</f>
        <v>-0.33272850023705591</v>
      </c>
    </row>
    <row r="723" spans="1:14" ht="25.5" x14ac:dyDescent="0.2">
      <c r="A723" s="46" t="str">
        <f t="shared" si="103"/>
        <v>EMBEDDED DISTRIBUTOR SERVICE CLASSIFICATION - HYDRO ONE #1</v>
      </c>
      <c r="C723" s="115"/>
      <c r="D723" s="156" t="s">
        <v>186</v>
      </c>
      <c r="E723" s="117"/>
      <c r="F723" s="126">
        <f>IF(AND('[1]1. Information Sheet'!$F$26:$H$26&gt;='[1]17. Regulatory Charges'!$D$14,'[1]1. Information Sheet'!$F$26:$H$26&lt;'[1]17. Regulatory Charges'!$E$14),'[1]17. Regulatory Charges'!$D$15+'[1]17. Regulatory Charges'!$D$16,'[1]17. Regulatory Charges'!$E$15+'[1]17. Regulatory Charges'!$E$16)</f>
        <v>3.4000000000000002E-3</v>
      </c>
      <c r="G723" s="139">
        <f>E696*E698</f>
        <v>1339910</v>
      </c>
      <c r="H723" s="157">
        <f t="shared" ref="H723:H729" si="105">G723*F723</f>
        <v>4555.6940000000004</v>
      </c>
      <c r="I723" s="127">
        <f>'[1]17. Regulatory Charges'!$E$15+'[1]17. Regulatory Charges'!$E$16</f>
        <v>3.4000000000000002E-3</v>
      </c>
      <c r="J723" s="140">
        <f>E696*E699</f>
        <v>1339910</v>
      </c>
      <c r="K723" s="123">
        <f t="shared" ref="K723:K729" si="106">J723*I723</f>
        <v>4555.6940000000004</v>
      </c>
      <c r="L723" s="124">
        <f t="shared" si="100"/>
        <v>0</v>
      </c>
      <c r="M723" s="125">
        <f t="shared" ref="M723:M731" si="107">IF(ISERROR(L723/H723), "", L723/H723)</f>
        <v>0</v>
      </c>
    </row>
    <row r="724" spans="1:14" ht="25.5" x14ac:dyDescent="0.2">
      <c r="A724" s="46" t="str">
        <f t="shared" si="103"/>
        <v>EMBEDDED DISTRIBUTOR SERVICE CLASSIFICATION - HYDRO ONE #1</v>
      </c>
      <c r="C724" s="115"/>
      <c r="D724" s="156" t="s">
        <v>187</v>
      </c>
      <c r="E724" s="117"/>
      <c r="F724" s="126">
        <f>IF(AND('[1]1. Information Sheet'!$F$26:$H$26&gt;='[1]17. Regulatory Charges'!$D$14,'[1]1. Information Sheet'!$F$26:$H$26&lt;'[1]17. Regulatory Charges'!$D$14),'[1]17. Regulatory Charges'!$D$17,'[1]17. Regulatory Charges'!$E$17)</f>
        <v>5.0000000000000001E-4</v>
      </c>
      <c r="G724" s="139">
        <f>E696*E698</f>
        <v>1339910</v>
      </c>
      <c r="H724" s="157">
        <f t="shared" si="105"/>
        <v>669.95500000000004</v>
      </c>
      <c r="I724" s="127">
        <f>'[1]17. Regulatory Charges'!$E$17</f>
        <v>5.0000000000000001E-4</v>
      </c>
      <c r="J724" s="140">
        <f>E696*E699</f>
        <v>1339910</v>
      </c>
      <c r="K724" s="123">
        <f t="shared" si="106"/>
        <v>669.95500000000004</v>
      </c>
      <c r="L724" s="124">
        <f t="shared" si="100"/>
        <v>0</v>
      </c>
      <c r="M724" s="125">
        <f t="shared" si="107"/>
        <v>0</v>
      </c>
    </row>
    <row r="725" spans="1:14" x14ac:dyDescent="0.2">
      <c r="A725" s="46" t="str">
        <f t="shared" si="103"/>
        <v>EMBEDDED DISTRIBUTOR SERVICE CLASSIFICATION - HYDRO ONE #1</v>
      </c>
      <c r="C725" s="115"/>
      <c r="D725" s="158" t="s">
        <v>188</v>
      </c>
      <c r="E725" s="117"/>
      <c r="F725" s="143">
        <f>IF(AND('[1]1. Information Sheet'!$F$26:$H$26&gt;='[1]17. Regulatory Charges'!$D$14,'[1]1. Information Sheet'!$F$26:$H$26&lt;'[1]17. Regulatory Charges'!$D$14),'[1]17. Regulatory Charges'!$D$18,'[1]17. Regulatory Charges'!$E$18)</f>
        <v>0.25</v>
      </c>
      <c r="G725" s="119">
        <v>1</v>
      </c>
      <c r="H725" s="157">
        <f t="shared" si="105"/>
        <v>0.25</v>
      </c>
      <c r="I725" s="144">
        <f>'[1]17. Regulatory Charges'!$E$18</f>
        <v>0.25</v>
      </c>
      <c r="J725" s="122">
        <v>1</v>
      </c>
      <c r="K725" s="123">
        <f t="shared" si="106"/>
        <v>0.25</v>
      </c>
      <c r="L725" s="124">
        <f t="shared" si="100"/>
        <v>0</v>
      </c>
      <c r="M725" s="125">
        <f t="shared" si="107"/>
        <v>0</v>
      </c>
    </row>
    <row r="726" spans="1:14" ht="25.5" hidden="1" x14ac:dyDescent="0.2">
      <c r="A726" s="46" t="str">
        <f t="shared" si="103"/>
        <v>EMBEDDED DISTRIBUTOR SERVICE CLASSIFICATION - HYDRO ONE #1</v>
      </c>
      <c r="C726" s="115"/>
      <c r="D726" s="156" t="s">
        <v>189</v>
      </c>
      <c r="E726" s="117"/>
      <c r="F726" s="126"/>
      <c r="G726" s="139"/>
      <c r="H726" s="157"/>
      <c r="I726" s="127"/>
      <c r="J726" s="140"/>
      <c r="K726" s="123"/>
      <c r="L726" s="124"/>
      <c r="M726" s="125"/>
    </row>
    <row r="727" spans="1:14" hidden="1" x14ac:dyDescent="0.2">
      <c r="A727" s="46" t="str">
        <f t="shared" si="103"/>
        <v>EMBEDDED DISTRIBUTOR SERVICE CLASSIFICATION - HYDRO ONE #1</v>
      </c>
      <c r="B727" s="46" t="s">
        <v>139</v>
      </c>
      <c r="C727" s="115"/>
      <c r="D727" s="158" t="s">
        <v>190</v>
      </c>
      <c r="E727" s="117"/>
      <c r="F727" s="159">
        <f>OffPeak</f>
        <v>7.3999999999999996E-2</v>
      </c>
      <c r="G727" s="160">
        <f>IF(AND(E696*12&gt;=150000),0.64*E696*E698,0.64*E696)</f>
        <v>857542.39999999991</v>
      </c>
      <c r="H727" s="157">
        <f t="shared" si="105"/>
        <v>63458.137599999987</v>
      </c>
      <c r="I727" s="161">
        <f>OffPeak</f>
        <v>7.3999999999999996E-2</v>
      </c>
      <c r="J727" s="162">
        <f>IF(AND(E696*12&gt;=150000),0.64*E696*E699,0.64*E696)</f>
        <v>857542.39999999991</v>
      </c>
      <c r="K727" s="123">
        <f t="shared" si="106"/>
        <v>63458.137599999987</v>
      </c>
      <c r="L727" s="124">
        <f>K727-H727</f>
        <v>0</v>
      </c>
      <c r="M727" s="125">
        <f t="shared" si="107"/>
        <v>0</v>
      </c>
    </row>
    <row r="728" spans="1:14" hidden="1" x14ac:dyDescent="0.2">
      <c r="A728" s="46" t="str">
        <f t="shared" si="103"/>
        <v>EMBEDDED DISTRIBUTOR SERVICE CLASSIFICATION - HYDRO ONE #1</v>
      </c>
      <c r="B728" s="46" t="s">
        <v>139</v>
      </c>
      <c r="C728" s="115"/>
      <c r="D728" s="158" t="s">
        <v>191</v>
      </c>
      <c r="E728" s="117"/>
      <c r="F728" s="159">
        <f>MidPeak</f>
        <v>0.10199999999999999</v>
      </c>
      <c r="G728" s="160">
        <f>IF(AND(E696*12&gt;=150000),0.18*E696*E698,0.18*E696)</f>
        <v>241183.8</v>
      </c>
      <c r="H728" s="157">
        <f t="shared" si="105"/>
        <v>24600.747599999999</v>
      </c>
      <c r="I728" s="161">
        <f>MidPeak</f>
        <v>0.10199999999999999</v>
      </c>
      <c r="J728" s="162">
        <f>IF(AND(E696*12&gt;=150000),0.18*E696*E699,0.18*E696)</f>
        <v>241183.8</v>
      </c>
      <c r="K728" s="123">
        <f t="shared" si="106"/>
        <v>24600.747599999999</v>
      </c>
      <c r="L728" s="124">
        <f>K728-H728</f>
        <v>0</v>
      </c>
      <c r="M728" s="125">
        <f t="shared" si="107"/>
        <v>0</v>
      </c>
    </row>
    <row r="729" spans="1:14" hidden="1" x14ac:dyDescent="0.2">
      <c r="A729" s="46" t="str">
        <f t="shared" si="103"/>
        <v>EMBEDDED DISTRIBUTOR SERVICE CLASSIFICATION - HYDRO ONE #1</v>
      </c>
      <c r="B729" s="46" t="s">
        <v>139</v>
      </c>
      <c r="C729" s="115"/>
      <c r="D729" s="46" t="s">
        <v>192</v>
      </c>
      <c r="E729" s="117"/>
      <c r="F729" s="159">
        <f>OnPeak</f>
        <v>0.151</v>
      </c>
      <c r="G729" s="160">
        <f>IF(AND(E696*12&gt;=150000),0.18*E696*E698,0.18*E696)</f>
        <v>241183.8</v>
      </c>
      <c r="H729" s="157">
        <f t="shared" si="105"/>
        <v>36418.753799999999</v>
      </c>
      <c r="I729" s="161">
        <f>OnPeak</f>
        <v>0.151</v>
      </c>
      <c r="J729" s="162">
        <f>IF(AND(E696*12&gt;=150000),0.18*E696*E699,0.18*E696)</f>
        <v>241183.8</v>
      </c>
      <c r="K729" s="123">
        <f t="shared" si="106"/>
        <v>36418.753799999999</v>
      </c>
      <c r="L729" s="124">
        <f>K729-H729</f>
        <v>0</v>
      </c>
      <c r="M729" s="125">
        <f t="shared" si="107"/>
        <v>0</v>
      </c>
    </row>
    <row r="730" spans="1:14" hidden="1" x14ac:dyDescent="0.2">
      <c r="A730" s="46" t="str">
        <f t="shared" si="103"/>
        <v>EMBEDDED DISTRIBUTOR SERVICE CLASSIFICATION - HYDRO ONE #1</v>
      </c>
      <c r="B730" s="46" t="s">
        <v>141</v>
      </c>
      <c r="C730" s="115"/>
      <c r="D730" s="158" t="s">
        <v>193</v>
      </c>
      <c r="E730" s="117"/>
      <c r="F730" s="163">
        <v>9.6699999999999994E-2</v>
      </c>
      <c r="G730" s="160">
        <f>IF(AND(E696*12&gt;=150000),E696*E698,E696)</f>
        <v>1339910</v>
      </c>
      <c r="H730" s="157">
        <f>G730*F730</f>
        <v>129569.29699999999</v>
      </c>
      <c r="I730" s="164">
        <f>F730</f>
        <v>9.6699999999999994E-2</v>
      </c>
      <c r="J730" s="162">
        <f>IF(AND(E696*12&gt;=150000),E696*E699,E696)</f>
        <v>1339910</v>
      </c>
      <c r="K730" s="123">
        <f>J730*I730</f>
        <v>129569.29699999999</v>
      </c>
      <c r="L730" s="124">
        <f>K730-H730</f>
        <v>0</v>
      </c>
      <c r="M730" s="125">
        <f t="shared" si="107"/>
        <v>0</v>
      </c>
    </row>
    <row r="731" spans="1:14" ht="13.5" thickBot="1" x14ac:dyDescent="0.25">
      <c r="A731" s="46" t="str">
        <f t="shared" si="103"/>
        <v>EMBEDDED DISTRIBUTOR SERVICE CLASSIFICATION - HYDRO ONE #1</v>
      </c>
      <c r="B731" s="46" t="s">
        <v>140</v>
      </c>
      <c r="C731" s="115"/>
      <c r="D731" s="158" t="s">
        <v>194</v>
      </c>
      <c r="E731" s="117"/>
      <c r="F731" s="163">
        <v>9.6699999999999994E-2</v>
      </c>
      <c r="G731" s="160">
        <f>IF(AND(E696*12&gt;=150000),E696*E698,E696)</f>
        <v>1339910</v>
      </c>
      <c r="H731" s="157">
        <f>G731*F731</f>
        <v>129569.29699999999</v>
      </c>
      <c r="I731" s="164">
        <f>F731</f>
        <v>9.6699999999999994E-2</v>
      </c>
      <c r="J731" s="162">
        <f>IF(AND(E696*12&gt;=150000),E696*E699,E696)</f>
        <v>1339910</v>
      </c>
      <c r="K731" s="123">
        <f>J731*I731</f>
        <v>129569.29699999999</v>
      </c>
      <c r="L731" s="124">
        <f>K731-H731</f>
        <v>0</v>
      </c>
      <c r="M731" s="125">
        <f t="shared" si="107"/>
        <v>0</v>
      </c>
    </row>
    <row r="732" spans="1:14" ht="13.5" thickBot="1" x14ac:dyDescent="0.25">
      <c r="A732" s="46" t="str">
        <f t="shared" si="103"/>
        <v>EMBEDDED DISTRIBUTOR SERVICE CLASSIFICATION - HYDRO ONE #1</v>
      </c>
      <c r="C732" s="115"/>
      <c r="D732" s="165"/>
      <c r="E732" s="166"/>
      <c r="F732" s="167"/>
      <c r="G732" s="168"/>
      <c r="H732" s="169"/>
      <c r="I732" s="167"/>
      <c r="J732" s="170"/>
      <c r="K732" s="169"/>
      <c r="L732" s="171"/>
      <c r="M732" s="172"/>
    </row>
    <row r="733" spans="1:14" hidden="1" x14ac:dyDescent="0.2">
      <c r="A733" s="46" t="str">
        <f t="shared" si="103"/>
        <v>EMBEDDED DISTRIBUTOR SERVICE CLASSIFICATION - HYDRO ONE #1</v>
      </c>
      <c r="B733" s="46" t="s">
        <v>139</v>
      </c>
      <c r="C733" s="115"/>
      <c r="D733" s="173" t="s">
        <v>195</v>
      </c>
      <c r="E733" s="158"/>
      <c r="F733" s="174"/>
      <c r="G733" s="175"/>
      <c r="H733" s="176">
        <f>SUM(H723:H729,H722)</f>
        <v>149960.36600000001</v>
      </c>
      <c r="I733" s="177"/>
      <c r="J733" s="177"/>
      <c r="K733" s="176">
        <f>SUM(K723:K729,K722)</f>
        <v>143220.342</v>
      </c>
      <c r="L733" s="178">
        <f>K733-H733</f>
        <v>-6740.0240000000049</v>
      </c>
      <c r="M733" s="179">
        <f>IF((H733)=0,"",(L733/H733))</f>
        <v>-4.4945369098392335E-2</v>
      </c>
    </row>
    <row r="734" spans="1:14" hidden="1" x14ac:dyDescent="0.2">
      <c r="A734" s="46" t="str">
        <f t="shared" si="103"/>
        <v>EMBEDDED DISTRIBUTOR SERVICE CLASSIFICATION - HYDRO ONE #1</v>
      </c>
      <c r="B734" s="46" t="s">
        <v>139</v>
      </c>
      <c r="C734" s="115"/>
      <c r="D734" s="180" t="s">
        <v>196</v>
      </c>
      <c r="E734" s="158"/>
      <c r="F734" s="174">
        <v>0.13</v>
      </c>
      <c r="G734" s="181"/>
      <c r="H734" s="182">
        <f>H733*F734</f>
        <v>19494.847580000001</v>
      </c>
      <c r="I734" s="183">
        <v>0.13</v>
      </c>
      <c r="J734" s="119"/>
      <c r="K734" s="182">
        <f>K733*I734</f>
        <v>18618.64446</v>
      </c>
      <c r="L734" s="124">
        <f>K734-H734</f>
        <v>-876.20312000000195</v>
      </c>
      <c r="M734" s="184">
        <f>IF((H734)=0,"",(L734/H734))</f>
        <v>-4.4945369098392404E-2</v>
      </c>
    </row>
    <row r="735" spans="1:14" ht="15" hidden="1" x14ac:dyDescent="0.25">
      <c r="A735" s="46" t="str">
        <f t="shared" si="103"/>
        <v>EMBEDDED DISTRIBUTOR SERVICE CLASSIFICATION - HYDRO ONE #1</v>
      </c>
      <c r="B735" s="46" t="s">
        <v>139</v>
      </c>
      <c r="C735" s="115"/>
      <c r="D735" s="180" t="s">
        <v>197</v>
      </c>
      <c r="E735"/>
      <c r="F735" s="185">
        <v>0.11700000000000001</v>
      </c>
      <c r="G735" s="181"/>
      <c r="H735" s="182">
        <f>IF(OR(ISNUMBER(SEARCH("[DGEN]", E694))=TRUE, ISNUMBER(SEARCH("STREET LIGHT", E694))=TRUE), 0, IF(AND(E696=0, E697=0),0, IF(AND(E697=0, E696*12&gt;250000), 0, IF(AND(E696=0, E697&gt;=50), 0, IF(E696*12&lt;=250000, F735*H733*-1, IF(E697&lt;50, F735*H733*-1, 0))))))</f>
        <v>0</v>
      </c>
      <c r="I735" s="185">
        <v>0.11700000000000001</v>
      </c>
      <c r="J735" s="119"/>
      <c r="K735" s="182">
        <f>IF(OR(ISNUMBER(SEARCH("[DGEN]", E694))=TRUE, ISNUMBER(SEARCH("STREET LIGHT", E694))=TRUE), 0, IF(AND(E696=0, E697=0),0, IF(AND(E697=0, E696*12&gt;250000), 0, IF(AND(E696=0, E697&gt;=50), 0, IF(E696*12&lt;=250000, I735*K733*-1, IF(E697&lt;50, I735*K733*-1, 0))))))</f>
        <v>0</v>
      </c>
      <c r="L735" s="124">
        <f>K735-H735</f>
        <v>0</v>
      </c>
      <c r="M735" s="184"/>
    </row>
    <row r="736" spans="1:14" hidden="1" x14ac:dyDescent="0.2">
      <c r="A736" s="46" t="str">
        <f t="shared" si="103"/>
        <v>EMBEDDED DISTRIBUTOR SERVICE CLASSIFICATION - HYDRO ONE #1</v>
      </c>
      <c r="B736" s="46" t="s">
        <v>198</v>
      </c>
      <c r="C736" s="115"/>
      <c r="D736" s="186" t="s">
        <v>199</v>
      </c>
      <c r="E736" s="186"/>
      <c r="F736" s="187"/>
      <c r="G736" s="188"/>
      <c r="H736" s="189">
        <f>H733+H734+H735</f>
        <v>169455.21358000001</v>
      </c>
      <c r="I736" s="190"/>
      <c r="J736" s="190"/>
      <c r="K736" s="191">
        <f>K733+K734+K735</f>
        <v>161838.98646000001</v>
      </c>
      <c r="L736" s="192">
        <f>K736-H736</f>
        <v>-7616.2271199999959</v>
      </c>
      <c r="M736" s="193">
        <f>IF((H736)=0,"",(L736/H736))</f>
        <v>-4.4945369098392279E-2</v>
      </c>
    </row>
    <row r="737" spans="1:14" ht="13.5" hidden="1" thickBot="1" x14ac:dyDescent="0.25">
      <c r="A737" s="46" t="str">
        <f t="shared" si="103"/>
        <v>EMBEDDED DISTRIBUTOR SERVICE CLASSIFICATION - HYDRO ONE #1</v>
      </c>
      <c r="B737" s="46" t="s">
        <v>139</v>
      </c>
      <c r="C737" s="115"/>
      <c r="D737" s="165"/>
      <c r="E737" s="166"/>
      <c r="F737" s="167"/>
      <c r="G737" s="168"/>
      <c r="H737" s="169"/>
      <c r="I737" s="167"/>
      <c r="J737" s="170"/>
      <c r="K737" s="169"/>
      <c r="L737" s="171"/>
      <c r="M737" s="172"/>
    </row>
    <row r="738" spans="1:14" hidden="1" x14ac:dyDescent="0.2">
      <c r="A738" s="46" t="str">
        <f t="shared" si="103"/>
        <v>EMBEDDED DISTRIBUTOR SERVICE CLASSIFICATION - HYDRO ONE #1</v>
      </c>
      <c r="B738" s="46" t="s">
        <v>141</v>
      </c>
      <c r="C738" s="115"/>
      <c r="D738" s="173" t="s">
        <v>200</v>
      </c>
      <c r="E738" s="158"/>
      <c r="F738" s="174"/>
      <c r="G738" s="175"/>
      <c r="H738" s="176">
        <f>SUM(H730,H723:H726,H722)</f>
        <v>155052.02399999998</v>
      </c>
      <c r="I738" s="177"/>
      <c r="J738" s="177"/>
      <c r="K738" s="176">
        <f>SUM(K730,K723:K726,K722)</f>
        <v>148311.99999999997</v>
      </c>
      <c r="L738" s="178">
        <f>K738-H738</f>
        <v>-6740.0240000000049</v>
      </c>
      <c r="M738" s="179">
        <f>IF((H738)=0,"",(L738/H738))</f>
        <v>-4.3469435781115673E-2</v>
      </c>
    </row>
    <row r="739" spans="1:14" hidden="1" x14ac:dyDescent="0.2">
      <c r="A739" s="46" t="str">
        <f t="shared" si="103"/>
        <v>EMBEDDED DISTRIBUTOR SERVICE CLASSIFICATION - HYDRO ONE #1</v>
      </c>
      <c r="B739" s="46" t="s">
        <v>141</v>
      </c>
      <c r="C739" s="115"/>
      <c r="D739" s="180" t="s">
        <v>196</v>
      </c>
      <c r="E739" s="158"/>
      <c r="F739" s="174">
        <v>0.13</v>
      </c>
      <c r="G739" s="175"/>
      <c r="H739" s="182">
        <f>H738*F739</f>
        <v>20156.763119999996</v>
      </c>
      <c r="I739" s="174">
        <v>0.13</v>
      </c>
      <c r="J739" s="183"/>
      <c r="K739" s="182">
        <f>K738*I739</f>
        <v>19280.559999999998</v>
      </c>
      <c r="L739" s="124">
        <f>K739-H739</f>
        <v>-876.20311999999831</v>
      </c>
      <c r="M739" s="184">
        <f>IF((H739)=0,"",(L739/H739))</f>
        <v>-4.3469435781115562E-2</v>
      </c>
    </row>
    <row r="740" spans="1:14" ht="15" hidden="1" x14ac:dyDescent="0.25">
      <c r="A740" s="46" t="str">
        <f t="shared" si="103"/>
        <v>EMBEDDED DISTRIBUTOR SERVICE CLASSIFICATION - HYDRO ONE #1</v>
      </c>
      <c r="B740" s="46" t="s">
        <v>141</v>
      </c>
      <c r="C740" s="115"/>
      <c r="D740" s="180" t="s">
        <v>197</v>
      </c>
      <c r="E740"/>
      <c r="F740" s="185">
        <v>0.11700000000000001</v>
      </c>
      <c r="G740" s="175"/>
      <c r="H740" s="182">
        <f>IF(OR(ISNUMBER(SEARCH("[DGEN]", E694))=TRUE, ISNUMBER(SEARCH("STREET LIGHT", E694))=TRUE), 0, IF(AND(E696=0, E697=0),0, IF(AND(E697=0, E696*12&gt;250000), 0, IF(AND(E696=0, E697&gt;=50), 0, IF(E696*12&lt;=250000, F740*H738*-1, IF(E697&lt;50, F740*H738*-1, 0))))))</f>
        <v>0</v>
      </c>
      <c r="I740" s="185">
        <v>0.11700000000000001</v>
      </c>
      <c r="J740" s="183"/>
      <c r="K740" s="182">
        <f>IF(OR(ISNUMBER(SEARCH("[DGEN]", E694))=TRUE, ISNUMBER(SEARCH("STREET LIGHT", E694))=TRUE), 0, IF(AND(E696=0, E697=0),0, IF(AND(E697=0, E696*12&gt;250000), 0, IF(AND(E696=0, E697&gt;=50), 0, IF(E696*12&lt;=250000, I740*K738*-1, IF(E697&lt;50, I740*K738*-1, 0))))))</f>
        <v>0</v>
      </c>
      <c r="L740" s="124"/>
      <c r="M740" s="184"/>
    </row>
    <row r="741" spans="1:14" hidden="1" x14ac:dyDescent="0.2">
      <c r="A741" s="46" t="str">
        <f t="shared" si="103"/>
        <v>EMBEDDED DISTRIBUTOR SERVICE CLASSIFICATION - HYDRO ONE #1</v>
      </c>
      <c r="B741" s="46" t="s">
        <v>201</v>
      </c>
      <c r="C741" s="115"/>
      <c r="D741" s="186" t="s">
        <v>200</v>
      </c>
      <c r="E741" s="186"/>
      <c r="F741" s="194"/>
      <c r="G741" s="195"/>
      <c r="H741" s="189">
        <f>SUM(H738,H739)</f>
        <v>175208.78711999996</v>
      </c>
      <c r="I741" s="196"/>
      <c r="J741" s="196"/>
      <c r="K741" s="189">
        <f>SUM(K738,K739)</f>
        <v>167592.55999999997</v>
      </c>
      <c r="L741" s="197">
        <f>K741-H741</f>
        <v>-7616.2271199999959</v>
      </c>
      <c r="M741" s="198">
        <f>IF((H741)=0,"",(L741/H741))</f>
        <v>-4.3469435781115617E-2</v>
      </c>
    </row>
    <row r="742" spans="1:14" ht="13.5" hidden="1" thickBot="1" x14ac:dyDescent="0.25">
      <c r="A742" s="46" t="str">
        <f t="shared" si="103"/>
        <v>EMBEDDED DISTRIBUTOR SERVICE CLASSIFICATION - HYDRO ONE #1</v>
      </c>
      <c r="B742" s="46" t="s">
        <v>141</v>
      </c>
      <c r="C742" s="115"/>
      <c r="D742" s="165"/>
      <c r="E742" s="166"/>
      <c r="F742" s="199"/>
      <c r="G742" s="200"/>
      <c r="H742" s="201"/>
      <c r="I742" s="199"/>
      <c r="J742" s="168"/>
      <c r="K742" s="201"/>
      <c r="L742" s="202"/>
      <c r="M742" s="172"/>
    </row>
    <row r="743" spans="1:14" x14ac:dyDescent="0.2">
      <c r="A743" s="46" t="str">
        <f t="shared" si="103"/>
        <v>EMBEDDED DISTRIBUTOR SERVICE CLASSIFICATION - HYDRO ONE #1</v>
      </c>
      <c r="B743" s="46" t="s">
        <v>140</v>
      </c>
      <c r="C743" s="115"/>
      <c r="D743" s="173" t="s">
        <v>202</v>
      </c>
      <c r="E743" s="158"/>
      <c r="F743" s="174"/>
      <c r="G743" s="175"/>
      <c r="H743" s="176">
        <f>SUM(H731,H723:H726,H722)</f>
        <v>155052.02399999998</v>
      </c>
      <c r="I743" s="177"/>
      <c r="J743" s="177"/>
      <c r="K743" s="176">
        <f>SUM(K731,K723:K726,K722)</f>
        <v>148311.99999999997</v>
      </c>
      <c r="L743" s="178">
        <f>K743-H743</f>
        <v>-6740.0240000000049</v>
      </c>
      <c r="M743" s="179">
        <f>IF((H743)=0,"",(L743/H743))</f>
        <v>-4.3469435781115673E-2</v>
      </c>
    </row>
    <row r="744" spans="1:14" x14ac:dyDescent="0.2">
      <c r="A744" s="46" t="str">
        <f t="shared" si="103"/>
        <v>EMBEDDED DISTRIBUTOR SERVICE CLASSIFICATION - HYDRO ONE #1</v>
      </c>
      <c r="B744" s="46" t="s">
        <v>140</v>
      </c>
      <c r="C744" s="115"/>
      <c r="D744" s="180" t="s">
        <v>196</v>
      </c>
      <c r="E744" s="158"/>
      <c r="F744" s="174">
        <v>0.13</v>
      </c>
      <c r="G744" s="175"/>
      <c r="H744" s="182">
        <f>H743*F744</f>
        <v>20156.763119999996</v>
      </c>
      <c r="I744" s="174">
        <v>0.13</v>
      </c>
      <c r="J744" s="183"/>
      <c r="K744" s="182">
        <f>K743*I744</f>
        <v>19280.559999999998</v>
      </c>
      <c r="L744" s="124">
        <f>K744-H744</f>
        <v>-876.20311999999831</v>
      </c>
      <c r="M744" s="184">
        <f>IF((H744)=0,"",(L744/H744))</f>
        <v>-4.3469435781115562E-2</v>
      </c>
    </row>
    <row r="745" spans="1:14" ht="15" x14ac:dyDescent="0.25">
      <c r="A745" s="46" t="str">
        <f t="shared" si="103"/>
        <v>EMBEDDED DISTRIBUTOR SERVICE CLASSIFICATION - HYDRO ONE #1</v>
      </c>
      <c r="B745" s="46" t="s">
        <v>140</v>
      </c>
      <c r="C745" s="115"/>
      <c r="D745" s="180" t="s">
        <v>197</v>
      </c>
      <c r="E745"/>
      <c r="F745" s="185">
        <v>0.11700000000000001</v>
      </c>
      <c r="G745" s="175"/>
      <c r="H745" s="182">
        <f>IF(OR(ISNUMBER(SEARCH("[DGEN]", E694))=TRUE, ISNUMBER(SEARCH("STREET LIGHT", E694))=TRUE), 0, IF(AND(E696=0, E697=0),0, IF(AND(E697=0, E696*12&gt;250000), 0, IF(AND(E696=0, E697&gt;=50), 0, IF(E696*12&lt;=250000, F745*H743*-1, IF(E697&lt;50, F745*H743*-1, 0))))))</f>
        <v>0</v>
      </c>
      <c r="I745" s="185">
        <v>0.11700000000000001</v>
      </c>
      <c r="J745" s="183"/>
      <c r="K745" s="182">
        <f>IF(OR(ISNUMBER(SEARCH("[DGEN]", E694))=TRUE, ISNUMBER(SEARCH("STREET LIGHT", E694))=TRUE), 0, IF(AND(E696=0, E697=0),0, IF(AND(E697=0, E696*12&gt;250000), 0, IF(AND(E696=0, E697&gt;=50), 0, IF(E696*12&lt;=250000, I745*K743*-1, IF(E697&lt;50, I745*K743*-1, 0))))))</f>
        <v>0</v>
      </c>
      <c r="L745" s="124"/>
      <c r="M745" s="184"/>
    </row>
    <row r="746" spans="1:14" ht="13.5" thickBot="1" x14ac:dyDescent="0.25">
      <c r="A746" s="46" t="str">
        <f t="shared" si="103"/>
        <v>EMBEDDED DISTRIBUTOR SERVICE CLASSIFICATION - HYDRO ONE #1</v>
      </c>
      <c r="B746" s="46" t="s">
        <v>203</v>
      </c>
      <c r="C746" s="115">
        <f>B41</f>
        <v>12</v>
      </c>
      <c r="D746" s="186" t="s">
        <v>202</v>
      </c>
      <c r="E746" s="186"/>
      <c r="F746" s="194"/>
      <c r="G746" s="195"/>
      <c r="H746" s="189">
        <f>SUM(H743,H744)</f>
        <v>175208.78711999996</v>
      </c>
      <c r="I746" s="196"/>
      <c r="J746" s="196"/>
      <c r="K746" s="189">
        <f>SUM(K743,K744)</f>
        <v>167592.55999999997</v>
      </c>
      <c r="L746" s="197">
        <f>K746-H746</f>
        <v>-7616.2271199999959</v>
      </c>
      <c r="M746" s="198">
        <f>IF((H746)=0,"",(L746/H746))</f>
        <v>-4.3469435781115617E-2</v>
      </c>
    </row>
    <row r="747" spans="1:14" ht="13.5" thickBot="1" x14ac:dyDescent="0.25">
      <c r="A747" s="46" t="str">
        <f t="shared" si="103"/>
        <v>EMBEDDED DISTRIBUTOR SERVICE CLASSIFICATION - HYDRO ONE #1</v>
      </c>
      <c r="B747" s="46" t="s">
        <v>140</v>
      </c>
      <c r="C747" s="115"/>
      <c r="D747" s="165"/>
      <c r="E747" s="166"/>
      <c r="F747" s="203"/>
      <c r="G747" s="200"/>
      <c r="H747" s="204"/>
      <c r="I747" s="203"/>
      <c r="J747" s="168"/>
      <c r="K747" s="204"/>
      <c r="L747" s="202"/>
      <c r="M747" s="205"/>
    </row>
    <row r="750" spans="1:14" x14ac:dyDescent="0.2">
      <c r="C750" s="46"/>
      <c r="D750" s="90" t="s">
        <v>150</v>
      </c>
      <c r="E750" s="91" t="str">
        <f>D42</f>
        <v>EMBEDDED DISTRIBUTOR SERVICE CLASSIFICATION - HYDRO ONE #2</v>
      </c>
      <c r="F750" s="91"/>
      <c r="G750" s="91"/>
      <c r="H750" s="91"/>
      <c r="I750" s="91"/>
      <c r="J750" s="91"/>
      <c r="K750" s="46" t="str">
        <f>IF(N42="DEMAND - INTERVAL","RTSR - INTERVAL METERED","")</f>
        <v/>
      </c>
    </row>
    <row r="751" spans="1:14" x14ac:dyDescent="0.2">
      <c r="C751" s="46"/>
      <c r="D751" s="90" t="s">
        <v>151</v>
      </c>
      <c r="E751" s="92" t="str">
        <f>H42</f>
        <v>Non-RPP (Other)</v>
      </c>
      <c r="F751" s="92"/>
      <c r="G751" s="92"/>
      <c r="H751" s="93"/>
      <c r="I751" s="93"/>
    </row>
    <row r="752" spans="1:14" ht="15.75" x14ac:dyDescent="0.2">
      <c r="C752" s="46"/>
      <c r="D752" s="90" t="s">
        <v>152</v>
      </c>
      <c r="E752" s="94">
        <f>K42</f>
        <v>1990000</v>
      </c>
      <c r="F752" s="95" t="s">
        <v>153</v>
      </c>
      <c r="J752" s="96"/>
      <c r="K752" s="96"/>
      <c r="L752" s="96"/>
      <c r="M752" s="96"/>
      <c r="N752" s="96"/>
    </row>
    <row r="753" spans="1:13" ht="15.75" x14ac:dyDescent="0.25">
      <c r="C753" s="46"/>
      <c r="D753" s="90" t="s">
        <v>154</v>
      </c>
      <c r="E753" s="94">
        <f>L42</f>
        <v>4050</v>
      </c>
      <c r="F753" s="97" t="s">
        <v>155</v>
      </c>
      <c r="G753" s="98"/>
      <c r="H753" s="99"/>
      <c r="I753" s="99"/>
      <c r="J753" s="99"/>
    </row>
    <row r="754" spans="1:13" x14ac:dyDescent="0.2">
      <c r="C754" s="46"/>
      <c r="D754" s="90" t="s">
        <v>156</v>
      </c>
      <c r="E754" s="100">
        <f>I42</f>
        <v>1.0306999999999999</v>
      </c>
    </row>
    <row r="755" spans="1:13" x14ac:dyDescent="0.2">
      <c r="C755" s="46"/>
      <c r="D755" s="90" t="s">
        <v>157</v>
      </c>
      <c r="E755" s="100">
        <f>J42</f>
        <v>1.0306999999999999</v>
      </c>
    </row>
    <row r="756" spans="1:13" x14ac:dyDescent="0.2">
      <c r="C756" s="46"/>
    </row>
    <row r="757" spans="1:13" x14ac:dyDescent="0.2">
      <c r="C757" s="46"/>
      <c r="E757" s="95"/>
      <c r="F757" s="101" t="s">
        <v>204</v>
      </c>
      <c r="G757" s="102"/>
      <c r="H757" s="103"/>
      <c r="I757" s="101" t="s">
        <v>205</v>
      </c>
      <c r="J757" s="102"/>
      <c r="K757" s="103"/>
      <c r="L757" s="101" t="s">
        <v>158</v>
      </c>
      <c r="M757" s="103"/>
    </row>
    <row r="758" spans="1:13" x14ac:dyDescent="0.2">
      <c r="C758" s="46"/>
      <c r="E758" s="104"/>
      <c r="F758" s="105" t="s">
        <v>159</v>
      </c>
      <c r="G758" s="105" t="s">
        <v>160</v>
      </c>
      <c r="H758" s="106" t="s">
        <v>161</v>
      </c>
      <c r="I758" s="105" t="s">
        <v>159</v>
      </c>
      <c r="J758" s="107" t="s">
        <v>160</v>
      </c>
      <c r="K758" s="106" t="s">
        <v>161</v>
      </c>
      <c r="L758" s="108" t="s">
        <v>162</v>
      </c>
      <c r="M758" s="109" t="s">
        <v>163</v>
      </c>
    </row>
    <row r="759" spans="1:13" x14ac:dyDescent="0.2">
      <c r="C759" s="46"/>
      <c r="E759" s="110"/>
      <c r="F759" s="111" t="s">
        <v>164</v>
      </c>
      <c r="G759" s="111"/>
      <c r="H759" s="112" t="s">
        <v>164</v>
      </c>
      <c r="I759" s="111" t="s">
        <v>164</v>
      </c>
      <c r="J759" s="112"/>
      <c r="K759" s="112" t="s">
        <v>164</v>
      </c>
      <c r="L759" s="113"/>
      <c r="M759" s="114"/>
    </row>
    <row r="760" spans="1:13" x14ac:dyDescent="0.2">
      <c r="A760" s="46" t="str">
        <f>$E750</f>
        <v>EMBEDDED DISTRIBUTOR SERVICE CLASSIFICATION - HYDRO ONE #2</v>
      </c>
      <c r="C760" s="115"/>
      <c r="D760" s="116" t="s">
        <v>165</v>
      </c>
      <c r="E760" s="117"/>
      <c r="F760" s="118">
        <v>74.83</v>
      </c>
      <c r="G760" s="119">
        <v>1</v>
      </c>
      <c r="H760" s="120">
        <f>G760*F760</f>
        <v>74.83</v>
      </c>
      <c r="I760" s="121">
        <v>77.489999999999995</v>
      </c>
      <c r="J760" s="122">
        <f>G760</f>
        <v>1</v>
      </c>
      <c r="K760" s="123">
        <f>J760*I760</f>
        <v>77.489999999999995</v>
      </c>
      <c r="L760" s="124">
        <f t="shared" ref="L760:L781" si="108">K760-H760</f>
        <v>2.6599999999999966</v>
      </c>
      <c r="M760" s="125">
        <f>IF(ISERROR(L760/H760), "", L760/H760)</f>
        <v>3.5547240411599582E-2</v>
      </c>
    </row>
    <row r="761" spans="1:13" x14ac:dyDescent="0.2">
      <c r="A761" s="46" t="str">
        <f>A760</f>
        <v>EMBEDDED DISTRIBUTOR SERVICE CLASSIFICATION - HYDRO ONE #2</v>
      </c>
      <c r="C761" s="115"/>
      <c r="D761" s="116" t="s">
        <v>30</v>
      </c>
      <c r="E761" s="117"/>
      <c r="F761" s="126">
        <v>0</v>
      </c>
      <c r="G761" s="119">
        <f>IF($E753&gt;0, $E753, $E752)</f>
        <v>4050</v>
      </c>
      <c r="H761" s="120">
        <f t="shared" ref="H761:H773" si="109">G761*F761</f>
        <v>0</v>
      </c>
      <c r="I761" s="127">
        <v>0</v>
      </c>
      <c r="J761" s="122">
        <f>IF($E753&gt;0, $E753, $E752)</f>
        <v>4050</v>
      </c>
      <c r="K761" s="123">
        <f>J761*I761</f>
        <v>0</v>
      </c>
      <c r="L761" s="124">
        <f t="shared" si="108"/>
        <v>0</v>
      </c>
      <c r="M761" s="125" t="str">
        <f t="shared" ref="M761:M771" si="110">IF(ISERROR(L761/H761), "", L761/H761)</f>
        <v/>
      </c>
    </row>
    <row r="762" spans="1:13" hidden="1" x14ac:dyDescent="0.2">
      <c r="A762" s="46" t="str">
        <f t="shared" ref="A762:A803" si="111">A761</f>
        <v>EMBEDDED DISTRIBUTOR SERVICE CLASSIFICATION - HYDRO ONE #2</v>
      </c>
      <c r="C762" s="115"/>
      <c r="D762" s="116" t="s">
        <v>166</v>
      </c>
      <c r="E762" s="117"/>
      <c r="F762" s="126"/>
      <c r="G762" s="119">
        <f>IF($E753&gt;0, $E753, $E752)</f>
        <v>4050</v>
      </c>
      <c r="H762" s="120">
        <v>0</v>
      </c>
      <c r="I762" s="127"/>
      <c r="J762" s="122">
        <f>IF($E753&gt;0, $E753, $E752)</f>
        <v>4050</v>
      </c>
      <c r="K762" s="123">
        <v>0</v>
      </c>
      <c r="L762" s="124"/>
      <c r="M762" s="125"/>
    </row>
    <row r="763" spans="1:13" hidden="1" x14ac:dyDescent="0.2">
      <c r="A763" s="46" t="str">
        <f t="shared" si="111"/>
        <v>EMBEDDED DISTRIBUTOR SERVICE CLASSIFICATION - HYDRO ONE #2</v>
      </c>
      <c r="C763" s="115"/>
      <c r="D763" s="116" t="s">
        <v>167</v>
      </c>
      <c r="E763" s="117"/>
      <c r="F763" s="126"/>
      <c r="G763" s="119">
        <f>IF($E753&gt;0, $E753, $E752)</f>
        <v>4050</v>
      </c>
      <c r="H763" s="120">
        <v>0</v>
      </c>
      <c r="I763" s="127"/>
      <c r="J763" s="128">
        <f>IF($E753&gt;0, $E753, $E752)</f>
        <v>4050</v>
      </c>
      <c r="K763" s="123">
        <v>0</v>
      </c>
      <c r="L763" s="124">
        <f>K763-H763</f>
        <v>0</v>
      </c>
      <c r="M763" s="125" t="str">
        <f>IF(ISERROR(L763/H763), "", L763/H763)</f>
        <v/>
      </c>
    </row>
    <row r="764" spans="1:13" x14ac:dyDescent="0.2">
      <c r="A764" s="46" t="str">
        <f t="shared" si="111"/>
        <v>EMBEDDED DISTRIBUTOR SERVICE CLASSIFICATION - HYDRO ONE #2</v>
      </c>
      <c r="C764" s="115"/>
      <c r="D764" s="116" t="s">
        <v>168</v>
      </c>
      <c r="E764" s="117"/>
      <c r="F764" s="118">
        <v>113.95</v>
      </c>
      <c r="G764" s="119">
        <v>1</v>
      </c>
      <c r="H764" s="120">
        <f t="shared" si="109"/>
        <v>113.95</v>
      </c>
      <c r="I764" s="121">
        <v>113.95</v>
      </c>
      <c r="J764" s="122">
        <f>G764</f>
        <v>1</v>
      </c>
      <c r="K764" s="123">
        <f t="shared" ref="K764:K771" si="112">J764*I764</f>
        <v>113.95</v>
      </c>
      <c r="L764" s="124">
        <f t="shared" si="108"/>
        <v>0</v>
      </c>
      <c r="M764" s="125">
        <f t="shared" si="110"/>
        <v>0</v>
      </c>
    </row>
    <row r="765" spans="1:13" x14ac:dyDescent="0.2">
      <c r="A765" s="46" t="str">
        <f t="shared" si="111"/>
        <v>EMBEDDED DISTRIBUTOR SERVICE CLASSIFICATION - HYDRO ONE #2</v>
      </c>
      <c r="C765" s="115"/>
      <c r="D765" s="116" t="s">
        <v>169</v>
      </c>
      <c r="E765" s="117"/>
      <c r="F765" s="126">
        <v>0</v>
      </c>
      <c r="G765" s="119">
        <f>IF($E753&gt;0, $E753, $E752)</f>
        <v>4050</v>
      </c>
      <c r="H765" s="120">
        <f t="shared" si="109"/>
        <v>0</v>
      </c>
      <c r="I765" s="127">
        <v>0</v>
      </c>
      <c r="J765" s="122">
        <f>IF($E753&gt;0, $E753, $E752)</f>
        <v>4050</v>
      </c>
      <c r="K765" s="123">
        <f t="shared" si="112"/>
        <v>0</v>
      </c>
      <c r="L765" s="124">
        <f t="shared" si="108"/>
        <v>0</v>
      </c>
      <c r="M765" s="125" t="str">
        <f t="shared" si="110"/>
        <v/>
      </c>
    </row>
    <row r="766" spans="1:13" x14ac:dyDescent="0.2">
      <c r="A766" s="46" t="str">
        <f t="shared" si="111"/>
        <v>EMBEDDED DISTRIBUTOR SERVICE CLASSIFICATION - HYDRO ONE #2</v>
      </c>
      <c r="B766" s="46" t="s">
        <v>170</v>
      </c>
      <c r="C766" s="115">
        <f>B42</f>
        <v>13</v>
      </c>
      <c r="D766" s="129" t="s">
        <v>171</v>
      </c>
      <c r="E766" s="130"/>
      <c r="F766" s="131"/>
      <c r="G766" s="132"/>
      <c r="H766" s="133">
        <f>SUM(H760:H765)</f>
        <v>188.78</v>
      </c>
      <c r="I766" s="134"/>
      <c r="J766" s="135"/>
      <c r="K766" s="133">
        <f>SUM(K760:K765)</f>
        <v>191.44</v>
      </c>
      <c r="L766" s="136">
        <f t="shared" si="108"/>
        <v>2.6599999999999966</v>
      </c>
      <c r="M766" s="137">
        <f>IF((H766)=0,"",(L766/H766))</f>
        <v>1.4090475685983667E-2</v>
      </c>
    </row>
    <row r="767" spans="1:13" x14ac:dyDescent="0.2">
      <c r="A767" s="46" t="str">
        <f t="shared" si="111"/>
        <v>EMBEDDED DISTRIBUTOR SERVICE CLASSIFICATION - HYDRO ONE #2</v>
      </c>
      <c r="C767" s="115"/>
      <c r="D767" s="138" t="s">
        <v>172</v>
      </c>
      <c r="E767" s="117"/>
      <c r="F767" s="126">
        <f>IF((E752*12&gt;=150000), 0, IF(E751="RPP",(F783*0.64+F784*0.18+F785*0.18),IF(E751="Non-RPP (Retailer)",F786,F787)))</f>
        <v>0</v>
      </c>
      <c r="G767" s="139">
        <f>IF(F767=0, 0, $E752*E754-E752)</f>
        <v>0</v>
      </c>
      <c r="H767" s="120">
        <f>G767*F767</f>
        <v>0</v>
      </c>
      <c r="I767" s="127">
        <f>IF((E752*12&gt;=150000), 0, IF(E751="RPP",(I783*0.64+I784*0.18+I785*0.18),IF(E751="Non-RPP (Retailer)",I786,I787)))</f>
        <v>0</v>
      </c>
      <c r="J767" s="140">
        <f>IF(I767=0, 0, E752*E755-E752)</f>
        <v>0</v>
      </c>
      <c r="K767" s="123">
        <f>J767*I767</f>
        <v>0</v>
      </c>
      <c r="L767" s="124">
        <f>K767-H767</f>
        <v>0</v>
      </c>
      <c r="M767" s="125" t="str">
        <f>IF(ISERROR(L767/H767), "", L767/H767)</f>
        <v/>
      </c>
    </row>
    <row r="768" spans="1:13" ht="25.5" x14ac:dyDescent="0.2">
      <c r="A768" s="46" t="str">
        <f t="shared" si="111"/>
        <v>EMBEDDED DISTRIBUTOR SERVICE CLASSIFICATION - HYDRO ONE #2</v>
      </c>
      <c r="C768" s="115"/>
      <c r="D768" s="138" t="s">
        <v>173</v>
      </c>
      <c r="E768" s="117"/>
      <c r="F768" s="126">
        <v>0.55189999999999995</v>
      </c>
      <c r="G768" s="141">
        <f>IF($E753&gt;0, $E753, $E752)</f>
        <v>4050</v>
      </c>
      <c r="H768" s="120">
        <f t="shared" si="109"/>
        <v>2235.1949999999997</v>
      </c>
      <c r="I768" s="127">
        <f>'Proposed Tariff'!D434+'Proposed Tariff'!D432</f>
        <v>0.84760000000000002</v>
      </c>
      <c r="J768" s="142">
        <f>IF($E753&gt;0, $E753, $E752)</f>
        <v>4050</v>
      </c>
      <c r="K768" s="123">
        <f t="shared" si="112"/>
        <v>3432.78</v>
      </c>
      <c r="L768" s="124">
        <f t="shared" si="108"/>
        <v>1197.5850000000005</v>
      </c>
      <c r="M768" s="125">
        <f t="shared" si="110"/>
        <v>0.53578546838195351</v>
      </c>
    </row>
    <row r="769" spans="1:14" x14ac:dyDescent="0.2">
      <c r="A769" s="46" t="str">
        <f t="shared" si="111"/>
        <v>EMBEDDED DISTRIBUTOR SERVICE CLASSIFICATION - HYDRO ONE #2</v>
      </c>
      <c r="C769" s="115"/>
      <c r="D769" s="138" t="s">
        <v>174</v>
      </c>
      <c r="E769" s="117"/>
      <c r="F769" s="126">
        <v>0</v>
      </c>
      <c r="G769" s="141">
        <f>IF($E753&gt;0, $E753, $E752)</f>
        <v>4050</v>
      </c>
      <c r="H769" s="120">
        <f>G769*F769</f>
        <v>0</v>
      </c>
      <c r="I769" s="127">
        <f>'Proposed Tariff'!D433</f>
        <v>-4.1200000000000001E-2</v>
      </c>
      <c r="J769" s="142">
        <f>IF($E753&gt;0, $E753, $E752)</f>
        <v>4050</v>
      </c>
      <c r="K769" s="123">
        <f>J769*I769</f>
        <v>-166.86</v>
      </c>
      <c r="L769" s="124">
        <f t="shared" si="108"/>
        <v>-166.86</v>
      </c>
      <c r="M769" s="125" t="str">
        <f t="shared" si="110"/>
        <v/>
      </c>
    </row>
    <row r="770" spans="1:14" x14ac:dyDescent="0.2">
      <c r="A770" s="46" t="str">
        <f t="shared" si="111"/>
        <v>EMBEDDED DISTRIBUTOR SERVICE CLASSIFICATION - HYDRO ONE #2</v>
      </c>
      <c r="C770" s="115"/>
      <c r="D770" s="138" t="s">
        <v>175</v>
      </c>
      <c r="E770" s="117"/>
      <c r="F770" s="126">
        <v>1.6000000000000001E-3</v>
      </c>
      <c r="G770" s="141">
        <f>E752</f>
        <v>1990000</v>
      </c>
      <c r="H770" s="120">
        <f>G770*F770</f>
        <v>3184</v>
      </c>
      <c r="I770" s="127">
        <f>'Proposed Tariff'!D431</f>
        <v>-4.4999999999999997E-3</v>
      </c>
      <c r="J770" s="142">
        <f>E752</f>
        <v>1990000</v>
      </c>
      <c r="K770" s="123">
        <f t="shared" si="112"/>
        <v>-8955</v>
      </c>
      <c r="L770" s="124">
        <f t="shared" si="108"/>
        <v>-12139</v>
      </c>
      <c r="M770" s="125">
        <f t="shared" si="110"/>
        <v>-3.8125</v>
      </c>
    </row>
    <row r="771" spans="1:14" x14ac:dyDescent="0.2">
      <c r="A771" s="46" t="str">
        <f t="shared" si="111"/>
        <v>EMBEDDED DISTRIBUTOR SERVICE CLASSIFICATION - HYDRO ONE #2</v>
      </c>
      <c r="C771" s="115"/>
      <c r="D771" s="116" t="s">
        <v>176</v>
      </c>
      <c r="E771" s="117"/>
      <c r="F771" s="126">
        <v>0</v>
      </c>
      <c r="G771" s="141">
        <f>IF($E753&gt;0, $E753, $E752)</f>
        <v>4050</v>
      </c>
      <c r="H771" s="120">
        <f t="shared" si="109"/>
        <v>0</v>
      </c>
      <c r="I771" s="127"/>
      <c r="J771" s="142">
        <f>IF($E753&gt;0, $E753, $E752)</f>
        <v>4050</v>
      </c>
      <c r="K771" s="123">
        <f t="shared" si="112"/>
        <v>0</v>
      </c>
      <c r="L771" s="124">
        <f t="shared" si="108"/>
        <v>0</v>
      </c>
      <c r="M771" s="125" t="str">
        <f t="shared" si="110"/>
        <v/>
      </c>
    </row>
    <row r="772" spans="1:14" ht="25.5" x14ac:dyDescent="0.2">
      <c r="A772" s="46" t="str">
        <f t="shared" si="111"/>
        <v>EMBEDDED DISTRIBUTOR SERVICE CLASSIFICATION - HYDRO ONE #2</v>
      </c>
      <c r="C772" s="115"/>
      <c r="D772" s="138" t="s">
        <v>177</v>
      </c>
      <c r="E772" s="117"/>
      <c r="F772" s="143">
        <f>IF(OR(ISNUMBER(SEARCH("RESIDENTIAL", E750))=TRUE, ISNUMBER(SEARCH("GENERAL SERVICE LESS THAN 50", E750))=TRUE), 0.43, 0)</f>
        <v>0</v>
      </c>
      <c r="G772" s="119">
        <v>1</v>
      </c>
      <c r="H772" s="120">
        <f>G772*F772</f>
        <v>0</v>
      </c>
      <c r="I772" s="144">
        <f>IF(OR(ISNUMBER(SEARCH("RESIDENTIAL", E750))=TRUE, ISNUMBER(SEARCH("GENERAL SERVICE LESS THAN 50", E750))=TRUE), SME, 0)</f>
        <v>0</v>
      </c>
      <c r="J772" s="128">
        <v>1</v>
      </c>
      <c r="K772" s="123">
        <f>J772*I772</f>
        <v>0</v>
      </c>
      <c r="L772" s="124">
        <f t="shared" si="108"/>
        <v>0</v>
      </c>
      <c r="M772" s="125" t="str">
        <f>IF(ISERROR(L772/H772), "", L772/H772)</f>
        <v/>
      </c>
    </row>
    <row r="773" spans="1:14" x14ac:dyDescent="0.2">
      <c r="A773" s="46" t="str">
        <f t="shared" si="111"/>
        <v>EMBEDDED DISTRIBUTOR SERVICE CLASSIFICATION - HYDRO ONE #2</v>
      </c>
      <c r="C773" s="115"/>
      <c r="D773" s="116" t="s">
        <v>178</v>
      </c>
      <c r="E773" s="117"/>
      <c r="F773" s="118">
        <v>0</v>
      </c>
      <c r="G773" s="119">
        <v>1</v>
      </c>
      <c r="H773" s="120">
        <f t="shared" si="109"/>
        <v>0</v>
      </c>
      <c r="I773" s="121">
        <v>0</v>
      </c>
      <c r="J773" s="128">
        <v>1</v>
      </c>
      <c r="K773" s="123">
        <f>J773*I773</f>
        <v>0</v>
      </c>
      <c r="L773" s="124">
        <f>K773-H773</f>
        <v>0</v>
      </c>
      <c r="M773" s="125" t="str">
        <f>IF(ISERROR(L773/H773), "", L773/H773)</f>
        <v/>
      </c>
    </row>
    <row r="774" spans="1:14" x14ac:dyDescent="0.2">
      <c r="A774" s="46" t="str">
        <f t="shared" si="111"/>
        <v>EMBEDDED DISTRIBUTOR SERVICE CLASSIFICATION - HYDRO ONE #2</v>
      </c>
      <c r="C774" s="115"/>
      <c r="D774" s="116" t="s">
        <v>179</v>
      </c>
      <c r="E774" s="117"/>
      <c r="F774" s="126">
        <v>0</v>
      </c>
      <c r="G774" s="141">
        <f>IF($E753&gt;0, $E753, $E752)</f>
        <v>4050</v>
      </c>
      <c r="H774" s="120">
        <f>G774*F774</f>
        <v>0</v>
      </c>
      <c r="I774" s="127">
        <v>0</v>
      </c>
      <c r="J774" s="142">
        <f>IF($E753&gt;0, $E753, $E752)</f>
        <v>4050</v>
      </c>
      <c r="K774" s="123">
        <f>J774*I774</f>
        <v>0</v>
      </c>
      <c r="L774" s="124">
        <f t="shared" si="108"/>
        <v>0</v>
      </c>
      <c r="M774" s="125" t="str">
        <f>IF(ISERROR(L774/H774), "", L774/H774)</f>
        <v/>
      </c>
    </row>
    <row r="775" spans="1:14" ht="25.5" x14ac:dyDescent="0.2">
      <c r="A775" s="46" t="str">
        <f t="shared" si="111"/>
        <v>EMBEDDED DISTRIBUTOR SERVICE CLASSIFICATION - HYDRO ONE #2</v>
      </c>
      <c r="B775" s="46" t="s">
        <v>180</v>
      </c>
      <c r="C775" s="115">
        <f>B42</f>
        <v>13</v>
      </c>
      <c r="D775" s="145" t="s">
        <v>181</v>
      </c>
      <c r="E775" s="146"/>
      <c r="F775" s="147"/>
      <c r="G775" s="148"/>
      <c r="H775" s="149">
        <f>SUM(H766:H774)</f>
        <v>5607.9750000000004</v>
      </c>
      <c r="I775" s="150"/>
      <c r="J775" s="151"/>
      <c r="K775" s="149">
        <f>SUM(K766:K774)</f>
        <v>-5497.6399999999994</v>
      </c>
      <c r="L775" s="136">
        <f t="shared" si="108"/>
        <v>-11105.615</v>
      </c>
      <c r="M775" s="137">
        <f>IF((H775)=0,"",(L775/H775))</f>
        <v>-1.9803253402520515</v>
      </c>
    </row>
    <row r="776" spans="1:14" x14ac:dyDescent="0.2">
      <c r="A776" s="46" t="str">
        <f t="shared" si="111"/>
        <v>EMBEDDED DISTRIBUTOR SERVICE CLASSIFICATION - HYDRO ONE #2</v>
      </c>
      <c r="C776" s="115"/>
      <c r="D776" s="152" t="s">
        <v>182</v>
      </c>
      <c r="E776" s="117"/>
      <c r="F776" s="126">
        <v>0</v>
      </c>
      <c r="G776" s="139">
        <f>IF($E753&gt;0, $E753, $E752*$E754)</f>
        <v>4050</v>
      </c>
      <c r="H776" s="120">
        <f>G776*F776</f>
        <v>0</v>
      </c>
      <c r="I776" s="153">
        <v>0</v>
      </c>
      <c r="J776" s="140">
        <f>IF($E753&gt;0, $E753, $E752*$E755)</f>
        <v>4050</v>
      </c>
      <c r="K776" s="123">
        <f>J776*I776</f>
        <v>0</v>
      </c>
      <c r="L776" s="124">
        <f t="shared" si="108"/>
        <v>0</v>
      </c>
      <c r="M776" s="125" t="str">
        <f>IF(ISERROR(L776/H776), "", L776/H776)</f>
        <v/>
      </c>
      <c r="N776" s="154" t="str">
        <f>IF(ISERROR(ABS(M776)), "", IF(ABS(M776)&gt;=4%, "In the manager's summary, discuss the reasoning for the change in RTSR rates", ""))</f>
        <v/>
      </c>
    </row>
    <row r="777" spans="1:14" ht="25.5" x14ac:dyDescent="0.2">
      <c r="A777" s="46" t="str">
        <f t="shared" si="111"/>
        <v>EMBEDDED DISTRIBUTOR SERVICE CLASSIFICATION - HYDRO ONE #2</v>
      </c>
      <c r="C777" s="115"/>
      <c r="D777" s="155" t="s">
        <v>183</v>
      </c>
      <c r="E777" s="117"/>
      <c r="F777" s="126">
        <v>0</v>
      </c>
      <c r="G777" s="139">
        <f>IF($E753&gt;0, $E753, $E752*$E754)</f>
        <v>4050</v>
      </c>
      <c r="H777" s="120">
        <f>G777*F777</f>
        <v>0</v>
      </c>
      <c r="I777" s="153">
        <v>0</v>
      </c>
      <c r="J777" s="140">
        <f>IF($E753&gt;0, $E753, $E752*$E755)</f>
        <v>4050</v>
      </c>
      <c r="K777" s="123">
        <f>J777*I777</f>
        <v>0</v>
      </c>
      <c r="L777" s="124">
        <f t="shared" si="108"/>
        <v>0</v>
      </c>
      <c r="M777" s="125" t="str">
        <f>IF(ISERROR(L777/H777), "", L777/H777)</f>
        <v/>
      </c>
      <c r="N777" s="154" t="str">
        <f>IF(ISERROR(ABS(M777)), "", IF(ABS(M777)&gt;=4%, "In the manager's summary, discuss the reasoning for the change in RTSR rates", ""))</f>
        <v/>
      </c>
    </row>
    <row r="778" spans="1:14" ht="25.5" x14ac:dyDescent="0.2">
      <c r="A778" s="46" t="str">
        <f t="shared" si="111"/>
        <v>EMBEDDED DISTRIBUTOR SERVICE CLASSIFICATION - HYDRO ONE #2</v>
      </c>
      <c r="B778" s="46" t="s">
        <v>184</v>
      </c>
      <c r="C778" s="115">
        <f>B42</f>
        <v>13</v>
      </c>
      <c r="D778" s="145" t="s">
        <v>185</v>
      </c>
      <c r="E778" s="130"/>
      <c r="F778" s="147"/>
      <c r="G778" s="148"/>
      <c r="H778" s="149">
        <f>SUM(H775:H777)</f>
        <v>5607.9750000000004</v>
      </c>
      <c r="I778" s="150"/>
      <c r="J778" s="135"/>
      <c r="K778" s="149">
        <f>SUM(K775:K777)</f>
        <v>-5497.6399999999994</v>
      </c>
      <c r="L778" s="136">
        <f t="shared" si="108"/>
        <v>-11105.615</v>
      </c>
      <c r="M778" s="137">
        <f>IF((H778)=0,"",(L778/H778))</f>
        <v>-1.9803253402520515</v>
      </c>
    </row>
    <row r="779" spans="1:14" ht="25.5" x14ac:dyDescent="0.2">
      <c r="A779" s="46" t="str">
        <f t="shared" si="111"/>
        <v>EMBEDDED DISTRIBUTOR SERVICE CLASSIFICATION - HYDRO ONE #2</v>
      </c>
      <c r="C779" s="115"/>
      <c r="D779" s="156" t="s">
        <v>186</v>
      </c>
      <c r="E779" s="117"/>
      <c r="F779" s="126">
        <f>IF(AND('[1]1. Information Sheet'!$F$26:$H$26&gt;='[1]17. Regulatory Charges'!$D$14,'[1]1. Information Sheet'!$F$26:$H$26&lt;'[1]17. Regulatory Charges'!$E$14),'[1]17. Regulatory Charges'!$D$15+'[1]17. Regulatory Charges'!$D$16,'[1]17. Regulatory Charges'!$E$15+'[1]17. Regulatory Charges'!$E$16)</f>
        <v>3.4000000000000002E-3</v>
      </c>
      <c r="G779" s="139">
        <f>E752*E754</f>
        <v>2051093</v>
      </c>
      <c r="H779" s="157">
        <f t="shared" ref="H779:H785" si="113">G779*F779</f>
        <v>6973.7162000000008</v>
      </c>
      <c r="I779" s="127">
        <f>'[1]17. Regulatory Charges'!$E$15+'[1]17. Regulatory Charges'!$E$16</f>
        <v>3.4000000000000002E-3</v>
      </c>
      <c r="J779" s="140">
        <f>E752*E755</f>
        <v>2051093</v>
      </c>
      <c r="K779" s="123">
        <f t="shared" ref="K779:K785" si="114">J779*I779</f>
        <v>6973.7162000000008</v>
      </c>
      <c r="L779" s="124">
        <f t="shared" si="108"/>
        <v>0</v>
      </c>
      <c r="M779" s="125">
        <f t="shared" ref="M779:M787" si="115">IF(ISERROR(L779/H779), "", L779/H779)</f>
        <v>0</v>
      </c>
    </row>
    <row r="780" spans="1:14" ht="25.5" x14ac:dyDescent="0.2">
      <c r="A780" s="46" t="str">
        <f t="shared" si="111"/>
        <v>EMBEDDED DISTRIBUTOR SERVICE CLASSIFICATION - HYDRO ONE #2</v>
      </c>
      <c r="C780" s="115"/>
      <c r="D780" s="156" t="s">
        <v>187</v>
      </c>
      <c r="E780" s="117"/>
      <c r="F780" s="126">
        <f>IF(AND('[1]1. Information Sheet'!$F$26:$H$26&gt;='[1]17. Regulatory Charges'!$D$14,'[1]1. Information Sheet'!$F$26:$H$26&lt;'[1]17. Regulatory Charges'!$D$14),'[1]17. Regulatory Charges'!$D$17,'[1]17. Regulatory Charges'!$E$17)</f>
        <v>5.0000000000000001E-4</v>
      </c>
      <c r="G780" s="139">
        <f>E752*E754</f>
        <v>2051093</v>
      </c>
      <c r="H780" s="157">
        <f t="shared" si="113"/>
        <v>1025.5464999999999</v>
      </c>
      <c r="I780" s="127">
        <f>'[1]17. Regulatory Charges'!$E$17</f>
        <v>5.0000000000000001E-4</v>
      </c>
      <c r="J780" s="140">
        <f>E752*E755</f>
        <v>2051093</v>
      </c>
      <c r="K780" s="123">
        <f t="shared" si="114"/>
        <v>1025.5464999999999</v>
      </c>
      <c r="L780" s="124">
        <f t="shared" si="108"/>
        <v>0</v>
      </c>
      <c r="M780" s="125">
        <f t="shared" si="115"/>
        <v>0</v>
      </c>
    </row>
    <row r="781" spans="1:14" x14ac:dyDescent="0.2">
      <c r="A781" s="46" t="str">
        <f t="shared" si="111"/>
        <v>EMBEDDED DISTRIBUTOR SERVICE CLASSIFICATION - HYDRO ONE #2</v>
      </c>
      <c r="C781" s="115"/>
      <c r="D781" s="158" t="s">
        <v>188</v>
      </c>
      <c r="E781" s="117"/>
      <c r="F781" s="143">
        <f>IF(AND('[1]1. Information Sheet'!$F$26:$H$26&gt;='[1]17. Regulatory Charges'!$D$14,'[1]1. Information Sheet'!$F$26:$H$26&lt;'[1]17. Regulatory Charges'!$D$14),'[1]17. Regulatory Charges'!$D$18,'[1]17. Regulatory Charges'!$E$18)</f>
        <v>0.25</v>
      </c>
      <c r="G781" s="119">
        <v>1</v>
      </c>
      <c r="H781" s="157">
        <f t="shared" si="113"/>
        <v>0.25</v>
      </c>
      <c r="I781" s="144">
        <f>'[1]17. Regulatory Charges'!$E$18</f>
        <v>0.25</v>
      </c>
      <c r="J781" s="122">
        <v>1</v>
      </c>
      <c r="K781" s="123">
        <f t="shared" si="114"/>
        <v>0.25</v>
      </c>
      <c r="L781" s="124">
        <f t="shared" si="108"/>
        <v>0</v>
      </c>
      <c r="M781" s="125">
        <f t="shared" si="115"/>
        <v>0</v>
      </c>
    </row>
    <row r="782" spans="1:14" ht="25.5" hidden="1" x14ac:dyDescent="0.2">
      <c r="A782" s="46" t="str">
        <f t="shared" si="111"/>
        <v>EMBEDDED DISTRIBUTOR SERVICE CLASSIFICATION - HYDRO ONE #2</v>
      </c>
      <c r="C782" s="115"/>
      <c r="D782" s="156" t="s">
        <v>189</v>
      </c>
      <c r="E782" s="117"/>
      <c r="F782" s="126"/>
      <c r="G782" s="139"/>
      <c r="H782" s="157"/>
      <c r="I782" s="127"/>
      <c r="J782" s="140"/>
      <c r="K782" s="123"/>
      <c r="L782" s="124"/>
      <c r="M782" s="125"/>
    </row>
    <row r="783" spans="1:14" hidden="1" x14ac:dyDescent="0.2">
      <c r="A783" s="46" t="str">
        <f t="shared" si="111"/>
        <v>EMBEDDED DISTRIBUTOR SERVICE CLASSIFICATION - HYDRO ONE #2</v>
      </c>
      <c r="B783" s="46" t="s">
        <v>139</v>
      </c>
      <c r="C783" s="115"/>
      <c r="D783" s="158" t="s">
        <v>190</v>
      </c>
      <c r="E783" s="117"/>
      <c r="F783" s="159">
        <f>OffPeak</f>
        <v>7.3999999999999996E-2</v>
      </c>
      <c r="G783" s="160">
        <f>IF(AND(E752*12&gt;=150000),0.64*E752*E754,0.64*E752)</f>
        <v>1312699.52</v>
      </c>
      <c r="H783" s="157">
        <f t="shared" si="113"/>
        <v>97139.764479999998</v>
      </c>
      <c r="I783" s="161">
        <f>OffPeak</f>
        <v>7.3999999999999996E-2</v>
      </c>
      <c r="J783" s="162">
        <f>IF(AND(E752*12&gt;=150000),0.64*E752*E755,0.64*E752)</f>
        <v>1312699.52</v>
      </c>
      <c r="K783" s="123">
        <f t="shared" si="114"/>
        <v>97139.764479999998</v>
      </c>
      <c r="L783" s="124">
        <f>K783-H783</f>
        <v>0</v>
      </c>
      <c r="M783" s="125">
        <f t="shared" si="115"/>
        <v>0</v>
      </c>
    </row>
    <row r="784" spans="1:14" hidden="1" x14ac:dyDescent="0.2">
      <c r="A784" s="46" t="str">
        <f t="shared" si="111"/>
        <v>EMBEDDED DISTRIBUTOR SERVICE CLASSIFICATION - HYDRO ONE #2</v>
      </c>
      <c r="B784" s="46" t="s">
        <v>139</v>
      </c>
      <c r="C784" s="115"/>
      <c r="D784" s="158" t="s">
        <v>191</v>
      </c>
      <c r="E784" s="117"/>
      <c r="F784" s="159">
        <f>MidPeak</f>
        <v>0.10199999999999999</v>
      </c>
      <c r="G784" s="160">
        <f>IF(AND(E752*12&gt;=150000),0.18*E752*E754,0.18*E752)</f>
        <v>369196.74</v>
      </c>
      <c r="H784" s="157">
        <f t="shared" si="113"/>
        <v>37658.067479999998</v>
      </c>
      <c r="I784" s="161">
        <f>MidPeak</f>
        <v>0.10199999999999999</v>
      </c>
      <c r="J784" s="162">
        <f>IF(AND(E752*12&gt;=150000),0.18*E752*E755,0.18*E752)</f>
        <v>369196.74</v>
      </c>
      <c r="K784" s="123">
        <f t="shared" si="114"/>
        <v>37658.067479999998</v>
      </c>
      <c r="L784" s="124">
        <f>K784-H784</f>
        <v>0</v>
      </c>
      <c r="M784" s="125">
        <f t="shared" si="115"/>
        <v>0</v>
      </c>
    </row>
    <row r="785" spans="1:13" hidden="1" x14ac:dyDescent="0.2">
      <c r="A785" s="46" t="str">
        <f t="shared" si="111"/>
        <v>EMBEDDED DISTRIBUTOR SERVICE CLASSIFICATION - HYDRO ONE #2</v>
      </c>
      <c r="B785" s="46" t="s">
        <v>139</v>
      </c>
      <c r="C785" s="115"/>
      <c r="D785" s="46" t="s">
        <v>192</v>
      </c>
      <c r="E785" s="117"/>
      <c r="F785" s="159">
        <f>OnPeak</f>
        <v>0.151</v>
      </c>
      <c r="G785" s="160">
        <f>IF(AND(E752*12&gt;=150000),0.18*E752*E754,0.18*E752)</f>
        <v>369196.74</v>
      </c>
      <c r="H785" s="157">
        <f t="shared" si="113"/>
        <v>55748.707739999998</v>
      </c>
      <c r="I785" s="161">
        <f>OnPeak</f>
        <v>0.151</v>
      </c>
      <c r="J785" s="162">
        <f>IF(AND(E752*12&gt;=150000),0.18*E752*E755,0.18*E752)</f>
        <v>369196.74</v>
      </c>
      <c r="K785" s="123">
        <f t="shared" si="114"/>
        <v>55748.707739999998</v>
      </c>
      <c r="L785" s="124">
        <f>K785-H785</f>
        <v>0</v>
      </c>
      <c r="M785" s="125">
        <f t="shared" si="115"/>
        <v>0</v>
      </c>
    </row>
    <row r="786" spans="1:13" hidden="1" x14ac:dyDescent="0.2">
      <c r="A786" s="46" t="str">
        <f t="shared" si="111"/>
        <v>EMBEDDED DISTRIBUTOR SERVICE CLASSIFICATION - HYDRO ONE #2</v>
      </c>
      <c r="B786" s="46" t="s">
        <v>141</v>
      </c>
      <c r="C786" s="115"/>
      <c r="D786" s="158" t="s">
        <v>193</v>
      </c>
      <c r="E786" s="117"/>
      <c r="F786" s="163">
        <v>9.6699999999999994E-2</v>
      </c>
      <c r="G786" s="160">
        <f>IF(AND(E752*12&gt;=150000),E752*E754,E752)</f>
        <v>2051093</v>
      </c>
      <c r="H786" s="157">
        <f>G786*F786</f>
        <v>198340.69309999997</v>
      </c>
      <c r="I786" s="164">
        <f>F786</f>
        <v>9.6699999999999994E-2</v>
      </c>
      <c r="J786" s="162">
        <f>IF(AND(E752*12&gt;=150000),E752*E755,E752)</f>
        <v>2051093</v>
      </c>
      <c r="K786" s="123">
        <f>J786*I786</f>
        <v>198340.69309999997</v>
      </c>
      <c r="L786" s="124">
        <f>K786-H786</f>
        <v>0</v>
      </c>
      <c r="M786" s="125">
        <f t="shared" si="115"/>
        <v>0</v>
      </c>
    </row>
    <row r="787" spans="1:13" ht="13.5" thickBot="1" x14ac:dyDescent="0.25">
      <c r="A787" s="46" t="str">
        <f t="shared" si="111"/>
        <v>EMBEDDED DISTRIBUTOR SERVICE CLASSIFICATION - HYDRO ONE #2</v>
      </c>
      <c r="B787" s="46" t="s">
        <v>140</v>
      </c>
      <c r="C787" s="115"/>
      <c r="D787" s="158" t="s">
        <v>194</v>
      </c>
      <c r="E787" s="117"/>
      <c r="F787" s="163">
        <v>9.6699999999999994E-2</v>
      </c>
      <c r="G787" s="160">
        <f>IF(AND(E752*12&gt;=150000),E752*E754,E752)</f>
        <v>2051093</v>
      </c>
      <c r="H787" s="157">
        <f>G787*F787</f>
        <v>198340.69309999997</v>
      </c>
      <c r="I787" s="164">
        <f>F787</f>
        <v>9.6699999999999994E-2</v>
      </c>
      <c r="J787" s="162">
        <f>IF(AND(E752*12&gt;=150000),E752*E755,E752)</f>
        <v>2051093</v>
      </c>
      <c r="K787" s="123">
        <f>J787*I787</f>
        <v>198340.69309999997</v>
      </c>
      <c r="L787" s="124">
        <f>K787-H787</f>
        <v>0</v>
      </c>
      <c r="M787" s="125">
        <f t="shared" si="115"/>
        <v>0</v>
      </c>
    </row>
    <row r="788" spans="1:13" ht="13.5" thickBot="1" x14ac:dyDescent="0.25">
      <c r="A788" s="46" t="str">
        <f t="shared" si="111"/>
        <v>EMBEDDED DISTRIBUTOR SERVICE CLASSIFICATION - HYDRO ONE #2</v>
      </c>
      <c r="C788" s="115"/>
      <c r="D788" s="165"/>
      <c r="E788" s="166"/>
      <c r="F788" s="167"/>
      <c r="G788" s="168"/>
      <c r="H788" s="169"/>
      <c r="I788" s="167"/>
      <c r="J788" s="170"/>
      <c r="K788" s="169"/>
      <c r="L788" s="171"/>
      <c r="M788" s="172"/>
    </row>
    <row r="789" spans="1:13" hidden="1" x14ac:dyDescent="0.2">
      <c r="A789" s="46" t="str">
        <f t="shared" si="111"/>
        <v>EMBEDDED DISTRIBUTOR SERVICE CLASSIFICATION - HYDRO ONE #2</v>
      </c>
      <c r="B789" s="46" t="s">
        <v>139</v>
      </c>
      <c r="C789" s="115"/>
      <c r="D789" s="173" t="s">
        <v>195</v>
      </c>
      <c r="E789" s="158"/>
      <c r="F789" s="174"/>
      <c r="G789" s="175"/>
      <c r="H789" s="176">
        <f>SUM(H779:H785,H778)</f>
        <v>204154.02739999999</v>
      </c>
      <c r="I789" s="177"/>
      <c r="J789" s="177"/>
      <c r="K789" s="176">
        <f>SUM(K779:K785,K778)</f>
        <v>193048.41239999997</v>
      </c>
      <c r="L789" s="178">
        <f>K789-H789</f>
        <v>-11105.61500000002</v>
      </c>
      <c r="M789" s="179">
        <f>IF((H789)=0,"",(L789/H789))</f>
        <v>-5.4398216588893121E-2</v>
      </c>
    </row>
    <row r="790" spans="1:13" hidden="1" x14ac:dyDescent="0.2">
      <c r="A790" s="46" t="str">
        <f t="shared" si="111"/>
        <v>EMBEDDED DISTRIBUTOR SERVICE CLASSIFICATION - HYDRO ONE #2</v>
      </c>
      <c r="B790" s="46" t="s">
        <v>139</v>
      </c>
      <c r="C790" s="115"/>
      <c r="D790" s="180" t="s">
        <v>196</v>
      </c>
      <c r="E790" s="158"/>
      <c r="F790" s="174">
        <v>0.13</v>
      </c>
      <c r="G790" s="181"/>
      <c r="H790" s="182">
        <f>H789*F790</f>
        <v>26540.023561999998</v>
      </c>
      <c r="I790" s="183">
        <v>0.13</v>
      </c>
      <c r="J790" s="119"/>
      <c r="K790" s="182">
        <f>K789*I790</f>
        <v>25096.293611999998</v>
      </c>
      <c r="L790" s="124">
        <f>K790-H790</f>
        <v>-1443.7299500000008</v>
      </c>
      <c r="M790" s="184">
        <f>IF((H790)=0,"",(L790/H790))</f>
        <v>-5.4398216588893052E-2</v>
      </c>
    </row>
    <row r="791" spans="1:13" ht="15" hidden="1" x14ac:dyDescent="0.25">
      <c r="A791" s="46" t="str">
        <f t="shared" si="111"/>
        <v>EMBEDDED DISTRIBUTOR SERVICE CLASSIFICATION - HYDRO ONE #2</v>
      </c>
      <c r="B791" s="46" t="s">
        <v>139</v>
      </c>
      <c r="C791" s="115"/>
      <c r="D791" s="180" t="s">
        <v>197</v>
      </c>
      <c r="E791"/>
      <c r="F791" s="185">
        <v>0.11700000000000001</v>
      </c>
      <c r="G791" s="181"/>
      <c r="H791" s="182">
        <f>IF(OR(ISNUMBER(SEARCH("[DGEN]", E750))=TRUE, ISNUMBER(SEARCH("STREET LIGHT", E750))=TRUE), 0, IF(AND(E752=0, E753=0),0, IF(AND(E753=0, E752*12&gt;250000), 0, IF(AND(E752=0, E753&gt;=50), 0, IF(E752*12&lt;=250000, F791*H789*-1, IF(E753&lt;50, F791*H789*-1, 0))))))</f>
        <v>0</v>
      </c>
      <c r="I791" s="185">
        <v>0.11700000000000001</v>
      </c>
      <c r="J791" s="119"/>
      <c r="K791" s="182">
        <f>IF(OR(ISNUMBER(SEARCH("[DGEN]", E750))=TRUE, ISNUMBER(SEARCH("STREET LIGHT", E750))=TRUE), 0, IF(AND(E752=0, E753=0),0, IF(AND(E753=0, E752*12&gt;250000), 0, IF(AND(E752=0, E753&gt;=50), 0, IF(E752*12&lt;=250000, I791*K789*-1, IF(E753&lt;50, I791*K789*-1, 0))))))</f>
        <v>0</v>
      </c>
      <c r="L791" s="124">
        <f>K791-H791</f>
        <v>0</v>
      </c>
      <c r="M791" s="184"/>
    </row>
    <row r="792" spans="1:13" hidden="1" x14ac:dyDescent="0.2">
      <c r="A792" s="46" t="str">
        <f t="shared" si="111"/>
        <v>EMBEDDED DISTRIBUTOR SERVICE CLASSIFICATION - HYDRO ONE #2</v>
      </c>
      <c r="B792" s="46" t="s">
        <v>198</v>
      </c>
      <c r="C792" s="115"/>
      <c r="D792" s="186" t="s">
        <v>199</v>
      </c>
      <c r="E792" s="186"/>
      <c r="F792" s="187"/>
      <c r="G792" s="188"/>
      <c r="H792" s="189">
        <f>H789+H790+H791</f>
        <v>230694.05096199998</v>
      </c>
      <c r="I792" s="190"/>
      <c r="J792" s="190"/>
      <c r="K792" s="191">
        <f>K789+K790+K791</f>
        <v>218144.70601199998</v>
      </c>
      <c r="L792" s="192">
        <f>K792-H792</f>
        <v>-12549.344949999999</v>
      </c>
      <c r="M792" s="193">
        <f>IF((H792)=0,"",(L792/H792))</f>
        <v>-5.4398216588893017E-2</v>
      </c>
    </row>
    <row r="793" spans="1:13" ht="13.5" hidden="1" thickBot="1" x14ac:dyDescent="0.25">
      <c r="A793" s="46" t="str">
        <f t="shared" si="111"/>
        <v>EMBEDDED DISTRIBUTOR SERVICE CLASSIFICATION - HYDRO ONE #2</v>
      </c>
      <c r="B793" s="46" t="s">
        <v>139</v>
      </c>
      <c r="C793" s="115"/>
      <c r="D793" s="165"/>
      <c r="E793" s="166"/>
      <c r="F793" s="167"/>
      <c r="G793" s="168"/>
      <c r="H793" s="169"/>
      <c r="I793" s="167"/>
      <c r="J793" s="170"/>
      <c r="K793" s="169"/>
      <c r="L793" s="171"/>
      <c r="M793" s="172"/>
    </row>
    <row r="794" spans="1:13" hidden="1" x14ac:dyDescent="0.2">
      <c r="A794" s="46" t="str">
        <f t="shared" si="111"/>
        <v>EMBEDDED DISTRIBUTOR SERVICE CLASSIFICATION - HYDRO ONE #2</v>
      </c>
      <c r="B794" s="46" t="s">
        <v>141</v>
      </c>
      <c r="C794" s="115"/>
      <c r="D794" s="173" t="s">
        <v>200</v>
      </c>
      <c r="E794" s="158"/>
      <c r="F794" s="174"/>
      <c r="G794" s="175"/>
      <c r="H794" s="176">
        <f>SUM(H786,H779:H782,H778)</f>
        <v>211948.18079999997</v>
      </c>
      <c r="I794" s="177"/>
      <c r="J794" s="177"/>
      <c r="K794" s="176">
        <f>SUM(K786,K779:K782,K778)</f>
        <v>200842.56579999998</v>
      </c>
      <c r="L794" s="178">
        <f>K794-H794</f>
        <v>-11105.614999999991</v>
      </c>
      <c r="M794" s="179">
        <f>IF((H794)=0,"",(L794/H794))</f>
        <v>-5.2397784015327541E-2</v>
      </c>
    </row>
    <row r="795" spans="1:13" hidden="1" x14ac:dyDescent="0.2">
      <c r="A795" s="46" t="str">
        <f t="shared" si="111"/>
        <v>EMBEDDED DISTRIBUTOR SERVICE CLASSIFICATION - HYDRO ONE #2</v>
      </c>
      <c r="B795" s="46" t="s">
        <v>141</v>
      </c>
      <c r="C795" s="115"/>
      <c r="D795" s="180" t="s">
        <v>196</v>
      </c>
      <c r="E795" s="158"/>
      <c r="F795" s="174">
        <v>0.13</v>
      </c>
      <c r="G795" s="175"/>
      <c r="H795" s="182">
        <f>H794*F795</f>
        <v>27553.263503999999</v>
      </c>
      <c r="I795" s="174">
        <v>0.13</v>
      </c>
      <c r="J795" s="183"/>
      <c r="K795" s="182">
        <f>K794*I795</f>
        <v>26109.533553999998</v>
      </c>
      <c r="L795" s="124">
        <f>K795-H795</f>
        <v>-1443.7299500000008</v>
      </c>
      <c r="M795" s="184">
        <f>IF((H795)=0,"",(L795/H795))</f>
        <v>-5.239778401532761E-2</v>
      </c>
    </row>
    <row r="796" spans="1:13" ht="15" hidden="1" x14ac:dyDescent="0.25">
      <c r="A796" s="46" t="str">
        <f t="shared" si="111"/>
        <v>EMBEDDED DISTRIBUTOR SERVICE CLASSIFICATION - HYDRO ONE #2</v>
      </c>
      <c r="B796" s="46" t="s">
        <v>141</v>
      </c>
      <c r="C796" s="115"/>
      <c r="D796" s="180" t="s">
        <v>197</v>
      </c>
      <c r="E796"/>
      <c r="F796" s="185">
        <v>0.11700000000000001</v>
      </c>
      <c r="G796" s="175"/>
      <c r="H796" s="182">
        <f>IF(OR(ISNUMBER(SEARCH("[DGEN]", E750))=TRUE, ISNUMBER(SEARCH("STREET LIGHT", E750))=TRUE), 0, IF(AND(E752=0, E753=0),0, IF(AND(E753=0, E752*12&gt;250000), 0, IF(AND(E752=0, E753&gt;=50), 0, IF(E752*12&lt;=250000, F796*H794*-1, IF(E753&lt;50, F796*H794*-1, 0))))))</f>
        <v>0</v>
      </c>
      <c r="I796" s="185">
        <v>0.11700000000000001</v>
      </c>
      <c r="J796" s="183"/>
      <c r="K796" s="182">
        <f>IF(OR(ISNUMBER(SEARCH("[DGEN]", E750))=TRUE, ISNUMBER(SEARCH("STREET LIGHT", E750))=TRUE), 0, IF(AND(E752=0, E753=0),0, IF(AND(E753=0, E752*12&gt;250000), 0, IF(AND(E752=0, E753&gt;=50), 0, IF(E752*12&lt;=250000, I796*K794*-1, IF(E753&lt;50, I796*K794*-1, 0))))))</f>
        <v>0</v>
      </c>
      <c r="L796" s="124"/>
      <c r="M796" s="184"/>
    </row>
    <row r="797" spans="1:13" hidden="1" x14ac:dyDescent="0.2">
      <c r="A797" s="46" t="str">
        <f t="shared" si="111"/>
        <v>EMBEDDED DISTRIBUTOR SERVICE CLASSIFICATION - HYDRO ONE #2</v>
      </c>
      <c r="B797" s="46" t="s">
        <v>201</v>
      </c>
      <c r="C797" s="115"/>
      <c r="D797" s="186" t="s">
        <v>200</v>
      </c>
      <c r="E797" s="186"/>
      <c r="F797" s="194"/>
      <c r="G797" s="195"/>
      <c r="H797" s="189">
        <f>SUM(H794,H795)</f>
        <v>239501.44430399998</v>
      </c>
      <c r="I797" s="196"/>
      <c r="J797" s="196"/>
      <c r="K797" s="189">
        <f>SUM(K794,K795)</f>
        <v>226952.09935399998</v>
      </c>
      <c r="L797" s="197">
        <f>K797-H797</f>
        <v>-12549.344949999999</v>
      </c>
      <c r="M797" s="198">
        <f>IF((H797)=0,"",(L797/H797))</f>
        <v>-5.2397784015327582E-2</v>
      </c>
    </row>
    <row r="798" spans="1:13" ht="13.5" hidden="1" thickBot="1" x14ac:dyDescent="0.25">
      <c r="A798" s="46" t="str">
        <f t="shared" si="111"/>
        <v>EMBEDDED DISTRIBUTOR SERVICE CLASSIFICATION - HYDRO ONE #2</v>
      </c>
      <c r="B798" s="46" t="s">
        <v>141</v>
      </c>
      <c r="C798" s="115"/>
      <c r="D798" s="165"/>
      <c r="E798" s="166"/>
      <c r="F798" s="199"/>
      <c r="G798" s="200"/>
      <c r="H798" s="201"/>
      <c r="I798" s="199"/>
      <c r="J798" s="168"/>
      <c r="K798" s="201"/>
      <c r="L798" s="202"/>
      <c r="M798" s="172"/>
    </row>
    <row r="799" spans="1:13" x14ac:dyDescent="0.2">
      <c r="A799" s="46" t="str">
        <f t="shared" si="111"/>
        <v>EMBEDDED DISTRIBUTOR SERVICE CLASSIFICATION - HYDRO ONE #2</v>
      </c>
      <c r="B799" s="46" t="s">
        <v>140</v>
      </c>
      <c r="C799" s="115"/>
      <c r="D799" s="173" t="s">
        <v>202</v>
      </c>
      <c r="E799" s="158"/>
      <c r="F799" s="174"/>
      <c r="G799" s="175"/>
      <c r="H799" s="176">
        <f>SUM(H787,H779:H782,H778)</f>
        <v>211948.18079999997</v>
      </c>
      <c r="I799" s="177"/>
      <c r="J799" s="177"/>
      <c r="K799" s="176">
        <f>SUM(K787,K779:K782,K778)</f>
        <v>200842.56579999998</v>
      </c>
      <c r="L799" s="178">
        <f>K799-H799</f>
        <v>-11105.614999999991</v>
      </c>
      <c r="M799" s="179">
        <f>IF((H799)=0,"",(L799/H799))</f>
        <v>-5.2397784015327541E-2</v>
      </c>
    </row>
    <row r="800" spans="1:13" x14ac:dyDescent="0.2">
      <c r="A800" s="46" t="str">
        <f t="shared" si="111"/>
        <v>EMBEDDED DISTRIBUTOR SERVICE CLASSIFICATION - HYDRO ONE #2</v>
      </c>
      <c r="B800" s="46" t="s">
        <v>140</v>
      </c>
      <c r="C800" s="115"/>
      <c r="D800" s="180" t="s">
        <v>196</v>
      </c>
      <c r="E800" s="158"/>
      <c r="F800" s="174">
        <v>0.13</v>
      </c>
      <c r="G800" s="175"/>
      <c r="H800" s="182">
        <f>H799*F800</f>
        <v>27553.263503999999</v>
      </c>
      <c r="I800" s="174">
        <v>0.13</v>
      </c>
      <c r="J800" s="183"/>
      <c r="K800" s="182">
        <f>K799*I800</f>
        <v>26109.533553999998</v>
      </c>
      <c r="L800" s="124">
        <f>K800-H800</f>
        <v>-1443.7299500000008</v>
      </c>
      <c r="M800" s="184">
        <f>IF((H800)=0,"",(L800/H800))</f>
        <v>-5.239778401532761E-2</v>
      </c>
    </row>
    <row r="801" spans="1:14" ht="15" x14ac:dyDescent="0.25">
      <c r="A801" s="46" t="str">
        <f t="shared" si="111"/>
        <v>EMBEDDED DISTRIBUTOR SERVICE CLASSIFICATION - HYDRO ONE #2</v>
      </c>
      <c r="B801" s="46" t="s">
        <v>140</v>
      </c>
      <c r="C801" s="115"/>
      <c r="D801" s="180" t="s">
        <v>197</v>
      </c>
      <c r="E801"/>
      <c r="F801" s="185">
        <v>0.11700000000000001</v>
      </c>
      <c r="G801" s="175"/>
      <c r="H801" s="182">
        <f>IF(OR(ISNUMBER(SEARCH("[DGEN]", E750))=TRUE, ISNUMBER(SEARCH("STREET LIGHT", E750))=TRUE), 0, IF(AND(E752=0, E753=0),0, IF(AND(E753=0, E752*12&gt;250000), 0, IF(AND(E752=0, E753&gt;=50), 0, IF(E752*12&lt;=250000, F801*H799*-1, IF(E753&lt;50, F801*H799*-1, 0))))))</f>
        <v>0</v>
      </c>
      <c r="I801" s="185">
        <v>0.11700000000000001</v>
      </c>
      <c r="J801" s="183"/>
      <c r="K801" s="182">
        <f>IF(OR(ISNUMBER(SEARCH("[DGEN]", E750))=TRUE, ISNUMBER(SEARCH("STREET LIGHT", E750))=TRUE), 0, IF(AND(E752=0, E753=0),0, IF(AND(E753=0, E752*12&gt;250000), 0, IF(AND(E752=0, E753&gt;=50), 0, IF(E752*12&lt;=250000, I801*K799*-1, IF(E753&lt;50, I801*K799*-1, 0))))))</f>
        <v>0</v>
      </c>
      <c r="L801" s="124"/>
      <c r="M801" s="184"/>
    </row>
    <row r="802" spans="1:14" ht="13.5" thickBot="1" x14ac:dyDescent="0.25">
      <c r="A802" s="46" t="str">
        <f t="shared" si="111"/>
        <v>EMBEDDED DISTRIBUTOR SERVICE CLASSIFICATION - HYDRO ONE #2</v>
      </c>
      <c r="B802" s="46" t="s">
        <v>203</v>
      </c>
      <c r="C802" s="115">
        <f>B42</f>
        <v>13</v>
      </c>
      <c r="D802" s="186" t="s">
        <v>202</v>
      </c>
      <c r="E802" s="186"/>
      <c r="F802" s="194"/>
      <c r="G802" s="195"/>
      <c r="H802" s="189">
        <f>SUM(H799,H800)</f>
        <v>239501.44430399998</v>
      </c>
      <c r="I802" s="196"/>
      <c r="J802" s="196"/>
      <c r="K802" s="189">
        <f>SUM(K799,K800)</f>
        <v>226952.09935399998</v>
      </c>
      <c r="L802" s="197">
        <f>K802-H802</f>
        <v>-12549.344949999999</v>
      </c>
      <c r="M802" s="198">
        <f>IF((H802)=0,"",(L802/H802))</f>
        <v>-5.2397784015327582E-2</v>
      </c>
    </row>
    <row r="803" spans="1:14" ht="13.5" thickBot="1" x14ac:dyDescent="0.25">
      <c r="A803" s="46" t="str">
        <f t="shared" si="111"/>
        <v>EMBEDDED DISTRIBUTOR SERVICE CLASSIFICATION - HYDRO ONE #2</v>
      </c>
      <c r="B803" s="46" t="s">
        <v>140</v>
      </c>
      <c r="C803" s="115"/>
      <c r="D803" s="165"/>
      <c r="E803" s="166"/>
      <c r="F803" s="203"/>
      <c r="G803" s="200"/>
      <c r="H803" s="204"/>
      <c r="I803" s="203"/>
      <c r="J803" s="168"/>
      <c r="K803" s="204"/>
      <c r="L803" s="202"/>
      <c r="M803" s="205"/>
    </row>
    <row r="806" spans="1:14" x14ac:dyDescent="0.2">
      <c r="C806" s="46"/>
      <c r="D806" s="90" t="s">
        <v>150</v>
      </c>
      <c r="E806" s="91" t="str">
        <f>D43</f>
        <v>RESIDENTIAL SERVICE CLASSIFICATION</v>
      </c>
      <c r="F806" s="91"/>
      <c r="G806" s="91"/>
      <c r="H806" s="91"/>
      <c r="I806" s="91"/>
      <c r="J806" s="91"/>
      <c r="K806" s="46" t="str">
        <f>IF(N43="DEMAND - INTERVAL","RTSR - INTERVAL METERED","")</f>
        <v/>
      </c>
    </row>
    <row r="807" spans="1:14" x14ac:dyDescent="0.2">
      <c r="C807" s="46"/>
      <c r="D807" s="90" t="s">
        <v>151</v>
      </c>
      <c r="E807" s="92" t="str">
        <f>H43</f>
        <v>RPP</v>
      </c>
      <c r="F807" s="92"/>
      <c r="G807" s="92"/>
      <c r="H807" s="93"/>
      <c r="I807" s="93"/>
    </row>
    <row r="808" spans="1:14" ht="15.75" x14ac:dyDescent="0.2">
      <c r="C808" s="46"/>
      <c r="D808" s="90" t="s">
        <v>152</v>
      </c>
      <c r="E808" s="94">
        <f>K43</f>
        <v>328</v>
      </c>
      <c r="F808" s="95" t="s">
        <v>153</v>
      </c>
      <c r="J808" s="96"/>
      <c r="K808" s="96"/>
      <c r="L808" s="96"/>
      <c r="M808" s="96"/>
      <c r="N808" s="96"/>
    </row>
    <row r="809" spans="1:14" ht="15.75" x14ac:dyDescent="0.25">
      <c r="C809" s="46"/>
      <c r="D809" s="90" t="s">
        <v>154</v>
      </c>
      <c r="E809" s="94">
        <f>L43</f>
        <v>0</v>
      </c>
      <c r="F809" s="97" t="s">
        <v>155</v>
      </c>
      <c r="G809" s="98"/>
      <c r="H809" s="99"/>
      <c r="I809" s="99"/>
      <c r="J809" s="99"/>
    </row>
    <row r="810" spans="1:14" x14ac:dyDescent="0.2">
      <c r="C810" s="46"/>
      <c r="D810" s="90" t="s">
        <v>156</v>
      </c>
      <c r="E810" s="100">
        <f>I43</f>
        <v>1.0306999999999999</v>
      </c>
    </row>
    <row r="811" spans="1:14" x14ac:dyDescent="0.2">
      <c r="C811" s="46"/>
      <c r="D811" s="90" t="s">
        <v>157</v>
      </c>
      <c r="E811" s="100">
        <f>J43</f>
        <v>1.0306999999999999</v>
      </c>
    </row>
    <row r="812" spans="1:14" x14ac:dyDescent="0.2">
      <c r="C812" s="46"/>
    </row>
    <row r="813" spans="1:14" x14ac:dyDescent="0.2">
      <c r="C813" s="46"/>
      <c r="E813" s="95"/>
      <c r="F813" s="101" t="s">
        <v>204</v>
      </c>
      <c r="G813" s="102"/>
      <c r="H813" s="103"/>
      <c r="I813" s="101" t="s">
        <v>205</v>
      </c>
      <c r="J813" s="102"/>
      <c r="K813" s="103"/>
      <c r="L813" s="101" t="s">
        <v>158</v>
      </c>
      <c r="M813" s="103"/>
    </row>
    <row r="814" spans="1:14" x14ac:dyDescent="0.2">
      <c r="C814" s="46"/>
      <c r="E814" s="104"/>
      <c r="F814" s="105" t="s">
        <v>159</v>
      </c>
      <c r="G814" s="105" t="s">
        <v>160</v>
      </c>
      <c r="H814" s="106" t="s">
        <v>161</v>
      </c>
      <c r="I814" s="105" t="s">
        <v>159</v>
      </c>
      <c r="J814" s="107" t="s">
        <v>160</v>
      </c>
      <c r="K814" s="106" t="s">
        <v>161</v>
      </c>
      <c r="L814" s="108" t="s">
        <v>162</v>
      </c>
      <c r="M814" s="109" t="s">
        <v>163</v>
      </c>
    </row>
    <row r="815" spans="1:14" x14ac:dyDescent="0.2">
      <c r="C815" s="46"/>
      <c r="E815" s="110"/>
      <c r="F815" s="111" t="s">
        <v>164</v>
      </c>
      <c r="G815" s="111"/>
      <c r="H815" s="112" t="s">
        <v>164</v>
      </c>
      <c r="I815" s="111" t="s">
        <v>164</v>
      </c>
      <c r="J815" s="112"/>
      <c r="K815" s="112" t="s">
        <v>164</v>
      </c>
      <c r="L815" s="113"/>
      <c r="M815" s="114"/>
    </row>
    <row r="816" spans="1:14" x14ac:dyDescent="0.2">
      <c r="A816" s="46" t="str">
        <f>$E806</f>
        <v>RESIDENTIAL SERVICE CLASSIFICATION</v>
      </c>
      <c r="C816" s="115"/>
      <c r="D816" s="116" t="s">
        <v>165</v>
      </c>
      <c r="E816" s="117"/>
      <c r="F816" s="118">
        <v>29.78</v>
      </c>
      <c r="G816" s="119">
        <v>1</v>
      </c>
      <c r="H816" s="120">
        <f>G816*F816</f>
        <v>29.78</v>
      </c>
      <c r="I816" s="121">
        <v>30.84</v>
      </c>
      <c r="J816" s="122">
        <f>G816</f>
        <v>1</v>
      </c>
      <c r="K816" s="123">
        <f>J816*I816</f>
        <v>30.84</v>
      </c>
      <c r="L816" s="124">
        <f t="shared" ref="L816:L837" si="116">K816-H816</f>
        <v>1.0599999999999987</v>
      </c>
      <c r="M816" s="125">
        <f>IF(ISERROR(L816/H816), "", L816/H816)</f>
        <v>3.5594358629952944E-2</v>
      </c>
    </row>
    <row r="817" spans="1:14" x14ac:dyDescent="0.2">
      <c r="A817" s="46" t="str">
        <f>A816</f>
        <v>RESIDENTIAL SERVICE CLASSIFICATION</v>
      </c>
      <c r="C817" s="115"/>
      <c r="D817" s="116" t="s">
        <v>30</v>
      </c>
      <c r="E817" s="117"/>
      <c r="F817" s="126">
        <v>0</v>
      </c>
      <c r="G817" s="119">
        <f>IF($E809&gt;0, $E809, $E808)</f>
        <v>328</v>
      </c>
      <c r="H817" s="120">
        <f t="shared" ref="H817:H829" si="117">G817*F817</f>
        <v>0</v>
      </c>
      <c r="I817" s="127">
        <v>0</v>
      </c>
      <c r="J817" s="122">
        <f>IF($E809&gt;0, $E809, $E808)</f>
        <v>328</v>
      </c>
      <c r="K817" s="123">
        <f>J817*I817</f>
        <v>0</v>
      </c>
      <c r="L817" s="124">
        <f t="shared" si="116"/>
        <v>0</v>
      </c>
      <c r="M817" s="125" t="str">
        <f t="shared" ref="M817:M827" si="118">IF(ISERROR(L817/H817), "", L817/H817)</f>
        <v/>
      </c>
    </row>
    <row r="818" spans="1:14" hidden="1" x14ac:dyDescent="0.2">
      <c r="A818" s="46" t="str">
        <f t="shared" ref="A818:A859" si="119">A817</f>
        <v>RESIDENTIAL SERVICE CLASSIFICATION</v>
      </c>
      <c r="C818" s="115"/>
      <c r="D818" s="116" t="s">
        <v>166</v>
      </c>
      <c r="E818" s="117"/>
      <c r="F818" s="126"/>
      <c r="G818" s="119">
        <f>IF($E809&gt;0, $E809, $E808)</f>
        <v>328</v>
      </c>
      <c r="H818" s="120">
        <v>0</v>
      </c>
      <c r="I818" s="127"/>
      <c r="J818" s="122">
        <f>IF($E809&gt;0, $E809, $E808)</f>
        <v>328</v>
      </c>
      <c r="K818" s="123">
        <v>0</v>
      </c>
      <c r="L818" s="124"/>
      <c r="M818" s="125"/>
    </row>
    <row r="819" spans="1:14" hidden="1" x14ac:dyDescent="0.2">
      <c r="A819" s="46" t="str">
        <f t="shared" si="119"/>
        <v>RESIDENTIAL SERVICE CLASSIFICATION</v>
      </c>
      <c r="C819" s="115"/>
      <c r="D819" s="116" t="s">
        <v>167</v>
      </c>
      <c r="E819" s="117"/>
      <c r="F819" s="126"/>
      <c r="G819" s="119">
        <f>IF($E809&gt;0, $E809, $E808)</f>
        <v>328</v>
      </c>
      <c r="H819" s="120">
        <v>0</v>
      </c>
      <c r="I819" s="127"/>
      <c r="J819" s="128">
        <f>IF($E809&gt;0, $E809, $E808)</f>
        <v>328</v>
      </c>
      <c r="K819" s="123">
        <v>0</v>
      </c>
      <c r="L819" s="124">
        <f>K819-H819</f>
        <v>0</v>
      </c>
      <c r="M819" s="125" t="str">
        <f>IF(ISERROR(L819/H819), "", L819/H819)</f>
        <v/>
      </c>
    </row>
    <row r="820" spans="1:14" x14ac:dyDescent="0.2">
      <c r="A820" s="46" t="str">
        <f t="shared" si="119"/>
        <v>RESIDENTIAL SERVICE CLASSIFICATION</v>
      </c>
      <c r="C820" s="115"/>
      <c r="D820" s="116" t="s">
        <v>168</v>
      </c>
      <c r="E820" s="117"/>
      <c r="F820" s="118">
        <v>0.85000000000000009</v>
      </c>
      <c r="G820" s="119">
        <v>1</v>
      </c>
      <c r="H820" s="120">
        <f t="shared" si="117"/>
        <v>0.85000000000000009</v>
      </c>
      <c r="I820" s="121">
        <v>0.85000000000000009</v>
      </c>
      <c r="J820" s="122">
        <f>G820</f>
        <v>1</v>
      </c>
      <c r="K820" s="123">
        <f t="shared" ref="K820:K827" si="120">J820*I820</f>
        <v>0.85000000000000009</v>
      </c>
      <c r="L820" s="124">
        <f t="shared" si="116"/>
        <v>0</v>
      </c>
      <c r="M820" s="125">
        <f t="shared" si="118"/>
        <v>0</v>
      </c>
    </row>
    <row r="821" spans="1:14" x14ac:dyDescent="0.2">
      <c r="A821" s="46" t="str">
        <f t="shared" si="119"/>
        <v>RESIDENTIAL SERVICE CLASSIFICATION</v>
      </c>
      <c r="C821" s="115"/>
      <c r="D821" s="116" t="s">
        <v>169</v>
      </c>
      <c r="E821" s="117"/>
      <c r="F821" s="126">
        <v>0</v>
      </c>
      <c r="G821" s="119">
        <f>IF($E809&gt;0, $E809, $E808)</f>
        <v>328</v>
      </c>
      <c r="H821" s="120">
        <f t="shared" si="117"/>
        <v>0</v>
      </c>
      <c r="I821" s="127">
        <v>0</v>
      </c>
      <c r="J821" s="122">
        <f>IF($E809&gt;0, $E809, $E808)</f>
        <v>328</v>
      </c>
      <c r="K821" s="123">
        <f t="shared" si="120"/>
        <v>0</v>
      </c>
      <c r="L821" s="124">
        <f t="shared" si="116"/>
        <v>0</v>
      </c>
      <c r="M821" s="125" t="str">
        <f t="shared" si="118"/>
        <v/>
      </c>
    </row>
    <row r="822" spans="1:14" x14ac:dyDescent="0.2">
      <c r="A822" s="46" t="str">
        <f t="shared" si="119"/>
        <v>RESIDENTIAL SERVICE CLASSIFICATION</v>
      </c>
      <c r="B822" s="46" t="s">
        <v>170</v>
      </c>
      <c r="C822" s="115">
        <f>B43</f>
        <v>14</v>
      </c>
      <c r="D822" s="129" t="s">
        <v>171</v>
      </c>
      <c r="E822" s="130"/>
      <c r="F822" s="131"/>
      <c r="G822" s="132"/>
      <c r="H822" s="133">
        <f>SUM(H816:H821)</f>
        <v>30.630000000000003</v>
      </c>
      <c r="I822" s="134"/>
      <c r="J822" s="135"/>
      <c r="K822" s="133">
        <f>SUM(K816:K821)</f>
        <v>31.69</v>
      </c>
      <c r="L822" s="136">
        <f t="shared" si="116"/>
        <v>1.0599999999999987</v>
      </c>
      <c r="M822" s="137">
        <f>IF((H822)=0,"",(L822/H822))</f>
        <v>3.4606594841658463E-2</v>
      </c>
    </row>
    <row r="823" spans="1:14" x14ac:dyDescent="0.2">
      <c r="A823" s="46" t="str">
        <f t="shared" si="119"/>
        <v>RESIDENTIAL SERVICE CLASSIFICATION</v>
      </c>
      <c r="C823" s="115"/>
      <c r="D823" s="138" t="s">
        <v>172</v>
      </c>
      <c r="E823" s="117"/>
      <c r="F823" s="126">
        <f>IF((E808*12&gt;=150000), 0, IF(E807="RPP",(F839*0.64+F840*0.18+F841*0.18),IF(E807="Non-RPP (Retailer)",F842,F843)))</f>
        <v>9.2899999999999996E-2</v>
      </c>
      <c r="G823" s="139">
        <f>IF(F823=0, 0, $E808*E810-E808)</f>
        <v>10.06959999999998</v>
      </c>
      <c r="H823" s="120">
        <f>G823*F823</f>
        <v>0.93546583999999811</v>
      </c>
      <c r="I823" s="127">
        <f>IF((E808*12&gt;=150000), 0, IF(E807="RPP",(I839*0.64+I840*0.18+I841*0.18),IF(E807="Non-RPP (Retailer)",I842,I843)))</f>
        <v>9.2899999999999996E-2</v>
      </c>
      <c r="J823" s="140">
        <f>IF(I823=0, 0, E808*E811-E808)</f>
        <v>10.06959999999998</v>
      </c>
      <c r="K823" s="123">
        <f>J823*I823</f>
        <v>0.93546583999999811</v>
      </c>
      <c r="L823" s="124">
        <f>K823-H823</f>
        <v>0</v>
      </c>
      <c r="M823" s="125">
        <f>IF(ISERROR(L823/H823), "", L823/H823)</f>
        <v>0</v>
      </c>
    </row>
    <row r="824" spans="1:14" ht="25.5" x14ac:dyDescent="0.2">
      <c r="A824" s="46" t="str">
        <f t="shared" si="119"/>
        <v>RESIDENTIAL SERVICE CLASSIFICATION</v>
      </c>
      <c r="C824" s="115"/>
      <c r="D824" s="138" t="s">
        <v>173</v>
      </c>
      <c r="E824" s="117"/>
      <c r="F824" s="126">
        <v>1.4E-3</v>
      </c>
      <c r="G824" s="141">
        <f>IF($E809&gt;0, $E809, $E808)</f>
        <v>328</v>
      </c>
      <c r="H824" s="120">
        <f t="shared" si="117"/>
        <v>0.4592</v>
      </c>
      <c r="I824" s="127">
        <f>'Proposed Tariff'!D31+'Proposed Tariff'!D29</f>
        <v>3.4000000000000002E-3</v>
      </c>
      <c r="J824" s="142">
        <f>IF($E809&gt;0, $E809, $E808)</f>
        <v>328</v>
      </c>
      <c r="K824" s="123">
        <f t="shared" si="120"/>
        <v>1.1152000000000002</v>
      </c>
      <c r="L824" s="124">
        <f t="shared" si="116"/>
        <v>0.65600000000000014</v>
      </c>
      <c r="M824" s="125">
        <f t="shared" si="118"/>
        <v>1.4285714285714288</v>
      </c>
    </row>
    <row r="825" spans="1:14" x14ac:dyDescent="0.2">
      <c r="A825" s="46" t="str">
        <f t="shared" si="119"/>
        <v>RESIDENTIAL SERVICE CLASSIFICATION</v>
      </c>
      <c r="C825" s="115"/>
      <c r="D825" s="138" t="s">
        <v>174</v>
      </c>
      <c r="E825" s="117"/>
      <c r="F825" s="126">
        <v>0</v>
      </c>
      <c r="G825" s="141">
        <f>IF($E809&gt;0, $E809, $E808)</f>
        <v>328</v>
      </c>
      <c r="H825" s="120">
        <f>G825*F825</f>
        <v>0</v>
      </c>
      <c r="I825" s="127">
        <v>0</v>
      </c>
      <c r="J825" s="142">
        <f>IF($E809&gt;0, $E809, $E808)</f>
        <v>328</v>
      </c>
      <c r="K825" s="123">
        <f>J825*I825</f>
        <v>0</v>
      </c>
      <c r="L825" s="124">
        <f t="shared" si="116"/>
        <v>0</v>
      </c>
      <c r="M825" s="125" t="str">
        <f t="shared" si="118"/>
        <v/>
      </c>
    </row>
    <row r="826" spans="1:14" x14ac:dyDescent="0.2">
      <c r="A826" s="46" t="str">
        <f t="shared" si="119"/>
        <v>RESIDENTIAL SERVICE CLASSIFICATION</v>
      </c>
      <c r="C826" s="115"/>
      <c r="D826" s="138" t="s">
        <v>175</v>
      </c>
      <c r="E826" s="117"/>
      <c r="F826" s="126">
        <v>0</v>
      </c>
      <c r="G826" s="141">
        <f>E808</f>
        <v>328</v>
      </c>
      <c r="H826" s="120">
        <f>G826*F826</f>
        <v>0</v>
      </c>
      <c r="I826" s="127">
        <v>0</v>
      </c>
      <c r="J826" s="142">
        <f>E808</f>
        <v>328</v>
      </c>
      <c r="K826" s="123">
        <f t="shared" si="120"/>
        <v>0</v>
      </c>
      <c r="L826" s="124">
        <f t="shared" si="116"/>
        <v>0</v>
      </c>
      <c r="M826" s="125" t="str">
        <f t="shared" si="118"/>
        <v/>
      </c>
    </row>
    <row r="827" spans="1:14" x14ac:dyDescent="0.2">
      <c r="A827" s="46" t="str">
        <f t="shared" si="119"/>
        <v>RESIDENTIAL SERVICE CLASSIFICATION</v>
      </c>
      <c r="C827" s="115"/>
      <c r="D827" s="116" t="s">
        <v>176</v>
      </c>
      <c r="E827" s="117"/>
      <c r="F827" s="126">
        <v>2.9999999999999997E-4</v>
      </c>
      <c r="G827" s="141">
        <f>IF($E809&gt;0, $E809, $E808)</f>
        <v>328</v>
      </c>
      <c r="H827" s="120">
        <f t="shared" si="117"/>
        <v>9.8399999999999987E-2</v>
      </c>
      <c r="I827" s="127">
        <v>2.9999999999999997E-4</v>
      </c>
      <c r="J827" s="142">
        <f>IF($E809&gt;0, $E809, $E808)</f>
        <v>328</v>
      </c>
      <c r="K827" s="123">
        <f t="shared" si="120"/>
        <v>9.8399999999999987E-2</v>
      </c>
      <c r="L827" s="124">
        <f t="shared" si="116"/>
        <v>0</v>
      </c>
      <c r="M827" s="125">
        <f t="shared" si="118"/>
        <v>0</v>
      </c>
    </row>
    <row r="828" spans="1:14" ht="25.5" x14ac:dyDescent="0.2">
      <c r="A828" s="46" t="str">
        <f t="shared" si="119"/>
        <v>RESIDENTIAL SERVICE CLASSIFICATION</v>
      </c>
      <c r="C828" s="115"/>
      <c r="D828" s="138" t="s">
        <v>177</v>
      </c>
      <c r="E828" s="117"/>
      <c r="F828" s="143">
        <f>IF(OR(ISNUMBER(SEARCH("RESIDENTIAL", E806))=TRUE, ISNUMBER(SEARCH("GENERAL SERVICE LESS THAN 50", E806))=TRUE), 0.43, 0)</f>
        <v>0.43</v>
      </c>
      <c r="G828" s="119">
        <v>1</v>
      </c>
      <c r="H828" s="120">
        <f>G828*F828</f>
        <v>0.43</v>
      </c>
      <c r="I828" s="144">
        <f>IF(OR(ISNUMBER(SEARCH("RESIDENTIAL", E806))=TRUE, ISNUMBER(SEARCH("GENERAL SERVICE LESS THAN 50", E806))=TRUE), SME, 0)</f>
        <v>0.42</v>
      </c>
      <c r="J828" s="128">
        <v>1</v>
      </c>
      <c r="K828" s="123">
        <f>J828*I828</f>
        <v>0.42</v>
      </c>
      <c r="L828" s="124">
        <f t="shared" si="116"/>
        <v>-1.0000000000000009E-2</v>
      </c>
      <c r="M828" s="125">
        <f>IF(ISERROR(L828/H828), "", L828/H828)</f>
        <v>-2.3255813953488393E-2</v>
      </c>
    </row>
    <row r="829" spans="1:14" x14ac:dyDescent="0.2">
      <c r="A829" s="46" t="str">
        <f t="shared" si="119"/>
        <v>RESIDENTIAL SERVICE CLASSIFICATION</v>
      </c>
      <c r="C829" s="115"/>
      <c r="D829" s="116" t="s">
        <v>178</v>
      </c>
      <c r="E829" s="117"/>
      <c r="F829" s="118">
        <v>0</v>
      </c>
      <c r="G829" s="119">
        <v>1</v>
      </c>
      <c r="H829" s="120">
        <f t="shared" si="117"/>
        <v>0</v>
      </c>
      <c r="I829" s="121">
        <v>0</v>
      </c>
      <c r="J829" s="128">
        <v>1</v>
      </c>
      <c r="K829" s="123">
        <f>J829*I829</f>
        <v>0</v>
      </c>
      <c r="L829" s="124">
        <f>K829-H829</f>
        <v>0</v>
      </c>
      <c r="M829" s="125" t="str">
        <f>IF(ISERROR(L829/H829), "", L829/H829)</f>
        <v/>
      </c>
    </row>
    <row r="830" spans="1:14" x14ac:dyDescent="0.2">
      <c r="A830" s="46" t="str">
        <f t="shared" si="119"/>
        <v>RESIDENTIAL SERVICE CLASSIFICATION</v>
      </c>
      <c r="C830" s="115"/>
      <c r="D830" s="116" t="s">
        <v>179</v>
      </c>
      <c r="E830" s="117"/>
      <c r="F830" s="126">
        <v>0</v>
      </c>
      <c r="G830" s="141">
        <f>IF($E809&gt;0, $E809, $E808)</f>
        <v>328</v>
      </c>
      <c r="H830" s="120">
        <f>G830*F830</f>
        <v>0</v>
      </c>
      <c r="I830" s="127">
        <v>0</v>
      </c>
      <c r="J830" s="142">
        <f>IF($E809&gt;0, $E809, $E808)</f>
        <v>328</v>
      </c>
      <c r="K830" s="123">
        <f>J830*I830</f>
        <v>0</v>
      </c>
      <c r="L830" s="124">
        <f t="shared" si="116"/>
        <v>0</v>
      </c>
      <c r="M830" s="125" t="str">
        <f>IF(ISERROR(L830/H830), "", L830/H830)</f>
        <v/>
      </c>
    </row>
    <row r="831" spans="1:14" ht="25.5" x14ac:dyDescent="0.2">
      <c r="A831" s="46" t="str">
        <f t="shared" si="119"/>
        <v>RESIDENTIAL SERVICE CLASSIFICATION</v>
      </c>
      <c r="B831" s="46" t="s">
        <v>180</v>
      </c>
      <c r="C831" s="115">
        <f>B43</f>
        <v>14</v>
      </c>
      <c r="D831" s="145" t="s">
        <v>181</v>
      </c>
      <c r="E831" s="146"/>
      <c r="F831" s="147"/>
      <c r="G831" s="148"/>
      <c r="H831" s="149">
        <f>SUM(H822:H830)</f>
        <v>32.553065840000002</v>
      </c>
      <c r="I831" s="150"/>
      <c r="J831" s="151"/>
      <c r="K831" s="149">
        <f>SUM(K822:K830)</f>
        <v>34.259065839999998</v>
      </c>
      <c r="L831" s="136">
        <f t="shared" si="116"/>
        <v>1.705999999999996</v>
      </c>
      <c r="M831" s="137">
        <f>IF((H831)=0,"",(L831/H831))</f>
        <v>5.2406738228131078E-2</v>
      </c>
    </row>
    <row r="832" spans="1:14" x14ac:dyDescent="0.2">
      <c r="A832" s="46" t="str">
        <f t="shared" si="119"/>
        <v>RESIDENTIAL SERVICE CLASSIFICATION</v>
      </c>
      <c r="C832" s="115"/>
      <c r="D832" s="152" t="s">
        <v>182</v>
      </c>
      <c r="E832" s="117"/>
      <c r="F832" s="126">
        <v>8.6999999999999994E-3</v>
      </c>
      <c r="G832" s="139">
        <f>IF($E809&gt;0, $E809, $E808*$E810)</f>
        <v>338.06959999999998</v>
      </c>
      <c r="H832" s="120">
        <f>G832*F832</f>
        <v>2.9412055199999996</v>
      </c>
      <c r="I832" s="153">
        <v>8.9999999999999993E-3</v>
      </c>
      <c r="J832" s="140">
        <f>IF($E809&gt;0, $E809, $E808*$E811)</f>
        <v>338.06959999999998</v>
      </c>
      <c r="K832" s="123">
        <f>J832*I832</f>
        <v>3.0426263999999996</v>
      </c>
      <c r="L832" s="124">
        <f t="shared" si="116"/>
        <v>0.10142088000000005</v>
      </c>
      <c r="M832" s="125">
        <f>IF(ISERROR(L832/H832), "", L832/H832)</f>
        <v>3.4482758620689676E-2</v>
      </c>
      <c r="N832" s="154" t="str">
        <f>IF(ISERROR(ABS(M832)), "", IF(ABS(M832)&gt;=4%, "In the manager's summary, discuss the reasoning for the change in RTSR rates", ""))</f>
        <v/>
      </c>
    </row>
    <row r="833" spans="1:14" ht="25.5" x14ac:dyDescent="0.2">
      <c r="A833" s="46" t="str">
        <f t="shared" si="119"/>
        <v>RESIDENTIAL SERVICE CLASSIFICATION</v>
      </c>
      <c r="C833" s="115"/>
      <c r="D833" s="155" t="s">
        <v>183</v>
      </c>
      <c r="E833" s="117"/>
      <c r="F833" s="126">
        <v>5.1999999999999998E-3</v>
      </c>
      <c r="G833" s="139">
        <f>IF($E809&gt;0, $E809, $E808*$E810)</f>
        <v>338.06959999999998</v>
      </c>
      <c r="H833" s="120">
        <f>G833*F833</f>
        <v>1.7579619199999998</v>
      </c>
      <c r="I833" s="153">
        <v>5.0000000000000001E-3</v>
      </c>
      <c r="J833" s="140">
        <f>IF($E809&gt;0, $E809, $E808*$E811)</f>
        <v>338.06959999999998</v>
      </c>
      <c r="K833" s="123">
        <f>J833*I833</f>
        <v>1.690348</v>
      </c>
      <c r="L833" s="124">
        <f t="shared" si="116"/>
        <v>-6.7613919999999883E-2</v>
      </c>
      <c r="M833" s="125">
        <f>IF(ISERROR(L833/H833), "", L833/H833)</f>
        <v>-3.8461538461538401E-2</v>
      </c>
      <c r="N833" s="154" t="str">
        <f>IF(ISERROR(ABS(M833)), "", IF(ABS(M833)&gt;=4%, "In the manager's summary, discuss the reasoning for the change in RTSR rates", ""))</f>
        <v/>
      </c>
    </row>
    <row r="834" spans="1:14" ht="25.5" x14ac:dyDescent="0.2">
      <c r="A834" s="46" t="str">
        <f t="shared" si="119"/>
        <v>RESIDENTIAL SERVICE CLASSIFICATION</v>
      </c>
      <c r="B834" s="46" t="s">
        <v>184</v>
      </c>
      <c r="C834" s="115">
        <f>B43</f>
        <v>14</v>
      </c>
      <c r="D834" s="145" t="s">
        <v>185</v>
      </c>
      <c r="E834" s="130"/>
      <c r="F834" s="147"/>
      <c r="G834" s="148"/>
      <c r="H834" s="149">
        <f>SUM(H831:H833)</f>
        <v>37.252233279999999</v>
      </c>
      <c r="I834" s="150"/>
      <c r="J834" s="135"/>
      <c r="K834" s="149">
        <f>SUM(K831:K833)</f>
        <v>38.992040239999994</v>
      </c>
      <c r="L834" s="136">
        <f t="shared" si="116"/>
        <v>1.7398069599999957</v>
      </c>
      <c r="M834" s="137">
        <f>IF((H834)=0,"",(L834/H834))</f>
        <v>4.6703427064977182E-2</v>
      </c>
    </row>
    <row r="835" spans="1:14" ht="25.5" x14ac:dyDescent="0.2">
      <c r="A835" s="46" t="str">
        <f t="shared" si="119"/>
        <v>RESIDENTIAL SERVICE CLASSIFICATION</v>
      </c>
      <c r="C835" s="115"/>
      <c r="D835" s="156" t="s">
        <v>186</v>
      </c>
      <c r="E835" s="117"/>
      <c r="F835" s="126">
        <f>IF(AND('[1]1. Information Sheet'!$F$26:$H$26&gt;='[1]17. Regulatory Charges'!$D$14,'[1]1. Information Sheet'!$F$26:$H$26&lt;'[1]17. Regulatory Charges'!$E$14),'[1]17. Regulatory Charges'!$D$15+'[1]17. Regulatory Charges'!$D$16,'[1]17. Regulatory Charges'!$E$15+'[1]17. Regulatory Charges'!$E$16)</f>
        <v>3.4000000000000002E-3</v>
      </c>
      <c r="G835" s="139">
        <f>E808*E810</f>
        <v>338.06959999999998</v>
      </c>
      <c r="H835" s="157">
        <f t="shared" ref="H835:H841" si="121">G835*F835</f>
        <v>1.14943664</v>
      </c>
      <c r="I835" s="127">
        <f>'[1]17. Regulatory Charges'!$E$15+'[1]17. Regulatory Charges'!$E$16</f>
        <v>3.4000000000000002E-3</v>
      </c>
      <c r="J835" s="140">
        <f>E808*E811</f>
        <v>338.06959999999998</v>
      </c>
      <c r="K835" s="123">
        <f t="shared" ref="K835:K841" si="122">J835*I835</f>
        <v>1.14943664</v>
      </c>
      <c r="L835" s="124">
        <f t="shared" si="116"/>
        <v>0</v>
      </c>
      <c r="M835" s="125">
        <f t="shared" ref="M835:M843" si="123">IF(ISERROR(L835/H835), "", L835/H835)</f>
        <v>0</v>
      </c>
    </row>
    <row r="836" spans="1:14" ht="25.5" x14ac:dyDescent="0.2">
      <c r="A836" s="46" t="str">
        <f t="shared" si="119"/>
        <v>RESIDENTIAL SERVICE CLASSIFICATION</v>
      </c>
      <c r="C836" s="115"/>
      <c r="D836" s="156" t="s">
        <v>187</v>
      </c>
      <c r="E836" s="117"/>
      <c r="F836" s="126">
        <f>IF(AND('[1]1. Information Sheet'!$F$26:$H$26&gt;='[1]17. Regulatory Charges'!$D$14,'[1]1. Information Sheet'!$F$26:$H$26&lt;'[1]17. Regulatory Charges'!$D$14),'[1]17. Regulatory Charges'!$D$17,'[1]17. Regulatory Charges'!$E$17)</f>
        <v>5.0000000000000001E-4</v>
      </c>
      <c r="G836" s="139">
        <f>E808*E810</f>
        <v>338.06959999999998</v>
      </c>
      <c r="H836" s="157">
        <f t="shared" si="121"/>
        <v>0.16903479999999999</v>
      </c>
      <c r="I836" s="127">
        <f>'[1]17. Regulatory Charges'!$E$17</f>
        <v>5.0000000000000001E-4</v>
      </c>
      <c r="J836" s="140">
        <f>E808*E811</f>
        <v>338.06959999999998</v>
      </c>
      <c r="K836" s="123">
        <f t="shared" si="122"/>
        <v>0.16903479999999999</v>
      </c>
      <c r="L836" s="124">
        <f t="shared" si="116"/>
        <v>0</v>
      </c>
      <c r="M836" s="125">
        <f t="shared" si="123"/>
        <v>0</v>
      </c>
    </row>
    <row r="837" spans="1:14" x14ac:dyDescent="0.2">
      <c r="A837" s="46" t="str">
        <f t="shared" si="119"/>
        <v>RESIDENTIAL SERVICE CLASSIFICATION</v>
      </c>
      <c r="C837" s="115"/>
      <c r="D837" s="158" t="s">
        <v>188</v>
      </c>
      <c r="E837" s="117"/>
      <c r="F837" s="143">
        <f>IF(AND('[1]1. Information Sheet'!$F$26:$H$26&gt;='[1]17. Regulatory Charges'!$D$14,'[1]1. Information Sheet'!$F$26:$H$26&lt;'[1]17. Regulatory Charges'!$D$14),'[1]17. Regulatory Charges'!$D$18,'[1]17. Regulatory Charges'!$E$18)</f>
        <v>0.25</v>
      </c>
      <c r="G837" s="119">
        <v>1</v>
      </c>
      <c r="H837" s="157">
        <f t="shared" si="121"/>
        <v>0.25</v>
      </c>
      <c r="I837" s="144">
        <f>'[1]17. Regulatory Charges'!$E$18</f>
        <v>0.25</v>
      </c>
      <c r="J837" s="122">
        <v>1</v>
      </c>
      <c r="K837" s="123">
        <f t="shared" si="122"/>
        <v>0.25</v>
      </c>
      <c r="L837" s="124">
        <f t="shared" si="116"/>
        <v>0</v>
      </c>
      <c r="M837" s="125">
        <f t="shared" si="123"/>
        <v>0</v>
      </c>
    </row>
    <row r="838" spans="1:14" ht="25.5" hidden="1" x14ac:dyDescent="0.2">
      <c r="A838" s="46" t="str">
        <f t="shared" si="119"/>
        <v>RESIDENTIAL SERVICE CLASSIFICATION</v>
      </c>
      <c r="C838" s="115"/>
      <c r="D838" s="156" t="s">
        <v>189</v>
      </c>
      <c r="E838" s="117"/>
      <c r="F838" s="126"/>
      <c r="G838" s="139"/>
      <c r="H838" s="157"/>
      <c r="I838" s="127"/>
      <c r="J838" s="140"/>
      <c r="K838" s="123"/>
      <c r="L838" s="124"/>
      <c r="M838" s="125"/>
    </row>
    <row r="839" spans="1:14" x14ac:dyDescent="0.2">
      <c r="A839" s="46" t="str">
        <f t="shared" si="119"/>
        <v>RESIDENTIAL SERVICE CLASSIFICATION</v>
      </c>
      <c r="B839" s="46" t="s">
        <v>139</v>
      </c>
      <c r="C839" s="115"/>
      <c r="D839" s="158" t="s">
        <v>190</v>
      </c>
      <c r="E839" s="117"/>
      <c r="F839" s="159">
        <f>OffPeak</f>
        <v>7.3999999999999996E-2</v>
      </c>
      <c r="G839" s="160">
        <f>IF(AND(E808*12&gt;=150000),0.64*E808*E810,0.64*E808)</f>
        <v>209.92000000000002</v>
      </c>
      <c r="H839" s="157">
        <f t="shared" si="121"/>
        <v>15.534080000000001</v>
      </c>
      <c r="I839" s="161">
        <f>OffPeak</f>
        <v>7.3999999999999996E-2</v>
      </c>
      <c r="J839" s="162">
        <f>IF(AND(E808*12&gt;=150000),0.64*E808*E811,0.64*E808)</f>
        <v>209.92000000000002</v>
      </c>
      <c r="K839" s="123">
        <f t="shared" si="122"/>
        <v>15.534080000000001</v>
      </c>
      <c r="L839" s="124">
        <f>K839-H839</f>
        <v>0</v>
      </c>
      <c r="M839" s="125">
        <f t="shared" si="123"/>
        <v>0</v>
      </c>
    </row>
    <row r="840" spans="1:14" x14ac:dyDescent="0.2">
      <c r="A840" s="46" t="str">
        <f t="shared" si="119"/>
        <v>RESIDENTIAL SERVICE CLASSIFICATION</v>
      </c>
      <c r="B840" s="46" t="s">
        <v>139</v>
      </c>
      <c r="C840" s="115"/>
      <c r="D840" s="158" t="s">
        <v>191</v>
      </c>
      <c r="E840" s="117"/>
      <c r="F840" s="159">
        <f>MidPeak</f>
        <v>0.10199999999999999</v>
      </c>
      <c r="G840" s="160">
        <f>IF(AND(E808*12&gt;=150000),0.18*E808*E810,0.18*E808)</f>
        <v>59.04</v>
      </c>
      <c r="H840" s="157">
        <f t="shared" si="121"/>
        <v>6.0220799999999999</v>
      </c>
      <c r="I840" s="161">
        <f>MidPeak</f>
        <v>0.10199999999999999</v>
      </c>
      <c r="J840" s="162">
        <f>IF(AND(E808*12&gt;=150000),0.18*E808*E811,0.18*E808)</f>
        <v>59.04</v>
      </c>
      <c r="K840" s="123">
        <f t="shared" si="122"/>
        <v>6.0220799999999999</v>
      </c>
      <c r="L840" s="124">
        <f>K840-H840</f>
        <v>0</v>
      </c>
      <c r="M840" s="125">
        <f t="shared" si="123"/>
        <v>0</v>
      </c>
    </row>
    <row r="841" spans="1:14" ht="13.5" thickBot="1" x14ac:dyDescent="0.25">
      <c r="A841" s="46" t="str">
        <f t="shared" si="119"/>
        <v>RESIDENTIAL SERVICE CLASSIFICATION</v>
      </c>
      <c r="B841" s="46" t="s">
        <v>139</v>
      </c>
      <c r="C841" s="115"/>
      <c r="D841" s="46" t="s">
        <v>192</v>
      </c>
      <c r="E841" s="117"/>
      <c r="F841" s="159">
        <f>OnPeak</f>
        <v>0.151</v>
      </c>
      <c r="G841" s="160">
        <f>IF(AND(E808*12&gt;=150000),0.18*E808*E810,0.18*E808)</f>
        <v>59.04</v>
      </c>
      <c r="H841" s="157">
        <f t="shared" si="121"/>
        <v>8.9150399999999994</v>
      </c>
      <c r="I841" s="161">
        <f>OnPeak</f>
        <v>0.151</v>
      </c>
      <c r="J841" s="162">
        <f>IF(AND(E808*12&gt;=150000),0.18*E808*E811,0.18*E808)</f>
        <v>59.04</v>
      </c>
      <c r="K841" s="123">
        <f t="shared" si="122"/>
        <v>8.9150399999999994</v>
      </c>
      <c r="L841" s="124">
        <f>K841-H841</f>
        <v>0</v>
      </c>
      <c r="M841" s="125">
        <f t="shared" si="123"/>
        <v>0</v>
      </c>
    </row>
    <row r="842" spans="1:14" ht="13.5" hidden="1" thickBot="1" x14ac:dyDescent="0.25">
      <c r="A842" s="46" t="str">
        <f t="shared" si="119"/>
        <v>RESIDENTIAL SERVICE CLASSIFICATION</v>
      </c>
      <c r="B842" s="46" t="s">
        <v>141</v>
      </c>
      <c r="C842" s="115"/>
      <c r="D842" s="158" t="s">
        <v>193</v>
      </c>
      <c r="E842" s="117"/>
      <c r="F842" s="163">
        <v>9.6699999999999994E-2</v>
      </c>
      <c r="G842" s="160">
        <f>IF(AND(E808*12&gt;=150000),E808*E810,E808)</f>
        <v>328</v>
      </c>
      <c r="H842" s="157">
        <f>G842*F842</f>
        <v>31.717599999999997</v>
      </c>
      <c r="I842" s="164">
        <f>F842</f>
        <v>9.6699999999999994E-2</v>
      </c>
      <c r="J842" s="162">
        <f>IF(AND(E808*12&gt;=150000),E808*E811,E808)</f>
        <v>328</v>
      </c>
      <c r="K842" s="123">
        <f>J842*I842</f>
        <v>31.717599999999997</v>
      </c>
      <c r="L842" s="124">
        <f>K842-H842</f>
        <v>0</v>
      </c>
      <c r="M842" s="125">
        <f t="shared" si="123"/>
        <v>0</v>
      </c>
    </row>
    <row r="843" spans="1:14" ht="13.5" hidden="1" thickBot="1" x14ac:dyDescent="0.25">
      <c r="A843" s="46" t="str">
        <f t="shared" si="119"/>
        <v>RESIDENTIAL SERVICE CLASSIFICATION</v>
      </c>
      <c r="B843" s="46" t="s">
        <v>140</v>
      </c>
      <c r="C843" s="115"/>
      <c r="D843" s="158" t="s">
        <v>194</v>
      </c>
      <c r="E843" s="117"/>
      <c r="F843" s="163">
        <v>9.6699999999999994E-2</v>
      </c>
      <c r="G843" s="160">
        <f>IF(AND(E808*12&gt;=150000),E808*E810,E808)</f>
        <v>328</v>
      </c>
      <c r="H843" s="157">
        <f>G843*F843</f>
        <v>31.717599999999997</v>
      </c>
      <c r="I843" s="164">
        <f>F843</f>
        <v>9.6699999999999994E-2</v>
      </c>
      <c r="J843" s="162">
        <f>IF(AND(E808*12&gt;=150000),E808*E811,E808)</f>
        <v>328</v>
      </c>
      <c r="K843" s="123">
        <f>J843*I843</f>
        <v>31.717599999999997</v>
      </c>
      <c r="L843" s="124">
        <f>K843-H843</f>
        <v>0</v>
      </c>
      <c r="M843" s="125">
        <f t="shared" si="123"/>
        <v>0</v>
      </c>
    </row>
    <row r="844" spans="1:14" ht="13.5" thickBot="1" x14ac:dyDescent="0.25">
      <c r="A844" s="46" t="str">
        <f t="shared" si="119"/>
        <v>RESIDENTIAL SERVICE CLASSIFICATION</v>
      </c>
      <c r="C844" s="115"/>
      <c r="D844" s="165"/>
      <c r="E844" s="166"/>
      <c r="F844" s="167"/>
      <c r="G844" s="168"/>
      <c r="H844" s="169"/>
      <c r="I844" s="167"/>
      <c r="J844" s="170"/>
      <c r="K844" s="169"/>
      <c r="L844" s="171"/>
      <c r="M844" s="172"/>
    </row>
    <row r="845" spans="1:14" x14ac:dyDescent="0.2">
      <c r="A845" s="46" t="str">
        <f t="shared" si="119"/>
        <v>RESIDENTIAL SERVICE CLASSIFICATION</v>
      </c>
      <c r="B845" s="46" t="s">
        <v>139</v>
      </c>
      <c r="C845" s="115"/>
      <c r="D845" s="173" t="s">
        <v>195</v>
      </c>
      <c r="E845" s="158"/>
      <c r="F845" s="174"/>
      <c r="G845" s="175"/>
      <c r="H845" s="176">
        <f>SUM(H835:H841,H834)</f>
        <v>69.291904719999991</v>
      </c>
      <c r="I845" s="177"/>
      <c r="J845" s="177"/>
      <c r="K845" s="176">
        <f>SUM(K835:K841,K834)</f>
        <v>71.031711680000001</v>
      </c>
      <c r="L845" s="178">
        <f>K845-H845</f>
        <v>1.7398069600000099</v>
      </c>
      <c r="M845" s="179">
        <f>IF((H845)=0,"",(L845/H845))</f>
        <v>2.5108372572962952E-2</v>
      </c>
    </row>
    <row r="846" spans="1:14" x14ac:dyDescent="0.2">
      <c r="A846" s="46" t="str">
        <f t="shared" si="119"/>
        <v>RESIDENTIAL SERVICE CLASSIFICATION</v>
      </c>
      <c r="B846" s="46" t="s">
        <v>139</v>
      </c>
      <c r="C846" s="115"/>
      <c r="D846" s="180" t="s">
        <v>196</v>
      </c>
      <c r="E846" s="158"/>
      <c r="F846" s="174">
        <v>0.13</v>
      </c>
      <c r="G846" s="181"/>
      <c r="H846" s="182">
        <f>H845*F846</f>
        <v>9.007947613599999</v>
      </c>
      <c r="I846" s="183">
        <v>0.13</v>
      </c>
      <c r="J846" s="119"/>
      <c r="K846" s="182">
        <f>K845*I846</f>
        <v>9.2341225183999995</v>
      </c>
      <c r="L846" s="124">
        <f>K846-H846</f>
        <v>0.22617490480000058</v>
      </c>
      <c r="M846" s="184">
        <f>IF((H846)=0,"",(L846/H846))</f>
        <v>2.5108372572962872E-2</v>
      </c>
    </row>
    <row r="847" spans="1:14" ht="15" x14ac:dyDescent="0.25">
      <c r="A847" s="46" t="str">
        <f t="shared" si="119"/>
        <v>RESIDENTIAL SERVICE CLASSIFICATION</v>
      </c>
      <c r="B847" s="46" t="s">
        <v>139</v>
      </c>
      <c r="C847" s="115"/>
      <c r="D847" s="180" t="s">
        <v>197</v>
      </c>
      <c r="E847"/>
      <c r="F847" s="185">
        <v>0.11700000000000001</v>
      </c>
      <c r="G847" s="181"/>
      <c r="H847" s="182">
        <f>IF(OR(ISNUMBER(SEARCH("[DGEN]", E806))=TRUE, ISNUMBER(SEARCH("STREET LIGHT", E806))=TRUE), 0, IF(AND(E808=0, E809=0),0, IF(AND(E809=0, E808*12&gt;250000), 0, IF(AND(E808=0, E809&gt;=50), 0, IF(E808*12&lt;=250000, F847*H845*-1, IF(E809&lt;50, F847*H845*-1, 0))))))</f>
        <v>-8.1071528522399987</v>
      </c>
      <c r="I847" s="185">
        <v>0.11700000000000001</v>
      </c>
      <c r="J847" s="119"/>
      <c r="K847" s="182">
        <f>IF(OR(ISNUMBER(SEARCH("[DGEN]", E806))=TRUE, ISNUMBER(SEARCH("STREET LIGHT", E806))=TRUE), 0, IF(AND(E808=0, E809=0),0, IF(AND(E809=0, E808*12&gt;250000), 0, IF(AND(E808=0, E809&gt;=50), 0, IF(E808*12&lt;=250000, I847*K845*-1, IF(E809&lt;50, I847*K845*-1, 0))))))</f>
        <v>-8.310710266560001</v>
      </c>
      <c r="L847" s="124">
        <f>K847-H847</f>
        <v>-0.20355741432000229</v>
      </c>
      <c r="M847" s="184"/>
    </row>
    <row r="848" spans="1:14" ht="13.5" thickBot="1" x14ac:dyDescent="0.25">
      <c r="A848" s="46" t="str">
        <f t="shared" si="119"/>
        <v>RESIDENTIAL SERVICE CLASSIFICATION</v>
      </c>
      <c r="B848" s="46" t="s">
        <v>198</v>
      </c>
      <c r="C848" s="115">
        <f>B43</f>
        <v>14</v>
      </c>
      <c r="D848" s="186" t="s">
        <v>199</v>
      </c>
      <c r="E848" s="186"/>
      <c r="F848" s="187"/>
      <c r="G848" s="188"/>
      <c r="H848" s="189">
        <f>H845+H846+H847</f>
        <v>70.192699481359995</v>
      </c>
      <c r="I848" s="190"/>
      <c r="J848" s="190"/>
      <c r="K848" s="191">
        <f>K845+K846+K847</f>
        <v>71.955123931840006</v>
      </c>
      <c r="L848" s="192">
        <f>K848-H848</f>
        <v>1.7624244504800117</v>
      </c>
      <c r="M848" s="193">
        <f>IF((H848)=0,"",(L848/H848))</f>
        <v>2.5108372572962976E-2</v>
      </c>
    </row>
    <row r="849" spans="1:14" ht="13.5" thickBot="1" x14ac:dyDescent="0.25">
      <c r="A849" s="46" t="str">
        <f t="shared" si="119"/>
        <v>RESIDENTIAL SERVICE CLASSIFICATION</v>
      </c>
      <c r="B849" s="46" t="s">
        <v>139</v>
      </c>
      <c r="C849" s="115"/>
      <c r="D849" s="165"/>
      <c r="E849" s="166"/>
      <c r="F849" s="167"/>
      <c r="G849" s="168"/>
      <c r="H849" s="169"/>
      <c r="I849" s="167"/>
      <c r="J849" s="170"/>
      <c r="K849" s="169"/>
      <c r="L849" s="171"/>
      <c r="M849" s="172"/>
    </row>
    <row r="850" spans="1:14" hidden="1" x14ac:dyDescent="0.2">
      <c r="A850" s="46" t="str">
        <f t="shared" si="119"/>
        <v>RESIDENTIAL SERVICE CLASSIFICATION</v>
      </c>
      <c r="B850" s="46" t="s">
        <v>141</v>
      </c>
      <c r="C850" s="115"/>
      <c r="D850" s="173" t="s">
        <v>200</v>
      </c>
      <c r="E850" s="158"/>
      <c r="F850" s="174"/>
      <c r="G850" s="175"/>
      <c r="H850" s="176">
        <f>SUM(H842,H835:H838,H834)</f>
        <v>70.538304719999985</v>
      </c>
      <c r="I850" s="177"/>
      <c r="J850" s="177"/>
      <c r="K850" s="176">
        <f>SUM(K842,K835:K838,K834)</f>
        <v>72.278111679999995</v>
      </c>
      <c r="L850" s="178">
        <f>K850-H850</f>
        <v>1.7398069600000099</v>
      </c>
      <c r="M850" s="179">
        <f>IF((H850)=0,"",(L850/H850))</f>
        <v>2.4664711845657897E-2</v>
      </c>
    </row>
    <row r="851" spans="1:14" hidden="1" x14ac:dyDescent="0.2">
      <c r="A851" s="46" t="str">
        <f t="shared" si="119"/>
        <v>RESIDENTIAL SERVICE CLASSIFICATION</v>
      </c>
      <c r="B851" s="46" t="s">
        <v>141</v>
      </c>
      <c r="C851" s="115"/>
      <c r="D851" s="180" t="s">
        <v>196</v>
      </c>
      <c r="E851" s="158"/>
      <c r="F851" s="174">
        <v>0.13</v>
      </c>
      <c r="G851" s="175"/>
      <c r="H851" s="182">
        <f>H850*F851</f>
        <v>9.1699796135999989</v>
      </c>
      <c r="I851" s="174">
        <v>0.13</v>
      </c>
      <c r="J851" s="183"/>
      <c r="K851" s="182">
        <f>K850*I851</f>
        <v>9.3961545183999995</v>
      </c>
      <c r="L851" s="124">
        <f>K851-H851</f>
        <v>0.22617490480000058</v>
      </c>
      <c r="M851" s="184">
        <f>IF((H851)=0,"",(L851/H851))</f>
        <v>2.4664711845657817E-2</v>
      </c>
    </row>
    <row r="852" spans="1:14" ht="15" hidden="1" x14ac:dyDescent="0.25">
      <c r="A852" s="46" t="str">
        <f t="shared" si="119"/>
        <v>RESIDENTIAL SERVICE CLASSIFICATION</v>
      </c>
      <c r="B852" s="46" t="s">
        <v>141</v>
      </c>
      <c r="C852" s="115"/>
      <c r="D852" s="180" t="s">
        <v>197</v>
      </c>
      <c r="E852"/>
      <c r="F852" s="185">
        <v>0.11700000000000001</v>
      </c>
      <c r="G852" s="175"/>
      <c r="H852" s="182">
        <f>IF(OR(ISNUMBER(SEARCH("[DGEN]", E806))=TRUE, ISNUMBER(SEARCH("STREET LIGHT", E806))=TRUE), 0, IF(AND(E808=0, E809=0),0, IF(AND(E809=0, E808*12&gt;250000), 0, IF(AND(E808=0, E809&gt;=50), 0, IF(E808*12&lt;=250000, F852*H850*-1, IF(E809&lt;50, F852*H850*-1, 0))))))</f>
        <v>-8.252981652239999</v>
      </c>
      <c r="I852" s="185">
        <v>0.11700000000000001</v>
      </c>
      <c r="J852" s="183"/>
      <c r="K852" s="182">
        <f>IF(OR(ISNUMBER(SEARCH("[DGEN]", E806))=TRUE, ISNUMBER(SEARCH("STREET LIGHT", E806))=TRUE), 0, IF(AND(E808=0, E809=0),0, IF(AND(E809=0, E808*12&gt;250000), 0, IF(AND(E808=0, E809&gt;=50), 0, IF(E808*12&lt;=250000, I852*K850*-1, IF(E809&lt;50, I852*K850*-1, 0))))))</f>
        <v>-8.4565390665599995</v>
      </c>
      <c r="L852" s="124"/>
      <c r="M852" s="184"/>
    </row>
    <row r="853" spans="1:14" hidden="1" x14ac:dyDescent="0.2">
      <c r="A853" s="46" t="str">
        <f t="shared" si="119"/>
        <v>RESIDENTIAL SERVICE CLASSIFICATION</v>
      </c>
      <c r="B853" s="46" t="s">
        <v>201</v>
      </c>
      <c r="C853" s="115"/>
      <c r="D853" s="186" t="s">
        <v>200</v>
      </c>
      <c r="E853" s="186"/>
      <c r="F853" s="194"/>
      <c r="G853" s="195"/>
      <c r="H853" s="189">
        <f>SUM(H850,H851)</f>
        <v>79.708284333599977</v>
      </c>
      <c r="I853" s="196"/>
      <c r="J853" s="196"/>
      <c r="K853" s="189">
        <f>SUM(K850,K851)</f>
        <v>81.674266198399991</v>
      </c>
      <c r="L853" s="197">
        <f>K853-H853</f>
        <v>1.965981864800014</v>
      </c>
      <c r="M853" s="198">
        <f>IF((H853)=0,"",(L853/H853))</f>
        <v>2.4664711845657935E-2</v>
      </c>
    </row>
    <row r="854" spans="1:14" ht="13.5" hidden="1" thickBot="1" x14ac:dyDescent="0.25">
      <c r="A854" s="46" t="str">
        <f t="shared" si="119"/>
        <v>RESIDENTIAL SERVICE CLASSIFICATION</v>
      </c>
      <c r="B854" s="46" t="s">
        <v>141</v>
      </c>
      <c r="C854" s="115"/>
      <c r="D854" s="165"/>
      <c r="E854" s="166"/>
      <c r="F854" s="199"/>
      <c r="G854" s="200"/>
      <c r="H854" s="201"/>
      <c r="I854" s="199"/>
      <c r="J854" s="168"/>
      <c r="K854" s="201"/>
      <c r="L854" s="202"/>
      <c r="M854" s="172"/>
    </row>
    <row r="855" spans="1:14" hidden="1" x14ac:dyDescent="0.2">
      <c r="A855" s="46" t="str">
        <f t="shared" si="119"/>
        <v>RESIDENTIAL SERVICE CLASSIFICATION</v>
      </c>
      <c r="B855" s="46" t="s">
        <v>140</v>
      </c>
      <c r="C855" s="115"/>
      <c r="D855" s="173" t="s">
        <v>202</v>
      </c>
      <c r="E855" s="158"/>
      <c r="F855" s="174"/>
      <c r="G855" s="175"/>
      <c r="H855" s="176">
        <f>SUM(H843,H835:H838,H834)</f>
        <v>70.538304719999985</v>
      </c>
      <c r="I855" s="177"/>
      <c r="J855" s="177"/>
      <c r="K855" s="176">
        <f>SUM(K843,K835:K838,K834)</f>
        <v>72.278111679999995</v>
      </c>
      <c r="L855" s="178">
        <f>K855-H855</f>
        <v>1.7398069600000099</v>
      </c>
      <c r="M855" s="179">
        <f>IF((H855)=0,"",(L855/H855))</f>
        <v>2.4664711845657897E-2</v>
      </c>
    </row>
    <row r="856" spans="1:14" hidden="1" x14ac:dyDescent="0.2">
      <c r="A856" s="46" t="str">
        <f t="shared" si="119"/>
        <v>RESIDENTIAL SERVICE CLASSIFICATION</v>
      </c>
      <c r="B856" s="46" t="s">
        <v>140</v>
      </c>
      <c r="C856" s="115"/>
      <c r="D856" s="180" t="s">
        <v>196</v>
      </c>
      <c r="E856" s="158"/>
      <c r="F856" s="174">
        <v>0.13</v>
      </c>
      <c r="G856" s="175"/>
      <c r="H856" s="182">
        <f>H855*F856</f>
        <v>9.1699796135999989</v>
      </c>
      <c r="I856" s="174">
        <v>0.13</v>
      </c>
      <c r="J856" s="183"/>
      <c r="K856" s="182">
        <f>K855*I856</f>
        <v>9.3961545183999995</v>
      </c>
      <c r="L856" s="124">
        <f>K856-H856</f>
        <v>0.22617490480000058</v>
      </c>
      <c r="M856" s="184">
        <f>IF((H856)=0,"",(L856/H856))</f>
        <v>2.4664711845657817E-2</v>
      </c>
    </row>
    <row r="857" spans="1:14" ht="15" hidden="1" x14ac:dyDescent="0.25">
      <c r="A857" s="46" t="str">
        <f t="shared" si="119"/>
        <v>RESIDENTIAL SERVICE CLASSIFICATION</v>
      </c>
      <c r="B857" s="46" t="s">
        <v>140</v>
      </c>
      <c r="C857" s="115"/>
      <c r="D857" s="180" t="s">
        <v>197</v>
      </c>
      <c r="E857"/>
      <c r="F857" s="185">
        <v>0.11700000000000001</v>
      </c>
      <c r="G857" s="175"/>
      <c r="H857" s="182">
        <f>IF(OR(ISNUMBER(SEARCH("[DGEN]", E806))=TRUE, ISNUMBER(SEARCH("STREET LIGHT", E806))=TRUE), 0, IF(AND(E808=0, E809=0),0, IF(AND(E809=0, E808*12&gt;250000), 0, IF(AND(E808=0, E809&gt;=50), 0, IF(E808*12&lt;=250000, F857*H855*-1, IF(E809&lt;50, F857*H855*-1, 0))))))</f>
        <v>-8.252981652239999</v>
      </c>
      <c r="I857" s="185">
        <v>0.11700000000000001</v>
      </c>
      <c r="J857" s="183"/>
      <c r="K857" s="182">
        <f>IF(OR(ISNUMBER(SEARCH("[DGEN]", E806))=TRUE, ISNUMBER(SEARCH("STREET LIGHT", E806))=TRUE), 0, IF(AND(E808=0, E809=0),0, IF(AND(E809=0, E808*12&gt;250000), 0, IF(AND(E808=0, E809&gt;=50), 0, IF(E808*12&lt;=250000, I857*K855*-1, IF(E809&lt;50, I857*K855*-1, 0))))))</f>
        <v>-8.4565390665599995</v>
      </c>
      <c r="L857" s="124"/>
      <c r="M857" s="184"/>
    </row>
    <row r="858" spans="1:14" hidden="1" x14ac:dyDescent="0.2">
      <c r="A858" s="46" t="str">
        <f t="shared" si="119"/>
        <v>RESIDENTIAL SERVICE CLASSIFICATION</v>
      </c>
      <c r="B858" s="46" t="s">
        <v>203</v>
      </c>
      <c r="C858" s="115"/>
      <c r="D858" s="186" t="s">
        <v>202</v>
      </c>
      <c r="E858" s="186"/>
      <c r="F858" s="194"/>
      <c r="G858" s="195"/>
      <c r="H858" s="189">
        <f>SUM(H855,H856)</f>
        <v>79.708284333599977</v>
      </c>
      <c r="I858" s="196"/>
      <c r="J858" s="196"/>
      <c r="K858" s="189">
        <f>SUM(K855,K856)</f>
        <v>81.674266198399991</v>
      </c>
      <c r="L858" s="197">
        <f>K858-H858</f>
        <v>1.965981864800014</v>
      </c>
      <c r="M858" s="198">
        <f>IF((H858)=0,"",(L858/H858))</f>
        <v>2.4664711845657935E-2</v>
      </c>
    </row>
    <row r="859" spans="1:14" ht="13.5" hidden="1" thickBot="1" x14ac:dyDescent="0.25">
      <c r="A859" s="46" t="str">
        <f t="shared" si="119"/>
        <v>RESIDENTIAL SERVICE CLASSIFICATION</v>
      </c>
      <c r="B859" s="46" t="s">
        <v>140</v>
      </c>
      <c r="C859" s="115"/>
      <c r="D859" s="165"/>
      <c r="E859" s="166"/>
      <c r="F859" s="203"/>
      <c r="G859" s="200"/>
      <c r="H859" s="204"/>
      <c r="I859" s="203"/>
      <c r="J859" s="168"/>
      <c r="K859" s="204"/>
      <c r="L859" s="202"/>
      <c r="M859" s="205"/>
    </row>
    <row r="862" spans="1:14" x14ac:dyDescent="0.2">
      <c r="C862" s="46"/>
      <c r="D862" s="90" t="s">
        <v>150</v>
      </c>
      <c r="E862" s="91" t="str">
        <f>D44</f>
        <v>GENERAL SERVICE LESS THAN 50 KW SERVICE CLASSIFICATION</v>
      </c>
      <c r="F862" s="91"/>
      <c r="G862" s="91"/>
      <c r="H862" s="91"/>
      <c r="I862" s="91"/>
      <c r="J862" s="91"/>
      <c r="K862" s="46" t="str">
        <f>IF(N44="DEMAND - INTERVAL","RTSR - INTERVAL METERED","")</f>
        <v/>
      </c>
    </row>
    <row r="863" spans="1:14" x14ac:dyDescent="0.2">
      <c r="C863" s="46"/>
      <c r="D863" s="90" t="s">
        <v>151</v>
      </c>
      <c r="E863" s="92" t="str">
        <f>H44</f>
        <v>Non-RPP (Retailer)</v>
      </c>
      <c r="F863" s="92"/>
      <c r="G863" s="92"/>
      <c r="H863" s="93"/>
      <c r="I863" s="93"/>
    </row>
    <row r="864" spans="1:14" ht="15.75" x14ac:dyDescent="0.2">
      <c r="C864" s="46"/>
      <c r="D864" s="90" t="s">
        <v>152</v>
      </c>
      <c r="E864" s="94">
        <f>K44</f>
        <v>20000</v>
      </c>
      <c r="F864" s="95" t="s">
        <v>153</v>
      </c>
      <c r="J864" s="96"/>
      <c r="K864" s="96"/>
      <c r="L864" s="96"/>
      <c r="M864" s="96"/>
      <c r="N864" s="96"/>
    </row>
    <row r="865" spans="1:13" ht="15.75" x14ac:dyDescent="0.25">
      <c r="C865" s="46"/>
      <c r="D865" s="90" t="s">
        <v>154</v>
      </c>
      <c r="E865" s="94">
        <f>L44</f>
        <v>0</v>
      </c>
      <c r="F865" s="97" t="s">
        <v>155</v>
      </c>
      <c r="G865" s="98"/>
      <c r="H865" s="99"/>
      <c r="I865" s="99"/>
      <c r="J865" s="99"/>
    </row>
    <row r="866" spans="1:13" x14ac:dyDescent="0.2">
      <c r="C866" s="46"/>
      <c r="D866" s="90" t="s">
        <v>156</v>
      </c>
      <c r="E866" s="100">
        <f>I44</f>
        <v>1.0306999999999999</v>
      </c>
    </row>
    <row r="867" spans="1:13" x14ac:dyDescent="0.2">
      <c r="C867" s="46"/>
      <c r="D867" s="90" t="s">
        <v>157</v>
      </c>
      <c r="E867" s="100">
        <f>J44</f>
        <v>1.0306999999999999</v>
      </c>
    </row>
    <row r="868" spans="1:13" x14ac:dyDescent="0.2">
      <c r="C868" s="46"/>
    </row>
    <row r="869" spans="1:13" x14ac:dyDescent="0.2">
      <c r="C869" s="46"/>
      <c r="E869" s="95"/>
      <c r="F869" s="101" t="s">
        <v>204</v>
      </c>
      <c r="G869" s="102"/>
      <c r="H869" s="103"/>
      <c r="I869" s="101" t="s">
        <v>205</v>
      </c>
      <c r="J869" s="102"/>
      <c r="K869" s="103"/>
      <c r="L869" s="101" t="s">
        <v>158</v>
      </c>
      <c r="M869" s="103"/>
    </row>
    <row r="870" spans="1:13" x14ac:dyDescent="0.2">
      <c r="C870" s="46"/>
      <c r="E870" s="104"/>
      <c r="F870" s="105" t="s">
        <v>159</v>
      </c>
      <c r="G870" s="105" t="s">
        <v>160</v>
      </c>
      <c r="H870" s="106" t="s">
        <v>161</v>
      </c>
      <c r="I870" s="105" t="s">
        <v>159</v>
      </c>
      <c r="J870" s="107" t="s">
        <v>160</v>
      </c>
      <c r="K870" s="106" t="s">
        <v>161</v>
      </c>
      <c r="L870" s="108" t="s">
        <v>162</v>
      </c>
      <c r="M870" s="109" t="s">
        <v>163</v>
      </c>
    </row>
    <row r="871" spans="1:13" x14ac:dyDescent="0.2">
      <c r="C871" s="46"/>
      <c r="E871" s="110"/>
      <c r="F871" s="111" t="s">
        <v>164</v>
      </c>
      <c r="G871" s="111"/>
      <c r="H871" s="112" t="s">
        <v>164</v>
      </c>
      <c r="I871" s="111" t="s">
        <v>164</v>
      </c>
      <c r="J871" s="112"/>
      <c r="K871" s="112" t="s">
        <v>164</v>
      </c>
      <c r="L871" s="113"/>
      <c r="M871" s="114"/>
    </row>
    <row r="872" spans="1:13" x14ac:dyDescent="0.2">
      <c r="A872" s="46" t="str">
        <f>$E862</f>
        <v>GENERAL SERVICE LESS THAN 50 KW SERVICE CLASSIFICATION</v>
      </c>
      <c r="C872" s="115"/>
      <c r="D872" s="116" t="s">
        <v>165</v>
      </c>
      <c r="E872" s="117"/>
      <c r="F872" s="118">
        <v>16.04</v>
      </c>
      <c r="G872" s="119">
        <v>1</v>
      </c>
      <c r="H872" s="120">
        <f>G872*F872</f>
        <v>16.04</v>
      </c>
      <c r="I872" s="121">
        <v>16.61</v>
      </c>
      <c r="J872" s="122">
        <f>G872</f>
        <v>1</v>
      </c>
      <c r="K872" s="123">
        <f>J872*I872</f>
        <v>16.61</v>
      </c>
      <c r="L872" s="124">
        <f t="shared" ref="L872:L892" si="124">K872-H872</f>
        <v>0.57000000000000028</v>
      </c>
      <c r="M872" s="125">
        <f>IF(ISERROR(L872/H872), "", L872/H872)</f>
        <v>3.5536159600997527E-2</v>
      </c>
    </row>
    <row r="873" spans="1:13" x14ac:dyDescent="0.2">
      <c r="A873" s="46" t="str">
        <f>A872</f>
        <v>GENERAL SERVICE LESS THAN 50 KW SERVICE CLASSIFICATION</v>
      </c>
      <c r="C873" s="115"/>
      <c r="D873" s="116" t="s">
        <v>30</v>
      </c>
      <c r="E873" s="117"/>
      <c r="F873" s="126">
        <v>1.7100000000000001E-2</v>
      </c>
      <c r="G873" s="119">
        <f>IF($E865&gt;0, $E865, $E864)</f>
        <v>20000</v>
      </c>
      <c r="H873" s="120">
        <f t="shared" ref="H873:H885" si="125">G873*F873</f>
        <v>342</v>
      </c>
      <c r="I873" s="127">
        <v>1.77E-2</v>
      </c>
      <c r="J873" s="122">
        <f>IF($E865&gt;0, $E865, $E864)</f>
        <v>20000</v>
      </c>
      <c r="K873" s="123">
        <f>J873*I873</f>
        <v>354</v>
      </c>
      <c r="L873" s="124">
        <f t="shared" si="124"/>
        <v>12</v>
      </c>
      <c r="M873" s="125">
        <f t="shared" ref="M873:M883" si="126">IF(ISERROR(L873/H873), "", L873/H873)</f>
        <v>3.5087719298245612E-2</v>
      </c>
    </row>
    <row r="874" spans="1:13" hidden="1" x14ac:dyDescent="0.2">
      <c r="A874" s="46" t="str">
        <f t="shared" ref="A874:A915" si="127">A873</f>
        <v>GENERAL SERVICE LESS THAN 50 KW SERVICE CLASSIFICATION</v>
      </c>
      <c r="C874" s="115"/>
      <c r="D874" s="116" t="s">
        <v>166</v>
      </c>
      <c r="E874" s="117"/>
      <c r="F874" s="126"/>
      <c r="G874" s="119">
        <f>IF($E865&gt;0, $E865, $E864)</f>
        <v>20000</v>
      </c>
      <c r="H874" s="120">
        <v>0</v>
      </c>
      <c r="I874" s="127"/>
      <c r="J874" s="122">
        <f>IF($E865&gt;0, $E865, $E864)</f>
        <v>20000</v>
      </c>
      <c r="K874" s="123">
        <v>0</v>
      </c>
      <c r="L874" s="124"/>
      <c r="M874" s="125"/>
    </row>
    <row r="875" spans="1:13" hidden="1" x14ac:dyDescent="0.2">
      <c r="A875" s="46" t="str">
        <f t="shared" si="127"/>
        <v>GENERAL SERVICE LESS THAN 50 KW SERVICE CLASSIFICATION</v>
      </c>
      <c r="C875" s="115"/>
      <c r="D875" s="116" t="s">
        <v>167</v>
      </c>
      <c r="E875" s="117"/>
      <c r="F875" s="126"/>
      <c r="G875" s="119">
        <f>IF($E865&gt;0, $E865, $E864)</f>
        <v>20000</v>
      </c>
      <c r="H875" s="120">
        <v>0</v>
      </c>
      <c r="I875" s="127"/>
      <c r="J875" s="128">
        <f>IF($E865&gt;0, $E865, $E864)</f>
        <v>20000</v>
      </c>
      <c r="K875" s="123">
        <v>0</v>
      </c>
      <c r="L875" s="124">
        <f>K875-H875</f>
        <v>0</v>
      </c>
      <c r="M875" s="125" t="str">
        <f>IF(ISERROR(L875/H875), "", L875/H875)</f>
        <v/>
      </c>
    </row>
    <row r="876" spans="1:13" x14ac:dyDescent="0.2">
      <c r="A876" s="46" t="str">
        <f t="shared" si="127"/>
        <v>GENERAL SERVICE LESS THAN 50 KW SERVICE CLASSIFICATION</v>
      </c>
      <c r="C876" s="115"/>
      <c r="D876" s="116" t="s">
        <v>168</v>
      </c>
      <c r="E876" s="117"/>
      <c r="F876" s="118">
        <v>1.7000000000000002</v>
      </c>
      <c r="G876" s="119">
        <v>1</v>
      </c>
      <c r="H876" s="120">
        <f t="shared" si="125"/>
        <v>1.7000000000000002</v>
      </c>
      <c r="I876" s="121">
        <v>1.7000000000000002</v>
      </c>
      <c r="J876" s="122">
        <f>G876</f>
        <v>1</v>
      </c>
      <c r="K876" s="123">
        <f t="shared" ref="K876:K883" si="128">J876*I876</f>
        <v>1.7000000000000002</v>
      </c>
      <c r="L876" s="124">
        <f t="shared" si="124"/>
        <v>0</v>
      </c>
      <c r="M876" s="125">
        <f t="shared" si="126"/>
        <v>0</v>
      </c>
    </row>
    <row r="877" spans="1:13" x14ac:dyDescent="0.2">
      <c r="A877" s="46" t="str">
        <f t="shared" si="127"/>
        <v>GENERAL SERVICE LESS THAN 50 KW SERVICE CLASSIFICATION</v>
      </c>
      <c r="C877" s="115"/>
      <c r="D877" s="116" t="s">
        <v>169</v>
      </c>
      <c r="E877" s="117"/>
      <c r="F877" s="126">
        <v>0</v>
      </c>
      <c r="G877" s="119">
        <f>IF($E865&gt;0, $E865, $E864)</f>
        <v>20000</v>
      </c>
      <c r="H877" s="120">
        <f t="shared" si="125"/>
        <v>0</v>
      </c>
      <c r="I877" s="127">
        <v>0</v>
      </c>
      <c r="J877" s="122">
        <f>IF($E865&gt;0, $E865, $E864)</f>
        <v>20000</v>
      </c>
      <c r="K877" s="123">
        <f t="shared" si="128"/>
        <v>0</v>
      </c>
      <c r="L877" s="124">
        <f t="shared" si="124"/>
        <v>0</v>
      </c>
      <c r="M877" s="125" t="str">
        <f t="shared" si="126"/>
        <v/>
      </c>
    </row>
    <row r="878" spans="1:13" x14ac:dyDescent="0.2">
      <c r="A878" s="46" t="str">
        <f t="shared" si="127"/>
        <v>GENERAL SERVICE LESS THAN 50 KW SERVICE CLASSIFICATION</v>
      </c>
      <c r="B878" s="46" t="s">
        <v>170</v>
      </c>
      <c r="C878" s="115">
        <f>B44</f>
        <v>15</v>
      </c>
      <c r="D878" s="129" t="s">
        <v>171</v>
      </c>
      <c r="E878" s="130"/>
      <c r="F878" s="131"/>
      <c r="G878" s="132"/>
      <c r="H878" s="133">
        <f>SUM(H872:H877)</f>
        <v>359.74</v>
      </c>
      <c r="I878" s="134"/>
      <c r="J878" s="135"/>
      <c r="K878" s="133">
        <f>SUM(K872:K877)</f>
        <v>372.31</v>
      </c>
      <c r="L878" s="136">
        <f t="shared" si="124"/>
        <v>12.569999999999993</v>
      </c>
      <c r="M878" s="137">
        <f>IF((H878)=0,"",(L878/H878))</f>
        <v>3.4941902485128129E-2</v>
      </c>
    </row>
    <row r="879" spans="1:13" x14ac:dyDescent="0.2">
      <c r="A879" s="46" t="str">
        <f t="shared" si="127"/>
        <v>GENERAL SERVICE LESS THAN 50 KW SERVICE CLASSIFICATION</v>
      </c>
      <c r="C879" s="115"/>
      <c r="D879" s="138" t="s">
        <v>172</v>
      </c>
      <c r="E879" s="117"/>
      <c r="F879" s="126">
        <f>IF((E864*12&gt;=150000), 0, IF(E863="RPP",(F895*0.64+F896*0.18+F897*0.18),IF(E863="Non-RPP (Retailer)",F898,F899)))</f>
        <v>0</v>
      </c>
      <c r="G879" s="139">
        <f>IF(F879=0, 0, $E864*E866-E864)</f>
        <v>0</v>
      </c>
      <c r="H879" s="120">
        <f>G879*F879</f>
        <v>0</v>
      </c>
      <c r="I879" s="127">
        <f>IF((E864*12&gt;=150000), 0, IF(E863="RPP",(I895*0.64+I896*0.18+I897*0.18),IF(E863="Non-RPP (Retailer)",I898,I899)))</f>
        <v>0</v>
      </c>
      <c r="J879" s="140">
        <f>IF(I879=0, 0, E864*E867-E864)</f>
        <v>0</v>
      </c>
      <c r="K879" s="123">
        <f>J879*I879</f>
        <v>0</v>
      </c>
      <c r="L879" s="124">
        <f>K879-H879</f>
        <v>0</v>
      </c>
      <c r="M879" s="125" t="str">
        <f>IF(ISERROR(L879/H879), "", L879/H879)</f>
        <v/>
      </c>
    </row>
    <row r="880" spans="1:13" ht="25.5" x14ac:dyDescent="0.2">
      <c r="A880" s="46" t="str">
        <f t="shared" si="127"/>
        <v>GENERAL SERVICE LESS THAN 50 KW SERVICE CLASSIFICATION</v>
      </c>
      <c r="C880" s="115"/>
      <c r="D880" s="138" t="s">
        <v>173</v>
      </c>
      <c r="E880" s="117"/>
      <c r="F880" s="126">
        <v>1.4E-3</v>
      </c>
      <c r="G880" s="141">
        <f>IF($E865&gt;0, $E865, $E864)</f>
        <v>20000</v>
      </c>
      <c r="H880" s="120">
        <f t="shared" si="125"/>
        <v>28</v>
      </c>
      <c r="I880" s="127">
        <f>-'Proposed Tariff'!D65+'Proposed Tariff'!D62</f>
        <v>-6.0000000000000001E-3</v>
      </c>
      <c r="J880" s="142">
        <f>IF($E865&gt;0, $E865, $E864)</f>
        <v>20000</v>
      </c>
      <c r="K880" s="123">
        <f t="shared" si="128"/>
        <v>-120</v>
      </c>
      <c r="L880" s="124">
        <f t="shared" si="124"/>
        <v>-148</v>
      </c>
      <c r="M880" s="125">
        <f t="shared" si="126"/>
        <v>-5.2857142857142856</v>
      </c>
    </row>
    <row r="881" spans="1:14" x14ac:dyDescent="0.2">
      <c r="A881" s="46" t="str">
        <f t="shared" si="127"/>
        <v>GENERAL SERVICE LESS THAN 50 KW SERVICE CLASSIFICATION</v>
      </c>
      <c r="C881" s="115"/>
      <c r="D881" s="138" t="s">
        <v>174</v>
      </c>
      <c r="E881" s="117"/>
      <c r="F881" s="126">
        <v>0</v>
      </c>
      <c r="G881" s="141">
        <f>IF($E865&gt;0, $E865, $E864)</f>
        <v>20000</v>
      </c>
      <c r="H881" s="120">
        <f>G881*F881</f>
        <v>0</v>
      </c>
      <c r="I881" s="127">
        <f>'Proposed Tariff'!D64</f>
        <v>-1E-4</v>
      </c>
      <c r="J881" s="142">
        <f>IF($E865&gt;0, $E865, $E864)</f>
        <v>20000</v>
      </c>
      <c r="K881" s="123">
        <f>J881*I881</f>
        <v>-2</v>
      </c>
      <c r="L881" s="124">
        <f t="shared" si="124"/>
        <v>-2</v>
      </c>
      <c r="M881" s="125" t="str">
        <f t="shared" si="126"/>
        <v/>
      </c>
    </row>
    <row r="882" spans="1:14" x14ac:dyDescent="0.2">
      <c r="A882" s="46" t="str">
        <f t="shared" si="127"/>
        <v>GENERAL SERVICE LESS THAN 50 KW SERVICE CLASSIFICATION</v>
      </c>
      <c r="C882" s="115"/>
      <c r="D882" s="138" t="s">
        <v>175</v>
      </c>
      <c r="E882" s="117"/>
      <c r="F882" s="126">
        <v>1.6000000000000001E-3</v>
      </c>
      <c r="G882" s="141">
        <f>E864</f>
        <v>20000</v>
      </c>
      <c r="H882" s="120">
        <f>G882*F882</f>
        <v>32</v>
      </c>
      <c r="I882" s="127">
        <f>'Proposed Tariff'!D62</f>
        <v>-4.4999999999999997E-3</v>
      </c>
      <c r="J882" s="142">
        <f>E864</f>
        <v>20000</v>
      </c>
      <c r="K882" s="123">
        <f t="shared" si="128"/>
        <v>-90</v>
      </c>
      <c r="L882" s="124">
        <f t="shared" si="124"/>
        <v>-122</v>
      </c>
      <c r="M882" s="125">
        <f t="shared" si="126"/>
        <v>-3.8125</v>
      </c>
    </row>
    <row r="883" spans="1:14" x14ac:dyDescent="0.2">
      <c r="A883" s="46" t="str">
        <f t="shared" si="127"/>
        <v>GENERAL SERVICE LESS THAN 50 KW SERVICE CLASSIFICATION</v>
      </c>
      <c r="C883" s="115"/>
      <c r="D883" s="116" t="s">
        <v>176</v>
      </c>
      <c r="E883" s="117"/>
      <c r="F883" s="126">
        <v>2.0000000000000001E-4</v>
      </c>
      <c r="G883" s="141">
        <f>IF($E865&gt;0, $E865, $E864)</f>
        <v>20000</v>
      </c>
      <c r="H883" s="120">
        <f t="shared" si="125"/>
        <v>4</v>
      </c>
      <c r="I883" s="127">
        <v>2.0000000000000001E-4</v>
      </c>
      <c r="J883" s="142">
        <f>IF($E865&gt;0, $E865, $E864)</f>
        <v>20000</v>
      </c>
      <c r="K883" s="123">
        <f t="shared" si="128"/>
        <v>4</v>
      </c>
      <c r="L883" s="124">
        <f t="shared" si="124"/>
        <v>0</v>
      </c>
      <c r="M883" s="125">
        <f t="shared" si="126"/>
        <v>0</v>
      </c>
    </row>
    <row r="884" spans="1:14" ht="25.5" x14ac:dyDescent="0.2">
      <c r="A884" s="46" t="str">
        <f t="shared" si="127"/>
        <v>GENERAL SERVICE LESS THAN 50 KW SERVICE CLASSIFICATION</v>
      </c>
      <c r="C884" s="115"/>
      <c r="D884" s="138" t="s">
        <v>177</v>
      </c>
      <c r="E884" s="117"/>
      <c r="F884" s="143">
        <f>IF(OR(ISNUMBER(SEARCH("RESIDENTIAL", E862))=TRUE, ISNUMBER(SEARCH("GENERAL SERVICE LESS THAN 50", E862))=TRUE), 0.43, 0)</f>
        <v>0.43</v>
      </c>
      <c r="G884" s="119">
        <v>1</v>
      </c>
      <c r="H884" s="120">
        <f>G884*F884</f>
        <v>0.43</v>
      </c>
      <c r="I884" s="144">
        <f>IF(OR(ISNUMBER(SEARCH("RESIDENTIAL", E862))=TRUE, ISNUMBER(SEARCH("GENERAL SERVICE LESS THAN 50", E862))=TRUE), SME, 0)</f>
        <v>0.42</v>
      </c>
      <c r="J884" s="128">
        <v>1</v>
      </c>
      <c r="K884" s="123">
        <f>J884*I884</f>
        <v>0.42</v>
      </c>
      <c r="L884" s="124">
        <f t="shared" si="124"/>
        <v>-1.0000000000000009E-2</v>
      </c>
      <c r="M884" s="125">
        <f>IF(ISERROR(L884/H884), "", L884/H884)</f>
        <v>-2.3255813953488393E-2</v>
      </c>
    </row>
    <row r="885" spans="1:14" x14ac:dyDescent="0.2">
      <c r="A885" s="46" t="str">
        <f t="shared" si="127"/>
        <v>GENERAL SERVICE LESS THAN 50 KW SERVICE CLASSIFICATION</v>
      </c>
      <c r="C885" s="115"/>
      <c r="D885" s="116" t="s">
        <v>178</v>
      </c>
      <c r="E885" s="117"/>
      <c r="F885" s="118">
        <v>0</v>
      </c>
      <c r="G885" s="119">
        <v>1</v>
      </c>
      <c r="H885" s="120">
        <f t="shared" si="125"/>
        <v>0</v>
      </c>
      <c r="I885" s="121">
        <v>0</v>
      </c>
      <c r="J885" s="128">
        <v>1</v>
      </c>
      <c r="K885" s="123">
        <f>J885*I885</f>
        <v>0</v>
      </c>
      <c r="L885" s="124">
        <f>K885-H885</f>
        <v>0</v>
      </c>
      <c r="M885" s="125" t="str">
        <f>IF(ISERROR(L885/H885), "", L885/H885)</f>
        <v/>
      </c>
    </row>
    <row r="886" spans="1:14" x14ac:dyDescent="0.2">
      <c r="A886" s="46" t="str">
        <f t="shared" si="127"/>
        <v>GENERAL SERVICE LESS THAN 50 KW SERVICE CLASSIFICATION</v>
      </c>
      <c r="C886" s="115"/>
      <c r="D886" s="116" t="s">
        <v>179</v>
      </c>
      <c r="E886" s="117"/>
      <c r="F886" s="126">
        <v>0</v>
      </c>
      <c r="G886" s="141">
        <f>IF($E865&gt;0, $E865, $E864)</f>
        <v>20000</v>
      </c>
      <c r="H886" s="120">
        <f>G886*F886</f>
        <v>0</v>
      </c>
      <c r="I886" s="127">
        <v>0</v>
      </c>
      <c r="J886" s="142">
        <f>IF($E865&gt;0, $E865, $E864)</f>
        <v>20000</v>
      </c>
      <c r="K886" s="123">
        <f>J886*I886</f>
        <v>0</v>
      </c>
      <c r="L886" s="124">
        <f t="shared" si="124"/>
        <v>0</v>
      </c>
      <c r="M886" s="125" t="str">
        <f>IF(ISERROR(L886/H886), "", L886/H886)</f>
        <v/>
      </c>
    </row>
    <row r="887" spans="1:14" ht="25.5" x14ac:dyDescent="0.2">
      <c r="A887" s="46" t="str">
        <f t="shared" si="127"/>
        <v>GENERAL SERVICE LESS THAN 50 KW SERVICE CLASSIFICATION</v>
      </c>
      <c r="B887" s="46" t="s">
        <v>180</v>
      </c>
      <c r="C887" s="115">
        <f>B44</f>
        <v>15</v>
      </c>
      <c r="D887" s="145" t="s">
        <v>181</v>
      </c>
      <c r="E887" s="146"/>
      <c r="F887" s="147"/>
      <c r="G887" s="148"/>
      <c r="H887" s="149">
        <f>SUM(H878:H886)</f>
        <v>424.17</v>
      </c>
      <c r="I887" s="150"/>
      <c r="J887" s="151"/>
      <c r="K887" s="149">
        <f>SUM(K878:K886)</f>
        <v>164.73</v>
      </c>
      <c r="L887" s="136">
        <f t="shared" si="124"/>
        <v>-259.44000000000005</v>
      </c>
      <c r="M887" s="137">
        <f>IF((H887)=0,"",(L887/H887))</f>
        <v>-0.6116415588089682</v>
      </c>
    </row>
    <row r="888" spans="1:14" x14ac:dyDescent="0.2">
      <c r="A888" s="46" t="str">
        <f t="shared" si="127"/>
        <v>GENERAL SERVICE LESS THAN 50 KW SERVICE CLASSIFICATION</v>
      </c>
      <c r="C888" s="115"/>
      <c r="D888" s="152" t="s">
        <v>182</v>
      </c>
      <c r="E888" s="117"/>
      <c r="F888" s="126">
        <v>7.7999999999999996E-3</v>
      </c>
      <c r="G888" s="139">
        <f>IF($E865&gt;0, $E865, $E864*$E866)</f>
        <v>20614</v>
      </c>
      <c r="H888" s="120">
        <f>G888*F888</f>
        <v>160.78919999999999</v>
      </c>
      <c r="I888" s="153">
        <v>8.0999999999999996E-3</v>
      </c>
      <c r="J888" s="140">
        <f>IF($E865&gt;0, $E865, $E864*$E867)</f>
        <v>20614</v>
      </c>
      <c r="K888" s="123">
        <f>J888*I888</f>
        <v>166.9734</v>
      </c>
      <c r="L888" s="124">
        <f t="shared" si="124"/>
        <v>6.1842000000000041</v>
      </c>
      <c r="M888" s="125">
        <f>IF(ISERROR(L888/H888), "", L888/H888)</f>
        <v>3.8461538461538491E-2</v>
      </c>
      <c r="N888" s="154" t="str">
        <f>IF(ISERROR(ABS(M888)), "", IF(ABS(M888)&gt;=4%, "In the manager's summary, discuss the reasoning for the change in RTSR rates", ""))</f>
        <v/>
      </c>
    </row>
    <row r="889" spans="1:14" ht="25.5" x14ac:dyDescent="0.2">
      <c r="A889" s="46" t="str">
        <f t="shared" si="127"/>
        <v>GENERAL SERVICE LESS THAN 50 KW SERVICE CLASSIFICATION</v>
      </c>
      <c r="C889" s="115"/>
      <c r="D889" s="155" t="s">
        <v>183</v>
      </c>
      <c r="E889" s="117"/>
      <c r="F889" s="126">
        <v>4.5999999999999999E-3</v>
      </c>
      <c r="G889" s="139">
        <f>IF($E865&gt;0, $E865, $E864*$E866)</f>
        <v>20614</v>
      </c>
      <c r="H889" s="120">
        <f>G889*F889</f>
        <v>94.824399999999997</v>
      </c>
      <c r="I889" s="153">
        <v>4.4000000000000003E-3</v>
      </c>
      <c r="J889" s="140">
        <f>IF($E865&gt;0, $E865, $E864*$E867)</f>
        <v>20614</v>
      </c>
      <c r="K889" s="123">
        <f>J889*I889</f>
        <v>90.701599999999999</v>
      </c>
      <c r="L889" s="124">
        <f t="shared" si="124"/>
        <v>-4.122799999999998</v>
      </c>
      <c r="M889" s="125">
        <f>IF(ISERROR(L889/H889), "", L889/H889)</f>
        <v>-4.3478260869565195E-2</v>
      </c>
      <c r="N889" s="154" t="str">
        <f>IF(ISERROR(ABS(M889)), "", IF(ABS(M889)&gt;=4%, "In the manager's summary, discuss the reasoning for the change in RTSR rates", ""))</f>
        <v>In the manager's summary, discuss the reasoning for the change in RTSR rates</v>
      </c>
    </row>
    <row r="890" spans="1:14" ht="25.5" x14ac:dyDescent="0.2">
      <c r="A890" s="46" t="str">
        <f t="shared" si="127"/>
        <v>GENERAL SERVICE LESS THAN 50 KW SERVICE CLASSIFICATION</v>
      </c>
      <c r="B890" s="46" t="s">
        <v>184</v>
      </c>
      <c r="C890" s="115">
        <f>B44</f>
        <v>15</v>
      </c>
      <c r="D890" s="145" t="s">
        <v>185</v>
      </c>
      <c r="E890" s="130"/>
      <c r="F890" s="147"/>
      <c r="G890" s="148"/>
      <c r="H890" s="149">
        <f>SUM(H887:H889)</f>
        <v>679.78359999999998</v>
      </c>
      <c r="I890" s="150"/>
      <c r="J890" s="135"/>
      <c r="K890" s="149">
        <f>SUM(K887:K889)</f>
        <v>422.40499999999997</v>
      </c>
      <c r="L890" s="136">
        <f t="shared" si="124"/>
        <v>-257.37860000000001</v>
      </c>
      <c r="M890" s="137">
        <f>IF((H890)=0,"",(L890/H890))</f>
        <v>-0.37861843092419412</v>
      </c>
    </row>
    <row r="891" spans="1:14" ht="25.5" x14ac:dyDescent="0.2">
      <c r="A891" s="46" t="str">
        <f t="shared" si="127"/>
        <v>GENERAL SERVICE LESS THAN 50 KW SERVICE CLASSIFICATION</v>
      </c>
      <c r="C891" s="115"/>
      <c r="D891" s="156" t="s">
        <v>186</v>
      </c>
      <c r="E891" s="117"/>
      <c r="F891" s="126">
        <f>IF(AND('[1]1. Information Sheet'!$F$26:$H$26&gt;='[1]17. Regulatory Charges'!$D$14,'[1]1. Information Sheet'!$F$26:$H$26&lt;'[1]17. Regulatory Charges'!$E$14),'[1]17. Regulatory Charges'!$D$15+'[1]17. Regulatory Charges'!$D$16,'[1]17. Regulatory Charges'!$E$15+'[1]17. Regulatory Charges'!$E$16)</f>
        <v>3.4000000000000002E-3</v>
      </c>
      <c r="G891" s="139">
        <f>E864*E866</f>
        <v>20614</v>
      </c>
      <c r="H891" s="157">
        <f t="shared" ref="H891:H897" si="129">G891*F891</f>
        <v>70.087600000000009</v>
      </c>
      <c r="I891" s="127">
        <f>'[1]17. Regulatory Charges'!$E$15+'[1]17. Regulatory Charges'!$E$16</f>
        <v>3.4000000000000002E-3</v>
      </c>
      <c r="J891" s="140">
        <f>E864*E867</f>
        <v>20614</v>
      </c>
      <c r="K891" s="123">
        <f t="shared" ref="K891:K897" si="130">J891*I891</f>
        <v>70.087600000000009</v>
      </c>
      <c r="L891" s="124">
        <f t="shared" si="124"/>
        <v>0</v>
      </c>
      <c r="M891" s="125">
        <f t="shared" ref="M891:M899" si="131">IF(ISERROR(L891/H891), "", L891/H891)</f>
        <v>0</v>
      </c>
    </row>
    <row r="892" spans="1:14" ht="25.5" x14ac:dyDescent="0.2">
      <c r="A892" s="46" t="str">
        <f t="shared" si="127"/>
        <v>GENERAL SERVICE LESS THAN 50 KW SERVICE CLASSIFICATION</v>
      </c>
      <c r="C892" s="115"/>
      <c r="D892" s="156" t="s">
        <v>187</v>
      </c>
      <c r="E892" s="117"/>
      <c r="F892" s="126">
        <f>IF(AND('[1]1. Information Sheet'!$F$26:$H$26&gt;='[1]17. Regulatory Charges'!$D$14,'[1]1. Information Sheet'!$F$26:$H$26&lt;'[1]17. Regulatory Charges'!$D$14),'[1]17. Regulatory Charges'!$D$17,'[1]17. Regulatory Charges'!$E$17)</f>
        <v>5.0000000000000001E-4</v>
      </c>
      <c r="G892" s="139">
        <f>E864*E866</f>
        <v>20614</v>
      </c>
      <c r="H892" s="157">
        <f t="shared" si="129"/>
        <v>10.307</v>
      </c>
      <c r="I892" s="127">
        <f>'[1]17. Regulatory Charges'!$E$17</f>
        <v>5.0000000000000001E-4</v>
      </c>
      <c r="J892" s="140">
        <f>E864*E867</f>
        <v>20614</v>
      </c>
      <c r="K892" s="123">
        <f t="shared" si="130"/>
        <v>10.307</v>
      </c>
      <c r="L892" s="124">
        <f t="shared" si="124"/>
        <v>0</v>
      </c>
      <c r="M892" s="125">
        <f t="shared" si="131"/>
        <v>0</v>
      </c>
    </row>
    <row r="893" spans="1:14" x14ac:dyDescent="0.2">
      <c r="A893" s="46" t="str">
        <f t="shared" si="127"/>
        <v>GENERAL SERVICE LESS THAN 50 KW SERVICE CLASSIFICATION</v>
      </c>
      <c r="C893" s="115"/>
      <c r="D893" s="158" t="s">
        <v>188</v>
      </c>
      <c r="E893" s="117"/>
      <c r="F893" s="206"/>
      <c r="G893" s="207"/>
      <c r="H893" s="208"/>
      <c r="I893" s="209"/>
      <c r="J893" s="210"/>
      <c r="K893" s="211"/>
      <c r="L893" s="212"/>
      <c r="M893" s="213"/>
    </row>
    <row r="894" spans="1:14" ht="25.5" hidden="1" x14ac:dyDescent="0.2">
      <c r="A894" s="46" t="str">
        <f t="shared" si="127"/>
        <v>GENERAL SERVICE LESS THAN 50 KW SERVICE CLASSIFICATION</v>
      </c>
      <c r="C894" s="115"/>
      <c r="D894" s="156" t="s">
        <v>189</v>
      </c>
      <c r="E894" s="117"/>
      <c r="F894" s="126"/>
      <c r="G894" s="139"/>
      <c r="H894" s="157"/>
      <c r="I894" s="127"/>
      <c r="J894" s="140"/>
      <c r="K894" s="123"/>
      <c r="L894" s="124"/>
      <c r="M894" s="125"/>
    </row>
    <row r="895" spans="1:14" hidden="1" x14ac:dyDescent="0.2">
      <c r="A895" s="46" t="str">
        <f t="shared" si="127"/>
        <v>GENERAL SERVICE LESS THAN 50 KW SERVICE CLASSIFICATION</v>
      </c>
      <c r="B895" s="46" t="s">
        <v>139</v>
      </c>
      <c r="C895" s="115"/>
      <c r="D895" s="158" t="s">
        <v>190</v>
      </c>
      <c r="E895" s="117"/>
      <c r="F895" s="159">
        <f>OffPeak</f>
        <v>7.3999999999999996E-2</v>
      </c>
      <c r="G895" s="160">
        <f>IF(AND(E864*12&gt;=150000),0.64*E864*E866,0.64*E864)</f>
        <v>13192.96</v>
      </c>
      <c r="H895" s="157">
        <f t="shared" si="129"/>
        <v>976.2790399999999</v>
      </c>
      <c r="I895" s="161">
        <f>OffPeak</f>
        <v>7.3999999999999996E-2</v>
      </c>
      <c r="J895" s="162">
        <f>IF(AND(E864*12&gt;=150000),0.64*E864*E867,0.64*E864)</f>
        <v>13192.96</v>
      </c>
      <c r="K895" s="123">
        <f t="shared" si="130"/>
        <v>976.2790399999999</v>
      </c>
      <c r="L895" s="124">
        <f>K895-H895</f>
        <v>0</v>
      </c>
      <c r="M895" s="125">
        <f t="shared" si="131"/>
        <v>0</v>
      </c>
    </row>
    <row r="896" spans="1:14" hidden="1" x14ac:dyDescent="0.2">
      <c r="A896" s="46" t="str">
        <f t="shared" si="127"/>
        <v>GENERAL SERVICE LESS THAN 50 KW SERVICE CLASSIFICATION</v>
      </c>
      <c r="B896" s="46" t="s">
        <v>139</v>
      </c>
      <c r="C896" s="115"/>
      <c r="D896" s="158" t="s">
        <v>191</v>
      </c>
      <c r="E896" s="117"/>
      <c r="F896" s="159">
        <f>MidPeak</f>
        <v>0.10199999999999999</v>
      </c>
      <c r="G896" s="160">
        <f>IF(AND(E864*12&gt;=150000),0.18*E864*E866,0.18*E864)</f>
        <v>3710.52</v>
      </c>
      <c r="H896" s="157">
        <f t="shared" si="129"/>
        <v>378.47303999999997</v>
      </c>
      <c r="I896" s="161">
        <f>MidPeak</f>
        <v>0.10199999999999999</v>
      </c>
      <c r="J896" s="162">
        <f>IF(AND(E864*12&gt;=150000),0.18*E864*E867,0.18*E864)</f>
        <v>3710.52</v>
      </c>
      <c r="K896" s="123">
        <f t="shared" si="130"/>
        <v>378.47303999999997</v>
      </c>
      <c r="L896" s="124">
        <f>K896-H896</f>
        <v>0</v>
      </c>
      <c r="M896" s="125">
        <f t="shared" si="131"/>
        <v>0</v>
      </c>
    </row>
    <row r="897" spans="1:13" hidden="1" x14ac:dyDescent="0.2">
      <c r="A897" s="46" t="str">
        <f t="shared" si="127"/>
        <v>GENERAL SERVICE LESS THAN 50 KW SERVICE CLASSIFICATION</v>
      </c>
      <c r="B897" s="46" t="s">
        <v>139</v>
      </c>
      <c r="C897" s="115"/>
      <c r="D897" s="46" t="s">
        <v>192</v>
      </c>
      <c r="E897" s="117"/>
      <c r="F897" s="159">
        <f>OnPeak</f>
        <v>0.151</v>
      </c>
      <c r="G897" s="160">
        <f>IF(AND(E864*12&gt;=150000),0.18*E864*E866,0.18*E864)</f>
        <v>3710.52</v>
      </c>
      <c r="H897" s="157">
        <f t="shared" si="129"/>
        <v>560.28851999999995</v>
      </c>
      <c r="I897" s="161">
        <f>OnPeak</f>
        <v>0.151</v>
      </c>
      <c r="J897" s="162">
        <f>IF(AND(E864*12&gt;=150000),0.18*E864*E867,0.18*E864)</f>
        <v>3710.52</v>
      </c>
      <c r="K897" s="123">
        <f t="shared" si="130"/>
        <v>560.28851999999995</v>
      </c>
      <c r="L897" s="124">
        <f>K897-H897</f>
        <v>0</v>
      </c>
      <c r="M897" s="125">
        <f t="shared" si="131"/>
        <v>0</v>
      </c>
    </row>
    <row r="898" spans="1:13" ht="13.5" thickBot="1" x14ac:dyDescent="0.25">
      <c r="A898" s="46" t="str">
        <f t="shared" si="127"/>
        <v>GENERAL SERVICE LESS THAN 50 KW SERVICE CLASSIFICATION</v>
      </c>
      <c r="B898" s="46" t="s">
        <v>141</v>
      </c>
      <c r="C898" s="115"/>
      <c r="D898" s="158" t="s">
        <v>193</v>
      </c>
      <c r="E898" s="117"/>
      <c r="F898" s="163">
        <v>9.6699999999999994E-2</v>
      </c>
      <c r="G898" s="160">
        <f>IF(AND(E864*12&gt;=150000),E864*E866,E864)</f>
        <v>20614</v>
      </c>
      <c r="H898" s="157">
        <f>G898*F898</f>
        <v>1993.3737999999998</v>
      </c>
      <c r="I898" s="164">
        <f>F898</f>
        <v>9.6699999999999994E-2</v>
      </c>
      <c r="J898" s="162">
        <f>IF(AND(E864*12&gt;=150000),E864*E867,E864)</f>
        <v>20614</v>
      </c>
      <c r="K898" s="123">
        <f>J898*I898</f>
        <v>1993.3737999999998</v>
      </c>
      <c r="L898" s="124">
        <f>K898-H898</f>
        <v>0</v>
      </c>
      <c r="M898" s="125">
        <f t="shared" si="131"/>
        <v>0</v>
      </c>
    </row>
    <row r="899" spans="1:13" ht="13.5" hidden="1" thickBot="1" x14ac:dyDescent="0.25">
      <c r="A899" s="46" t="str">
        <f t="shared" si="127"/>
        <v>GENERAL SERVICE LESS THAN 50 KW SERVICE CLASSIFICATION</v>
      </c>
      <c r="B899" s="46" t="s">
        <v>140</v>
      </c>
      <c r="C899" s="115"/>
      <c r="D899" s="158" t="s">
        <v>194</v>
      </c>
      <c r="E899" s="117"/>
      <c r="F899" s="163">
        <v>9.6699999999999994E-2</v>
      </c>
      <c r="G899" s="160">
        <f>IF(AND(E864*12&gt;=150000),E864*E866,E864)</f>
        <v>20614</v>
      </c>
      <c r="H899" s="157">
        <f>G899*F899</f>
        <v>1993.3737999999998</v>
      </c>
      <c r="I899" s="164">
        <f>F899</f>
        <v>9.6699999999999994E-2</v>
      </c>
      <c r="J899" s="162">
        <f>IF(AND(E864*12&gt;=150000),E864*E867,E864)</f>
        <v>20614</v>
      </c>
      <c r="K899" s="123">
        <f>J899*I899</f>
        <v>1993.3737999999998</v>
      </c>
      <c r="L899" s="124">
        <f>K899-H899</f>
        <v>0</v>
      </c>
      <c r="M899" s="125">
        <f t="shared" si="131"/>
        <v>0</v>
      </c>
    </row>
    <row r="900" spans="1:13" ht="13.5" thickBot="1" x14ac:dyDescent="0.25">
      <c r="A900" s="46" t="str">
        <f t="shared" si="127"/>
        <v>GENERAL SERVICE LESS THAN 50 KW SERVICE CLASSIFICATION</v>
      </c>
      <c r="C900" s="115"/>
      <c r="D900" s="165"/>
      <c r="E900" s="166"/>
      <c r="F900" s="167"/>
      <c r="G900" s="168"/>
      <c r="H900" s="169"/>
      <c r="I900" s="167"/>
      <c r="J900" s="170"/>
      <c r="K900" s="169"/>
      <c r="L900" s="171"/>
      <c r="M900" s="172"/>
    </row>
    <row r="901" spans="1:13" hidden="1" x14ac:dyDescent="0.2">
      <c r="A901" s="46" t="str">
        <f t="shared" si="127"/>
        <v>GENERAL SERVICE LESS THAN 50 KW SERVICE CLASSIFICATION</v>
      </c>
      <c r="B901" s="46" t="s">
        <v>139</v>
      </c>
      <c r="C901" s="115"/>
      <c r="D901" s="173" t="s">
        <v>195</v>
      </c>
      <c r="E901" s="158"/>
      <c r="F901" s="174"/>
      <c r="G901" s="175"/>
      <c r="H901" s="176">
        <f>SUM(H891:H897,H890)</f>
        <v>2675.2187999999996</v>
      </c>
      <c r="I901" s="177"/>
      <c r="J901" s="177"/>
      <c r="K901" s="176">
        <f>SUM(K891:K897,K890)</f>
        <v>2417.8401999999996</v>
      </c>
      <c r="L901" s="178">
        <f>K901-H901</f>
        <v>-257.37860000000001</v>
      </c>
      <c r="M901" s="179">
        <f>IF((H901)=0,"",(L901/H901))</f>
        <v>-9.6208429755353111E-2</v>
      </c>
    </row>
    <row r="902" spans="1:13" hidden="1" x14ac:dyDescent="0.2">
      <c r="A902" s="46" t="str">
        <f t="shared" si="127"/>
        <v>GENERAL SERVICE LESS THAN 50 KW SERVICE CLASSIFICATION</v>
      </c>
      <c r="B902" s="46" t="s">
        <v>139</v>
      </c>
      <c r="C902" s="115"/>
      <c r="D902" s="180" t="s">
        <v>196</v>
      </c>
      <c r="E902" s="158"/>
      <c r="F902" s="174">
        <v>0.13</v>
      </c>
      <c r="G902" s="181"/>
      <c r="H902" s="182">
        <f>H901*F902</f>
        <v>347.77844399999998</v>
      </c>
      <c r="I902" s="183">
        <v>0.13</v>
      </c>
      <c r="J902" s="119"/>
      <c r="K902" s="182">
        <f>K901*I902</f>
        <v>314.31922599999996</v>
      </c>
      <c r="L902" s="124">
        <f>K902-H902</f>
        <v>-33.459218000000021</v>
      </c>
      <c r="M902" s="184">
        <f>IF((H902)=0,"",(L902/H902))</f>
        <v>-9.6208429755353167E-2</v>
      </c>
    </row>
    <row r="903" spans="1:13" ht="15" hidden="1" x14ac:dyDescent="0.25">
      <c r="A903" s="46" t="str">
        <f t="shared" si="127"/>
        <v>GENERAL SERVICE LESS THAN 50 KW SERVICE CLASSIFICATION</v>
      </c>
      <c r="B903" s="46" t="s">
        <v>139</v>
      </c>
      <c r="C903" s="115"/>
      <c r="D903" s="180" t="s">
        <v>197</v>
      </c>
      <c r="E903"/>
      <c r="F903" s="185">
        <v>0.11700000000000001</v>
      </c>
      <c r="G903" s="181"/>
      <c r="H903" s="182">
        <f>IF(OR(ISNUMBER(SEARCH("[DGEN]", E862))=TRUE, ISNUMBER(SEARCH("STREET LIGHT", E862))=TRUE), 0, IF(AND(E864=0, E865=0),0, IF(AND(E865=0, E864*12&gt;250000), 0, IF(AND(E864=0, E865&gt;=50), 0, IF(E864*12&lt;=250000, F903*H901*-1, IF(E865&lt;50, F903*H901*-1, 0))))))</f>
        <v>-313.00059959999999</v>
      </c>
      <c r="I903" s="185">
        <v>0.11700000000000001</v>
      </c>
      <c r="J903" s="119"/>
      <c r="K903" s="182">
        <f>IF(OR(ISNUMBER(SEARCH("[DGEN]", E862))=TRUE, ISNUMBER(SEARCH("STREET LIGHT", E862))=TRUE), 0, IF(AND(E864=0, E865=0),0, IF(AND(E865=0, E864*12&gt;250000), 0, IF(AND(E864=0, E865&gt;=50), 0, IF(E864*12&lt;=250000, I903*K901*-1, IF(E865&lt;50, I903*K901*-1, 0))))))</f>
        <v>-282.88730339999995</v>
      </c>
      <c r="L903" s="124">
        <f>K903-H903</f>
        <v>30.113296200000036</v>
      </c>
      <c r="M903" s="184"/>
    </row>
    <row r="904" spans="1:13" hidden="1" x14ac:dyDescent="0.2">
      <c r="A904" s="46" t="str">
        <f t="shared" si="127"/>
        <v>GENERAL SERVICE LESS THAN 50 KW SERVICE CLASSIFICATION</v>
      </c>
      <c r="B904" s="46" t="s">
        <v>198</v>
      </c>
      <c r="C904" s="115"/>
      <c r="D904" s="186" t="s">
        <v>199</v>
      </c>
      <c r="E904" s="186"/>
      <c r="F904" s="187"/>
      <c r="G904" s="188"/>
      <c r="H904" s="189">
        <f>H901+H902+H903</f>
        <v>2709.9966443999997</v>
      </c>
      <c r="I904" s="190"/>
      <c r="J904" s="190"/>
      <c r="K904" s="191">
        <f>K901+K902+K903</f>
        <v>2449.2721225999999</v>
      </c>
      <c r="L904" s="192">
        <f>K904-H904</f>
        <v>-260.72452179999982</v>
      </c>
      <c r="M904" s="193">
        <f>IF((H904)=0,"",(L904/H904))</f>
        <v>-9.6208429755353042E-2</v>
      </c>
    </row>
    <row r="905" spans="1:13" ht="13.5" hidden="1" thickBot="1" x14ac:dyDescent="0.25">
      <c r="A905" s="46" t="str">
        <f t="shared" si="127"/>
        <v>GENERAL SERVICE LESS THAN 50 KW SERVICE CLASSIFICATION</v>
      </c>
      <c r="B905" s="46" t="s">
        <v>139</v>
      </c>
      <c r="C905" s="115"/>
      <c r="D905" s="165"/>
      <c r="E905" s="166"/>
      <c r="F905" s="167"/>
      <c r="G905" s="168"/>
      <c r="H905" s="169"/>
      <c r="I905" s="167"/>
      <c r="J905" s="170"/>
      <c r="K905" s="169"/>
      <c r="L905" s="171"/>
      <c r="M905" s="172"/>
    </row>
    <row r="906" spans="1:13" x14ac:dyDescent="0.2">
      <c r="A906" s="46" t="str">
        <f t="shared" si="127"/>
        <v>GENERAL SERVICE LESS THAN 50 KW SERVICE CLASSIFICATION</v>
      </c>
      <c r="B906" s="46" t="s">
        <v>141</v>
      </c>
      <c r="C906" s="115"/>
      <c r="D906" s="173" t="s">
        <v>200</v>
      </c>
      <c r="E906" s="158"/>
      <c r="F906" s="174"/>
      <c r="G906" s="175"/>
      <c r="H906" s="176">
        <f>SUM(H898,H891:H894,H890)</f>
        <v>2753.5519999999997</v>
      </c>
      <c r="I906" s="177"/>
      <c r="J906" s="177"/>
      <c r="K906" s="176">
        <f>SUM(K898,K891:K894,K890)</f>
        <v>2496.1733999999997</v>
      </c>
      <c r="L906" s="178">
        <f>K906-H906</f>
        <v>-257.37860000000001</v>
      </c>
      <c r="M906" s="179">
        <f>IF((H906)=0,"",(L906/H906))</f>
        <v>-9.3471487010232612E-2</v>
      </c>
    </row>
    <row r="907" spans="1:13" x14ac:dyDescent="0.2">
      <c r="A907" s="46" t="str">
        <f t="shared" si="127"/>
        <v>GENERAL SERVICE LESS THAN 50 KW SERVICE CLASSIFICATION</v>
      </c>
      <c r="B907" s="46" t="s">
        <v>141</v>
      </c>
      <c r="C907" s="115"/>
      <c r="D907" s="180" t="s">
        <v>196</v>
      </c>
      <c r="E907" s="158"/>
      <c r="F907" s="174">
        <v>0.13</v>
      </c>
      <c r="G907" s="175"/>
      <c r="H907" s="182">
        <f>H906*F907</f>
        <v>357.96175999999997</v>
      </c>
      <c r="I907" s="174">
        <v>0.13</v>
      </c>
      <c r="J907" s="183"/>
      <c r="K907" s="182">
        <f>K906*I907</f>
        <v>324.50254199999995</v>
      </c>
      <c r="L907" s="124">
        <f>K907-H907</f>
        <v>-33.459218000000021</v>
      </c>
      <c r="M907" s="184">
        <f>IF((H907)=0,"",(L907/H907))</f>
        <v>-9.3471487010232668E-2</v>
      </c>
    </row>
    <row r="908" spans="1:13" ht="15" x14ac:dyDescent="0.25">
      <c r="A908" s="46" t="str">
        <f t="shared" si="127"/>
        <v>GENERAL SERVICE LESS THAN 50 KW SERVICE CLASSIFICATION</v>
      </c>
      <c r="B908" s="46" t="s">
        <v>141</v>
      </c>
      <c r="C908" s="115"/>
      <c r="D908" s="180" t="s">
        <v>197</v>
      </c>
      <c r="E908"/>
      <c r="F908" s="185">
        <v>0.11700000000000001</v>
      </c>
      <c r="G908" s="175"/>
      <c r="H908" s="182">
        <f>IF(OR(ISNUMBER(SEARCH("[DGEN]", E862))=TRUE, ISNUMBER(SEARCH("STREET LIGHT", E862))=TRUE), 0, IF(AND(E864=0, E865=0),0, IF(AND(E865=0, E864*12&gt;250000), 0, IF(AND(E864=0, E865&gt;=50), 0, IF(E864*12&lt;=250000, F908*H906*-1, IF(E865&lt;50, F908*H906*-1, 0))))))</f>
        <v>-322.16558399999997</v>
      </c>
      <c r="I908" s="185">
        <v>0.11700000000000001</v>
      </c>
      <c r="J908" s="183"/>
      <c r="K908" s="182">
        <f>IF(OR(ISNUMBER(SEARCH("[DGEN]", E862))=TRUE, ISNUMBER(SEARCH("STREET LIGHT", E862))=TRUE), 0, IF(AND(E864=0, E865=0),0, IF(AND(E865=0, E864*12&gt;250000), 0, IF(AND(E864=0, E865&gt;=50), 0, IF(E864*12&lt;=250000, I908*K906*-1, IF(E865&lt;50, I908*K906*-1, 0))))))</f>
        <v>-292.05228779999999</v>
      </c>
      <c r="L908" s="124"/>
      <c r="M908" s="184"/>
    </row>
    <row r="909" spans="1:13" ht="13.5" thickBot="1" x14ac:dyDescent="0.25">
      <c r="A909" s="46" t="str">
        <f t="shared" si="127"/>
        <v>GENERAL SERVICE LESS THAN 50 KW SERVICE CLASSIFICATION</v>
      </c>
      <c r="B909" s="46" t="s">
        <v>201</v>
      </c>
      <c r="C909" s="115">
        <f>B44</f>
        <v>15</v>
      </c>
      <c r="D909" s="186" t="s">
        <v>200</v>
      </c>
      <c r="E909" s="186"/>
      <c r="F909" s="194"/>
      <c r="G909" s="195"/>
      <c r="H909" s="189">
        <f>SUM(H906,H907)</f>
        <v>3111.5137599999998</v>
      </c>
      <c r="I909" s="196"/>
      <c r="J909" s="196"/>
      <c r="K909" s="189">
        <f>SUM(K906,K907)</f>
        <v>2820.6759419999998</v>
      </c>
      <c r="L909" s="197">
        <f>K909-H909</f>
        <v>-290.83781799999997</v>
      </c>
      <c r="M909" s="198">
        <f>IF((H909)=0,"",(L909/H909))</f>
        <v>-9.3471487010232598E-2</v>
      </c>
    </row>
    <row r="910" spans="1:13" ht="13.5" thickBot="1" x14ac:dyDescent="0.25">
      <c r="A910" s="46" t="str">
        <f t="shared" si="127"/>
        <v>GENERAL SERVICE LESS THAN 50 KW SERVICE CLASSIFICATION</v>
      </c>
      <c r="B910" s="46" t="s">
        <v>141</v>
      </c>
      <c r="C910" s="115"/>
      <c r="D910" s="165"/>
      <c r="E910" s="166"/>
      <c r="F910" s="199"/>
      <c r="G910" s="200"/>
      <c r="H910" s="201"/>
      <c r="I910" s="199"/>
      <c r="J910" s="168"/>
      <c r="K910" s="201"/>
      <c r="L910" s="202"/>
      <c r="M910" s="172"/>
    </row>
    <row r="911" spans="1:13" hidden="1" x14ac:dyDescent="0.2">
      <c r="A911" s="46" t="str">
        <f t="shared" si="127"/>
        <v>GENERAL SERVICE LESS THAN 50 KW SERVICE CLASSIFICATION</v>
      </c>
      <c r="B911" s="46" t="s">
        <v>140</v>
      </c>
      <c r="C911" s="115"/>
      <c r="D911" s="173" t="s">
        <v>202</v>
      </c>
      <c r="E911" s="158"/>
      <c r="F911" s="174"/>
      <c r="G911" s="175"/>
      <c r="H911" s="176">
        <f>SUM(H899,H891:H894,H890)</f>
        <v>2753.5519999999997</v>
      </c>
      <c r="I911" s="177"/>
      <c r="J911" s="177"/>
      <c r="K911" s="176">
        <f>SUM(K899,K891:K894,K890)</f>
        <v>2496.1733999999997</v>
      </c>
      <c r="L911" s="178">
        <f>K911-H911</f>
        <v>-257.37860000000001</v>
      </c>
      <c r="M911" s="179">
        <f>IF((H911)=0,"",(L911/H911))</f>
        <v>-9.3471487010232612E-2</v>
      </c>
    </row>
    <row r="912" spans="1:13" hidden="1" x14ac:dyDescent="0.2">
      <c r="A912" s="46" t="str">
        <f t="shared" si="127"/>
        <v>GENERAL SERVICE LESS THAN 50 KW SERVICE CLASSIFICATION</v>
      </c>
      <c r="B912" s="46" t="s">
        <v>140</v>
      </c>
      <c r="C912" s="115"/>
      <c r="D912" s="180" t="s">
        <v>196</v>
      </c>
      <c r="E912" s="158"/>
      <c r="F912" s="174">
        <v>0.13</v>
      </c>
      <c r="G912" s="175"/>
      <c r="H912" s="182">
        <f>H911*F912</f>
        <v>357.96175999999997</v>
      </c>
      <c r="I912" s="174">
        <v>0.13</v>
      </c>
      <c r="J912" s="183"/>
      <c r="K912" s="182">
        <f>K911*I912</f>
        <v>324.50254199999995</v>
      </c>
      <c r="L912" s="124">
        <f>K912-H912</f>
        <v>-33.459218000000021</v>
      </c>
      <c r="M912" s="184">
        <f>IF((H912)=0,"",(L912/H912))</f>
        <v>-9.3471487010232668E-2</v>
      </c>
    </row>
    <row r="913" spans="1:14" ht="15" hidden="1" x14ac:dyDescent="0.25">
      <c r="A913" s="46" t="str">
        <f t="shared" si="127"/>
        <v>GENERAL SERVICE LESS THAN 50 KW SERVICE CLASSIFICATION</v>
      </c>
      <c r="B913" s="46" t="s">
        <v>140</v>
      </c>
      <c r="C913" s="115"/>
      <c r="D913" s="180" t="s">
        <v>197</v>
      </c>
      <c r="E913"/>
      <c r="F913" s="185">
        <v>0.11700000000000001</v>
      </c>
      <c r="G913" s="175"/>
      <c r="H913" s="182">
        <f>IF(OR(ISNUMBER(SEARCH("[DGEN]", E862))=TRUE, ISNUMBER(SEARCH("STREET LIGHT", E862))=TRUE), 0, IF(AND(E864=0, E865=0),0, IF(AND(E865=0, E864*12&gt;250000), 0, IF(AND(E864=0, E865&gt;=50), 0, IF(E864*12&lt;=250000, F913*H911*-1, IF(E865&lt;50, F913*H911*-1, 0))))))</f>
        <v>-322.16558399999997</v>
      </c>
      <c r="I913" s="185">
        <v>0.11700000000000001</v>
      </c>
      <c r="J913" s="183"/>
      <c r="K913" s="182">
        <f>IF(OR(ISNUMBER(SEARCH("[DGEN]", E862))=TRUE, ISNUMBER(SEARCH("STREET LIGHT", E862))=TRUE), 0, IF(AND(E864=0, E865=0),0, IF(AND(E865=0, E864*12&gt;250000), 0, IF(AND(E864=0, E865&gt;=50), 0, IF(E864*12&lt;=250000, I913*K911*-1, IF(E865&lt;50, I913*K911*-1, 0))))))</f>
        <v>-292.05228779999999</v>
      </c>
      <c r="L913" s="124"/>
      <c r="M913" s="184"/>
    </row>
    <row r="914" spans="1:14" hidden="1" x14ac:dyDescent="0.2">
      <c r="A914" s="46" t="str">
        <f t="shared" si="127"/>
        <v>GENERAL SERVICE LESS THAN 50 KW SERVICE CLASSIFICATION</v>
      </c>
      <c r="B914" s="46" t="s">
        <v>203</v>
      </c>
      <c r="C914" s="115"/>
      <c r="D914" s="186" t="s">
        <v>202</v>
      </c>
      <c r="E914" s="186"/>
      <c r="F914" s="194"/>
      <c r="G914" s="195"/>
      <c r="H914" s="189">
        <f>SUM(H911,H912)</f>
        <v>3111.5137599999998</v>
      </c>
      <c r="I914" s="196"/>
      <c r="J914" s="196"/>
      <c r="K914" s="189">
        <f>SUM(K911,K912)</f>
        <v>2820.6759419999998</v>
      </c>
      <c r="L914" s="197">
        <f>K914-H914</f>
        <v>-290.83781799999997</v>
      </c>
      <c r="M914" s="198">
        <f>IF((H914)=0,"",(L914/H914))</f>
        <v>-9.3471487010232598E-2</v>
      </c>
    </row>
    <row r="915" spans="1:14" ht="13.5" hidden="1" thickBot="1" x14ac:dyDescent="0.25">
      <c r="A915" s="46" t="str">
        <f t="shared" si="127"/>
        <v>GENERAL SERVICE LESS THAN 50 KW SERVICE CLASSIFICATION</v>
      </c>
      <c r="B915" s="46" t="s">
        <v>140</v>
      </c>
      <c r="C915" s="115"/>
      <c r="D915" s="165"/>
      <c r="E915" s="166"/>
      <c r="F915" s="203"/>
      <c r="G915" s="200"/>
      <c r="H915" s="204"/>
      <c r="I915" s="203"/>
      <c r="J915" s="168"/>
      <c r="K915" s="204"/>
      <c r="L915" s="202"/>
      <c r="M915" s="205"/>
    </row>
    <row r="918" spans="1:14" x14ac:dyDescent="0.2">
      <c r="C918" s="46"/>
      <c r="D918" s="90" t="s">
        <v>150</v>
      </c>
      <c r="E918" s="91" t="str">
        <f>D45</f>
        <v>EMBEDDED DISTRIBUTOR SERVICE CLASSIFICATION - WATERLOO</v>
      </c>
      <c r="F918" s="91"/>
      <c r="G918" s="91"/>
      <c r="H918" s="91"/>
      <c r="I918" s="91"/>
      <c r="J918" s="91"/>
      <c r="K918" s="46" t="str">
        <f>IF(N45="DEMAND - INTERVAL","RTSR - INTERVAL METERED","")</f>
        <v/>
      </c>
    </row>
    <row r="919" spans="1:14" x14ac:dyDescent="0.2">
      <c r="C919" s="46"/>
      <c r="D919" s="90" t="s">
        <v>151</v>
      </c>
      <c r="E919" s="92" t="str">
        <f>H45</f>
        <v>Non-RPP (Other)</v>
      </c>
      <c r="F919" s="92"/>
      <c r="G919" s="92"/>
      <c r="H919" s="93"/>
      <c r="I919" s="93"/>
    </row>
    <row r="920" spans="1:14" ht="15.75" x14ac:dyDescent="0.2">
      <c r="C920" s="46"/>
      <c r="D920" s="90" t="s">
        <v>152</v>
      </c>
      <c r="E920" s="94">
        <f>K45</f>
        <v>5253646</v>
      </c>
      <c r="F920" s="95" t="s">
        <v>153</v>
      </c>
      <c r="J920" s="96"/>
      <c r="K920" s="96"/>
      <c r="L920" s="96"/>
      <c r="M920" s="96"/>
      <c r="N920" s="96"/>
    </row>
    <row r="921" spans="1:14" ht="15.75" x14ac:dyDescent="0.25">
      <c r="C921" s="46"/>
      <c r="D921" s="90" t="s">
        <v>154</v>
      </c>
      <c r="E921" s="94">
        <f>L45</f>
        <v>8280</v>
      </c>
      <c r="F921" s="97" t="s">
        <v>155</v>
      </c>
      <c r="G921" s="98"/>
      <c r="H921" s="99"/>
      <c r="I921" s="99"/>
      <c r="J921" s="99"/>
    </row>
    <row r="922" spans="1:14" x14ac:dyDescent="0.2">
      <c r="C922" s="46"/>
      <c r="D922" s="90" t="s">
        <v>156</v>
      </c>
      <c r="E922" s="100">
        <f>I45</f>
        <v>1.0306999999999999</v>
      </c>
    </row>
    <row r="923" spans="1:14" x14ac:dyDescent="0.2">
      <c r="C923" s="46"/>
      <c r="D923" s="90" t="s">
        <v>157</v>
      </c>
      <c r="E923" s="100">
        <f>J45</f>
        <v>1.0306999999999999</v>
      </c>
    </row>
    <row r="924" spans="1:14" x14ac:dyDescent="0.2">
      <c r="C924" s="46"/>
    </row>
    <row r="925" spans="1:14" x14ac:dyDescent="0.2">
      <c r="C925" s="46"/>
      <c r="E925" s="95"/>
      <c r="F925" s="101" t="s">
        <v>204</v>
      </c>
      <c r="G925" s="102"/>
      <c r="H925" s="103"/>
      <c r="I925" s="101" t="s">
        <v>205</v>
      </c>
      <c r="J925" s="102"/>
      <c r="K925" s="103"/>
      <c r="L925" s="101" t="s">
        <v>158</v>
      </c>
      <c r="M925" s="103"/>
    </row>
    <row r="926" spans="1:14" x14ac:dyDescent="0.2">
      <c r="C926" s="46"/>
      <c r="E926" s="104"/>
      <c r="F926" s="105" t="s">
        <v>159</v>
      </c>
      <c r="G926" s="105" t="s">
        <v>160</v>
      </c>
      <c r="H926" s="106" t="s">
        <v>161</v>
      </c>
      <c r="I926" s="105" t="s">
        <v>159</v>
      </c>
      <c r="J926" s="107" t="s">
        <v>160</v>
      </c>
      <c r="K926" s="106" t="s">
        <v>161</v>
      </c>
      <c r="L926" s="108" t="s">
        <v>162</v>
      </c>
      <c r="M926" s="109" t="s">
        <v>163</v>
      </c>
    </row>
    <row r="927" spans="1:14" x14ac:dyDescent="0.2">
      <c r="C927" s="46"/>
      <c r="E927" s="110"/>
      <c r="F927" s="111" t="s">
        <v>164</v>
      </c>
      <c r="G927" s="111"/>
      <c r="H927" s="112" t="s">
        <v>164</v>
      </c>
      <c r="I927" s="111" t="s">
        <v>164</v>
      </c>
      <c r="J927" s="112"/>
      <c r="K927" s="112" t="s">
        <v>164</v>
      </c>
      <c r="L927" s="113"/>
      <c r="M927" s="114"/>
    </row>
    <row r="928" spans="1:14" x14ac:dyDescent="0.2">
      <c r="A928" s="46" t="str">
        <f>$E918</f>
        <v>EMBEDDED DISTRIBUTOR SERVICE CLASSIFICATION - WATERLOO</v>
      </c>
      <c r="C928" s="115"/>
      <c r="D928" s="116" t="s">
        <v>165</v>
      </c>
      <c r="E928" s="117"/>
      <c r="F928" s="118">
        <v>0</v>
      </c>
      <c r="G928" s="119">
        <v>1</v>
      </c>
      <c r="H928" s="120">
        <f>G928*F928</f>
        <v>0</v>
      </c>
      <c r="I928" s="121">
        <v>0</v>
      </c>
      <c r="J928" s="122">
        <f>G928</f>
        <v>1</v>
      </c>
      <c r="K928" s="123">
        <f>J928*I928</f>
        <v>0</v>
      </c>
      <c r="L928" s="124">
        <f t="shared" ref="L928:L949" si="132">K928-H928</f>
        <v>0</v>
      </c>
      <c r="M928" s="125" t="str">
        <f>IF(ISERROR(L928/H928), "", L928/H928)</f>
        <v/>
      </c>
    </row>
    <row r="929" spans="1:14" x14ac:dyDescent="0.2">
      <c r="A929" s="46" t="str">
        <f>A928</f>
        <v>EMBEDDED DISTRIBUTOR SERVICE CLASSIFICATION - WATERLOO</v>
      </c>
      <c r="C929" s="115"/>
      <c r="D929" s="116" t="s">
        <v>30</v>
      </c>
      <c r="E929" s="117"/>
      <c r="F929" s="126">
        <v>1.7562</v>
      </c>
      <c r="G929" s="119">
        <f>IF($E921&gt;0, $E921, $E920)</f>
        <v>8280</v>
      </c>
      <c r="H929" s="120">
        <f t="shared" ref="H929:H941" si="133">G929*F929</f>
        <v>14541.335999999999</v>
      </c>
      <c r="I929" s="127">
        <v>1.8185</v>
      </c>
      <c r="J929" s="122">
        <f>IF($E921&gt;0, $E921, $E920)</f>
        <v>8280</v>
      </c>
      <c r="K929" s="123">
        <f>J929*I929</f>
        <v>15057.18</v>
      </c>
      <c r="L929" s="124">
        <f t="shared" si="132"/>
        <v>515.84400000000096</v>
      </c>
      <c r="M929" s="125">
        <f t="shared" ref="M929:M939" si="134">IF(ISERROR(L929/H929), "", L929/H929)</f>
        <v>3.5474319553581664E-2</v>
      </c>
    </row>
    <row r="930" spans="1:14" hidden="1" x14ac:dyDescent="0.2">
      <c r="A930" s="46" t="str">
        <f t="shared" ref="A930:A971" si="135">A929</f>
        <v>EMBEDDED DISTRIBUTOR SERVICE CLASSIFICATION - WATERLOO</v>
      </c>
      <c r="C930" s="115"/>
      <c r="D930" s="116" t="s">
        <v>166</v>
      </c>
      <c r="E930" s="117"/>
      <c r="F930" s="126"/>
      <c r="G930" s="119">
        <f>IF($E921&gt;0, $E921, $E920)</f>
        <v>8280</v>
      </c>
      <c r="H930" s="120">
        <v>0</v>
      </c>
      <c r="I930" s="127"/>
      <c r="J930" s="122">
        <f>IF($E921&gt;0, $E921, $E920)</f>
        <v>8280</v>
      </c>
      <c r="K930" s="123">
        <v>0</v>
      </c>
      <c r="L930" s="124"/>
      <c r="M930" s="125"/>
    </row>
    <row r="931" spans="1:14" hidden="1" x14ac:dyDescent="0.2">
      <c r="A931" s="46" t="str">
        <f t="shared" si="135"/>
        <v>EMBEDDED DISTRIBUTOR SERVICE CLASSIFICATION - WATERLOO</v>
      </c>
      <c r="C931" s="115"/>
      <c r="D931" s="116" t="s">
        <v>167</v>
      </c>
      <c r="E931" s="117"/>
      <c r="F931" s="126"/>
      <c r="G931" s="119">
        <f>IF($E921&gt;0, $E921, $E920)</f>
        <v>8280</v>
      </c>
      <c r="H931" s="120">
        <v>0</v>
      </c>
      <c r="I931" s="127"/>
      <c r="J931" s="128">
        <f>IF($E921&gt;0, $E921, $E920)</f>
        <v>8280</v>
      </c>
      <c r="K931" s="123">
        <v>0</v>
      </c>
      <c r="L931" s="124">
        <f>K931-H931</f>
        <v>0</v>
      </c>
      <c r="M931" s="125" t="str">
        <f>IF(ISERROR(L931/H931), "", L931/H931)</f>
        <v/>
      </c>
    </row>
    <row r="932" spans="1:14" x14ac:dyDescent="0.2">
      <c r="A932" s="46" t="str">
        <f t="shared" si="135"/>
        <v>EMBEDDED DISTRIBUTOR SERVICE CLASSIFICATION - WATERLOO</v>
      </c>
      <c r="C932" s="115"/>
      <c r="D932" s="116" t="s">
        <v>168</v>
      </c>
      <c r="E932" s="117"/>
      <c r="F932" s="118">
        <v>113.95</v>
      </c>
      <c r="G932" s="119">
        <v>1</v>
      </c>
      <c r="H932" s="120">
        <f t="shared" si="133"/>
        <v>113.95</v>
      </c>
      <c r="I932" s="121">
        <v>113.95</v>
      </c>
      <c r="J932" s="122">
        <f>G932</f>
        <v>1</v>
      </c>
      <c r="K932" s="123">
        <f t="shared" ref="K932:K939" si="136">J932*I932</f>
        <v>113.95</v>
      </c>
      <c r="L932" s="124">
        <f t="shared" si="132"/>
        <v>0</v>
      </c>
      <c r="M932" s="125">
        <f t="shared" si="134"/>
        <v>0</v>
      </c>
    </row>
    <row r="933" spans="1:14" x14ac:dyDescent="0.2">
      <c r="A933" s="46" t="str">
        <f t="shared" si="135"/>
        <v>EMBEDDED DISTRIBUTOR SERVICE CLASSIFICATION - WATERLOO</v>
      </c>
      <c r="C933" s="115"/>
      <c r="D933" s="116" t="s">
        <v>169</v>
      </c>
      <c r="E933" s="117"/>
      <c r="F933" s="126">
        <v>0</v>
      </c>
      <c r="G933" s="119">
        <f>IF($E921&gt;0, $E921, $E920)</f>
        <v>8280</v>
      </c>
      <c r="H933" s="120">
        <f t="shared" si="133"/>
        <v>0</v>
      </c>
      <c r="I933" s="127">
        <v>0</v>
      </c>
      <c r="J933" s="122">
        <f>IF($E921&gt;0, $E921, $E920)</f>
        <v>8280</v>
      </c>
      <c r="K933" s="123">
        <f t="shared" si="136"/>
        <v>0</v>
      </c>
      <c r="L933" s="124">
        <f t="shared" si="132"/>
        <v>0</v>
      </c>
      <c r="M933" s="125" t="str">
        <f t="shared" si="134"/>
        <v/>
      </c>
    </row>
    <row r="934" spans="1:14" x14ac:dyDescent="0.2">
      <c r="A934" s="46" t="str">
        <f t="shared" si="135"/>
        <v>EMBEDDED DISTRIBUTOR SERVICE CLASSIFICATION - WATERLOO</v>
      </c>
      <c r="B934" s="46" t="s">
        <v>170</v>
      </c>
      <c r="C934" s="115">
        <f>B45</f>
        <v>16</v>
      </c>
      <c r="D934" s="129" t="s">
        <v>171</v>
      </c>
      <c r="E934" s="130"/>
      <c r="F934" s="131"/>
      <c r="G934" s="132"/>
      <c r="H934" s="133">
        <f>SUM(H928:H933)</f>
        <v>14655.286</v>
      </c>
      <c r="I934" s="134"/>
      <c r="J934" s="135"/>
      <c r="K934" s="133">
        <f>SUM(K928:K933)</f>
        <v>15171.130000000001</v>
      </c>
      <c r="L934" s="136">
        <f t="shared" si="132"/>
        <v>515.84400000000096</v>
      </c>
      <c r="M934" s="137">
        <f>IF((H934)=0,"",(L934/H934))</f>
        <v>3.5198494249788159E-2</v>
      </c>
    </row>
    <row r="935" spans="1:14" x14ac:dyDescent="0.2">
      <c r="A935" s="46" t="str">
        <f t="shared" si="135"/>
        <v>EMBEDDED DISTRIBUTOR SERVICE CLASSIFICATION - WATERLOO</v>
      </c>
      <c r="C935" s="115"/>
      <c r="D935" s="138" t="s">
        <v>172</v>
      </c>
      <c r="E935" s="117"/>
      <c r="F935" s="126">
        <f>IF((E920*12&gt;=150000), 0, IF(E919="RPP",(F951*0.64+F952*0.18+F953*0.18),IF(E919="Non-RPP (Retailer)",F954,F955)))</f>
        <v>0</v>
      </c>
      <c r="G935" s="139">
        <f>IF(F935=0, 0, $E920*E922-E920)</f>
        <v>0</v>
      </c>
      <c r="H935" s="120">
        <f>G935*F935</f>
        <v>0</v>
      </c>
      <c r="I935" s="127">
        <f>IF((E920*12&gt;=150000), 0, IF(E919="RPP",(I951*0.64+I952*0.18+I953*0.18),IF(E919="Non-RPP (Retailer)",I954,I955)))</f>
        <v>0</v>
      </c>
      <c r="J935" s="140">
        <f>IF(I935=0, 0, E920*E923-E920)</f>
        <v>0</v>
      </c>
      <c r="K935" s="123">
        <f>J935*I935</f>
        <v>0</v>
      </c>
      <c r="L935" s="124">
        <f>K935-H935</f>
        <v>0</v>
      </c>
      <c r="M935" s="125" t="str">
        <f>IF(ISERROR(L935/H935), "", L935/H935)</f>
        <v/>
      </c>
    </row>
    <row r="936" spans="1:14" ht="25.5" x14ac:dyDescent="0.2">
      <c r="A936" s="46" t="str">
        <f t="shared" si="135"/>
        <v>EMBEDDED DISTRIBUTOR SERVICE CLASSIFICATION - WATERLOO</v>
      </c>
      <c r="C936" s="115"/>
      <c r="D936" s="138" t="s">
        <v>173</v>
      </c>
      <c r="E936" s="117"/>
      <c r="F936" s="126">
        <v>0.55779999999999996</v>
      </c>
      <c r="G936" s="141">
        <f>IF($E921&gt;0, $E921, $E920)</f>
        <v>8280</v>
      </c>
      <c r="H936" s="120">
        <f t="shared" si="133"/>
        <v>4618.5839999999998</v>
      </c>
      <c r="I936" s="127">
        <f>'Proposed Tariff'!D339+'Proposed Tariff'!D338</f>
        <v>0.70069999999999999</v>
      </c>
      <c r="J936" s="142">
        <f>IF($E921&gt;0, $E921, $E920)</f>
        <v>8280</v>
      </c>
      <c r="K936" s="123">
        <f t="shared" si="136"/>
        <v>5801.7960000000003</v>
      </c>
      <c r="L936" s="124">
        <f t="shared" si="132"/>
        <v>1183.2120000000004</v>
      </c>
      <c r="M936" s="125">
        <f t="shared" si="134"/>
        <v>0.25618501254930093</v>
      </c>
    </row>
    <row r="937" spans="1:14" x14ac:dyDescent="0.2">
      <c r="A937" s="46" t="str">
        <f t="shared" si="135"/>
        <v>EMBEDDED DISTRIBUTOR SERVICE CLASSIFICATION - WATERLOO</v>
      </c>
      <c r="C937" s="115"/>
      <c r="D937" s="138" t="s">
        <v>174</v>
      </c>
      <c r="E937" s="117"/>
      <c r="F937" s="126">
        <v>0</v>
      </c>
      <c r="G937" s="141">
        <f>IF($E921&gt;0, $E921, $E920)</f>
        <v>8280</v>
      </c>
      <c r="H937" s="120">
        <f>G937*F937</f>
        <v>0</v>
      </c>
      <c r="I937" s="127">
        <v>0</v>
      </c>
      <c r="J937" s="142">
        <f>IF($E921&gt;0, $E921, $E920)</f>
        <v>8280</v>
      </c>
      <c r="K937" s="123">
        <f>J937*I937</f>
        <v>0</v>
      </c>
      <c r="L937" s="124">
        <f t="shared" si="132"/>
        <v>0</v>
      </c>
      <c r="M937" s="125" t="str">
        <f t="shared" si="134"/>
        <v/>
      </c>
    </row>
    <row r="938" spans="1:14" x14ac:dyDescent="0.2">
      <c r="A938" s="46" t="str">
        <f t="shared" si="135"/>
        <v>EMBEDDED DISTRIBUTOR SERVICE CLASSIFICATION - WATERLOO</v>
      </c>
      <c r="C938" s="115"/>
      <c r="D938" s="138" t="s">
        <v>175</v>
      </c>
      <c r="E938" s="117"/>
      <c r="F938" s="126">
        <v>0</v>
      </c>
      <c r="G938" s="141">
        <f>E920</f>
        <v>5253646</v>
      </c>
      <c r="H938" s="120">
        <f>G938*F938</f>
        <v>0</v>
      </c>
      <c r="I938" s="127">
        <v>0</v>
      </c>
      <c r="J938" s="142">
        <f>E920</f>
        <v>5253646</v>
      </c>
      <c r="K938" s="123">
        <f t="shared" si="136"/>
        <v>0</v>
      </c>
      <c r="L938" s="124">
        <f t="shared" si="132"/>
        <v>0</v>
      </c>
      <c r="M938" s="125" t="str">
        <f t="shared" si="134"/>
        <v/>
      </c>
    </row>
    <row r="939" spans="1:14" x14ac:dyDescent="0.2">
      <c r="A939" s="46" t="str">
        <f t="shared" si="135"/>
        <v>EMBEDDED DISTRIBUTOR SERVICE CLASSIFICATION - WATERLOO</v>
      </c>
      <c r="C939" s="115"/>
      <c r="D939" s="116" t="s">
        <v>176</v>
      </c>
      <c r="E939" s="117"/>
      <c r="F939" s="126">
        <v>0.12479999999999999</v>
      </c>
      <c r="G939" s="141">
        <f>IF($E921&gt;0, $E921, $E920)</f>
        <v>8280</v>
      </c>
      <c r="H939" s="120">
        <f t="shared" si="133"/>
        <v>1033.3440000000001</v>
      </c>
      <c r="I939" s="127">
        <v>0.12479999999999999</v>
      </c>
      <c r="J939" s="142">
        <f>IF($E921&gt;0, $E921, $E920)</f>
        <v>8280</v>
      </c>
      <c r="K939" s="123">
        <f t="shared" si="136"/>
        <v>1033.3440000000001</v>
      </c>
      <c r="L939" s="124">
        <f t="shared" si="132"/>
        <v>0</v>
      </c>
      <c r="M939" s="125">
        <f t="shared" si="134"/>
        <v>0</v>
      </c>
    </row>
    <row r="940" spans="1:14" ht="25.5" x14ac:dyDescent="0.2">
      <c r="A940" s="46" t="str">
        <f t="shared" si="135"/>
        <v>EMBEDDED DISTRIBUTOR SERVICE CLASSIFICATION - WATERLOO</v>
      </c>
      <c r="C940" s="115"/>
      <c r="D940" s="138" t="s">
        <v>177</v>
      </c>
      <c r="E940" s="117"/>
      <c r="F940" s="143">
        <f>IF(OR(ISNUMBER(SEARCH("RESIDENTIAL", E918))=TRUE, ISNUMBER(SEARCH("GENERAL SERVICE LESS THAN 50", E918))=TRUE), 0.43, 0)</f>
        <v>0</v>
      </c>
      <c r="G940" s="119">
        <v>1</v>
      </c>
      <c r="H940" s="120">
        <f>G940*F940</f>
        <v>0</v>
      </c>
      <c r="I940" s="144">
        <f>IF(OR(ISNUMBER(SEARCH("RESIDENTIAL", E918))=TRUE, ISNUMBER(SEARCH("GENERAL SERVICE LESS THAN 50", E918))=TRUE), SME, 0)</f>
        <v>0</v>
      </c>
      <c r="J940" s="128">
        <v>1</v>
      </c>
      <c r="K940" s="123">
        <f>J940*I940</f>
        <v>0</v>
      </c>
      <c r="L940" s="124">
        <f t="shared" si="132"/>
        <v>0</v>
      </c>
      <c r="M940" s="125" t="str">
        <f>IF(ISERROR(L940/H940), "", L940/H940)</f>
        <v/>
      </c>
    </row>
    <row r="941" spans="1:14" x14ac:dyDescent="0.2">
      <c r="A941" s="46" t="str">
        <f t="shared" si="135"/>
        <v>EMBEDDED DISTRIBUTOR SERVICE CLASSIFICATION - WATERLOO</v>
      </c>
      <c r="C941" s="115"/>
      <c r="D941" s="116" t="s">
        <v>178</v>
      </c>
      <c r="E941" s="117"/>
      <c r="F941" s="118">
        <v>0</v>
      </c>
      <c r="G941" s="119">
        <v>1</v>
      </c>
      <c r="H941" s="120">
        <f t="shared" si="133"/>
        <v>0</v>
      </c>
      <c r="I941" s="121">
        <v>0</v>
      </c>
      <c r="J941" s="128">
        <v>1</v>
      </c>
      <c r="K941" s="123">
        <f>J941*I941</f>
        <v>0</v>
      </c>
      <c r="L941" s="124">
        <f>K941-H941</f>
        <v>0</v>
      </c>
      <c r="M941" s="125" t="str">
        <f>IF(ISERROR(L941/H941), "", L941/H941)</f>
        <v/>
      </c>
    </row>
    <row r="942" spans="1:14" x14ac:dyDescent="0.2">
      <c r="A942" s="46" t="str">
        <f t="shared" si="135"/>
        <v>EMBEDDED DISTRIBUTOR SERVICE CLASSIFICATION - WATERLOO</v>
      </c>
      <c r="C942" s="115"/>
      <c r="D942" s="116" t="s">
        <v>179</v>
      </c>
      <c r="E942" s="117"/>
      <c r="F942" s="126">
        <v>0</v>
      </c>
      <c r="G942" s="141">
        <f>IF($E921&gt;0, $E921, $E920)</f>
        <v>8280</v>
      </c>
      <c r="H942" s="120">
        <f>G942*F942</f>
        <v>0</v>
      </c>
      <c r="I942" s="127">
        <v>0</v>
      </c>
      <c r="J942" s="142">
        <f>IF($E921&gt;0, $E921, $E920)</f>
        <v>8280</v>
      </c>
      <c r="K942" s="123">
        <f>J942*I942</f>
        <v>0</v>
      </c>
      <c r="L942" s="124">
        <f t="shared" si="132"/>
        <v>0</v>
      </c>
      <c r="M942" s="125" t="str">
        <f>IF(ISERROR(L942/H942), "", L942/H942)</f>
        <v/>
      </c>
    </row>
    <row r="943" spans="1:14" ht="25.5" x14ac:dyDescent="0.2">
      <c r="A943" s="46" t="str">
        <f t="shared" si="135"/>
        <v>EMBEDDED DISTRIBUTOR SERVICE CLASSIFICATION - WATERLOO</v>
      </c>
      <c r="B943" s="46" t="s">
        <v>180</v>
      </c>
      <c r="C943" s="115">
        <f>B45</f>
        <v>16</v>
      </c>
      <c r="D943" s="145" t="s">
        <v>181</v>
      </c>
      <c r="E943" s="146"/>
      <c r="F943" s="147"/>
      <c r="G943" s="148"/>
      <c r="H943" s="149">
        <f>SUM(H934:H942)</f>
        <v>20307.214</v>
      </c>
      <c r="I943" s="150"/>
      <c r="J943" s="151"/>
      <c r="K943" s="149">
        <f>SUM(K934:K942)</f>
        <v>22006.27</v>
      </c>
      <c r="L943" s="136">
        <f t="shared" si="132"/>
        <v>1699.0560000000005</v>
      </c>
      <c r="M943" s="137">
        <f>IF((H943)=0,"",(L943/H943))</f>
        <v>8.3667606989319188E-2</v>
      </c>
    </row>
    <row r="944" spans="1:14" x14ac:dyDescent="0.2">
      <c r="A944" s="46" t="str">
        <f t="shared" si="135"/>
        <v>EMBEDDED DISTRIBUTOR SERVICE CLASSIFICATION - WATERLOO</v>
      </c>
      <c r="C944" s="115"/>
      <c r="D944" s="152" t="s">
        <v>182</v>
      </c>
      <c r="E944" s="117"/>
      <c r="F944" s="126">
        <v>3.4489999999999998</v>
      </c>
      <c r="G944" s="139">
        <f>IF($E921&gt;0, $E921, $E920*$E922)</f>
        <v>8280</v>
      </c>
      <c r="H944" s="120">
        <f>G944*F944</f>
        <v>28557.719999999998</v>
      </c>
      <c r="I944" s="153">
        <v>3.5680000000000001</v>
      </c>
      <c r="J944" s="140">
        <f>IF($E921&gt;0, $E921, $E920*$E923)</f>
        <v>8280</v>
      </c>
      <c r="K944" s="123">
        <f>J944*I944</f>
        <v>29543.040000000001</v>
      </c>
      <c r="L944" s="124">
        <f t="shared" si="132"/>
        <v>985.32000000000335</v>
      </c>
      <c r="M944" s="125">
        <f>IF(ISERROR(L944/H944), "", L944/H944)</f>
        <v>3.4502754421571587E-2</v>
      </c>
      <c r="N944" s="154" t="str">
        <f>IF(ISERROR(ABS(M944)), "", IF(ABS(M944)&gt;=4%, "In the manager's summary, discuss the reasoning for the change in RTSR rates", ""))</f>
        <v/>
      </c>
    </row>
    <row r="945" spans="1:14" ht="25.5" x14ac:dyDescent="0.2">
      <c r="A945" s="46" t="str">
        <f t="shared" si="135"/>
        <v>EMBEDDED DISTRIBUTOR SERVICE CLASSIFICATION - WATERLOO</v>
      </c>
      <c r="C945" s="115"/>
      <c r="D945" s="155" t="s">
        <v>183</v>
      </c>
      <c r="E945" s="117"/>
      <c r="F945" s="126">
        <v>2.2951999999999999</v>
      </c>
      <c r="G945" s="139">
        <f>IF($E921&gt;0, $E921, $E920*$E922)</f>
        <v>8280</v>
      </c>
      <c r="H945" s="120">
        <f>G945*F945</f>
        <v>19004.255999999998</v>
      </c>
      <c r="I945" s="153">
        <v>2.2039</v>
      </c>
      <c r="J945" s="140">
        <f>IF($E921&gt;0, $E921, $E920*$E923)</f>
        <v>8280</v>
      </c>
      <c r="K945" s="123">
        <f>J945*I945</f>
        <v>18248.292000000001</v>
      </c>
      <c r="L945" s="124">
        <f t="shared" si="132"/>
        <v>-755.9639999999963</v>
      </c>
      <c r="M945" s="125">
        <f>IF(ISERROR(L945/H945), "", L945/H945)</f>
        <v>-3.9778668525618496E-2</v>
      </c>
      <c r="N945" s="154" t="str">
        <f>IF(ISERROR(ABS(M945)), "", IF(ABS(M945)&gt;=4%, "In the manager's summary, discuss the reasoning for the change in RTSR rates", ""))</f>
        <v/>
      </c>
    </row>
    <row r="946" spans="1:14" ht="25.5" x14ac:dyDescent="0.2">
      <c r="A946" s="46" t="str">
        <f t="shared" si="135"/>
        <v>EMBEDDED DISTRIBUTOR SERVICE CLASSIFICATION - WATERLOO</v>
      </c>
      <c r="B946" s="46" t="s">
        <v>184</v>
      </c>
      <c r="C946" s="115">
        <f>B45</f>
        <v>16</v>
      </c>
      <c r="D946" s="145" t="s">
        <v>185</v>
      </c>
      <c r="E946" s="130"/>
      <c r="F946" s="147"/>
      <c r="G946" s="148"/>
      <c r="H946" s="149">
        <f>SUM(H943:H945)</f>
        <v>67869.189999999988</v>
      </c>
      <c r="I946" s="150"/>
      <c r="J946" s="135"/>
      <c r="K946" s="149">
        <f>SUM(K943:K945)</f>
        <v>69797.601999999999</v>
      </c>
      <c r="L946" s="136">
        <f t="shared" si="132"/>
        <v>1928.4120000000112</v>
      </c>
      <c r="M946" s="137">
        <f>IF((H946)=0,"",(L946/H946))</f>
        <v>2.8413658686659019E-2</v>
      </c>
    </row>
    <row r="947" spans="1:14" ht="25.5" x14ac:dyDescent="0.2">
      <c r="A947" s="46" t="str">
        <f t="shared" si="135"/>
        <v>EMBEDDED DISTRIBUTOR SERVICE CLASSIFICATION - WATERLOO</v>
      </c>
      <c r="C947" s="115"/>
      <c r="D947" s="156" t="s">
        <v>186</v>
      </c>
      <c r="E947" s="117"/>
      <c r="F947" s="126">
        <f>IF(AND('[1]1. Information Sheet'!$F$26:$H$26&gt;='[1]17. Regulatory Charges'!$D$14,'[1]1. Information Sheet'!$F$26:$H$26&lt;'[1]17. Regulatory Charges'!$E$14),'[1]17. Regulatory Charges'!$D$15+'[1]17. Regulatory Charges'!$D$16,'[1]17. Regulatory Charges'!$E$15+'[1]17. Regulatory Charges'!$E$16)</f>
        <v>3.4000000000000002E-3</v>
      </c>
      <c r="G947" s="139">
        <f>E920*E922</f>
        <v>5414932.9321999997</v>
      </c>
      <c r="H947" s="157">
        <f t="shared" ref="H947:H953" si="137">G947*F947</f>
        <v>18410.77196948</v>
      </c>
      <c r="I947" s="127">
        <f>'[1]17. Regulatory Charges'!$E$15+'[1]17. Regulatory Charges'!$E$16</f>
        <v>3.4000000000000002E-3</v>
      </c>
      <c r="J947" s="140">
        <f>E920*E923</f>
        <v>5414932.9321999997</v>
      </c>
      <c r="K947" s="123">
        <f t="shared" ref="K947:K953" si="138">J947*I947</f>
        <v>18410.77196948</v>
      </c>
      <c r="L947" s="124">
        <f t="shared" si="132"/>
        <v>0</v>
      </c>
      <c r="M947" s="125">
        <f t="shared" ref="M947:M955" si="139">IF(ISERROR(L947/H947), "", L947/H947)</f>
        <v>0</v>
      </c>
    </row>
    <row r="948" spans="1:14" ht="25.5" x14ac:dyDescent="0.2">
      <c r="A948" s="46" t="str">
        <f t="shared" si="135"/>
        <v>EMBEDDED DISTRIBUTOR SERVICE CLASSIFICATION - WATERLOO</v>
      </c>
      <c r="C948" s="115"/>
      <c r="D948" s="156" t="s">
        <v>187</v>
      </c>
      <c r="E948" s="117"/>
      <c r="F948" s="126">
        <f>IF(AND('[1]1. Information Sheet'!$F$26:$H$26&gt;='[1]17. Regulatory Charges'!$D$14,'[1]1. Information Sheet'!$F$26:$H$26&lt;'[1]17. Regulatory Charges'!$D$14),'[1]17. Regulatory Charges'!$D$17,'[1]17. Regulatory Charges'!$E$17)</f>
        <v>5.0000000000000001E-4</v>
      </c>
      <c r="G948" s="139">
        <f>E920*E922</f>
        <v>5414932.9321999997</v>
      </c>
      <c r="H948" s="157">
        <f t="shared" si="137"/>
        <v>2707.4664660999997</v>
      </c>
      <c r="I948" s="127">
        <f>'[1]17. Regulatory Charges'!$E$17</f>
        <v>5.0000000000000001E-4</v>
      </c>
      <c r="J948" s="140">
        <f>E920*E923</f>
        <v>5414932.9321999997</v>
      </c>
      <c r="K948" s="123">
        <f t="shared" si="138"/>
        <v>2707.4664660999997</v>
      </c>
      <c r="L948" s="124">
        <f t="shared" si="132"/>
        <v>0</v>
      </c>
      <c r="M948" s="125">
        <f t="shared" si="139"/>
        <v>0</v>
      </c>
    </row>
    <row r="949" spans="1:14" x14ac:dyDescent="0.2">
      <c r="A949" s="46" t="str">
        <f t="shared" si="135"/>
        <v>EMBEDDED DISTRIBUTOR SERVICE CLASSIFICATION - WATERLOO</v>
      </c>
      <c r="C949" s="115"/>
      <c r="D949" s="158" t="s">
        <v>188</v>
      </c>
      <c r="E949" s="117"/>
      <c r="F949" s="143">
        <f>IF(AND('[1]1. Information Sheet'!$F$26:$H$26&gt;='[1]17. Regulatory Charges'!$D$14,'[1]1. Information Sheet'!$F$26:$H$26&lt;'[1]17. Regulatory Charges'!$D$14),'[1]17. Regulatory Charges'!$D$18,'[1]17. Regulatory Charges'!$E$18)</f>
        <v>0.25</v>
      </c>
      <c r="G949" s="119">
        <v>1</v>
      </c>
      <c r="H949" s="157">
        <f t="shared" si="137"/>
        <v>0.25</v>
      </c>
      <c r="I949" s="144">
        <f>'[1]17. Regulatory Charges'!$E$18</f>
        <v>0.25</v>
      </c>
      <c r="J949" s="122">
        <v>1</v>
      </c>
      <c r="K949" s="123">
        <f t="shared" si="138"/>
        <v>0.25</v>
      </c>
      <c r="L949" s="124">
        <f t="shared" si="132"/>
        <v>0</v>
      </c>
      <c r="M949" s="125">
        <f t="shared" si="139"/>
        <v>0</v>
      </c>
    </row>
    <row r="950" spans="1:14" ht="25.5" hidden="1" x14ac:dyDescent="0.2">
      <c r="A950" s="46" t="str">
        <f t="shared" si="135"/>
        <v>EMBEDDED DISTRIBUTOR SERVICE CLASSIFICATION - WATERLOO</v>
      </c>
      <c r="C950" s="115"/>
      <c r="D950" s="156" t="s">
        <v>189</v>
      </c>
      <c r="E950" s="117"/>
      <c r="F950" s="126"/>
      <c r="G950" s="139"/>
      <c r="H950" s="157"/>
      <c r="I950" s="127"/>
      <c r="J950" s="140"/>
      <c r="K950" s="123"/>
      <c r="L950" s="124"/>
      <c r="M950" s="125"/>
    </row>
    <row r="951" spans="1:14" hidden="1" x14ac:dyDescent="0.2">
      <c r="A951" s="46" t="str">
        <f t="shared" si="135"/>
        <v>EMBEDDED DISTRIBUTOR SERVICE CLASSIFICATION - WATERLOO</v>
      </c>
      <c r="B951" s="46" t="s">
        <v>139</v>
      </c>
      <c r="C951" s="115"/>
      <c r="D951" s="158" t="s">
        <v>190</v>
      </c>
      <c r="E951" s="117"/>
      <c r="F951" s="159">
        <f>OffPeak</f>
        <v>7.3999999999999996E-2</v>
      </c>
      <c r="G951" s="160">
        <f>IF(AND(E920*12&gt;=150000),0.64*E920*E922,0.64*E920)</f>
        <v>3465557.0766079999</v>
      </c>
      <c r="H951" s="157">
        <f t="shared" si="137"/>
        <v>256451.22366899197</v>
      </c>
      <c r="I951" s="161">
        <f>OffPeak</f>
        <v>7.3999999999999996E-2</v>
      </c>
      <c r="J951" s="162">
        <f>IF(AND(E920*12&gt;=150000),0.64*E920*E923,0.64*E920)</f>
        <v>3465557.0766079999</v>
      </c>
      <c r="K951" s="123">
        <f t="shared" si="138"/>
        <v>256451.22366899197</v>
      </c>
      <c r="L951" s="124">
        <f>K951-H951</f>
        <v>0</v>
      </c>
      <c r="M951" s="125">
        <f t="shared" si="139"/>
        <v>0</v>
      </c>
    </row>
    <row r="952" spans="1:14" hidden="1" x14ac:dyDescent="0.2">
      <c r="A952" s="46" t="str">
        <f t="shared" si="135"/>
        <v>EMBEDDED DISTRIBUTOR SERVICE CLASSIFICATION - WATERLOO</v>
      </c>
      <c r="B952" s="46" t="s">
        <v>139</v>
      </c>
      <c r="C952" s="115"/>
      <c r="D952" s="158" t="s">
        <v>191</v>
      </c>
      <c r="E952" s="117"/>
      <c r="F952" s="159">
        <f>MidPeak</f>
        <v>0.10199999999999999</v>
      </c>
      <c r="G952" s="160">
        <f>IF(AND(E920*12&gt;=150000),0.18*E920*E922,0.18*E920)</f>
        <v>974687.92779599992</v>
      </c>
      <c r="H952" s="157">
        <f t="shared" si="137"/>
        <v>99418.168635191978</v>
      </c>
      <c r="I952" s="161">
        <f>MidPeak</f>
        <v>0.10199999999999999</v>
      </c>
      <c r="J952" s="162">
        <f>IF(AND(E920*12&gt;=150000),0.18*E920*E923,0.18*E920)</f>
        <v>974687.92779599992</v>
      </c>
      <c r="K952" s="123">
        <f t="shared" si="138"/>
        <v>99418.168635191978</v>
      </c>
      <c r="L952" s="124">
        <f>K952-H952</f>
        <v>0</v>
      </c>
      <c r="M952" s="125">
        <f t="shared" si="139"/>
        <v>0</v>
      </c>
    </row>
    <row r="953" spans="1:14" hidden="1" x14ac:dyDescent="0.2">
      <c r="A953" s="46" t="str">
        <f t="shared" si="135"/>
        <v>EMBEDDED DISTRIBUTOR SERVICE CLASSIFICATION - WATERLOO</v>
      </c>
      <c r="B953" s="46" t="s">
        <v>139</v>
      </c>
      <c r="C953" s="115"/>
      <c r="D953" s="46" t="s">
        <v>192</v>
      </c>
      <c r="E953" s="117"/>
      <c r="F953" s="159">
        <f>OnPeak</f>
        <v>0.151</v>
      </c>
      <c r="G953" s="160">
        <f>IF(AND(E920*12&gt;=150000),0.18*E920*E922,0.18*E920)</f>
        <v>974687.92779599992</v>
      </c>
      <c r="H953" s="157">
        <f t="shared" si="137"/>
        <v>147177.87709719597</v>
      </c>
      <c r="I953" s="161">
        <f>OnPeak</f>
        <v>0.151</v>
      </c>
      <c r="J953" s="162">
        <f>IF(AND(E920*12&gt;=150000),0.18*E920*E923,0.18*E920)</f>
        <v>974687.92779599992</v>
      </c>
      <c r="K953" s="123">
        <f t="shared" si="138"/>
        <v>147177.87709719597</v>
      </c>
      <c r="L953" s="124">
        <f>K953-H953</f>
        <v>0</v>
      </c>
      <c r="M953" s="125">
        <f t="shared" si="139"/>
        <v>0</v>
      </c>
    </row>
    <row r="954" spans="1:14" hidden="1" x14ac:dyDescent="0.2">
      <c r="A954" s="46" t="str">
        <f t="shared" si="135"/>
        <v>EMBEDDED DISTRIBUTOR SERVICE CLASSIFICATION - WATERLOO</v>
      </c>
      <c r="B954" s="46" t="s">
        <v>141</v>
      </c>
      <c r="C954" s="115"/>
      <c r="D954" s="158" t="s">
        <v>193</v>
      </c>
      <c r="E954" s="117"/>
      <c r="F954" s="163">
        <v>9.6699999999999994E-2</v>
      </c>
      <c r="G954" s="160">
        <f>IF(AND(E920*12&gt;=150000),E920*E922,E920)</f>
        <v>5414932.9321999997</v>
      </c>
      <c r="H954" s="157">
        <f>G954*F954</f>
        <v>523624.01454373996</v>
      </c>
      <c r="I954" s="164">
        <f>F954</f>
        <v>9.6699999999999994E-2</v>
      </c>
      <c r="J954" s="162">
        <f>IF(AND(E920*12&gt;=150000),E920*E923,E920)</f>
        <v>5414932.9321999997</v>
      </c>
      <c r="K954" s="123">
        <f>J954*I954</f>
        <v>523624.01454373996</v>
      </c>
      <c r="L954" s="124">
        <f>K954-H954</f>
        <v>0</v>
      </c>
      <c r="M954" s="125">
        <f t="shared" si="139"/>
        <v>0</v>
      </c>
    </row>
    <row r="955" spans="1:14" ht="13.5" thickBot="1" x14ac:dyDescent="0.25">
      <c r="A955" s="46" t="str">
        <f t="shared" si="135"/>
        <v>EMBEDDED DISTRIBUTOR SERVICE CLASSIFICATION - WATERLOO</v>
      </c>
      <c r="B955" s="46" t="s">
        <v>140</v>
      </c>
      <c r="C955" s="115"/>
      <c r="D955" s="158" t="s">
        <v>194</v>
      </c>
      <c r="E955" s="117"/>
      <c r="F955" s="163">
        <v>9.6699999999999994E-2</v>
      </c>
      <c r="G955" s="160">
        <f>IF(AND(E920*12&gt;=150000),E920*E922,E920)</f>
        <v>5414932.9321999997</v>
      </c>
      <c r="H955" s="157">
        <f>G955*F955</f>
        <v>523624.01454373996</v>
      </c>
      <c r="I955" s="164">
        <f>F955</f>
        <v>9.6699999999999994E-2</v>
      </c>
      <c r="J955" s="162">
        <f>IF(AND(E920*12&gt;=150000),E920*E923,E920)</f>
        <v>5414932.9321999997</v>
      </c>
      <c r="K955" s="123">
        <f>J955*I955</f>
        <v>523624.01454373996</v>
      </c>
      <c r="L955" s="124">
        <f>K955-H955</f>
        <v>0</v>
      </c>
      <c r="M955" s="125">
        <f t="shared" si="139"/>
        <v>0</v>
      </c>
    </row>
    <row r="956" spans="1:14" ht="13.5" thickBot="1" x14ac:dyDescent="0.25">
      <c r="A956" s="46" t="str">
        <f t="shared" si="135"/>
        <v>EMBEDDED DISTRIBUTOR SERVICE CLASSIFICATION - WATERLOO</v>
      </c>
      <c r="C956" s="115"/>
      <c r="D956" s="165"/>
      <c r="E956" s="166"/>
      <c r="F956" s="167"/>
      <c r="G956" s="168"/>
      <c r="H956" s="169"/>
      <c r="I956" s="167"/>
      <c r="J956" s="170"/>
      <c r="K956" s="169"/>
      <c r="L956" s="171"/>
      <c r="M956" s="172"/>
    </row>
    <row r="957" spans="1:14" hidden="1" x14ac:dyDescent="0.2">
      <c r="A957" s="46" t="str">
        <f t="shared" si="135"/>
        <v>EMBEDDED DISTRIBUTOR SERVICE CLASSIFICATION - WATERLOO</v>
      </c>
      <c r="B957" s="46" t="s">
        <v>139</v>
      </c>
      <c r="C957" s="115"/>
      <c r="D957" s="173" t="s">
        <v>195</v>
      </c>
      <c r="E957" s="158"/>
      <c r="F957" s="174"/>
      <c r="G957" s="175"/>
      <c r="H957" s="176">
        <f>SUM(H947:H953,H946)</f>
        <v>592034.94783695985</v>
      </c>
      <c r="I957" s="177"/>
      <c r="J957" s="177"/>
      <c r="K957" s="176">
        <f>SUM(K947:K953,K946)</f>
        <v>593963.35983695986</v>
      </c>
      <c r="L957" s="178">
        <f>K957-H957</f>
        <v>1928.4120000000112</v>
      </c>
      <c r="M957" s="179">
        <f>IF((H957)=0,"",(L957/H957))</f>
        <v>3.2572604151927115E-3</v>
      </c>
    </row>
    <row r="958" spans="1:14" hidden="1" x14ac:dyDescent="0.2">
      <c r="A958" s="46" t="str">
        <f t="shared" si="135"/>
        <v>EMBEDDED DISTRIBUTOR SERVICE CLASSIFICATION - WATERLOO</v>
      </c>
      <c r="B958" s="46" t="s">
        <v>139</v>
      </c>
      <c r="C958" s="115"/>
      <c r="D958" s="180" t="s">
        <v>196</v>
      </c>
      <c r="E958" s="158"/>
      <c r="F958" s="174">
        <v>0.13</v>
      </c>
      <c r="G958" s="181"/>
      <c r="H958" s="182">
        <f>H957*F958</f>
        <v>76964.543218804785</v>
      </c>
      <c r="I958" s="183">
        <v>0.13</v>
      </c>
      <c r="J958" s="119"/>
      <c r="K958" s="182">
        <f>K957*I958</f>
        <v>77215.236778804785</v>
      </c>
      <c r="L958" s="124">
        <f>K958-H958</f>
        <v>250.69355999999971</v>
      </c>
      <c r="M958" s="184">
        <f>IF((H958)=0,"",(L958/H958))</f>
        <v>3.2572604151926885E-3</v>
      </c>
    </row>
    <row r="959" spans="1:14" ht="15" hidden="1" x14ac:dyDescent="0.25">
      <c r="A959" s="46" t="str">
        <f t="shared" si="135"/>
        <v>EMBEDDED DISTRIBUTOR SERVICE CLASSIFICATION - WATERLOO</v>
      </c>
      <c r="B959" s="46" t="s">
        <v>139</v>
      </c>
      <c r="C959" s="115"/>
      <c r="D959" s="180" t="s">
        <v>197</v>
      </c>
      <c r="E959"/>
      <c r="F959" s="185">
        <v>0.11700000000000001</v>
      </c>
      <c r="G959" s="181"/>
      <c r="H959" s="182">
        <f>IF(OR(ISNUMBER(SEARCH("[DGEN]", E918))=TRUE, ISNUMBER(SEARCH("STREET LIGHT", E918))=TRUE), 0, IF(AND(E920=0, E921=0),0, IF(AND(E921=0, E920*12&gt;250000), 0, IF(AND(E920=0, E921&gt;=50), 0, IF(E920*12&lt;=250000, F959*H957*-1, IF(E921&lt;50, F959*H957*-1, 0))))))</f>
        <v>0</v>
      </c>
      <c r="I959" s="185">
        <v>0.11700000000000001</v>
      </c>
      <c r="J959" s="119"/>
      <c r="K959" s="182">
        <f>IF(OR(ISNUMBER(SEARCH("[DGEN]", E918))=TRUE, ISNUMBER(SEARCH("STREET LIGHT", E918))=TRUE), 0, IF(AND(E920=0, E921=0),0, IF(AND(E921=0, E920*12&gt;250000), 0, IF(AND(E920=0, E921&gt;=50), 0, IF(E920*12&lt;=250000, I959*K957*-1, IF(E921&lt;50, I959*K957*-1, 0))))))</f>
        <v>0</v>
      </c>
      <c r="L959" s="124">
        <f>K959-H959</f>
        <v>0</v>
      </c>
      <c r="M959" s="184"/>
    </row>
    <row r="960" spans="1:14" hidden="1" x14ac:dyDescent="0.2">
      <c r="A960" s="46" t="str">
        <f t="shared" si="135"/>
        <v>EMBEDDED DISTRIBUTOR SERVICE CLASSIFICATION - WATERLOO</v>
      </c>
      <c r="B960" s="46" t="s">
        <v>198</v>
      </c>
      <c r="C960" s="115"/>
      <c r="D960" s="186" t="s">
        <v>199</v>
      </c>
      <c r="E960" s="186"/>
      <c r="F960" s="187"/>
      <c r="G960" s="188"/>
      <c r="H960" s="189">
        <f>H957+H958+H959</f>
        <v>668999.49105576461</v>
      </c>
      <c r="I960" s="190"/>
      <c r="J960" s="190"/>
      <c r="K960" s="191">
        <f>K957+K958+K959</f>
        <v>671178.59661576466</v>
      </c>
      <c r="L960" s="192">
        <f>K960-H960</f>
        <v>2179.1055600000545</v>
      </c>
      <c r="M960" s="193">
        <f>IF((H960)=0,"",(L960/H960))</f>
        <v>3.2572604151927744E-3</v>
      </c>
    </row>
    <row r="961" spans="1:13" ht="13.5" hidden="1" thickBot="1" x14ac:dyDescent="0.25">
      <c r="A961" s="46" t="str">
        <f t="shared" si="135"/>
        <v>EMBEDDED DISTRIBUTOR SERVICE CLASSIFICATION - WATERLOO</v>
      </c>
      <c r="B961" s="46" t="s">
        <v>139</v>
      </c>
      <c r="C961" s="115"/>
      <c r="D961" s="165"/>
      <c r="E961" s="166"/>
      <c r="F961" s="167"/>
      <c r="G961" s="168"/>
      <c r="H961" s="169"/>
      <c r="I961" s="167"/>
      <c r="J961" s="170"/>
      <c r="K961" s="169"/>
      <c r="L961" s="171"/>
      <c r="M961" s="172"/>
    </row>
    <row r="962" spans="1:13" hidden="1" x14ac:dyDescent="0.2">
      <c r="A962" s="46" t="str">
        <f t="shared" si="135"/>
        <v>EMBEDDED DISTRIBUTOR SERVICE CLASSIFICATION - WATERLOO</v>
      </c>
      <c r="B962" s="46" t="s">
        <v>141</v>
      </c>
      <c r="C962" s="115"/>
      <c r="D962" s="173" t="s">
        <v>200</v>
      </c>
      <c r="E962" s="158"/>
      <c r="F962" s="174"/>
      <c r="G962" s="175"/>
      <c r="H962" s="176">
        <f>SUM(H954,H947:H950,H946)</f>
        <v>612611.69297931984</v>
      </c>
      <c r="I962" s="177"/>
      <c r="J962" s="177"/>
      <c r="K962" s="176">
        <f>SUM(K954,K947:K950,K946)</f>
        <v>614540.10497931985</v>
      </c>
      <c r="L962" s="178">
        <f>K962-H962</f>
        <v>1928.4120000000112</v>
      </c>
      <c r="M962" s="179">
        <f>IF((H962)=0,"",(L962/H962))</f>
        <v>3.1478537254513508E-3</v>
      </c>
    </row>
    <row r="963" spans="1:13" hidden="1" x14ac:dyDescent="0.2">
      <c r="A963" s="46" t="str">
        <f t="shared" si="135"/>
        <v>EMBEDDED DISTRIBUTOR SERVICE CLASSIFICATION - WATERLOO</v>
      </c>
      <c r="B963" s="46" t="s">
        <v>141</v>
      </c>
      <c r="C963" s="115"/>
      <c r="D963" s="180" t="s">
        <v>196</v>
      </c>
      <c r="E963" s="158"/>
      <c r="F963" s="174">
        <v>0.13</v>
      </c>
      <c r="G963" s="175"/>
      <c r="H963" s="182">
        <f>H962*F963</f>
        <v>79639.520087311583</v>
      </c>
      <c r="I963" s="174">
        <v>0.13</v>
      </c>
      <c r="J963" s="183"/>
      <c r="K963" s="182">
        <f>K962*I963</f>
        <v>79890.213647311582</v>
      </c>
      <c r="L963" s="124">
        <f>K963-H963</f>
        <v>250.69355999999971</v>
      </c>
      <c r="M963" s="184">
        <f>IF((H963)=0,"",(L963/H963))</f>
        <v>3.1478537254513287E-3</v>
      </c>
    </row>
    <row r="964" spans="1:13" ht="15" hidden="1" x14ac:dyDescent="0.25">
      <c r="A964" s="46" t="str">
        <f t="shared" si="135"/>
        <v>EMBEDDED DISTRIBUTOR SERVICE CLASSIFICATION - WATERLOO</v>
      </c>
      <c r="B964" s="46" t="s">
        <v>141</v>
      </c>
      <c r="C964" s="115"/>
      <c r="D964" s="180" t="s">
        <v>197</v>
      </c>
      <c r="E964"/>
      <c r="F964" s="185">
        <v>0.11700000000000001</v>
      </c>
      <c r="G964" s="175"/>
      <c r="H964" s="182">
        <f>IF(OR(ISNUMBER(SEARCH("[DGEN]", E918))=TRUE, ISNUMBER(SEARCH("STREET LIGHT", E918))=TRUE), 0, IF(AND(E920=0, E921=0),0, IF(AND(E921=0, E920*12&gt;250000), 0, IF(AND(E920=0, E921&gt;=50), 0, IF(E920*12&lt;=250000, F964*H962*-1, IF(E921&lt;50, F964*H962*-1, 0))))))</f>
        <v>0</v>
      </c>
      <c r="I964" s="185">
        <v>0.11700000000000001</v>
      </c>
      <c r="J964" s="183"/>
      <c r="K964" s="182">
        <f>IF(OR(ISNUMBER(SEARCH("[DGEN]", E918))=TRUE, ISNUMBER(SEARCH("STREET LIGHT", E918))=TRUE), 0, IF(AND(E920=0, E921=0),0, IF(AND(E921=0, E920*12&gt;250000), 0, IF(AND(E920=0, E921&gt;=50), 0, IF(E920*12&lt;=250000, I964*K962*-1, IF(E921&lt;50, I964*K962*-1, 0))))))</f>
        <v>0</v>
      </c>
      <c r="L964" s="124"/>
      <c r="M964" s="184"/>
    </row>
    <row r="965" spans="1:13" hidden="1" x14ac:dyDescent="0.2">
      <c r="A965" s="46" t="str">
        <f t="shared" si="135"/>
        <v>EMBEDDED DISTRIBUTOR SERVICE CLASSIFICATION - WATERLOO</v>
      </c>
      <c r="B965" s="46" t="s">
        <v>201</v>
      </c>
      <c r="C965" s="115"/>
      <c r="D965" s="186" t="s">
        <v>200</v>
      </c>
      <c r="E965" s="186"/>
      <c r="F965" s="194"/>
      <c r="G965" s="195"/>
      <c r="H965" s="189">
        <f>SUM(H962,H963)</f>
        <v>692251.21306663146</v>
      </c>
      <c r="I965" s="196"/>
      <c r="J965" s="196"/>
      <c r="K965" s="189">
        <f>SUM(K962,K963)</f>
        <v>694430.3186266314</v>
      </c>
      <c r="L965" s="197">
        <f>K965-H965</f>
        <v>2179.1055599999381</v>
      </c>
      <c r="M965" s="198">
        <f>IF((H965)=0,"",(L965/H965))</f>
        <v>3.1478537254512433E-3</v>
      </c>
    </row>
    <row r="966" spans="1:13" ht="13.5" hidden="1" thickBot="1" x14ac:dyDescent="0.25">
      <c r="A966" s="46" t="str">
        <f t="shared" si="135"/>
        <v>EMBEDDED DISTRIBUTOR SERVICE CLASSIFICATION - WATERLOO</v>
      </c>
      <c r="B966" s="46" t="s">
        <v>141</v>
      </c>
      <c r="C966" s="115"/>
      <c r="D966" s="165"/>
      <c r="E966" s="166"/>
      <c r="F966" s="199"/>
      <c r="G966" s="200"/>
      <c r="H966" s="201"/>
      <c r="I966" s="199"/>
      <c r="J966" s="168"/>
      <c r="K966" s="201"/>
      <c r="L966" s="202"/>
      <c r="M966" s="172"/>
    </row>
    <row r="967" spans="1:13" x14ac:dyDescent="0.2">
      <c r="A967" s="46" t="str">
        <f t="shared" si="135"/>
        <v>EMBEDDED DISTRIBUTOR SERVICE CLASSIFICATION - WATERLOO</v>
      </c>
      <c r="B967" s="46" t="s">
        <v>140</v>
      </c>
      <c r="C967" s="115"/>
      <c r="D967" s="173" t="s">
        <v>202</v>
      </c>
      <c r="E967" s="158"/>
      <c r="F967" s="174"/>
      <c r="G967" s="175"/>
      <c r="H967" s="176">
        <f>SUM(H955,H947:H950,H946)</f>
        <v>612611.69297931984</v>
      </c>
      <c r="I967" s="177"/>
      <c r="J967" s="177"/>
      <c r="K967" s="176">
        <f>SUM(K955,K947:K950,K946)</f>
        <v>614540.10497931985</v>
      </c>
      <c r="L967" s="178">
        <f>K967-H967</f>
        <v>1928.4120000000112</v>
      </c>
      <c r="M967" s="179">
        <f>IF((H967)=0,"",(L967/H967))</f>
        <v>3.1478537254513508E-3</v>
      </c>
    </row>
    <row r="968" spans="1:13" x14ac:dyDescent="0.2">
      <c r="A968" s="46" t="str">
        <f t="shared" si="135"/>
        <v>EMBEDDED DISTRIBUTOR SERVICE CLASSIFICATION - WATERLOO</v>
      </c>
      <c r="B968" s="46" t="s">
        <v>140</v>
      </c>
      <c r="C968" s="115"/>
      <c r="D968" s="180" t="s">
        <v>196</v>
      </c>
      <c r="E968" s="158"/>
      <c r="F968" s="174">
        <v>0.13</v>
      </c>
      <c r="G968" s="175"/>
      <c r="H968" s="182">
        <f>H967*F968</f>
        <v>79639.520087311583</v>
      </c>
      <c r="I968" s="174">
        <v>0.13</v>
      </c>
      <c r="J968" s="183"/>
      <c r="K968" s="182">
        <f>K967*I968</f>
        <v>79890.213647311582</v>
      </c>
      <c r="L968" s="124">
        <f>K968-H968</f>
        <v>250.69355999999971</v>
      </c>
      <c r="M968" s="184">
        <f>IF((H968)=0,"",(L968/H968))</f>
        <v>3.1478537254513287E-3</v>
      </c>
    </row>
    <row r="969" spans="1:13" ht="15" x14ac:dyDescent="0.25">
      <c r="A969" s="46" t="str">
        <f t="shared" si="135"/>
        <v>EMBEDDED DISTRIBUTOR SERVICE CLASSIFICATION - WATERLOO</v>
      </c>
      <c r="B969" s="46" t="s">
        <v>140</v>
      </c>
      <c r="C969" s="115"/>
      <c r="D969" s="180" t="s">
        <v>197</v>
      </c>
      <c r="E969"/>
      <c r="F969" s="185">
        <v>0.11700000000000001</v>
      </c>
      <c r="G969" s="175"/>
      <c r="H969" s="182">
        <f>IF(OR(ISNUMBER(SEARCH("[DGEN]", E918))=TRUE, ISNUMBER(SEARCH("STREET LIGHT", E918))=TRUE), 0, IF(AND(E920=0, E921=0),0, IF(AND(E921=0, E920*12&gt;250000), 0, IF(AND(E920=0, E921&gt;=50), 0, IF(E920*12&lt;=250000, F969*H967*-1, IF(E921&lt;50, F969*H967*-1, 0))))))</f>
        <v>0</v>
      </c>
      <c r="I969" s="185">
        <v>0.11700000000000001</v>
      </c>
      <c r="J969" s="183"/>
      <c r="K969" s="182">
        <f>IF(OR(ISNUMBER(SEARCH("[DGEN]", E918))=TRUE, ISNUMBER(SEARCH("STREET LIGHT", E918))=TRUE), 0, IF(AND(E920=0, E921=0),0, IF(AND(E921=0, E920*12&gt;250000), 0, IF(AND(E920=0, E921&gt;=50), 0, IF(E920*12&lt;=250000, I969*K967*-1, IF(E921&lt;50, I969*K967*-1, 0))))))</f>
        <v>0</v>
      </c>
      <c r="L969" s="124"/>
      <c r="M969" s="184"/>
    </row>
    <row r="970" spans="1:13" ht="13.5" thickBot="1" x14ac:dyDescent="0.25">
      <c r="A970" s="46" t="str">
        <f t="shared" si="135"/>
        <v>EMBEDDED DISTRIBUTOR SERVICE CLASSIFICATION - WATERLOO</v>
      </c>
      <c r="B970" s="46" t="s">
        <v>203</v>
      </c>
      <c r="C970" s="115">
        <f>B45</f>
        <v>16</v>
      </c>
      <c r="D970" s="186" t="s">
        <v>202</v>
      </c>
      <c r="E970" s="186"/>
      <c r="F970" s="194"/>
      <c r="G970" s="195"/>
      <c r="H970" s="189">
        <f>SUM(H967,H968)</f>
        <v>692251.21306663146</v>
      </c>
      <c r="I970" s="196"/>
      <c r="J970" s="196"/>
      <c r="K970" s="189">
        <f>SUM(K967,K968)</f>
        <v>694430.3186266314</v>
      </c>
      <c r="L970" s="197">
        <f>K970-H970</f>
        <v>2179.1055599999381</v>
      </c>
      <c r="M970" s="198">
        <f>IF((H970)=0,"",(L970/H970))</f>
        <v>3.1478537254512433E-3</v>
      </c>
    </row>
    <row r="971" spans="1:13" ht="13.5" thickBot="1" x14ac:dyDescent="0.25">
      <c r="A971" s="46" t="str">
        <f t="shared" si="135"/>
        <v>EMBEDDED DISTRIBUTOR SERVICE CLASSIFICATION - WATERLOO</v>
      </c>
      <c r="B971" s="46" t="s">
        <v>140</v>
      </c>
      <c r="C971" s="115"/>
      <c r="D971" s="165"/>
      <c r="E971" s="166"/>
      <c r="F971" s="203"/>
      <c r="G971" s="200"/>
      <c r="H971" s="204"/>
      <c r="I971" s="203"/>
      <c r="J971" s="168"/>
      <c r="K971" s="204"/>
      <c r="L971" s="202"/>
      <c r="M971" s="205"/>
    </row>
  </sheetData>
  <mergeCells count="210">
    <mergeCell ref="D970:E970"/>
    <mergeCell ref="L925:M925"/>
    <mergeCell ref="E926:E927"/>
    <mergeCell ref="L926:L927"/>
    <mergeCell ref="M926:M927"/>
    <mergeCell ref="D960:E960"/>
    <mergeCell ref="D965:E965"/>
    <mergeCell ref="D904:E904"/>
    <mergeCell ref="D909:E909"/>
    <mergeCell ref="D914:E914"/>
    <mergeCell ref="E918:J918"/>
    <mergeCell ref="E919:G919"/>
    <mergeCell ref="F925:H925"/>
    <mergeCell ref="I925:K925"/>
    <mergeCell ref="E862:J862"/>
    <mergeCell ref="E863:G863"/>
    <mergeCell ref="F869:H869"/>
    <mergeCell ref="I869:K869"/>
    <mergeCell ref="L869:M869"/>
    <mergeCell ref="E870:E871"/>
    <mergeCell ref="L870:L871"/>
    <mergeCell ref="M870:M871"/>
    <mergeCell ref="E814:E815"/>
    <mergeCell ref="L814:L815"/>
    <mergeCell ref="M814:M815"/>
    <mergeCell ref="D848:E848"/>
    <mergeCell ref="D853:E853"/>
    <mergeCell ref="D858:E858"/>
    <mergeCell ref="D802:E802"/>
    <mergeCell ref="E806:J806"/>
    <mergeCell ref="E807:G807"/>
    <mergeCell ref="F813:H813"/>
    <mergeCell ref="I813:K813"/>
    <mergeCell ref="L813:M813"/>
    <mergeCell ref="L757:M757"/>
    <mergeCell ref="E758:E759"/>
    <mergeCell ref="L758:L759"/>
    <mergeCell ref="M758:M759"/>
    <mergeCell ref="D792:E792"/>
    <mergeCell ref="D797:E797"/>
    <mergeCell ref="D736:E736"/>
    <mergeCell ref="D741:E741"/>
    <mergeCell ref="D746:E746"/>
    <mergeCell ref="E750:J750"/>
    <mergeCell ref="E751:G751"/>
    <mergeCell ref="F757:H757"/>
    <mergeCell ref="I757:K757"/>
    <mergeCell ref="E694:J694"/>
    <mergeCell ref="E695:G695"/>
    <mergeCell ref="F701:H701"/>
    <mergeCell ref="I701:K701"/>
    <mergeCell ref="L701:M701"/>
    <mergeCell ref="E702:E703"/>
    <mergeCell ref="L702:L703"/>
    <mergeCell ref="M702:M703"/>
    <mergeCell ref="E646:E647"/>
    <mergeCell ref="L646:L647"/>
    <mergeCell ref="M646:M647"/>
    <mergeCell ref="D680:E680"/>
    <mergeCell ref="D685:E685"/>
    <mergeCell ref="D690:E690"/>
    <mergeCell ref="D634:E634"/>
    <mergeCell ref="E638:J638"/>
    <mergeCell ref="E639:G639"/>
    <mergeCell ref="F645:H645"/>
    <mergeCell ref="I645:K645"/>
    <mergeCell ref="L645:M645"/>
    <mergeCell ref="L589:M589"/>
    <mergeCell ref="E590:E591"/>
    <mergeCell ref="L590:L591"/>
    <mergeCell ref="M590:M591"/>
    <mergeCell ref="D624:E624"/>
    <mergeCell ref="D629:E629"/>
    <mergeCell ref="D568:E568"/>
    <mergeCell ref="D573:E573"/>
    <mergeCell ref="D578:E578"/>
    <mergeCell ref="E582:J582"/>
    <mergeCell ref="E583:G583"/>
    <mergeCell ref="F589:H589"/>
    <mergeCell ref="I589:K589"/>
    <mergeCell ref="E526:J526"/>
    <mergeCell ref="E527:G527"/>
    <mergeCell ref="F533:H533"/>
    <mergeCell ref="I533:K533"/>
    <mergeCell ref="L533:M533"/>
    <mergeCell ref="E534:E535"/>
    <mergeCell ref="L534:L535"/>
    <mergeCell ref="M534:M535"/>
    <mergeCell ref="E478:E479"/>
    <mergeCell ref="L478:L479"/>
    <mergeCell ref="M478:M479"/>
    <mergeCell ref="D512:E512"/>
    <mergeCell ref="D517:E517"/>
    <mergeCell ref="D522:E522"/>
    <mergeCell ref="D466:E466"/>
    <mergeCell ref="E470:J470"/>
    <mergeCell ref="E471:G471"/>
    <mergeCell ref="F477:H477"/>
    <mergeCell ref="I477:K477"/>
    <mergeCell ref="L477:M477"/>
    <mergeCell ref="L421:M421"/>
    <mergeCell ref="E422:E423"/>
    <mergeCell ref="L422:L423"/>
    <mergeCell ref="M422:M423"/>
    <mergeCell ref="D456:E456"/>
    <mergeCell ref="D461:E461"/>
    <mergeCell ref="D400:E400"/>
    <mergeCell ref="D405:E405"/>
    <mergeCell ref="D410:E410"/>
    <mergeCell ref="E414:J414"/>
    <mergeCell ref="E415:G415"/>
    <mergeCell ref="F421:H421"/>
    <mergeCell ref="I421:K421"/>
    <mergeCell ref="E358:J358"/>
    <mergeCell ref="E359:G359"/>
    <mergeCell ref="F365:H365"/>
    <mergeCell ref="I365:K365"/>
    <mergeCell ref="L365:M365"/>
    <mergeCell ref="E366:E367"/>
    <mergeCell ref="L366:L367"/>
    <mergeCell ref="M366:M367"/>
    <mergeCell ref="E310:E311"/>
    <mergeCell ref="L310:L311"/>
    <mergeCell ref="M310:M311"/>
    <mergeCell ref="D344:E344"/>
    <mergeCell ref="D349:E349"/>
    <mergeCell ref="D354:E354"/>
    <mergeCell ref="D298:E298"/>
    <mergeCell ref="E302:J302"/>
    <mergeCell ref="E303:G303"/>
    <mergeCell ref="F309:H309"/>
    <mergeCell ref="I309:K309"/>
    <mergeCell ref="L309:M309"/>
    <mergeCell ref="L253:M253"/>
    <mergeCell ref="E254:E255"/>
    <mergeCell ref="L254:L255"/>
    <mergeCell ref="M254:M255"/>
    <mergeCell ref="D288:E288"/>
    <mergeCell ref="D293:E293"/>
    <mergeCell ref="D232:E232"/>
    <mergeCell ref="D237:E237"/>
    <mergeCell ref="D242:E242"/>
    <mergeCell ref="E246:J246"/>
    <mergeCell ref="E247:G247"/>
    <mergeCell ref="F253:H253"/>
    <mergeCell ref="I253:K253"/>
    <mergeCell ref="E190:J190"/>
    <mergeCell ref="E191:G191"/>
    <mergeCell ref="F197:H197"/>
    <mergeCell ref="I197:K197"/>
    <mergeCell ref="L197:M197"/>
    <mergeCell ref="E198:E199"/>
    <mergeCell ref="L198:L199"/>
    <mergeCell ref="M198:M199"/>
    <mergeCell ref="E142:E143"/>
    <mergeCell ref="L142:L143"/>
    <mergeCell ref="M142:M143"/>
    <mergeCell ref="D176:E176"/>
    <mergeCell ref="D181:E181"/>
    <mergeCell ref="D186:E186"/>
    <mergeCell ref="D130:E130"/>
    <mergeCell ref="E134:J134"/>
    <mergeCell ref="E135:G135"/>
    <mergeCell ref="F141:H141"/>
    <mergeCell ref="I141:K141"/>
    <mergeCell ref="L141:M141"/>
    <mergeCell ref="L85:M85"/>
    <mergeCell ref="E86:E87"/>
    <mergeCell ref="L86:L87"/>
    <mergeCell ref="M86:M87"/>
    <mergeCell ref="D120:E120"/>
    <mergeCell ref="D125:E125"/>
    <mergeCell ref="D73:F73"/>
    <mergeCell ref="D74:F74"/>
    <mergeCell ref="E78:J78"/>
    <mergeCell ref="E79:G79"/>
    <mergeCell ref="F85:H85"/>
    <mergeCell ref="I85:K85"/>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52:F54"/>
    <mergeCell ref="G52:G54"/>
    <mergeCell ref="H52:M52"/>
    <mergeCell ref="N52:O52"/>
    <mergeCell ref="H53:I53"/>
    <mergeCell ref="J53:K53"/>
    <mergeCell ref="L53:M53"/>
    <mergeCell ref="N53:O53"/>
    <mergeCell ref="C3:K3"/>
    <mergeCell ref="D10:M10"/>
    <mergeCell ref="D11:M11"/>
    <mergeCell ref="N11:O11"/>
    <mergeCell ref="D12:N12"/>
    <mergeCell ref="D29:F29"/>
  </mergeCells>
  <conditionalFormatting sqref="L39:L49">
    <cfRule type="expression" dxfId="15" priority="8">
      <formula>$G39="kW"</formula>
    </cfRule>
  </conditionalFormatting>
  <conditionalFormatting sqref="K39:K49">
    <cfRule type="expression" dxfId="14" priority="5">
      <formula>$G39="kW"</formula>
    </cfRule>
    <cfRule type="expression" dxfId="13" priority="6">
      <formula>$G39="kVa"</formula>
    </cfRule>
    <cfRule type="expression" dxfId="12" priority="7">
      <formula>$G39="kWh"</formula>
    </cfRule>
  </conditionalFormatting>
  <conditionalFormatting sqref="L30:L38">
    <cfRule type="expression" dxfId="11" priority="4">
      <formula>$G30="kW"</formula>
    </cfRule>
  </conditionalFormatting>
  <conditionalFormatting sqref="K30:K38">
    <cfRule type="expression" dxfId="10" priority="1">
      <formula>$G30="kW"</formula>
    </cfRule>
    <cfRule type="expression" dxfId="9" priority="2">
      <formula>$G30="kVa"</formula>
    </cfRule>
    <cfRule type="expression" dxfId="8" priority="3">
      <formula>$G30="kWh"</formula>
    </cfRule>
  </conditionalFormatting>
  <dataValidations count="4">
    <dataValidation type="list" allowBlank="1" showInputMessage="1" showErrorMessage="1" prompt="Select Charge Unit - monthly, per kWh, per kW" sqref="E121 E126 E131 E116 E177 E182 E187 E172 E233 E238 E243 E228 E289 E294 E299 E284 E345 E350 E355 E340 E401 E406 E411 E396 E457 E462 E467 E452 E513 E518 E523 E508 E569 E574 E579 E564 E625 E630 E635 E620 E681 E686 E691 E676 E737 E742 E747 E732 E793 E798 E803 E788 E849 E854 E859 E844 E905 E910 E915 E900 E961 E966 E971 E956" xr:uid="{670F4701-B39B-4A3D-A0D0-21EA92E9162F}">
      <formula1>"Monthly, per kWh, per kW"</formula1>
    </dataValidation>
    <dataValidation allowBlank="1" showInputMessage="1" showErrorMessage="1" sqref="D30:D42" xr:uid="{0CBDFC51-B7DF-46A9-8238-3B30D702EE96}"/>
    <dataValidation type="list" allowBlank="1" showInputMessage="1" showErrorMessage="1" sqref="M30:M49" xr:uid="{7672B554-B381-47AD-B6F2-EDF66B661CB3}">
      <formula1>"CONSUMPTION, DEMAND, DEMAND - INTERVAL"</formula1>
    </dataValidation>
    <dataValidation type="list" allowBlank="1" showInputMessage="1" showErrorMessage="1" sqref="H30:H49" xr:uid="{6E7E5E5E-D99B-4DA4-B63A-FD8FAAC5F2E6}">
      <formula1>"RPP, Non-RPP (Retailer), Non-RPP (Other)"</formula1>
    </dataValidation>
  </dataValidations>
  <pageMargins left="0.7" right="0.7" top="0.75" bottom="0.75" header="0.3" footer="0.3"/>
  <pageSetup scale="56" fitToHeight="0" orientation="landscape" r:id="rId1"/>
  <rowBreaks count="17" manualBreakCount="17">
    <brk id="49" max="14" man="1"/>
    <brk id="76" max="14" man="1"/>
    <brk id="131" max="14" man="1"/>
    <brk id="188" max="14" man="1"/>
    <brk id="243" max="14" man="1"/>
    <brk id="299" max="14" man="1"/>
    <brk id="355" max="14" man="1"/>
    <brk id="411" max="14" man="1"/>
    <brk id="467" max="14" man="1"/>
    <brk id="514" max="14" man="1"/>
    <brk id="579" max="14" man="1"/>
    <brk id="635" max="14" man="1"/>
    <brk id="691" max="14" man="1"/>
    <brk id="747" max="14" man="1"/>
    <brk id="803" max="14" man="1"/>
    <brk id="849" max="14" man="1"/>
    <brk id="915"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08992-7473-4F38-B6C3-158A5B09FFE1}">
  <sheetPr>
    <pageSetUpPr fitToPage="1"/>
  </sheetPr>
  <dimension ref="A1:AP971"/>
  <sheetViews>
    <sheetView showGridLines="0" topLeftCell="C1" zoomScale="85" zoomScaleNormal="85" zoomScaleSheetLayoutView="85" workbookViewId="0">
      <selection activeCell="C1" sqref="C1"/>
    </sheetView>
  </sheetViews>
  <sheetFormatPr defaultColWidth="9.28515625" defaultRowHeight="12.75" x14ac:dyDescent="0.2"/>
  <cols>
    <col min="1" max="1" width="9" style="46" hidden="1" customWidth="1"/>
    <col min="2" max="2" width="4.7109375" style="46" hidden="1" customWidth="1"/>
    <col min="3" max="3" width="3.42578125" style="66" customWidth="1"/>
    <col min="4" max="4" width="34.7109375" style="46" customWidth="1"/>
    <col min="5" max="5" width="13.28515625" style="46" customWidth="1"/>
    <col min="6" max="6" width="26.7109375" style="46" customWidth="1"/>
    <col min="7" max="7" width="10.28515625" style="46" bestFit="1" customWidth="1"/>
    <col min="8" max="8" width="18.28515625" style="46" customWidth="1"/>
    <col min="9" max="9" width="12.7109375" style="46" customWidth="1"/>
    <col min="10" max="10" width="14.28515625" style="46" bestFit="1" customWidth="1"/>
    <col min="11" max="11" width="18.7109375" style="46" bestFit="1" customWidth="1"/>
    <col min="12" max="12" width="13.5703125" style="46" bestFit="1" customWidth="1"/>
    <col min="13" max="13" width="15.7109375" style="46" customWidth="1"/>
    <col min="14" max="14" width="22.28515625" style="46" customWidth="1"/>
    <col min="15" max="15" width="14.42578125" style="46" customWidth="1"/>
    <col min="16" max="16384" width="9.28515625" style="46"/>
  </cols>
  <sheetData>
    <row r="1" spans="3:42" s="34" customFormat="1" ht="21.75" x14ac:dyDescent="0.2">
      <c r="C1" s="30"/>
      <c r="D1" s="31"/>
      <c r="E1" s="31"/>
      <c r="F1" s="31"/>
      <c r="G1" s="31"/>
      <c r="H1" s="31"/>
      <c r="I1" s="31"/>
      <c r="J1" s="31"/>
      <c r="K1" s="31"/>
      <c r="L1" s="32"/>
      <c r="M1" s="33"/>
      <c r="AP1" s="34">
        <v>1</v>
      </c>
    </row>
    <row r="2" spans="3:42" s="34" customFormat="1" ht="18" x14ac:dyDescent="0.25">
      <c r="C2" s="36"/>
      <c r="D2" s="37"/>
      <c r="E2" s="37"/>
      <c r="F2" s="37"/>
      <c r="G2" s="37"/>
      <c r="H2" s="37"/>
      <c r="I2" s="37"/>
      <c r="J2" s="37"/>
      <c r="K2" s="37"/>
      <c r="L2" s="32"/>
      <c r="M2" s="33"/>
    </row>
    <row r="3" spans="3:42" s="34" customFormat="1" ht="18" x14ac:dyDescent="0.25">
      <c r="C3" s="38"/>
      <c r="D3" s="38"/>
      <c r="E3" s="38"/>
      <c r="F3" s="38"/>
      <c r="G3" s="38"/>
      <c r="H3" s="38"/>
      <c r="I3" s="38"/>
      <c r="J3" s="38"/>
      <c r="K3" s="38"/>
      <c r="L3" s="32"/>
      <c r="M3" s="33"/>
    </row>
    <row r="4" spans="3:42" s="34" customFormat="1" ht="18" x14ac:dyDescent="0.25">
      <c r="C4" s="36"/>
      <c r="D4" s="37"/>
      <c r="E4" s="37"/>
      <c r="F4" s="37"/>
      <c r="G4" s="37"/>
      <c r="H4" s="37"/>
      <c r="I4" s="39"/>
      <c r="J4" s="39"/>
      <c r="K4" s="39"/>
      <c r="L4" s="32"/>
      <c r="M4" s="33"/>
    </row>
    <row r="5" spans="3:42" s="34" customFormat="1" ht="15.75" x14ac:dyDescent="0.25">
      <c r="C5" s="40"/>
      <c r="E5" s="41"/>
      <c r="L5" s="32"/>
      <c r="M5" s="33"/>
    </row>
    <row r="6" spans="3:42" s="34" customFormat="1" x14ac:dyDescent="0.2">
      <c r="C6" s="40"/>
      <c r="L6" s="32"/>
      <c r="M6" s="33"/>
    </row>
    <row r="7" spans="3:42" s="34" customFormat="1" ht="9.75" customHeight="1" x14ac:dyDescent="0.2">
      <c r="C7" s="40"/>
      <c r="L7" s="32"/>
      <c r="M7" s="33"/>
    </row>
    <row r="8" spans="3:42" s="34" customFormat="1" ht="2.25" customHeight="1" x14ac:dyDescent="0.2">
      <c r="C8" s="40"/>
      <c r="M8" s="33"/>
      <c r="N8" s="35"/>
      <c r="O8" s="35"/>
    </row>
    <row r="9" spans="3:42" s="35" customFormat="1" ht="2.25" customHeight="1" x14ac:dyDescent="0.2">
      <c r="C9" s="42"/>
    </row>
    <row r="10" spans="3:42" s="35" customFormat="1" ht="2.25" customHeight="1" x14ac:dyDescent="0.25">
      <c r="C10" s="42"/>
      <c r="D10" s="43"/>
      <c r="E10" s="43"/>
      <c r="F10" s="43"/>
      <c r="G10" s="43"/>
      <c r="H10" s="43"/>
      <c r="I10" s="43"/>
      <c r="J10" s="43"/>
      <c r="K10" s="43"/>
      <c r="L10" s="43"/>
      <c r="M10" s="43"/>
      <c r="N10" s="44"/>
      <c r="O10" s="44"/>
    </row>
    <row r="11" spans="3:42" s="35" customFormat="1" ht="2.25" customHeight="1" x14ac:dyDescent="0.25">
      <c r="C11" s="42"/>
      <c r="D11" s="43"/>
      <c r="E11" s="43"/>
      <c r="F11" s="43"/>
      <c r="G11" s="43"/>
      <c r="H11" s="43"/>
      <c r="I11" s="43"/>
      <c r="J11" s="43"/>
      <c r="K11" s="43"/>
      <c r="L11" s="43"/>
      <c r="M11" s="43"/>
      <c r="N11" s="43"/>
      <c r="O11" s="43"/>
    </row>
    <row r="12" spans="3:42" s="35" customFormat="1" ht="149.25" customHeight="1" x14ac:dyDescent="0.2">
      <c r="C12" s="42"/>
      <c r="D12" s="45" t="s">
        <v>127</v>
      </c>
      <c r="E12" s="45"/>
      <c r="F12" s="45"/>
      <c r="G12" s="45"/>
      <c r="H12" s="45"/>
      <c r="I12" s="45"/>
      <c r="J12" s="45"/>
      <c r="K12" s="45"/>
      <c r="L12" s="45"/>
      <c r="M12" s="45"/>
      <c r="N12" s="45"/>
    </row>
    <row r="13" spans="3:42" s="35" customFormat="1" ht="13.5" customHeight="1" x14ac:dyDescent="0.2">
      <c r="C13" s="47"/>
      <c r="D13" s="35" t="s">
        <v>128</v>
      </c>
    </row>
    <row r="14" spans="3:42" s="35" customFormat="1" x14ac:dyDescent="0.2">
      <c r="C14" s="42"/>
    </row>
    <row r="15" spans="3:42" s="35" customFormat="1" ht="27.75" hidden="1" customHeight="1" x14ac:dyDescent="0.2">
      <c r="C15" s="42"/>
    </row>
    <row r="16" spans="3:42" s="35" customFormat="1" hidden="1" x14ac:dyDescent="0.2">
      <c r="C16" s="42"/>
    </row>
    <row r="17" spans="2:14" s="35" customFormat="1" hidden="1" x14ac:dyDescent="0.2">
      <c r="C17" s="42"/>
    </row>
    <row r="18" spans="2:14" s="35" customFormat="1" hidden="1" x14ac:dyDescent="0.2">
      <c r="C18" s="42"/>
    </row>
    <row r="19" spans="2:14" s="35" customFormat="1" hidden="1" x14ac:dyDescent="0.2">
      <c r="C19" s="42"/>
    </row>
    <row r="20" spans="2:14" s="35" customFormat="1" hidden="1" x14ac:dyDescent="0.2">
      <c r="C20" s="42"/>
    </row>
    <row r="21" spans="2:14" s="35" customFormat="1" hidden="1" x14ac:dyDescent="0.2">
      <c r="C21" s="42"/>
    </row>
    <row r="22" spans="2:14" s="35" customFormat="1" hidden="1" x14ac:dyDescent="0.2">
      <c r="C22" s="42"/>
    </row>
    <row r="23" spans="2:14" s="35" customFormat="1" hidden="1" x14ac:dyDescent="0.2">
      <c r="C23" s="42"/>
    </row>
    <row r="24" spans="2:14" s="35" customFormat="1" hidden="1" x14ac:dyDescent="0.2">
      <c r="C24" s="42"/>
    </row>
    <row r="25" spans="2:14" s="35" customFormat="1" hidden="1" x14ac:dyDescent="0.2">
      <c r="C25" s="42"/>
    </row>
    <row r="26" spans="2:14" s="35" customFormat="1" hidden="1" x14ac:dyDescent="0.2">
      <c r="C26" s="42"/>
    </row>
    <row r="27" spans="2:14" s="35" customFormat="1" hidden="1" x14ac:dyDescent="0.2">
      <c r="C27" s="42"/>
    </row>
    <row r="28" spans="2:14" s="35" customFormat="1" ht="15.75" x14ac:dyDescent="0.25">
      <c r="C28" s="42"/>
      <c r="D28" s="48" t="s">
        <v>129</v>
      </c>
    </row>
    <row r="29" spans="2:14" s="35" customFormat="1" ht="78" customHeight="1" x14ac:dyDescent="0.2">
      <c r="C29" s="42"/>
      <c r="D29" s="49" t="s">
        <v>130</v>
      </c>
      <c r="E29" s="50"/>
      <c r="F29" s="51"/>
      <c r="G29" s="52" t="s">
        <v>131</v>
      </c>
      <c r="H29" s="53" t="s">
        <v>132</v>
      </c>
      <c r="I29" s="53" t="s">
        <v>133</v>
      </c>
      <c r="J29" s="53" t="s">
        <v>134</v>
      </c>
      <c r="K29" s="53" t="s">
        <v>135</v>
      </c>
      <c r="L29" s="53" t="s">
        <v>136</v>
      </c>
      <c r="M29" s="54" t="s">
        <v>137</v>
      </c>
      <c r="N29" s="55" t="s">
        <v>138</v>
      </c>
    </row>
    <row r="30" spans="2:14" s="35" customFormat="1" ht="15" x14ac:dyDescent="0.25">
      <c r="B30" s="35">
        <v>1</v>
      </c>
      <c r="C30" s="56">
        <v>1</v>
      </c>
      <c r="D30" s="57" t="s">
        <v>5</v>
      </c>
      <c r="E30" s="58"/>
      <c r="F30" s="59"/>
      <c r="G30" s="60" t="str">
        <f>IF(ISERROR(VLOOKUP(D30, '[1]4. Billing Det. for Def-Var'!$A$16:$B$50, 2, FALSE)),"", VLOOKUP(D30,'[1]4. Billing Det. for Def-Var'!$A$16:$B$50, 2, FALSE))</f>
        <v>kWh</v>
      </c>
      <c r="H30" s="61" t="s">
        <v>139</v>
      </c>
      <c r="I30" s="62">
        <v>1.0306999999999999</v>
      </c>
      <c r="J30" s="63">
        <f t="shared" ref="J30:J49" si="0">IF(ISBLANK(I30),"", I30)</f>
        <v>1.0306999999999999</v>
      </c>
      <c r="K30" s="64">
        <v>750</v>
      </c>
      <c r="L30" s="64"/>
      <c r="M30" s="61"/>
      <c r="N30" s="65"/>
    </row>
    <row r="31" spans="2:14" s="35" customFormat="1" ht="15" x14ac:dyDescent="0.25">
      <c r="B31" s="35">
        <v>2</v>
      </c>
      <c r="C31" s="56">
        <v>2</v>
      </c>
      <c r="D31" s="57" t="s">
        <v>28</v>
      </c>
      <c r="E31" s="58"/>
      <c r="F31" s="59"/>
      <c r="G31" s="60" t="str">
        <f>IF(ISERROR(VLOOKUP(D31, '[1]4. Billing Det. for Def-Var'!$A$16:$B$50, 2, FALSE)),"", VLOOKUP(D31,'[1]4. Billing Det. for Def-Var'!$A$16:$B$50, 2, FALSE))</f>
        <v>kWh</v>
      </c>
      <c r="H31" s="61" t="s">
        <v>139</v>
      </c>
      <c r="I31" s="62">
        <v>1.0306999999999999</v>
      </c>
      <c r="J31" s="63">
        <f t="shared" si="0"/>
        <v>1.0306999999999999</v>
      </c>
      <c r="K31" s="64">
        <v>2000</v>
      </c>
      <c r="L31" s="64"/>
      <c r="M31" s="61"/>
      <c r="N31" s="65"/>
    </row>
    <row r="32" spans="2:14" s="35" customFormat="1" ht="15" x14ac:dyDescent="0.25">
      <c r="B32" s="35">
        <v>3</v>
      </c>
      <c r="C32" s="56">
        <v>3</v>
      </c>
      <c r="D32" s="57" t="s">
        <v>31</v>
      </c>
      <c r="E32" s="58"/>
      <c r="F32" s="59"/>
      <c r="G32" s="60" t="str">
        <f>IF(ISERROR(VLOOKUP(D32, '[1]4. Billing Det. for Def-Var'!$A$16:$B$50, 2, FALSE)),"", VLOOKUP(D32,'[1]4. Billing Det. for Def-Var'!$A$16:$B$50, 2, FALSE))</f>
        <v>kW</v>
      </c>
      <c r="H32" s="61" t="s">
        <v>140</v>
      </c>
      <c r="I32" s="62">
        <v>1.0306999999999999</v>
      </c>
      <c r="J32" s="63">
        <f t="shared" si="0"/>
        <v>1.0306999999999999</v>
      </c>
      <c r="K32" s="64">
        <v>20000</v>
      </c>
      <c r="L32" s="64">
        <v>60</v>
      </c>
      <c r="M32" s="61"/>
      <c r="N32" s="65"/>
    </row>
    <row r="33" spans="2:14" s="35" customFormat="1" ht="15" x14ac:dyDescent="0.25">
      <c r="B33" s="35">
        <v>4</v>
      </c>
      <c r="C33" s="56">
        <v>4</v>
      </c>
      <c r="D33" s="57" t="s">
        <v>41</v>
      </c>
      <c r="E33" s="58"/>
      <c r="F33" s="59"/>
      <c r="G33" s="60" t="str">
        <f>IF(ISERROR(VLOOKUP(D33, '[1]4. Billing Det. for Def-Var'!$A$16:$B$50, 2, FALSE)),"", VLOOKUP(D33,'[1]4. Billing Det. for Def-Var'!$A$16:$B$50, 2, FALSE))</f>
        <v>kW</v>
      </c>
      <c r="H33" s="61" t="s">
        <v>140</v>
      </c>
      <c r="I33" s="62">
        <v>1.0306999999999999</v>
      </c>
      <c r="J33" s="63">
        <f t="shared" si="0"/>
        <v>1.0306999999999999</v>
      </c>
      <c r="K33" s="64">
        <v>800000</v>
      </c>
      <c r="L33" s="64">
        <v>2000</v>
      </c>
      <c r="M33" s="61"/>
      <c r="N33" s="65"/>
    </row>
    <row r="34" spans="2:14" s="35" customFormat="1" ht="15" x14ac:dyDescent="0.25">
      <c r="B34" s="35">
        <v>5</v>
      </c>
      <c r="C34" s="56">
        <v>5</v>
      </c>
      <c r="D34" s="57" t="s">
        <v>43</v>
      </c>
      <c r="E34" s="58"/>
      <c r="F34" s="59"/>
      <c r="G34" s="60" t="str">
        <f>IF(ISERROR(VLOOKUP(D34, '[1]4. Billing Det. for Def-Var'!$A$16:$B$50, 2, FALSE)),"", VLOOKUP(D34,'[1]4. Billing Det. for Def-Var'!$A$16:$B$50, 2, FALSE))</f>
        <v>kW</v>
      </c>
      <c r="H34" s="61" t="s">
        <v>140</v>
      </c>
      <c r="I34" s="62">
        <v>1.0306999999999999</v>
      </c>
      <c r="J34" s="63">
        <f t="shared" si="0"/>
        <v>1.0306999999999999</v>
      </c>
      <c r="K34" s="64">
        <v>6600000</v>
      </c>
      <c r="L34" s="64">
        <v>16000</v>
      </c>
      <c r="M34" s="61"/>
      <c r="N34" s="65"/>
    </row>
    <row r="35" spans="2:14" s="35" customFormat="1" ht="15" x14ac:dyDescent="0.25">
      <c r="B35" s="35">
        <v>6</v>
      </c>
      <c r="C35" s="56">
        <v>6</v>
      </c>
      <c r="D35" s="57" t="s">
        <v>48</v>
      </c>
      <c r="E35" s="58"/>
      <c r="F35" s="59"/>
      <c r="G35" s="60" t="str">
        <f>IF(ISERROR(VLOOKUP(D35, '[1]4. Billing Det. for Def-Var'!$A$16:$B$50, 2, FALSE)),"", VLOOKUP(D35,'[1]4. Billing Det. for Def-Var'!$A$16:$B$50, 2, FALSE))</f>
        <v>kWh</v>
      </c>
      <c r="H35" s="61" t="s">
        <v>139</v>
      </c>
      <c r="I35" s="62">
        <v>1.0306999999999999</v>
      </c>
      <c r="J35" s="63">
        <f t="shared" si="0"/>
        <v>1.0306999999999999</v>
      </c>
      <c r="K35" s="64">
        <v>100</v>
      </c>
      <c r="L35" s="64"/>
      <c r="M35" s="61"/>
      <c r="N35" s="67">
        <v>1</v>
      </c>
    </row>
    <row r="36" spans="2:14" s="35" customFormat="1" ht="15" x14ac:dyDescent="0.25">
      <c r="B36" s="35">
        <v>7</v>
      </c>
      <c r="C36" s="56">
        <v>7</v>
      </c>
      <c r="D36" s="57" t="s">
        <v>51</v>
      </c>
      <c r="E36" s="58"/>
      <c r="F36" s="59"/>
      <c r="G36" s="60" t="str">
        <f>IF(ISERROR(VLOOKUP(D36, '[1]4. Billing Det. for Def-Var'!$A$16:$B$50, 2, FALSE)),"", VLOOKUP(D36,'[1]4. Billing Det. for Def-Var'!$A$16:$B$50, 2, FALSE))</f>
        <v>kW</v>
      </c>
      <c r="H36" s="61" t="s">
        <v>140</v>
      </c>
      <c r="I36" s="62">
        <v>1.0306999999999999</v>
      </c>
      <c r="J36" s="63">
        <f t="shared" si="0"/>
        <v>1.0306999999999999</v>
      </c>
      <c r="K36" s="64">
        <v>400000</v>
      </c>
      <c r="L36" s="64">
        <v>700</v>
      </c>
      <c r="M36" s="61"/>
      <c r="N36" s="67">
        <v>547</v>
      </c>
    </row>
    <row r="37" spans="2:14" s="35" customFormat="1" ht="15" x14ac:dyDescent="0.25">
      <c r="B37" s="35">
        <v>8</v>
      </c>
      <c r="C37" s="56">
        <v>8</v>
      </c>
      <c r="D37" s="57" t="s">
        <v>53</v>
      </c>
      <c r="E37" s="58"/>
      <c r="F37" s="59"/>
      <c r="G37" s="60" t="str">
        <f>IF(ISERROR(VLOOKUP(D37, '[1]4. Billing Det. for Def-Var'!$A$16:$B$50, 2, FALSE)),"", VLOOKUP(D37,'[1]4. Billing Det. for Def-Var'!$A$16:$B$50, 2, FALSE))</f>
        <v>kW</v>
      </c>
      <c r="H37" s="61" t="s">
        <v>139</v>
      </c>
      <c r="I37" s="62">
        <v>1.0306999999999999</v>
      </c>
      <c r="J37" s="63">
        <f t="shared" si="0"/>
        <v>1.0306999999999999</v>
      </c>
      <c r="K37" s="64">
        <v>10000</v>
      </c>
      <c r="L37" s="64">
        <v>29</v>
      </c>
      <c r="M37" s="61"/>
      <c r="N37" s="67">
        <v>1</v>
      </c>
    </row>
    <row r="38" spans="2:14" s="35" customFormat="1" ht="15" x14ac:dyDescent="0.25">
      <c r="B38" s="35">
        <v>9</v>
      </c>
      <c r="C38" s="56">
        <v>9</v>
      </c>
      <c r="D38" s="57" t="s">
        <v>56</v>
      </c>
      <c r="E38" s="58"/>
      <c r="F38" s="59"/>
      <c r="G38" s="60" t="str">
        <f>IF(ISERROR(VLOOKUP(D38, '[1]4. Billing Det. for Def-Var'!$A$16:$B$50, 2, FALSE)),"", VLOOKUP(D38,'[1]4. Billing Det. for Def-Var'!$A$16:$B$50, 2, FALSE))</f>
        <v>kW</v>
      </c>
      <c r="H38" s="61" t="s">
        <v>140</v>
      </c>
      <c r="I38" s="62">
        <v>1.0306999999999999</v>
      </c>
      <c r="J38" s="63">
        <f t="shared" si="0"/>
        <v>1.0306999999999999</v>
      </c>
      <c r="K38" s="64">
        <v>1382000</v>
      </c>
      <c r="L38" s="64">
        <v>2574</v>
      </c>
      <c r="M38" s="61"/>
      <c r="N38" s="65"/>
    </row>
    <row r="39" spans="2:14" s="35" customFormat="1" ht="15" x14ac:dyDescent="0.25">
      <c r="B39" s="35">
        <v>10</v>
      </c>
      <c r="C39" s="56">
        <v>10</v>
      </c>
      <c r="D39" s="57" t="s">
        <v>58</v>
      </c>
      <c r="E39" s="58"/>
      <c r="F39" s="59"/>
      <c r="G39" s="60" t="str">
        <f>IF(ISERROR(VLOOKUP(D39, '[1]4. Billing Det. for Def-Var'!$A$16:$B$50, 2, FALSE)),"", VLOOKUP(D39,'[1]4. Billing Det. for Def-Var'!$A$16:$B$50, 2, FALSE))</f>
        <v>kW</v>
      </c>
      <c r="H39" s="61" t="s">
        <v>140</v>
      </c>
      <c r="I39" s="62">
        <v>1.0306999999999999</v>
      </c>
      <c r="J39" s="63">
        <f t="shared" si="0"/>
        <v>1.0306999999999999</v>
      </c>
      <c r="K39" s="64"/>
      <c r="L39" s="64">
        <v>8280</v>
      </c>
      <c r="M39" s="61"/>
      <c r="N39" s="65"/>
    </row>
    <row r="40" spans="2:14" s="35" customFormat="1" ht="15" x14ac:dyDescent="0.25">
      <c r="B40" s="35">
        <v>11</v>
      </c>
      <c r="C40" s="56">
        <v>11</v>
      </c>
      <c r="D40" s="57" t="s">
        <v>59</v>
      </c>
      <c r="E40" s="58"/>
      <c r="F40" s="59"/>
      <c r="G40" s="60" t="str">
        <f>IF(ISERROR(VLOOKUP(D40, '[1]4. Billing Det. for Def-Var'!$A$16:$B$50, 2, FALSE)),"", VLOOKUP(D40,'[1]4. Billing Det. for Def-Var'!$A$16:$B$50, 2, FALSE))</f>
        <v>kW</v>
      </c>
      <c r="H40" s="61" t="s">
        <v>140</v>
      </c>
      <c r="I40" s="62">
        <v>1.0306999999999999</v>
      </c>
      <c r="J40" s="63">
        <f t="shared" si="0"/>
        <v>1.0306999999999999</v>
      </c>
      <c r="K40" s="64">
        <v>50000</v>
      </c>
      <c r="L40" s="64">
        <v>27</v>
      </c>
      <c r="M40" s="61"/>
      <c r="N40" s="65"/>
    </row>
    <row r="41" spans="2:14" s="35" customFormat="1" ht="15" x14ac:dyDescent="0.25">
      <c r="B41" s="35">
        <v>12</v>
      </c>
      <c r="C41" s="56">
        <v>12</v>
      </c>
      <c r="D41" s="57" t="s">
        <v>60</v>
      </c>
      <c r="E41" s="58"/>
      <c r="F41" s="59"/>
      <c r="G41" s="60" t="str">
        <f>IF(ISERROR(VLOOKUP(D41, '[1]4. Billing Det. for Def-Var'!$A$16:$B$50, 2, FALSE)),"", VLOOKUP(D41,'[1]4. Billing Det. for Def-Var'!$A$16:$B$50, 2, FALSE))</f>
        <v>kW</v>
      </c>
      <c r="H41" s="61" t="s">
        <v>140</v>
      </c>
      <c r="I41" s="62">
        <v>1.0306999999999999</v>
      </c>
      <c r="J41" s="63">
        <f t="shared" si="0"/>
        <v>1.0306999999999999</v>
      </c>
      <c r="K41" s="64">
        <v>1300000</v>
      </c>
      <c r="L41" s="64">
        <v>2340</v>
      </c>
      <c r="M41" s="61"/>
      <c r="N41" s="65"/>
    </row>
    <row r="42" spans="2:14" s="35" customFormat="1" ht="15" x14ac:dyDescent="0.25">
      <c r="B42" s="35">
        <v>13</v>
      </c>
      <c r="C42" s="56">
        <v>13</v>
      </c>
      <c r="D42" s="57" t="s">
        <v>61</v>
      </c>
      <c r="E42" s="58"/>
      <c r="F42" s="59"/>
      <c r="G42" s="60" t="str">
        <f>IF(ISERROR(VLOOKUP(D42, '[1]4. Billing Det. for Def-Var'!$A$16:$B$50, 2, FALSE)),"", VLOOKUP(D42,'[1]4. Billing Det. for Def-Var'!$A$16:$B$50, 2, FALSE))</f>
        <v>kW</v>
      </c>
      <c r="H42" s="61" t="s">
        <v>140</v>
      </c>
      <c r="I42" s="62">
        <v>1.0306999999999999</v>
      </c>
      <c r="J42" s="63">
        <f t="shared" si="0"/>
        <v>1.0306999999999999</v>
      </c>
      <c r="K42" s="64">
        <v>1990000</v>
      </c>
      <c r="L42" s="64">
        <v>4050</v>
      </c>
      <c r="M42" s="61"/>
      <c r="N42" s="65"/>
    </row>
    <row r="43" spans="2:14" s="35" customFormat="1" ht="15" x14ac:dyDescent="0.25">
      <c r="B43" s="35">
        <v>14</v>
      </c>
      <c r="C43" s="56" t="str">
        <f>IF(ISERROR(VLOOKUP(D43, D30:O49, 42, FALSE)),"", VLOOKUP(D43, D30:O49, 42, FALSE))</f>
        <v/>
      </c>
      <c r="D43" s="68" t="s">
        <v>5</v>
      </c>
      <c r="E43" s="69"/>
      <c r="F43" s="70"/>
      <c r="G43" s="60" t="str">
        <f>IF(ISERROR(VLOOKUP(D43, '[1]4. Billing Det. for Def-Var'!$A$16:$B$50, 2, FALSE)),"", VLOOKUP(D43,'[1]4. Billing Det. for Def-Var'!$A$16:$B$50, 2, FALSE))</f>
        <v>kWh</v>
      </c>
      <c r="H43" s="61" t="s">
        <v>139</v>
      </c>
      <c r="I43" s="62">
        <v>1.0306999999999999</v>
      </c>
      <c r="J43" s="63">
        <f t="shared" si="0"/>
        <v>1.0306999999999999</v>
      </c>
      <c r="K43" s="64">
        <v>328</v>
      </c>
      <c r="L43" s="64"/>
      <c r="M43" s="61"/>
      <c r="N43" s="65"/>
    </row>
    <row r="44" spans="2:14" s="35" customFormat="1" ht="15" x14ac:dyDescent="0.25">
      <c r="B44" s="35">
        <v>15</v>
      </c>
      <c r="C44" s="56" t="str">
        <f>IF(ISERROR(VLOOKUP(D44, D30:O49, 42, FALSE)),"", VLOOKUP(D44, D30:O49, 42, FALSE))</f>
        <v/>
      </c>
      <c r="D44" s="68" t="s">
        <v>28</v>
      </c>
      <c r="E44" s="69"/>
      <c r="F44" s="70"/>
      <c r="G44" s="60" t="str">
        <f>IF(ISERROR(VLOOKUP(D44, '[1]4. Billing Det. for Def-Var'!$A$16:$B$50, 2, FALSE)),"", VLOOKUP(D44,'[1]4. Billing Det. for Def-Var'!$A$16:$B$50, 2, FALSE))</f>
        <v>kWh</v>
      </c>
      <c r="H44" s="61" t="s">
        <v>141</v>
      </c>
      <c r="I44" s="62">
        <v>1.0306999999999999</v>
      </c>
      <c r="J44" s="63">
        <f t="shared" si="0"/>
        <v>1.0306999999999999</v>
      </c>
      <c r="K44" s="64">
        <v>20000</v>
      </c>
      <c r="L44" s="64"/>
      <c r="M44" s="61"/>
      <c r="N44" s="65"/>
    </row>
    <row r="45" spans="2:14" s="35" customFormat="1" ht="15" x14ac:dyDescent="0.25">
      <c r="B45" s="35">
        <v>16</v>
      </c>
      <c r="C45" s="56" t="str">
        <f>IF(ISERROR(VLOOKUP(D45, D30:O49, 42, FALSE)),"", VLOOKUP(D45, D30:O49, 42, FALSE))</f>
        <v/>
      </c>
      <c r="D45" s="68" t="s">
        <v>58</v>
      </c>
      <c r="E45" s="69"/>
      <c r="F45" s="70"/>
      <c r="G45" s="60" t="str">
        <f>IF(ISERROR(VLOOKUP(D45, '[1]4. Billing Det. for Def-Var'!$A$16:$B$50, 2, FALSE)),"", VLOOKUP(D45,'[1]4. Billing Det. for Def-Var'!$A$16:$B$50, 2, FALSE))</f>
        <v>kW</v>
      </c>
      <c r="H45" s="61" t="s">
        <v>140</v>
      </c>
      <c r="I45" s="62">
        <v>1.0306999999999999</v>
      </c>
      <c r="J45" s="63">
        <f t="shared" si="0"/>
        <v>1.0306999999999999</v>
      </c>
      <c r="K45" s="64">
        <v>5253646</v>
      </c>
      <c r="L45" s="64">
        <v>8280</v>
      </c>
      <c r="M45" s="61"/>
      <c r="N45" s="65"/>
    </row>
    <row r="46" spans="2:14" s="35" customFormat="1" ht="15" x14ac:dyDescent="0.25">
      <c r="B46" s="35">
        <v>17</v>
      </c>
      <c r="C46" s="56" t="str">
        <f>IF(ISERROR(VLOOKUP(D43, D30:O49, 42, FALSE)),"", VLOOKUP(D43, D30:O49, 42, FALSE))</f>
        <v/>
      </c>
      <c r="D46" s="68" t="s">
        <v>142</v>
      </c>
      <c r="E46" s="69"/>
      <c r="F46" s="70"/>
      <c r="G46" s="60" t="str">
        <f>IF(ISERROR(VLOOKUP(D46, '[1]4. Billing Det. for Def-Var'!$A$16:$B$50, 2, FALSE)),"", VLOOKUP(D46,'[1]4. Billing Det. for Def-Var'!$A$16:$B$50, 2, FALSE))</f>
        <v/>
      </c>
      <c r="H46" s="61"/>
      <c r="I46" s="62">
        <v>1.0306999999999999</v>
      </c>
      <c r="J46" s="63">
        <f t="shared" si="0"/>
        <v>1.0306999999999999</v>
      </c>
      <c r="K46" s="64"/>
      <c r="L46" s="64"/>
      <c r="M46" s="61"/>
      <c r="N46" s="65"/>
    </row>
    <row r="47" spans="2:14" s="35" customFormat="1" ht="15" x14ac:dyDescent="0.25">
      <c r="B47" s="35">
        <v>18</v>
      </c>
      <c r="C47" s="56" t="str">
        <f>IF(ISERROR(VLOOKUP(D44, D30:O49, 42, FALSE)),"", VLOOKUP(D44, D30:O49, 42, FALSE))</f>
        <v/>
      </c>
      <c r="D47" s="68" t="s">
        <v>142</v>
      </c>
      <c r="E47" s="69"/>
      <c r="F47" s="70"/>
      <c r="G47" s="60" t="str">
        <f>IF(ISERROR(VLOOKUP(D47, '[1]4. Billing Det. for Def-Var'!$A$16:$B$50, 2, FALSE)),"", VLOOKUP(D47,'[1]4. Billing Det. for Def-Var'!$A$16:$B$50, 2, FALSE))</f>
        <v/>
      </c>
      <c r="H47" s="61"/>
      <c r="I47" s="62">
        <v>1.0306999999999999</v>
      </c>
      <c r="J47" s="63">
        <f t="shared" si="0"/>
        <v>1.0306999999999999</v>
      </c>
      <c r="K47" s="64"/>
      <c r="L47" s="64"/>
      <c r="M47" s="61"/>
      <c r="N47" s="65"/>
    </row>
    <row r="48" spans="2:14" s="35" customFormat="1" ht="15" x14ac:dyDescent="0.25">
      <c r="B48" s="35">
        <v>19</v>
      </c>
      <c r="C48" s="56" t="str">
        <f>IF(ISERROR(VLOOKUP(D45, D30:O49, 42, FALSE)),"", VLOOKUP(D45, D30:O49, 42, FALSE))</f>
        <v/>
      </c>
      <c r="D48" s="68" t="s">
        <v>142</v>
      </c>
      <c r="E48" s="69"/>
      <c r="F48" s="70"/>
      <c r="G48" s="60" t="str">
        <f>IF(ISERROR(VLOOKUP(D48, '[1]4. Billing Det. for Def-Var'!$A$16:$B$50, 2, FALSE)),"", VLOOKUP(D48,'[1]4. Billing Det. for Def-Var'!$A$16:$B$50, 2, FALSE))</f>
        <v/>
      </c>
      <c r="H48" s="61"/>
      <c r="I48" s="62">
        <v>1.0306999999999999</v>
      </c>
      <c r="J48" s="63">
        <f t="shared" si="0"/>
        <v>1.0306999999999999</v>
      </c>
      <c r="K48" s="64"/>
      <c r="L48" s="64"/>
      <c r="M48" s="61"/>
      <c r="N48" s="65"/>
    </row>
    <row r="49" spans="2:15" s="35" customFormat="1" ht="15" x14ac:dyDescent="0.25">
      <c r="B49" s="35">
        <v>20</v>
      </c>
      <c r="C49" s="56" t="str">
        <f>IF(ISERROR(VLOOKUP(D46, D30:O49, 42, FALSE)),"", VLOOKUP(D46, D30:O49, 42, FALSE))</f>
        <v/>
      </c>
      <c r="D49" s="68" t="s">
        <v>142</v>
      </c>
      <c r="E49" s="69"/>
      <c r="F49" s="70"/>
      <c r="G49" s="60" t="str">
        <f>IF(ISERROR(VLOOKUP(D49, '[1]4. Billing Det. for Def-Var'!$A$16:$B$50, 2, FALSE)),"", VLOOKUP(D49,'[1]4. Billing Det. for Def-Var'!$A$16:$B$50, 2, FALSE))</f>
        <v/>
      </c>
      <c r="H49" s="61"/>
      <c r="I49" s="62">
        <v>1.0306999999999999</v>
      </c>
      <c r="J49" s="63">
        <f t="shared" si="0"/>
        <v>1.0306999999999999</v>
      </c>
      <c r="K49" s="64"/>
      <c r="L49" s="64"/>
      <c r="M49" s="61"/>
      <c r="N49" s="65"/>
    </row>
    <row r="50" spans="2:15" s="35" customFormat="1" x14ac:dyDescent="0.2">
      <c r="C50" s="42"/>
    </row>
    <row r="51" spans="2:15" s="35" customFormat="1" ht="15.75" x14ac:dyDescent="0.25">
      <c r="C51" s="42"/>
      <c r="D51" s="48" t="s">
        <v>143</v>
      </c>
    </row>
    <row r="52" spans="2:15" s="35" customFormat="1" ht="12.75" customHeight="1" x14ac:dyDescent="0.2">
      <c r="C52" s="42"/>
      <c r="D52" s="71" t="s">
        <v>130</v>
      </c>
      <c r="E52" s="72"/>
      <c r="F52" s="73"/>
      <c r="G52" s="74" t="s">
        <v>131</v>
      </c>
      <c r="H52" s="75" t="s">
        <v>144</v>
      </c>
      <c r="I52" s="75"/>
      <c r="J52" s="75"/>
      <c r="K52" s="75"/>
      <c r="L52" s="75"/>
      <c r="M52" s="75"/>
      <c r="N52" s="75" t="s">
        <v>145</v>
      </c>
      <c r="O52" s="75"/>
    </row>
    <row r="53" spans="2:15" s="35" customFormat="1" x14ac:dyDescent="0.2">
      <c r="C53" s="42"/>
      <c r="D53" s="76"/>
      <c r="E53" s="77"/>
      <c r="F53" s="78"/>
      <c r="G53" s="74"/>
      <c r="H53" s="79" t="s">
        <v>146</v>
      </c>
      <c r="I53" s="79"/>
      <c r="J53" s="79" t="s">
        <v>147</v>
      </c>
      <c r="K53" s="79"/>
      <c r="L53" s="79" t="s">
        <v>148</v>
      </c>
      <c r="M53" s="79"/>
      <c r="N53" s="79" t="s">
        <v>149</v>
      </c>
      <c r="O53" s="79"/>
    </row>
    <row r="54" spans="2:15" s="35" customFormat="1" x14ac:dyDescent="0.2">
      <c r="C54" s="42"/>
      <c r="D54" s="80"/>
      <c r="E54" s="81"/>
      <c r="F54" s="82"/>
      <c r="G54" s="74"/>
      <c r="H54" s="83" t="s">
        <v>14</v>
      </c>
      <c r="I54" s="83" t="s">
        <v>68</v>
      </c>
      <c r="J54" s="83" t="s">
        <v>14</v>
      </c>
      <c r="K54" s="83" t="s">
        <v>68</v>
      </c>
      <c r="L54" s="83" t="s">
        <v>14</v>
      </c>
      <c r="M54" s="83" t="s">
        <v>68</v>
      </c>
      <c r="N54" s="83" t="s">
        <v>14</v>
      </c>
      <c r="O54" s="83" t="s">
        <v>68</v>
      </c>
    </row>
    <row r="55" spans="2:15" s="35" customFormat="1" ht="15" x14ac:dyDescent="0.2">
      <c r="B55" s="35" t="str">
        <f>H30</f>
        <v>RPP</v>
      </c>
      <c r="C55" s="42">
        <v>1</v>
      </c>
      <c r="D55" s="84" t="str">
        <f t="shared" ref="D55:D74" si="1">IF(ISBLANK(D30), "", IF(D30 = "Add additional scenarios if required", "", IF(M30="YES", D30 &amp; " - " &amp; H30 &amp; " - Interval Customers", D30 &amp; " - " &amp;H30)))</f>
        <v>RESIDENTIAL SERVICE CLASSIFICATION - RPP</v>
      </c>
      <c r="E55" s="84"/>
      <c r="F55" s="84"/>
      <c r="G55" s="85" t="str">
        <f t="shared" ref="G55:G69" si="2">IF(ISBLANK(G30), "", G30)</f>
        <v>kWh</v>
      </c>
      <c r="H55" s="86">
        <f>IF(LEN($G55)&gt;1, (SUMPRODUCT(--($C$78:$C$2000=$B30), --($A$78:$A$2000=$D30), --($B$78:$B$2000="ST_A"), $L$78:$L$2000)), "")</f>
        <v>0</v>
      </c>
      <c r="I55" s="87">
        <f>IF(LEN($G55)&gt;1, (SUMPRODUCT(--($C$78:$C$2000=$B30), --($A$78:$A$2000=$D30), --($B$78:$B$2000="ST_A"), $M$78:$M$2000)), "")</f>
        <v>0</v>
      </c>
      <c r="J55" s="86">
        <f>IF(LEN($G55)&gt;1, (SUMPRODUCT(--($C$78:$C$2000=$B30), --($A$78:$A$2000=$D30), --($B$78:$B$2000="ST_B"), $L$78:$L$2000)), "")</f>
        <v>1.4249999999999972</v>
      </c>
      <c r="K55" s="87">
        <f>IF(LEN($G55)&gt;1, (SUMPRODUCT(--($C$78:$C$2000=$B30), --($A$78:$A$2000=$D30), --($B$78:$B$2000="ST_B"), $M$78:$M$2000)), "")</f>
        <v>4.0113700524764533E-2</v>
      </c>
      <c r="L55" s="86">
        <f>IF(LEN($G55)&gt;1, (SUMPRODUCT(--($C$78:$C$2000=$B30), --($A$78:$A$2000=$D30), --($B$78:$B$2000="ST_C"), $L$78:$L$2000)), "")</f>
        <v>1.4249999999999972</v>
      </c>
      <c r="M55" s="87">
        <f>IF(LEN($G55)&gt;1, (SUMPRODUCT(--($C$78:$C$2000=$B30), --($A$78:$A$2000=$D30), --($B$78:$B$2000="ST_C"), $M$78:$M$2000)), "")</f>
        <v>3.0746742908519909E-2</v>
      </c>
      <c r="N55" s="86">
        <f>IF(LEN($G55)&gt;1, (SUMPRODUCT(--($C$78:$C$2000=$B30), --($A$78:$A$2000=$D30), --($B$78:$B$2000=$B55&amp;"_TOTAL"), $L$78:$L$2000)), "")</f>
        <v>1.4435250000000082</v>
      </c>
      <c r="O55" s="87">
        <f>IF(LEN($G55)&gt;1, (SUMPRODUCT(--($C$78:$C$2000=$B30), --($A$78:$A$2000=$D30), --($B$78:$B$2000=$B55&amp;"_TOTAL"), $M$78:$M$2000)), "")</f>
        <v>1.1946062146181808E-2</v>
      </c>
    </row>
    <row r="56" spans="2:15" s="35" customFormat="1" ht="15" x14ac:dyDescent="0.2">
      <c r="B56" s="35" t="str">
        <f t="shared" ref="B56:B74" si="3">H31</f>
        <v>RPP</v>
      </c>
      <c r="C56" s="42">
        <v>2</v>
      </c>
      <c r="D56" s="84" t="str">
        <f t="shared" si="1"/>
        <v>GENERAL SERVICE LESS THAN 50 KW SERVICE CLASSIFICATION - RPP</v>
      </c>
      <c r="E56" s="84"/>
      <c r="F56" s="84"/>
      <c r="G56" s="85" t="str">
        <f t="shared" si="2"/>
        <v>kWh</v>
      </c>
      <c r="H56" s="86">
        <f t="shared" ref="H56:H74" si="4">IF(LEN($G56)&gt;1, (SUMPRODUCT(--($C$78:$C$2000=$B31), --($A$78:$A$2000=$D31), --($B$78:$B$2000="ST_A"), $L$78:$L$2000)), "")</f>
        <v>0</v>
      </c>
      <c r="I56" s="87">
        <f t="shared" ref="I56:I74" si="5">IF(LEN($G56)&gt;1, (SUMPRODUCT(--($C$78:$C$2000=$B31), --($A$78:$A$2000=$D31), --($B$78:$B$2000="ST_A"), $M$78:$M$2000)), "")</f>
        <v>0</v>
      </c>
      <c r="J56" s="86">
        <f t="shared" ref="J56:J74" si="6">IF(LEN($G56)&gt;1, (SUMPRODUCT(--($C$78:$C$2000=$B31), --($A$78:$A$2000=$D31), --($B$78:$B$2000="ST_B"), $L$78:$L$2000)), "")</f>
        <v>3.8000000000000043</v>
      </c>
      <c r="K56" s="87">
        <f t="shared" ref="K56:K74" si="7">IF(LEN($G56)&gt;1, (SUMPRODUCT(--($C$78:$C$2000=$B31), --($A$78:$A$2000=$D31), --($B$78:$B$2000="ST_B"), $M$78:$M$2000)), "")</f>
        <v>6.0094196070915006E-2</v>
      </c>
      <c r="L56" s="86">
        <f t="shared" ref="L56:L74" si="8">IF(LEN($G56)&gt;1, (SUMPRODUCT(--($C$78:$C$2000=$B31), --($A$78:$A$2000=$D31), --($B$78:$B$2000="ST_C"), $L$78:$L$2000)), "")</f>
        <v>3.7999999999999972</v>
      </c>
      <c r="M56" s="87">
        <f t="shared" ref="M56:M74" si="9">IF(LEN($G56)&gt;1, (SUMPRODUCT(--($C$78:$C$2000=$B31), --($A$78:$A$2000=$D31), --($B$78:$B$2000="ST_C"), $M$78:$M$2000)), "")</f>
        <v>4.2695880836245981E-2</v>
      </c>
      <c r="N56" s="86">
        <f t="shared" ref="N56:N74" si="10">IF(LEN($G56)&gt;1, (SUMPRODUCT(--($C$78:$C$2000=$B31), --($A$78:$A$2000=$D31), --($B$78:$B$2000=$B56&amp;"_TOTAL"), $L$78:$L$2000)), "")</f>
        <v>3.849399999999946</v>
      </c>
      <c r="O56" s="87">
        <f t="shared" ref="O56:O74" si="11">IF(LEN($G56)&gt;1, (SUMPRODUCT(--($C$78:$C$2000=$B31), --($A$78:$A$2000=$D31), --($B$78:$B$2000=$B56&amp;"_TOTAL"), $M$78:$M$2000)), "")</f>
        <v>1.3423244580488445E-2</v>
      </c>
    </row>
    <row r="57" spans="2:15" s="35" customFormat="1" ht="15" x14ac:dyDescent="0.2">
      <c r="B57" s="35" t="str">
        <f t="shared" si="3"/>
        <v>Non-RPP (Other)</v>
      </c>
      <c r="C57" s="42">
        <v>3</v>
      </c>
      <c r="D57" s="84" t="str">
        <f t="shared" si="1"/>
        <v>GENERAL SERVICE 50 TO 999 KW SERVICE CLASSIFICATION - Non-RPP (Other)</v>
      </c>
      <c r="E57" s="84"/>
      <c r="F57" s="84"/>
      <c r="G57" s="85" t="str">
        <f t="shared" si="2"/>
        <v>kW</v>
      </c>
      <c r="H57" s="86">
        <f t="shared" si="4"/>
        <v>0</v>
      </c>
      <c r="I57" s="87">
        <f t="shared" si="5"/>
        <v>0</v>
      </c>
      <c r="J57" s="86">
        <f t="shared" si="6"/>
        <v>-73.326000000000022</v>
      </c>
      <c r="K57" s="87">
        <f t="shared" si="7"/>
        <v>-0.1727366100033923</v>
      </c>
      <c r="L57" s="86">
        <f t="shared" si="8"/>
        <v>-73.326000000000022</v>
      </c>
      <c r="M57" s="87">
        <f t="shared" si="9"/>
        <v>-8.4966987024243532E-2</v>
      </c>
      <c r="N57" s="86">
        <f t="shared" si="10"/>
        <v>-82.858380000000125</v>
      </c>
      <c r="O57" s="87">
        <f t="shared" si="11"/>
        <v>-2.4966186727710143E-2</v>
      </c>
    </row>
    <row r="58" spans="2:15" s="35" customFormat="1" ht="15" x14ac:dyDescent="0.2">
      <c r="B58" s="35" t="str">
        <f t="shared" si="3"/>
        <v>Non-RPP (Other)</v>
      </c>
      <c r="C58" s="42">
        <v>4</v>
      </c>
      <c r="D58" s="84" t="str">
        <f t="shared" si="1"/>
        <v>GENERAL SERVICE 1,000 TO 4,999 KW SERVICE CLASSIFICATION - Non-RPP (Other)</v>
      </c>
      <c r="E58" s="84"/>
      <c r="F58" s="84"/>
      <c r="G58" s="85" t="str">
        <f t="shared" si="2"/>
        <v>kW</v>
      </c>
      <c r="H58" s="86">
        <f t="shared" si="4"/>
        <v>0</v>
      </c>
      <c r="I58" s="87">
        <f t="shared" si="5"/>
        <v>0</v>
      </c>
      <c r="J58" s="86">
        <f t="shared" si="6"/>
        <v>-2743.9999999999982</v>
      </c>
      <c r="K58" s="87">
        <f t="shared" si="7"/>
        <v>-0.24656391971936267</v>
      </c>
      <c r="L58" s="86">
        <f t="shared" si="8"/>
        <v>-2743.9999999999964</v>
      </c>
      <c r="M58" s="87">
        <f t="shared" si="9"/>
        <v>-0.12683879270177706</v>
      </c>
      <c r="N58" s="86">
        <f t="shared" si="10"/>
        <v>-3100.7200000000012</v>
      </c>
      <c r="O58" s="87">
        <f t="shared" si="11"/>
        <v>-2.6237095799802403E-2</v>
      </c>
    </row>
    <row r="59" spans="2:15" s="35" customFormat="1" ht="15" x14ac:dyDescent="0.2">
      <c r="B59" s="35" t="str">
        <f t="shared" si="3"/>
        <v>Non-RPP (Other)</v>
      </c>
      <c r="C59" s="42">
        <v>5</v>
      </c>
      <c r="D59" s="84" t="str">
        <f t="shared" si="1"/>
        <v>LARGE USE SERVICE CLASSIFICATION - Non-RPP (Other)</v>
      </c>
      <c r="E59" s="84"/>
      <c r="F59" s="84"/>
      <c r="G59" s="85" t="str">
        <f t="shared" si="2"/>
        <v>kW</v>
      </c>
      <c r="H59" s="86">
        <f t="shared" si="4"/>
        <v>0</v>
      </c>
      <c r="I59" s="87">
        <f t="shared" si="5"/>
        <v>0</v>
      </c>
      <c r="J59" s="86">
        <f t="shared" si="6"/>
        <v>15012.799999999988</v>
      </c>
      <c r="K59" s="87">
        <f t="shared" si="7"/>
        <v>0.28919437306898566</v>
      </c>
      <c r="L59" s="86">
        <f t="shared" si="8"/>
        <v>15012.799999999988</v>
      </c>
      <c r="M59" s="87">
        <f t="shared" si="9"/>
        <v>0.10895350193325544</v>
      </c>
      <c r="N59" s="86">
        <f t="shared" si="10"/>
        <v>16964.464000000036</v>
      </c>
      <c r="O59" s="87">
        <f t="shared" si="11"/>
        <v>1.8260754327570627E-2</v>
      </c>
    </row>
    <row r="60" spans="2:15" s="35" customFormat="1" ht="15" x14ac:dyDescent="0.2">
      <c r="B60" s="35" t="str">
        <f t="shared" si="3"/>
        <v>RPP</v>
      </c>
      <c r="C60" s="42">
        <v>6</v>
      </c>
      <c r="D60" s="84" t="str">
        <f t="shared" si="1"/>
        <v>UNMETERED SCATTERED LOAD SERVICE CLASSIFICATION - RPP</v>
      </c>
      <c r="E60" s="84"/>
      <c r="F60" s="84"/>
      <c r="G60" s="85" t="str">
        <f t="shared" si="2"/>
        <v>kWh</v>
      </c>
      <c r="H60" s="86">
        <f t="shared" si="4"/>
        <v>0</v>
      </c>
      <c r="I60" s="87">
        <f t="shared" si="5"/>
        <v>0</v>
      </c>
      <c r="J60" s="86">
        <f t="shared" si="6"/>
        <v>-0.25999999999999979</v>
      </c>
      <c r="K60" s="87">
        <f t="shared" si="7"/>
        <v>-2.9394463869285962E-2</v>
      </c>
      <c r="L60" s="86">
        <f t="shared" si="8"/>
        <v>-0.25999999999999979</v>
      </c>
      <c r="M60" s="87">
        <f t="shared" si="9"/>
        <v>-2.5735803957315371E-2</v>
      </c>
      <c r="N60" s="86">
        <f t="shared" si="10"/>
        <v>-0.26337999999999795</v>
      </c>
      <c r="O60" s="87">
        <f t="shared" si="11"/>
        <v>-1.2971055090565304E-2</v>
      </c>
    </row>
    <row r="61" spans="2:15" s="35" customFormat="1" ht="15" x14ac:dyDescent="0.2">
      <c r="B61" s="35" t="str">
        <f t="shared" si="3"/>
        <v>Non-RPP (Other)</v>
      </c>
      <c r="C61" s="42">
        <v>7</v>
      </c>
      <c r="D61" s="84" t="str">
        <f t="shared" si="1"/>
        <v>STREET LIGHTING SERVICE CLASSIFICATION - Non-RPP (Other)</v>
      </c>
      <c r="E61" s="84"/>
      <c r="F61" s="84"/>
      <c r="G61" s="85" t="str">
        <f t="shared" si="2"/>
        <v>kW</v>
      </c>
      <c r="H61" s="86">
        <f t="shared" si="4"/>
        <v>0</v>
      </c>
      <c r="I61" s="87">
        <f t="shared" si="5"/>
        <v>0</v>
      </c>
      <c r="J61" s="86">
        <f t="shared" si="6"/>
        <v>-2693.2660000000014</v>
      </c>
      <c r="K61" s="87">
        <f t="shared" si="7"/>
        <v>-0.18307904875729958</v>
      </c>
      <c r="L61" s="86">
        <f t="shared" si="8"/>
        <v>-2693.2659999999996</v>
      </c>
      <c r="M61" s="87">
        <f t="shared" si="9"/>
        <v>-0.15442387293747234</v>
      </c>
      <c r="N61" s="86">
        <f t="shared" si="10"/>
        <v>-3043.3905799999993</v>
      </c>
      <c r="O61" s="87">
        <f t="shared" si="11"/>
        <v>-4.560771948465013E-2</v>
      </c>
    </row>
    <row r="62" spans="2:15" s="35" customFormat="1" ht="15" x14ac:dyDescent="0.2">
      <c r="B62" s="35" t="str">
        <f t="shared" si="3"/>
        <v>RPP</v>
      </c>
      <c r="C62" s="42">
        <v>8</v>
      </c>
      <c r="D62" s="84" t="str">
        <f t="shared" si="1"/>
        <v>SENTINEL LIGHTING SERVICE CLASSIFICATION - RPP</v>
      </c>
      <c r="E62" s="84"/>
      <c r="F62" s="84"/>
      <c r="G62" s="85" t="str">
        <f t="shared" si="2"/>
        <v>kW</v>
      </c>
      <c r="H62" s="86">
        <f t="shared" si="4"/>
        <v>0</v>
      </c>
      <c r="I62" s="87">
        <f t="shared" si="5"/>
        <v>0</v>
      </c>
      <c r="J62" s="86">
        <f t="shared" si="6"/>
        <v>17.020099999999957</v>
      </c>
      <c r="K62" s="87">
        <f t="shared" si="7"/>
        <v>1.2229319225389956E-2</v>
      </c>
      <c r="L62" s="86">
        <f t="shared" si="8"/>
        <v>17.020099999999729</v>
      </c>
      <c r="M62" s="87">
        <f t="shared" si="9"/>
        <v>1.126696770874234E-2</v>
      </c>
      <c r="N62" s="86">
        <f t="shared" si="10"/>
        <v>17.241361299999426</v>
      </c>
      <c r="O62" s="87">
        <f t="shared" si="11"/>
        <v>6.8627589733773814E-3</v>
      </c>
    </row>
    <row r="63" spans="2:15" s="35" customFormat="1" ht="15" x14ac:dyDescent="0.2">
      <c r="B63" s="35" t="str">
        <f t="shared" si="3"/>
        <v>Non-RPP (Other)</v>
      </c>
      <c r="C63" s="42">
        <v>9</v>
      </c>
      <c r="D63" s="84" t="str">
        <f t="shared" si="1"/>
        <v>EMBEDDED DISTRIBUTOR SERVICE CLASSIFICATION - HYDRO ONE CND - Non-RPP (Other)</v>
      </c>
      <c r="E63" s="84"/>
      <c r="F63" s="84"/>
      <c r="G63" s="85" t="str">
        <f t="shared" si="2"/>
        <v>kW</v>
      </c>
      <c r="H63" s="86">
        <f t="shared" si="4"/>
        <v>0</v>
      </c>
      <c r="I63" s="87">
        <f t="shared" si="5"/>
        <v>0</v>
      </c>
      <c r="J63" s="86">
        <f t="shared" si="6"/>
        <v>-5218.4861999999985</v>
      </c>
      <c r="K63" s="87">
        <f t="shared" si="7"/>
        <v>-0.65093549476005819</v>
      </c>
      <c r="L63" s="86">
        <f t="shared" si="8"/>
        <v>-5218.4861999999994</v>
      </c>
      <c r="M63" s="87">
        <f t="shared" si="9"/>
        <v>-0.22814278368630117</v>
      </c>
      <c r="N63" s="86">
        <f t="shared" si="10"/>
        <v>-5896.8894060000021</v>
      </c>
      <c r="O63" s="87">
        <f t="shared" si="11"/>
        <v>-3.1404234397631195E-2</v>
      </c>
    </row>
    <row r="64" spans="2:15" s="35" customFormat="1" ht="15" x14ac:dyDescent="0.2">
      <c r="B64" s="35" t="str">
        <f t="shared" si="3"/>
        <v>Non-RPP (Other)</v>
      </c>
      <c r="C64" s="42">
        <v>10</v>
      </c>
      <c r="D64" s="84" t="str">
        <f t="shared" si="1"/>
        <v>EMBEDDED DISTRIBUTOR SERVICE CLASSIFICATION - WATERLOO - Non-RPP (Other)</v>
      </c>
      <c r="E64" s="84"/>
      <c r="F64" s="84"/>
      <c r="G64" s="85" t="str">
        <f t="shared" si="2"/>
        <v>kW</v>
      </c>
      <c r="H64" s="86">
        <f t="shared" si="4"/>
        <v>0</v>
      </c>
      <c r="I64" s="87">
        <f t="shared" si="5"/>
        <v>0</v>
      </c>
      <c r="J64" s="86">
        <f t="shared" si="6"/>
        <v>91.907999999999447</v>
      </c>
      <c r="K64" s="87">
        <f t="shared" si="7"/>
        <v>4.1939619323619571E-3</v>
      </c>
      <c r="L64" s="86">
        <f t="shared" si="8"/>
        <v>91.907999999995809</v>
      </c>
      <c r="M64" s="87">
        <f t="shared" si="9"/>
        <v>1.3185149551770592E-3</v>
      </c>
      <c r="N64" s="86">
        <f t="shared" si="10"/>
        <v>103.85603999999876</v>
      </c>
      <c r="O64" s="87">
        <f t="shared" si="11"/>
        <v>1.3185102263301807E-3</v>
      </c>
    </row>
    <row r="65" spans="1:15" s="35" customFormat="1" ht="15" x14ac:dyDescent="0.2">
      <c r="B65" s="35" t="str">
        <f t="shared" si="3"/>
        <v>Non-RPP (Other)</v>
      </c>
      <c r="C65" s="42">
        <v>11</v>
      </c>
      <c r="D65" s="84" t="str">
        <f t="shared" si="1"/>
        <v>EMBEDDED DISTRIBUTOR SERVICE CLASSIFICATION - BRANTFORD - Non-RPP (Other)</v>
      </c>
      <c r="E65" s="84"/>
      <c r="F65" s="84"/>
      <c r="G65" s="85" t="str">
        <f t="shared" si="2"/>
        <v>kW</v>
      </c>
      <c r="H65" s="86">
        <f t="shared" si="4"/>
        <v>0</v>
      </c>
      <c r="I65" s="87">
        <f t="shared" si="5"/>
        <v>0</v>
      </c>
      <c r="J65" s="86">
        <f t="shared" si="6"/>
        <v>-171.10530000000003</v>
      </c>
      <c r="K65" s="87">
        <f t="shared" si="7"/>
        <v>-0.41631875159825199</v>
      </c>
      <c r="L65" s="86">
        <f t="shared" si="8"/>
        <v>-171.1053</v>
      </c>
      <c r="M65" s="87">
        <f t="shared" si="9"/>
        <v>-0.30139597854042555</v>
      </c>
      <c r="N65" s="86">
        <f t="shared" si="10"/>
        <v>-193.34898899999916</v>
      </c>
      <c r="O65" s="87">
        <f t="shared" si="11"/>
        <v>-2.9745130029041944E-2</v>
      </c>
    </row>
    <row r="66" spans="1:15" s="35" customFormat="1" ht="15" x14ac:dyDescent="0.2">
      <c r="B66" s="35" t="str">
        <f t="shared" si="3"/>
        <v>Non-RPP (Other)</v>
      </c>
      <c r="C66" s="42">
        <v>12</v>
      </c>
      <c r="D66" s="84" t="str">
        <f t="shared" si="1"/>
        <v>EMBEDDED DISTRIBUTOR SERVICE CLASSIFICATION - HYDRO ONE #1 - Non-RPP (Other)</v>
      </c>
      <c r="E66" s="84"/>
      <c r="F66" s="84"/>
      <c r="G66" s="85" t="str">
        <f t="shared" si="2"/>
        <v>kW</v>
      </c>
      <c r="H66" s="86">
        <f t="shared" si="4"/>
        <v>0</v>
      </c>
      <c r="I66" s="87">
        <f t="shared" si="5"/>
        <v>0</v>
      </c>
      <c r="J66" s="86">
        <f t="shared" si="6"/>
        <v>-4971.7979999999998</v>
      </c>
      <c r="K66" s="87">
        <f t="shared" si="7"/>
        <v>-1.0132035651867697</v>
      </c>
      <c r="L66" s="86">
        <f t="shared" si="8"/>
        <v>-4971.7979999999989</v>
      </c>
      <c r="M66" s="87">
        <f t="shared" si="9"/>
        <v>-0.26891151640345762</v>
      </c>
      <c r="N66" s="86">
        <f t="shared" si="10"/>
        <v>-5618.1317399999825</v>
      </c>
      <c r="O66" s="87">
        <f t="shared" si="11"/>
        <v>-3.2435247983612629E-2</v>
      </c>
    </row>
    <row r="67" spans="1:15" s="35" customFormat="1" ht="15" x14ac:dyDescent="0.2">
      <c r="B67" s="35" t="str">
        <f t="shared" si="3"/>
        <v>Non-RPP (Other)</v>
      </c>
      <c r="C67" s="42">
        <v>13</v>
      </c>
      <c r="D67" s="84" t="str">
        <f t="shared" si="1"/>
        <v>EMBEDDED DISTRIBUTOR SERVICE CLASSIFICATION - HYDRO ONE #2 - Non-RPP (Other)</v>
      </c>
      <c r="E67" s="84"/>
      <c r="F67" s="84"/>
      <c r="G67" s="85" t="str">
        <f t="shared" si="2"/>
        <v>kW</v>
      </c>
      <c r="H67" s="86">
        <f t="shared" si="4"/>
        <v>0</v>
      </c>
      <c r="I67" s="87">
        <f t="shared" si="5"/>
        <v>0</v>
      </c>
      <c r="J67" s="86">
        <f t="shared" si="6"/>
        <v>-7900.7849999999999</v>
      </c>
      <c r="K67" s="87">
        <f t="shared" si="7"/>
        <v>-3.2876855121101722</v>
      </c>
      <c r="L67" s="86">
        <f t="shared" si="8"/>
        <v>-7900.7849999999999</v>
      </c>
      <c r="M67" s="87">
        <f t="shared" si="9"/>
        <v>-3.2876855121101722</v>
      </c>
      <c r="N67" s="86">
        <f t="shared" si="10"/>
        <v>-8927.8870499999903</v>
      </c>
      <c r="O67" s="87">
        <f t="shared" si="11"/>
        <v>-3.7849277448697503E-2</v>
      </c>
    </row>
    <row r="68" spans="1:15" s="35" customFormat="1" ht="15" x14ac:dyDescent="0.2">
      <c r="B68" s="35" t="str">
        <f t="shared" si="3"/>
        <v>RPP</v>
      </c>
      <c r="C68" s="42">
        <v>14</v>
      </c>
      <c r="D68" s="84" t="str">
        <f t="shared" si="1"/>
        <v>RESIDENTIAL SERVICE CLASSIFICATION - RPP</v>
      </c>
      <c r="E68" s="84"/>
      <c r="F68" s="84"/>
      <c r="G68" s="85" t="str">
        <f t="shared" si="2"/>
        <v>kWh</v>
      </c>
      <c r="H68" s="86">
        <f t="shared" si="4"/>
        <v>0</v>
      </c>
      <c r="I68" s="87">
        <f t="shared" si="5"/>
        <v>0</v>
      </c>
      <c r="J68" s="86">
        <f t="shared" si="6"/>
        <v>0.65599999999999881</v>
      </c>
      <c r="K68" s="87">
        <f t="shared" si="7"/>
        <v>1.9522028231695385E-2</v>
      </c>
      <c r="L68" s="86">
        <f t="shared" si="8"/>
        <v>0.6559999999999917</v>
      </c>
      <c r="M68" s="87">
        <f t="shared" si="9"/>
        <v>1.7111835126767169E-2</v>
      </c>
      <c r="N68" s="86">
        <f t="shared" si="10"/>
        <v>0.66452800000000423</v>
      </c>
      <c r="O68" s="87">
        <f t="shared" si="11"/>
        <v>9.3213977427731229E-3</v>
      </c>
    </row>
    <row r="69" spans="1:15" s="35" customFormat="1" ht="15" x14ac:dyDescent="0.2">
      <c r="B69" s="35" t="str">
        <f t="shared" si="3"/>
        <v>Non-RPP (Retailer)</v>
      </c>
      <c r="C69" s="42">
        <v>15</v>
      </c>
      <c r="D69" s="84" t="str">
        <f t="shared" si="1"/>
        <v>GENERAL SERVICE LESS THAN 50 KW SERVICE CLASSIFICATION - Non-RPP (Retailer)</v>
      </c>
      <c r="E69" s="84"/>
      <c r="F69" s="84"/>
      <c r="G69" s="85" t="str">
        <f t="shared" si="2"/>
        <v>kWh</v>
      </c>
      <c r="H69" s="86">
        <f t="shared" si="4"/>
        <v>0</v>
      </c>
      <c r="I69" s="87">
        <f t="shared" si="5"/>
        <v>0</v>
      </c>
      <c r="J69" s="86">
        <f t="shared" si="6"/>
        <v>-242.00000000000003</v>
      </c>
      <c r="K69" s="87">
        <f t="shared" si="7"/>
        <v>-0.59498930494431201</v>
      </c>
      <c r="L69" s="86">
        <f t="shared" si="8"/>
        <v>-242</v>
      </c>
      <c r="M69" s="87">
        <f t="shared" si="9"/>
        <v>-0.36423566950880865</v>
      </c>
      <c r="N69" s="86">
        <f t="shared" si="10"/>
        <v>-273.46000000000004</v>
      </c>
      <c r="O69" s="87">
        <f t="shared" si="11"/>
        <v>-8.8380085790038004E-2</v>
      </c>
    </row>
    <row r="70" spans="1:15" s="35" customFormat="1" ht="15" x14ac:dyDescent="0.2">
      <c r="B70" s="35" t="str">
        <f t="shared" si="3"/>
        <v>Non-RPP (Other)</v>
      </c>
      <c r="C70" s="42">
        <v>16</v>
      </c>
      <c r="D70" s="84" t="str">
        <f t="shared" si="1"/>
        <v>EMBEDDED DISTRIBUTOR SERVICE CLASSIFICATION - WATERLOO - Non-RPP (Other)</v>
      </c>
      <c r="E70" s="84"/>
      <c r="F70" s="84"/>
      <c r="G70" s="85" t="str">
        <f>IF(ISBLANK(G45), "", G45)</f>
        <v>kW</v>
      </c>
      <c r="H70" s="86">
        <f t="shared" si="4"/>
        <v>0</v>
      </c>
      <c r="I70" s="87">
        <f t="shared" si="5"/>
        <v>0</v>
      </c>
      <c r="J70" s="86">
        <f t="shared" si="6"/>
        <v>91.907999999999447</v>
      </c>
      <c r="K70" s="87">
        <f t="shared" si="7"/>
        <v>4.1939619323619571E-3</v>
      </c>
      <c r="L70" s="86">
        <f t="shared" si="8"/>
        <v>91.907999999995809</v>
      </c>
      <c r="M70" s="87">
        <f t="shared" si="9"/>
        <v>1.3185149551770592E-3</v>
      </c>
      <c r="N70" s="86">
        <f t="shared" si="10"/>
        <v>103.85603999986779</v>
      </c>
      <c r="O70" s="87">
        <f t="shared" si="11"/>
        <v>1.4957811000457095E-4</v>
      </c>
    </row>
    <row r="71" spans="1:15" s="35" customFormat="1" ht="15" x14ac:dyDescent="0.2">
      <c r="B71" s="35">
        <f t="shared" si="3"/>
        <v>0</v>
      </c>
      <c r="C71" s="42">
        <v>17</v>
      </c>
      <c r="D71" s="84" t="str">
        <f t="shared" si="1"/>
        <v/>
      </c>
      <c r="E71" s="84"/>
      <c r="F71" s="84"/>
      <c r="G71" s="85" t="str">
        <f>IF(ISBLANK(G46), "", G46)</f>
        <v/>
      </c>
      <c r="H71" s="86" t="str">
        <f t="shared" si="4"/>
        <v/>
      </c>
      <c r="I71" s="87" t="str">
        <f t="shared" si="5"/>
        <v/>
      </c>
      <c r="J71" s="86" t="str">
        <f t="shared" si="6"/>
        <v/>
      </c>
      <c r="K71" s="87" t="str">
        <f t="shared" si="7"/>
        <v/>
      </c>
      <c r="L71" s="86" t="str">
        <f t="shared" si="8"/>
        <v/>
      </c>
      <c r="M71" s="87" t="str">
        <f t="shared" si="9"/>
        <v/>
      </c>
      <c r="N71" s="86" t="str">
        <f t="shared" si="10"/>
        <v/>
      </c>
      <c r="O71" s="87" t="str">
        <f t="shared" si="11"/>
        <v/>
      </c>
    </row>
    <row r="72" spans="1:15" s="35" customFormat="1" ht="15" x14ac:dyDescent="0.2">
      <c r="B72" s="35">
        <f t="shared" si="3"/>
        <v>0</v>
      </c>
      <c r="C72" s="42">
        <v>18</v>
      </c>
      <c r="D72" s="84" t="str">
        <f t="shared" si="1"/>
        <v/>
      </c>
      <c r="E72" s="84"/>
      <c r="F72" s="84"/>
      <c r="G72" s="85" t="str">
        <f>IF(ISBLANK(G47), "", G47)</f>
        <v/>
      </c>
      <c r="H72" s="86" t="str">
        <f t="shared" si="4"/>
        <v/>
      </c>
      <c r="I72" s="87" t="str">
        <f t="shared" si="5"/>
        <v/>
      </c>
      <c r="J72" s="86" t="str">
        <f t="shared" si="6"/>
        <v/>
      </c>
      <c r="K72" s="87" t="str">
        <f t="shared" si="7"/>
        <v/>
      </c>
      <c r="L72" s="86" t="str">
        <f t="shared" si="8"/>
        <v/>
      </c>
      <c r="M72" s="87" t="str">
        <f t="shared" si="9"/>
        <v/>
      </c>
      <c r="N72" s="86" t="str">
        <f t="shared" si="10"/>
        <v/>
      </c>
      <c r="O72" s="87" t="str">
        <f t="shared" si="11"/>
        <v/>
      </c>
    </row>
    <row r="73" spans="1:15" s="35" customFormat="1" ht="15" x14ac:dyDescent="0.2">
      <c r="B73" s="35">
        <f t="shared" si="3"/>
        <v>0</v>
      </c>
      <c r="C73" s="42">
        <v>19</v>
      </c>
      <c r="D73" s="84" t="str">
        <f t="shared" si="1"/>
        <v/>
      </c>
      <c r="E73" s="84"/>
      <c r="F73" s="84"/>
      <c r="G73" s="85" t="str">
        <f>IF(ISBLANK(G48), "", G48)</f>
        <v/>
      </c>
      <c r="H73" s="86" t="str">
        <f t="shared" si="4"/>
        <v/>
      </c>
      <c r="I73" s="87" t="str">
        <f t="shared" si="5"/>
        <v/>
      </c>
      <c r="J73" s="86" t="str">
        <f t="shared" si="6"/>
        <v/>
      </c>
      <c r="K73" s="87" t="str">
        <f t="shared" si="7"/>
        <v/>
      </c>
      <c r="L73" s="86" t="str">
        <f t="shared" si="8"/>
        <v/>
      </c>
      <c r="M73" s="87" t="str">
        <f t="shared" si="9"/>
        <v/>
      </c>
      <c r="N73" s="86" t="str">
        <f t="shared" si="10"/>
        <v/>
      </c>
      <c r="O73" s="87" t="str">
        <f t="shared" si="11"/>
        <v/>
      </c>
    </row>
    <row r="74" spans="1:15" s="35" customFormat="1" ht="15" x14ac:dyDescent="0.2">
      <c r="B74" s="35">
        <f t="shared" si="3"/>
        <v>0</v>
      </c>
      <c r="C74" s="42">
        <v>20</v>
      </c>
      <c r="D74" s="84" t="str">
        <f t="shared" si="1"/>
        <v/>
      </c>
      <c r="E74" s="84"/>
      <c r="F74" s="84"/>
      <c r="G74" s="85" t="str">
        <f>IF(ISBLANK(G49), "", G49)</f>
        <v/>
      </c>
      <c r="H74" s="86" t="str">
        <f t="shared" si="4"/>
        <v/>
      </c>
      <c r="I74" s="87" t="str">
        <f t="shared" si="5"/>
        <v/>
      </c>
      <c r="J74" s="86" t="str">
        <f t="shared" si="6"/>
        <v/>
      </c>
      <c r="K74" s="87" t="str">
        <f t="shared" si="7"/>
        <v/>
      </c>
      <c r="L74" s="86" t="str">
        <f t="shared" si="8"/>
        <v/>
      </c>
      <c r="M74" s="87" t="str">
        <f t="shared" si="9"/>
        <v/>
      </c>
      <c r="N74" s="86" t="str">
        <f t="shared" si="10"/>
        <v/>
      </c>
      <c r="O74" s="87" t="str">
        <f t="shared" si="11"/>
        <v/>
      </c>
    </row>
    <row r="75" spans="1:15" s="35" customFormat="1" x14ac:dyDescent="0.2">
      <c r="C75" s="42"/>
    </row>
    <row r="76" spans="1:15" ht="5.25" customHeight="1" x14ac:dyDescent="0.2">
      <c r="A76" s="88"/>
      <c r="B76" s="88"/>
      <c r="C76" s="89"/>
      <c r="D76" s="88"/>
      <c r="E76" s="88"/>
      <c r="F76" s="88"/>
      <c r="G76" s="88"/>
      <c r="H76" s="88"/>
      <c r="I76" s="88"/>
      <c r="J76" s="88"/>
      <c r="K76" s="88"/>
      <c r="L76" s="88"/>
      <c r="M76" s="88"/>
      <c r="N76" s="88"/>
      <c r="O76" s="88"/>
    </row>
    <row r="77" spans="1:15" s="35" customFormat="1" x14ac:dyDescent="0.2">
      <c r="C77" s="42"/>
    </row>
    <row r="78" spans="1:15" x14ac:dyDescent="0.2">
      <c r="C78" s="46"/>
      <c r="D78" s="90" t="s">
        <v>150</v>
      </c>
      <c r="E78" s="91" t="str">
        <f>D30</f>
        <v>RESIDENTIAL SERVICE CLASSIFICATION</v>
      </c>
      <c r="F78" s="91"/>
      <c r="G78" s="91"/>
      <c r="H78" s="91"/>
      <c r="I78" s="91"/>
      <c r="J78" s="91"/>
      <c r="K78" s="46" t="str">
        <f>IF(N30="DEMAND - INTERVAL","RTSR - INTERVAL METERED","")</f>
        <v/>
      </c>
    </row>
    <row r="79" spans="1:15" x14ac:dyDescent="0.2">
      <c r="C79" s="46"/>
      <c r="D79" s="90" t="s">
        <v>151</v>
      </c>
      <c r="E79" s="92" t="str">
        <f>H30</f>
        <v>RPP</v>
      </c>
      <c r="F79" s="92"/>
      <c r="G79" s="92"/>
      <c r="H79" s="93"/>
      <c r="I79" s="93"/>
    </row>
    <row r="80" spans="1:15" ht="15.75" x14ac:dyDescent="0.2">
      <c r="C80" s="46"/>
      <c r="D80" s="90" t="s">
        <v>152</v>
      </c>
      <c r="E80" s="94">
        <f>K30</f>
        <v>750</v>
      </c>
      <c r="F80" s="95" t="s">
        <v>153</v>
      </c>
      <c r="J80" s="96"/>
      <c r="K80" s="96"/>
      <c r="L80" s="96"/>
      <c r="M80" s="96"/>
      <c r="N80" s="96"/>
    </row>
    <row r="81" spans="1:13" ht="15.75" x14ac:dyDescent="0.25">
      <c r="C81" s="46"/>
      <c r="D81" s="90" t="s">
        <v>154</v>
      </c>
      <c r="E81" s="94">
        <f>L30</f>
        <v>0</v>
      </c>
      <c r="F81" s="97" t="s">
        <v>155</v>
      </c>
      <c r="G81" s="98"/>
      <c r="H81" s="99"/>
      <c r="I81" s="99"/>
      <c r="J81" s="99"/>
    </row>
    <row r="82" spans="1:13" x14ac:dyDescent="0.2">
      <c r="C82" s="46"/>
      <c r="D82" s="90" t="s">
        <v>156</v>
      </c>
      <c r="E82" s="100">
        <f>I30</f>
        <v>1.0306999999999999</v>
      </c>
    </row>
    <row r="83" spans="1:13" x14ac:dyDescent="0.2">
      <c r="C83" s="46"/>
      <c r="D83" s="90" t="s">
        <v>157</v>
      </c>
      <c r="E83" s="100">
        <f>J30</f>
        <v>1.0306999999999999</v>
      </c>
    </row>
    <row r="84" spans="1:13" x14ac:dyDescent="0.2">
      <c r="C84" s="46"/>
    </row>
    <row r="85" spans="1:13" x14ac:dyDescent="0.2">
      <c r="C85" s="46"/>
      <c r="E85" s="95"/>
      <c r="F85" s="101" t="s">
        <v>226</v>
      </c>
      <c r="G85" s="102"/>
      <c r="H85" s="103"/>
      <c r="I85" s="101" t="s">
        <v>205</v>
      </c>
      <c r="J85" s="102"/>
      <c r="K85" s="103"/>
      <c r="L85" s="101" t="s">
        <v>158</v>
      </c>
      <c r="M85" s="103"/>
    </row>
    <row r="86" spans="1:13" x14ac:dyDescent="0.2">
      <c r="C86" s="46"/>
      <c r="E86" s="104"/>
      <c r="F86" s="105" t="s">
        <v>159</v>
      </c>
      <c r="G86" s="105" t="s">
        <v>160</v>
      </c>
      <c r="H86" s="106" t="s">
        <v>161</v>
      </c>
      <c r="I86" s="105" t="s">
        <v>159</v>
      </c>
      <c r="J86" s="107" t="s">
        <v>160</v>
      </c>
      <c r="K86" s="106" t="s">
        <v>161</v>
      </c>
      <c r="L86" s="108" t="s">
        <v>162</v>
      </c>
      <c r="M86" s="109" t="s">
        <v>163</v>
      </c>
    </row>
    <row r="87" spans="1:13" x14ac:dyDescent="0.2">
      <c r="C87" s="46"/>
      <c r="E87" s="110"/>
      <c r="F87" s="111" t="s">
        <v>164</v>
      </c>
      <c r="G87" s="111"/>
      <c r="H87" s="112" t="s">
        <v>164</v>
      </c>
      <c r="I87" s="111" t="s">
        <v>164</v>
      </c>
      <c r="J87" s="112"/>
      <c r="K87" s="112" t="s">
        <v>164</v>
      </c>
      <c r="L87" s="113"/>
      <c r="M87" s="114"/>
    </row>
    <row r="88" spans="1:13" x14ac:dyDescent="0.2">
      <c r="A88" s="46" t="str">
        <f>$E78</f>
        <v>RESIDENTIAL SERVICE CLASSIFICATION</v>
      </c>
      <c r="C88" s="115"/>
      <c r="D88" s="116" t="s">
        <v>165</v>
      </c>
      <c r="E88" s="117"/>
      <c r="F88" s="121">
        <v>30.84</v>
      </c>
      <c r="G88" s="119">
        <v>1</v>
      </c>
      <c r="H88" s="120">
        <f>G88*F88</f>
        <v>30.84</v>
      </c>
      <c r="I88" s="121">
        <f>'Proposed Tariff'!D23</f>
        <v>30.84</v>
      </c>
      <c r="J88" s="122">
        <f>G88</f>
        <v>1</v>
      </c>
      <c r="K88" s="123">
        <f>J88*I88</f>
        <v>30.84</v>
      </c>
      <c r="L88" s="124">
        <f t="shared" ref="L88:L109" si="12">K88-H88</f>
        <v>0</v>
      </c>
      <c r="M88" s="125">
        <f>IF(ISERROR(L88/H88), "", L88/H88)</f>
        <v>0</v>
      </c>
    </row>
    <row r="89" spans="1:13" x14ac:dyDescent="0.2">
      <c r="A89" s="46" t="str">
        <f>A88</f>
        <v>RESIDENTIAL SERVICE CLASSIFICATION</v>
      </c>
      <c r="C89" s="115"/>
      <c r="D89" s="116" t="s">
        <v>30</v>
      </c>
      <c r="E89" s="117"/>
      <c r="F89" s="127">
        <v>0</v>
      </c>
      <c r="G89" s="119">
        <f>IF($E81&gt;0, $E81, $E80)</f>
        <v>750</v>
      </c>
      <c r="H89" s="120">
        <f t="shared" ref="H89:H101" si="13">G89*F89</f>
        <v>0</v>
      </c>
      <c r="I89" s="127">
        <v>0</v>
      </c>
      <c r="J89" s="122">
        <f>IF($E81&gt;0, $E81, $E80)</f>
        <v>750</v>
      </c>
      <c r="K89" s="123">
        <f>J89*I89</f>
        <v>0</v>
      </c>
      <c r="L89" s="124">
        <f t="shared" si="12"/>
        <v>0</v>
      </c>
      <c r="M89" s="125" t="str">
        <f t="shared" ref="M89:M99" si="14">IF(ISERROR(L89/H89), "", L89/H89)</f>
        <v/>
      </c>
    </row>
    <row r="90" spans="1:13" hidden="1" x14ac:dyDescent="0.2">
      <c r="A90" s="46" t="str">
        <f t="shared" ref="A90:A131" si="15">A89</f>
        <v>RESIDENTIAL SERVICE CLASSIFICATION</v>
      </c>
      <c r="C90" s="115"/>
      <c r="D90" s="116" t="s">
        <v>166</v>
      </c>
      <c r="E90" s="117"/>
      <c r="F90" s="127"/>
      <c r="G90" s="119">
        <f>IF($E81&gt;0, $E81, $E80)</f>
        <v>750</v>
      </c>
      <c r="H90" s="120">
        <v>0</v>
      </c>
      <c r="I90" s="127"/>
      <c r="J90" s="122">
        <f>IF($E81&gt;0, $E81, $E80)</f>
        <v>750</v>
      </c>
      <c r="K90" s="123">
        <v>0</v>
      </c>
      <c r="L90" s="124"/>
      <c r="M90" s="125"/>
    </row>
    <row r="91" spans="1:13" hidden="1" x14ac:dyDescent="0.2">
      <c r="A91" s="46" t="str">
        <f t="shared" si="15"/>
        <v>RESIDENTIAL SERVICE CLASSIFICATION</v>
      </c>
      <c r="C91" s="115"/>
      <c r="D91" s="116" t="s">
        <v>167</v>
      </c>
      <c r="E91" s="117"/>
      <c r="F91" s="127"/>
      <c r="G91" s="119">
        <f>IF($E81&gt;0, $E81, $E80)</f>
        <v>750</v>
      </c>
      <c r="H91" s="120">
        <v>0</v>
      </c>
      <c r="I91" s="127"/>
      <c r="J91" s="128">
        <f>IF($E81&gt;0, $E81, $E80)</f>
        <v>750</v>
      </c>
      <c r="K91" s="123">
        <v>0</v>
      </c>
      <c r="L91" s="124">
        <f>K91-H91</f>
        <v>0</v>
      </c>
      <c r="M91" s="125" t="str">
        <f>IF(ISERROR(L91/H91), "", L91/H91)</f>
        <v/>
      </c>
    </row>
    <row r="92" spans="1:13" x14ac:dyDescent="0.2">
      <c r="A92" s="46" t="str">
        <f t="shared" si="15"/>
        <v>RESIDENTIAL SERVICE CLASSIFICATION</v>
      </c>
      <c r="C92" s="115"/>
      <c r="D92" s="116" t="s">
        <v>168</v>
      </c>
      <c r="E92" s="117"/>
      <c r="F92" s="121">
        <v>0.85000000000000009</v>
      </c>
      <c r="G92" s="119">
        <v>1</v>
      </c>
      <c r="H92" s="120">
        <f t="shared" si="13"/>
        <v>0.85000000000000009</v>
      </c>
      <c r="I92" s="121">
        <f>'Proposed Tariff'!D24+'Proposed Tariff'!D25</f>
        <v>0.85000000000000009</v>
      </c>
      <c r="J92" s="122">
        <f>G92</f>
        <v>1</v>
      </c>
      <c r="K92" s="123">
        <f t="shared" ref="K92:K99" si="16">J92*I92</f>
        <v>0.85000000000000009</v>
      </c>
      <c r="L92" s="124">
        <f t="shared" si="12"/>
        <v>0</v>
      </c>
      <c r="M92" s="125">
        <f t="shared" si="14"/>
        <v>0</v>
      </c>
    </row>
    <row r="93" spans="1:13" x14ac:dyDescent="0.2">
      <c r="A93" s="46" t="str">
        <f t="shared" si="15"/>
        <v>RESIDENTIAL SERVICE CLASSIFICATION</v>
      </c>
      <c r="C93" s="115"/>
      <c r="D93" s="116" t="s">
        <v>169</v>
      </c>
      <c r="E93" s="117"/>
      <c r="F93" s="127">
        <v>0</v>
      </c>
      <c r="G93" s="119">
        <f>IF($E81&gt;0, $E81, $E80)</f>
        <v>750</v>
      </c>
      <c r="H93" s="120">
        <f t="shared" si="13"/>
        <v>0</v>
      </c>
      <c r="I93" s="127">
        <v>0</v>
      </c>
      <c r="J93" s="122">
        <f>IF($E81&gt;0, $E81, $E80)</f>
        <v>750</v>
      </c>
      <c r="K93" s="123">
        <f t="shared" si="16"/>
        <v>0</v>
      </c>
      <c r="L93" s="124">
        <f t="shared" si="12"/>
        <v>0</v>
      </c>
      <c r="M93" s="125" t="str">
        <f t="shared" si="14"/>
        <v/>
      </c>
    </row>
    <row r="94" spans="1:13" x14ac:dyDescent="0.2">
      <c r="A94" s="46" t="str">
        <f t="shared" si="15"/>
        <v>RESIDENTIAL SERVICE CLASSIFICATION</v>
      </c>
      <c r="B94" s="46" t="s">
        <v>170</v>
      </c>
      <c r="C94" s="115">
        <f>B30</f>
        <v>1</v>
      </c>
      <c r="D94" s="129" t="s">
        <v>171</v>
      </c>
      <c r="E94" s="130"/>
      <c r="F94" s="134"/>
      <c r="G94" s="132"/>
      <c r="H94" s="133">
        <f>SUM(H88:H93)</f>
        <v>31.69</v>
      </c>
      <c r="I94" s="134"/>
      <c r="J94" s="135"/>
      <c r="K94" s="133">
        <f>SUM(K88:K93)</f>
        <v>31.69</v>
      </c>
      <c r="L94" s="136">
        <f t="shared" si="12"/>
        <v>0</v>
      </c>
      <c r="M94" s="137">
        <f>IF((H94)=0,"",(L94/H94))</f>
        <v>0</v>
      </c>
    </row>
    <row r="95" spans="1:13" x14ac:dyDescent="0.2">
      <c r="A95" s="46" t="str">
        <f t="shared" si="15"/>
        <v>RESIDENTIAL SERVICE CLASSIFICATION</v>
      </c>
      <c r="C95" s="115"/>
      <c r="D95" s="138" t="s">
        <v>172</v>
      </c>
      <c r="E95" s="117"/>
      <c r="F95" s="127">
        <f>IF((E80*12&gt;=150000), 0, IF(E79="RPP",(F111*0.64+F112*0.18+F113*0.18),IF(E79="Non-RPP (Retailer)",F114,F115)))</f>
        <v>9.2899999999999996E-2</v>
      </c>
      <c r="G95" s="139">
        <f>IF(F95=0, 0, $E80*E82-E80)</f>
        <v>23.024999999999977</v>
      </c>
      <c r="H95" s="120">
        <f>G95*F95</f>
        <v>2.1390224999999976</v>
      </c>
      <c r="I95" s="127">
        <f>IF((E80*12&gt;=150000), 0, IF(E79="RPP",(I111*0.64+I112*0.18+I113*0.18),IF(E79="Non-RPP (Retailer)",I114,I115)))</f>
        <v>9.2899999999999996E-2</v>
      </c>
      <c r="J95" s="140">
        <f>IF(I95=0, 0, E80*E83-E80)</f>
        <v>23.024999999999977</v>
      </c>
      <c r="K95" s="123">
        <f>J95*I95</f>
        <v>2.1390224999999976</v>
      </c>
      <c r="L95" s="124">
        <f>K95-H95</f>
        <v>0</v>
      </c>
      <c r="M95" s="125">
        <f>IF(ISERROR(L95/H95), "", L95/H95)</f>
        <v>0</v>
      </c>
    </row>
    <row r="96" spans="1:13" ht="25.5" x14ac:dyDescent="0.2">
      <c r="A96" s="46" t="str">
        <f t="shared" si="15"/>
        <v>RESIDENTIAL SERVICE CLASSIFICATION</v>
      </c>
      <c r="C96" s="115"/>
      <c r="D96" s="138" t="s">
        <v>173</v>
      </c>
      <c r="E96" s="117"/>
      <c r="F96" s="127">
        <v>1.4E-3</v>
      </c>
      <c r="G96" s="141">
        <f>IF($E81&gt;0, $E81, $E80)</f>
        <v>750</v>
      </c>
      <c r="H96" s="120">
        <f t="shared" si="13"/>
        <v>1.05</v>
      </c>
      <c r="I96" s="127">
        <f>'Proposed Tariff'!D31+'Proposed Tariff'!D29</f>
        <v>3.4000000000000002E-3</v>
      </c>
      <c r="J96" s="142">
        <f>IF($E81&gt;0, $E81, $E80)</f>
        <v>750</v>
      </c>
      <c r="K96" s="123">
        <f t="shared" si="16"/>
        <v>2.5500000000000003</v>
      </c>
      <c r="L96" s="124">
        <f t="shared" si="12"/>
        <v>1.5000000000000002</v>
      </c>
      <c r="M96" s="125">
        <f t="shared" si="14"/>
        <v>1.4285714285714288</v>
      </c>
    </row>
    <row r="97" spans="1:14" x14ac:dyDescent="0.2">
      <c r="A97" s="46" t="str">
        <f t="shared" si="15"/>
        <v>RESIDENTIAL SERVICE CLASSIFICATION</v>
      </c>
      <c r="C97" s="115"/>
      <c r="D97" s="138" t="s">
        <v>174</v>
      </c>
      <c r="E97" s="117"/>
      <c r="F97" s="127">
        <v>0</v>
      </c>
      <c r="G97" s="141">
        <f>IF($E81&gt;0, $E81, $E80)</f>
        <v>750</v>
      </c>
      <c r="H97" s="120">
        <f>G97*F97</f>
        <v>0</v>
      </c>
      <c r="I97" s="127">
        <f>'Proposed Tariff'!D30</f>
        <v>-1E-4</v>
      </c>
      <c r="J97" s="142">
        <f>IF($E81&gt;0, $E81, $E80)</f>
        <v>750</v>
      </c>
      <c r="K97" s="123">
        <f>J97*I97</f>
        <v>-7.4999999999999997E-2</v>
      </c>
      <c r="L97" s="124">
        <f t="shared" si="12"/>
        <v>-7.4999999999999997E-2</v>
      </c>
      <c r="M97" s="125" t="str">
        <f t="shared" si="14"/>
        <v/>
      </c>
    </row>
    <row r="98" spans="1:14" x14ac:dyDescent="0.2">
      <c r="A98" s="46" t="str">
        <f t="shared" si="15"/>
        <v>RESIDENTIAL SERVICE CLASSIFICATION</v>
      </c>
      <c r="C98" s="115"/>
      <c r="D98" s="138" t="s">
        <v>175</v>
      </c>
      <c r="E98" s="117"/>
      <c r="F98" s="127">
        <v>0</v>
      </c>
      <c r="G98" s="141">
        <f>E80</f>
        <v>750</v>
      </c>
      <c r="H98" s="120">
        <f>G98*F98</f>
        <v>0</v>
      </c>
      <c r="I98" s="127"/>
      <c r="J98" s="142">
        <f>E80</f>
        <v>750</v>
      </c>
      <c r="K98" s="123">
        <f t="shared" si="16"/>
        <v>0</v>
      </c>
      <c r="L98" s="124">
        <f t="shared" si="12"/>
        <v>0</v>
      </c>
      <c r="M98" s="125" t="str">
        <f t="shared" si="14"/>
        <v/>
      </c>
    </row>
    <row r="99" spans="1:14" x14ac:dyDescent="0.2">
      <c r="A99" s="46" t="str">
        <f t="shared" si="15"/>
        <v>RESIDENTIAL SERVICE CLASSIFICATION</v>
      </c>
      <c r="C99" s="115"/>
      <c r="D99" s="116" t="s">
        <v>176</v>
      </c>
      <c r="E99" s="117"/>
      <c r="F99" s="127">
        <v>2.9999999999999997E-4</v>
      </c>
      <c r="G99" s="141">
        <f>IF($E81&gt;0, $E81, $E80)</f>
        <v>750</v>
      </c>
      <c r="H99" s="120">
        <f t="shared" si="13"/>
        <v>0.22499999999999998</v>
      </c>
      <c r="I99" s="127">
        <v>2.9999999999999997E-4</v>
      </c>
      <c r="J99" s="142">
        <f>IF($E81&gt;0, $E81, $E80)</f>
        <v>750</v>
      </c>
      <c r="K99" s="123">
        <f t="shared" si="16"/>
        <v>0.22499999999999998</v>
      </c>
      <c r="L99" s="124">
        <f t="shared" si="12"/>
        <v>0</v>
      </c>
      <c r="M99" s="125">
        <f t="shared" si="14"/>
        <v>0</v>
      </c>
    </row>
    <row r="100" spans="1:14" ht="25.5" x14ac:dyDescent="0.2">
      <c r="A100" s="46" t="str">
        <f t="shared" si="15"/>
        <v>RESIDENTIAL SERVICE CLASSIFICATION</v>
      </c>
      <c r="C100" s="115"/>
      <c r="D100" s="138" t="s">
        <v>177</v>
      </c>
      <c r="E100" s="117"/>
      <c r="F100" s="144">
        <f>IF(OR(ISNUMBER(SEARCH("RESIDENTIAL", E78))=TRUE, ISNUMBER(SEARCH("GENERAL SERVICE LESS THAN 50", B78))=TRUE), SME, 0)</f>
        <v>0.42</v>
      </c>
      <c r="G100" s="119">
        <v>1</v>
      </c>
      <c r="H100" s="120">
        <f>G100*F100</f>
        <v>0.42</v>
      </c>
      <c r="I100" s="144">
        <f>IF(OR(ISNUMBER(SEARCH("RESIDENTIAL", E78))=TRUE, ISNUMBER(SEARCH("GENERAL SERVICE LESS THAN 50", E78))=TRUE), SME, 0)</f>
        <v>0.42</v>
      </c>
      <c r="J100" s="128">
        <v>1</v>
      </c>
      <c r="K100" s="123">
        <f>J100*I100</f>
        <v>0.42</v>
      </c>
      <c r="L100" s="124">
        <f t="shared" si="12"/>
        <v>0</v>
      </c>
      <c r="M100" s="125">
        <f>IF(ISERROR(L100/H100), "", L100/H100)</f>
        <v>0</v>
      </c>
    </row>
    <row r="101" spans="1:14" x14ac:dyDescent="0.2">
      <c r="A101" s="46" t="str">
        <f t="shared" si="15"/>
        <v>RESIDENTIAL SERVICE CLASSIFICATION</v>
      </c>
      <c r="C101" s="115"/>
      <c r="D101" s="116" t="s">
        <v>178</v>
      </c>
      <c r="E101" s="117"/>
      <c r="F101" s="121">
        <v>0</v>
      </c>
      <c r="G101" s="119">
        <v>1</v>
      </c>
      <c r="H101" s="120">
        <f t="shared" si="13"/>
        <v>0</v>
      </c>
      <c r="I101" s="121">
        <v>0</v>
      </c>
      <c r="J101" s="128">
        <v>1</v>
      </c>
      <c r="K101" s="123">
        <f>J101*I101</f>
        <v>0</v>
      </c>
      <c r="L101" s="124">
        <f>K101-H101</f>
        <v>0</v>
      </c>
      <c r="M101" s="125" t="str">
        <f>IF(ISERROR(L101/H101), "", L101/H101)</f>
        <v/>
      </c>
    </row>
    <row r="102" spans="1:14" x14ac:dyDescent="0.2">
      <c r="A102" s="46" t="str">
        <f t="shared" si="15"/>
        <v>RESIDENTIAL SERVICE CLASSIFICATION</v>
      </c>
      <c r="C102" s="115"/>
      <c r="D102" s="116" t="s">
        <v>179</v>
      </c>
      <c r="E102" s="117"/>
      <c r="F102" s="127">
        <v>0</v>
      </c>
      <c r="G102" s="141">
        <f>IF($E81&gt;0, $E81, $E80)</f>
        <v>750</v>
      </c>
      <c r="H102" s="120">
        <f>G102*F102</f>
        <v>0</v>
      </c>
      <c r="I102" s="127">
        <v>0</v>
      </c>
      <c r="J102" s="142">
        <f>IF($E81&gt;0, $E81, $E80)</f>
        <v>750</v>
      </c>
      <c r="K102" s="123">
        <f>J102*I102</f>
        <v>0</v>
      </c>
      <c r="L102" s="124">
        <f t="shared" si="12"/>
        <v>0</v>
      </c>
      <c r="M102" s="125" t="str">
        <f>IF(ISERROR(L102/H102), "", L102/H102)</f>
        <v/>
      </c>
    </row>
    <row r="103" spans="1:14" ht="25.5" x14ac:dyDescent="0.2">
      <c r="A103" s="46" t="str">
        <f t="shared" si="15"/>
        <v>RESIDENTIAL SERVICE CLASSIFICATION</v>
      </c>
      <c r="B103" s="46" t="s">
        <v>180</v>
      </c>
      <c r="C103" s="115">
        <f>B30</f>
        <v>1</v>
      </c>
      <c r="D103" s="145" t="s">
        <v>181</v>
      </c>
      <c r="E103" s="146"/>
      <c r="F103" s="150"/>
      <c r="G103" s="148"/>
      <c r="H103" s="149">
        <f>SUM(H94:H102)</f>
        <v>35.524022500000001</v>
      </c>
      <c r="I103" s="150"/>
      <c r="J103" s="151"/>
      <c r="K103" s="149">
        <f>SUM(K94:K102)</f>
        <v>36.949022499999998</v>
      </c>
      <c r="L103" s="136">
        <f t="shared" si="12"/>
        <v>1.4249999999999972</v>
      </c>
      <c r="M103" s="137">
        <f>IF((H103)=0,"",(L103/H103))</f>
        <v>4.0113700524764533E-2</v>
      </c>
    </row>
    <row r="104" spans="1:14" x14ac:dyDescent="0.2">
      <c r="A104" s="46" t="str">
        <f t="shared" si="15"/>
        <v>RESIDENTIAL SERVICE CLASSIFICATION</v>
      </c>
      <c r="C104" s="115"/>
      <c r="D104" s="152" t="s">
        <v>182</v>
      </c>
      <c r="E104" s="117"/>
      <c r="F104" s="153">
        <v>8.9999999999999993E-3</v>
      </c>
      <c r="G104" s="139">
        <f>IF($E81&gt;0, $E81, $E80*$E82)</f>
        <v>773.02499999999998</v>
      </c>
      <c r="H104" s="120">
        <f>G104*F104</f>
        <v>6.9572249999999993</v>
      </c>
      <c r="I104" s="153">
        <v>8.9999999999999993E-3</v>
      </c>
      <c r="J104" s="140">
        <f>IF($E81&gt;0, $E81, $E80*$E83)</f>
        <v>773.02499999999998</v>
      </c>
      <c r="K104" s="123">
        <f>J104*I104</f>
        <v>6.9572249999999993</v>
      </c>
      <c r="L104" s="124">
        <f t="shared" si="12"/>
        <v>0</v>
      </c>
      <c r="M104" s="125">
        <f>IF(ISERROR(L104/H104), "", L104/H104)</f>
        <v>0</v>
      </c>
      <c r="N104" s="154" t="str">
        <f>IF(ISERROR(ABS(M104)), "", IF(ABS(M104)&gt;=4%, "In the manager's summary, discuss the reasoning for the change in RTSR rates", ""))</f>
        <v/>
      </c>
    </row>
    <row r="105" spans="1:14" ht="25.5" x14ac:dyDescent="0.2">
      <c r="A105" s="46" t="str">
        <f t="shared" si="15"/>
        <v>RESIDENTIAL SERVICE CLASSIFICATION</v>
      </c>
      <c r="C105" s="115"/>
      <c r="D105" s="155" t="s">
        <v>183</v>
      </c>
      <c r="E105" s="117"/>
      <c r="F105" s="153">
        <v>5.0000000000000001E-3</v>
      </c>
      <c r="G105" s="139">
        <f>IF($E81&gt;0, $E81, $E80*$E82)</f>
        <v>773.02499999999998</v>
      </c>
      <c r="H105" s="120">
        <f>G105*F105</f>
        <v>3.8651249999999999</v>
      </c>
      <c r="I105" s="153">
        <v>5.0000000000000001E-3</v>
      </c>
      <c r="J105" s="140">
        <f>IF($E81&gt;0, $E81, $E80*$E83)</f>
        <v>773.02499999999998</v>
      </c>
      <c r="K105" s="123">
        <f>J105*I105</f>
        <v>3.8651249999999999</v>
      </c>
      <c r="L105" s="124">
        <f t="shared" si="12"/>
        <v>0</v>
      </c>
      <c r="M105" s="125">
        <f>IF(ISERROR(L105/H105), "", L105/H105)</f>
        <v>0</v>
      </c>
      <c r="N105" s="154" t="str">
        <f>IF(ISERROR(ABS(M105)), "", IF(ABS(M105)&gt;=4%, "In the manager's summary, discuss the reasoning for the change in RTSR rates", ""))</f>
        <v/>
      </c>
    </row>
    <row r="106" spans="1:14" ht="25.5" x14ac:dyDescent="0.2">
      <c r="A106" s="46" t="str">
        <f t="shared" si="15"/>
        <v>RESIDENTIAL SERVICE CLASSIFICATION</v>
      </c>
      <c r="B106" s="46" t="s">
        <v>184</v>
      </c>
      <c r="C106" s="115">
        <f>B30</f>
        <v>1</v>
      </c>
      <c r="D106" s="145" t="s">
        <v>185</v>
      </c>
      <c r="E106" s="130"/>
      <c r="F106" s="150"/>
      <c r="G106" s="148"/>
      <c r="H106" s="149">
        <f>SUM(H103:H105)</f>
        <v>46.346372500000001</v>
      </c>
      <c r="I106" s="150"/>
      <c r="J106" s="135"/>
      <c r="K106" s="149">
        <f>SUM(K103:K105)</f>
        <v>47.771372499999998</v>
      </c>
      <c r="L106" s="136">
        <f t="shared" si="12"/>
        <v>1.4249999999999972</v>
      </c>
      <c r="M106" s="137">
        <f>IF((H106)=0,"",(L106/H106))</f>
        <v>3.0746742908519909E-2</v>
      </c>
    </row>
    <row r="107" spans="1:14" ht="25.5" x14ac:dyDescent="0.2">
      <c r="A107" s="46" t="str">
        <f t="shared" si="15"/>
        <v>RESIDENTIAL SERVICE CLASSIFICATION</v>
      </c>
      <c r="C107" s="115"/>
      <c r="D107" s="156" t="s">
        <v>186</v>
      </c>
      <c r="E107" s="117"/>
      <c r="F107" s="127">
        <f>'[1]17. Regulatory Charges'!$E$15+'[1]17. Regulatory Charges'!$E$16</f>
        <v>3.4000000000000002E-3</v>
      </c>
      <c r="G107" s="139">
        <f>E80*E82</f>
        <v>773.02499999999998</v>
      </c>
      <c r="H107" s="157">
        <f t="shared" ref="H107:H113" si="17">G107*F107</f>
        <v>2.628285</v>
      </c>
      <c r="I107" s="127">
        <f>'[1]17. Regulatory Charges'!$E$15+'[1]17. Regulatory Charges'!$E$16</f>
        <v>3.4000000000000002E-3</v>
      </c>
      <c r="J107" s="140">
        <f>E80*E83</f>
        <v>773.02499999999998</v>
      </c>
      <c r="K107" s="123">
        <f t="shared" ref="K107:K113" si="18">J107*I107</f>
        <v>2.628285</v>
      </c>
      <c r="L107" s="124">
        <f t="shared" si="12"/>
        <v>0</v>
      </c>
      <c r="M107" s="125">
        <f t="shared" ref="M107:M115" si="19">IF(ISERROR(L107/H107), "", L107/H107)</f>
        <v>0</v>
      </c>
    </row>
    <row r="108" spans="1:14" ht="25.5" x14ac:dyDescent="0.2">
      <c r="A108" s="46" t="str">
        <f t="shared" si="15"/>
        <v>RESIDENTIAL SERVICE CLASSIFICATION</v>
      </c>
      <c r="C108" s="115"/>
      <c r="D108" s="156" t="s">
        <v>187</v>
      </c>
      <c r="E108" s="117"/>
      <c r="F108" s="127">
        <f>'[1]17. Regulatory Charges'!$E$17</f>
        <v>5.0000000000000001E-4</v>
      </c>
      <c r="G108" s="139">
        <f>E80*E82</f>
        <v>773.02499999999998</v>
      </c>
      <c r="H108" s="157">
        <f t="shared" si="17"/>
        <v>0.38651249999999998</v>
      </c>
      <c r="I108" s="127">
        <f>'[1]17. Regulatory Charges'!$E$17</f>
        <v>5.0000000000000001E-4</v>
      </c>
      <c r="J108" s="140">
        <f>E80*E83</f>
        <v>773.02499999999998</v>
      </c>
      <c r="K108" s="123">
        <f t="shared" si="18"/>
        <v>0.38651249999999998</v>
      </c>
      <c r="L108" s="124">
        <f t="shared" si="12"/>
        <v>0</v>
      </c>
      <c r="M108" s="125">
        <f t="shared" si="19"/>
        <v>0</v>
      </c>
    </row>
    <row r="109" spans="1:14" x14ac:dyDescent="0.2">
      <c r="A109" s="46" t="str">
        <f t="shared" si="15"/>
        <v>RESIDENTIAL SERVICE CLASSIFICATION</v>
      </c>
      <c r="C109" s="115"/>
      <c r="D109" s="158" t="s">
        <v>188</v>
      </c>
      <c r="E109" s="117"/>
      <c r="F109" s="144">
        <f>'[1]17. Regulatory Charges'!$E$18</f>
        <v>0.25</v>
      </c>
      <c r="G109" s="119">
        <v>1</v>
      </c>
      <c r="H109" s="157">
        <f t="shared" si="17"/>
        <v>0.25</v>
      </c>
      <c r="I109" s="144">
        <f>'[1]17. Regulatory Charges'!$E$18</f>
        <v>0.25</v>
      </c>
      <c r="J109" s="122">
        <v>1</v>
      </c>
      <c r="K109" s="123">
        <f t="shared" si="18"/>
        <v>0.25</v>
      </c>
      <c r="L109" s="124">
        <f t="shared" si="12"/>
        <v>0</v>
      </c>
      <c r="M109" s="125">
        <f t="shared" si="19"/>
        <v>0</v>
      </c>
    </row>
    <row r="110" spans="1:14" ht="25.5" hidden="1" x14ac:dyDescent="0.2">
      <c r="A110" s="46" t="str">
        <f t="shared" si="15"/>
        <v>RESIDENTIAL SERVICE CLASSIFICATION</v>
      </c>
      <c r="C110" s="115"/>
      <c r="D110" s="156" t="s">
        <v>189</v>
      </c>
      <c r="E110" s="117"/>
      <c r="F110" s="127"/>
      <c r="G110" s="139"/>
      <c r="H110" s="157"/>
      <c r="I110" s="127"/>
      <c r="J110" s="140"/>
      <c r="K110" s="123"/>
      <c r="L110" s="124"/>
      <c r="M110" s="125"/>
    </row>
    <row r="111" spans="1:14" x14ac:dyDescent="0.2">
      <c r="A111" s="46" t="str">
        <f t="shared" si="15"/>
        <v>RESIDENTIAL SERVICE CLASSIFICATION</v>
      </c>
      <c r="B111" s="46" t="s">
        <v>139</v>
      </c>
      <c r="C111" s="115"/>
      <c r="D111" s="158" t="s">
        <v>190</v>
      </c>
      <c r="E111" s="117"/>
      <c r="F111" s="161">
        <f>OffPeak</f>
        <v>7.3999999999999996E-2</v>
      </c>
      <c r="G111" s="160">
        <f>IF(AND(E80*12&gt;=150000),0.64*E80*E82,0.64*E80)</f>
        <v>480</v>
      </c>
      <c r="H111" s="157">
        <f t="shared" si="17"/>
        <v>35.519999999999996</v>
      </c>
      <c r="I111" s="161">
        <f>OffPeak</f>
        <v>7.3999999999999996E-2</v>
      </c>
      <c r="J111" s="162">
        <f>IF(AND(E80*12&gt;=150000),0.64*E80*E83,0.64*E80)</f>
        <v>480</v>
      </c>
      <c r="K111" s="123">
        <f t="shared" si="18"/>
        <v>35.519999999999996</v>
      </c>
      <c r="L111" s="124">
        <f>K111-H111</f>
        <v>0</v>
      </c>
      <c r="M111" s="125">
        <f t="shared" si="19"/>
        <v>0</v>
      </c>
    </row>
    <row r="112" spans="1:14" x14ac:dyDescent="0.2">
      <c r="A112" s="46" t="str">
        <f t="shared" si="15"/>
        <v>RESIDENTIAL SERVICE CLASSIFICATION</v>
      </c>
      <c r="B112" s="46" t="s">
        <v>139</v>
      </c>
      <c r="C112" s="115"/>
      <c r="D112" s="158" t="s">
        <v>191</v>
      </c>
      <c r="E112" s="117"/>
      <c r="F112" s="161">
        <f>MidPeak</f>
        <v>0.10199999999999999</v>
      </c>
      <c r="G112" s="160">
        <f>IF(AND(E80*12&gt;=150000),0.18*E80*E82,0.18*E80)</f>
        <v>135</v>
      </c>
      <c r="H112" s="157">
        <f t="shared" si="17"/>
        <v>13.77</v>
      </c>
      <c r="I112" s="161">
        <f>MidPeak</f>
        <v>0.10199999999999999</v>
      </c>
      <c r="J112" s="162">
        <f>IF(AND(E80*12&gt;=150000),0.18*E80*E83,0.18*E80)</f>
        <v>135</v>
      </c>
      <c r="K112" s="123">
        <f t="shared" si="18"/>
        <v>13.77</v>
      </c>
      <c r="L112" s="124">
        <f>K112-H112</f>
        <v>0</v>
      </c>
      <c r="M112" s="125">
        <f t="shared" si="19"/>
        <v>0</v>
      </c>
    </row>
    <row r="113" spans="1:13" ht="13.5" thickBot="1" x14ac:dyDescent="0.25">
      <c r="A113" s="46" t="str">
        <f t="shared" si="15"/>
        <v>RESIDENTIAL SERVICE CLASSIFICATION</v>
      </c>
      <c r="B113" s="46" t="s">
        <v>139</v>
      </c>
      <c r="C113" s="115"/>
      <c r="D113" s="46" t="s">
        <v>192</v>
      </c>
      <c r="E113" s="117"/>
      <c r="F113" s="161">
        <f>OnPeak</f>
        <v>0.151</v>
      </c>
      <c r="G113" s="160">
        <f>IF(AND(E80*12&gt;=150000),0.18*E80*E82,0.18*E80)</f>
        <v>135</v>
      </c>
      <c r="H113" s="157">
        <f t="shared" si="17"/>
        <v>20.384999999999998</v>
      </c>
      <c r="I113" s="161">
        <f>OnPeak</f>
        <v>0.151</v>
      </c>
      <c r="J113" s="162">
        <f>IF(AND(E80*12&gt;=150000),0.18*E80*E83,0.18*E80)</f>
        <v>135</v>
      </c>
      <c r="K113" s="123">
        <f t="shared" si="18"/>
        <v>20.384999999999998</v>
      </c>
      <c r="L113" s="124">
        <f>K113-H113</f>
        <v>0</v>
      </c>
      <c r="M113" s="125">
        <f t="shared" si="19"/>
        <v>0</v>
      </c>
    </row>
    <row r="114" spans="1:13" ht="13.5" hidden="1" thickBot="1" x14ac:dyDescent="0.25">
      <c r="A114" s="46" t="str">
        <f t="shared" si="15"/>
        <v>RESIDENTIAL SERVICE CLASSIFICATION</v>
      </c>
      <c r="B114" s="46" t="s">
        <v>141</v>
      </c>
      <c r="C114" s="115"/>
      <c r="D114" s="158" t="s">
        <v>193</v>
      </c>
      <c r="E114" s="117"/>
      <c r="F114" s="163">
        <v>9.6699999999999994E-2</v>
      </c>
      <c r="G114" s="160">
        <f>IF(AND(E80*12&gt;=150000),E80*E82,E80)</f>
        <v>750</v>
      </c>
      <c r="H114" s="157">
        <f>G114*F114</f>
        <v>72.524999999999991</v>
      </c>
      <c r="I114" s="164">
        <f>F114</f>
        <v>9.6699999999999994E-2</v>
      </c>
      <c r="J114" s="162">
        <f>IF(AND(E80*12&gt;=150000),E80*E83,E80)</f>
        <v>750</v>
      </c>
      <c r="K114" s="123">
        <f>J114*I114</f>
        <v>72.524999999999991</v>
      </c>
      <c r="L114" s="124">
        <f>K114-H114</f>
        <v>0</v>
      </c>
      <c r="M114" s="125">
        <f t="shared" si="19"/>
        <v>0</v>
      </c>
    </row>
    <row r="115" spans="1:13" ht="13.5" hidden="1" thickBot="1" x14ac:dyDescent="0.25">
      <c r="A115" s="46" t="str">
        <f t="shared" si="15"/>
        <v>RESIDENTIAL SERVICE CLASSIFICATION</v>
      </c>
      <c r="B115" s="46" t="s">
        <v>140</v>
      </c>
      <c r="C115" s="115"/>
      <c r="D115" s="158" t="s">
        <v>194</v>
      </c>
      <c r="E115" s="117"/>
      <c r="F115" s="163">
        <v>9.6699999999999994E-2</v>
      </c>
      <c r="G115" s="160">
        <f>IF(AND(E80*12&gt;=150000),E80*E82,E80)</f>
        <v>750</v>
      </c>
      <c r="H115" s="157">
        <f>G115*F115</f>
        <v>72.524999999999991</v>
      </c>
      <c r="I115" s="164">
        <f>F115</f>
        <v>9.6699999999999994E-2</v>
      </c>
      <c r="J115" s="162">
        <f>IF(AND(E80*12&gt;=150000),E80*E83,E80)</f>
        <v>750</v>
      </c>
      <c r="K115" s="123">
        <f>J115*I115</f>
        <v>72.524999999999991</v>
      </c>
      <c r="L115" s="124">
        <f>K115-H115</f>
        <v>0</v>
      </c>
      <c r="M115" s="125">
        <f t="shared" si="19"/>
        <v>0</v>
      </c>
    </row>
    <row r="116" spans="1:13" ht="13.5" thickBot="1" x14ac:dyDescent="0.25">
      <c r="A116" s="46" t="str">
        <f t="shared" si="15"/>
        <v>RESIDENTIAL SERVICE CLASSIFICATION</v>
      </c>
      <c r="C116" s="115"/>
      <c r="D116" s="165"/>
      <c r="E116" s="166"/>
      <c r="F116" s="167"/>
      <c r="G116" s="168"/>
      <c r="H116" s="169"/>
      <c r="I116" s="167"/>
      <c r="J116" s="170"/>
      <c r="K116" s="169"/>
      <c r="L116" s="171"/>
      <c r="M116" s="172"/>
    </row>
    <row r="117" spans="1:13" x14ac:dyDescent="0.2">
      <c r="A117" s="46" t="str">
        <f t="shared" si="15"/>
        <v>RESIDENTIAL SERVICE CLASSIFICATION</v>
      </c>
      <c r="B117" s="46" t="s">
        <v>139</v>
      </c>
      <c r="C117" s="115"/>
      <c r="D117" s="173" t="s">
        <v>195</v>
      </c>
      <c r="E117" s="158"/>
      <c r="F117" s="174"/>
      <c r="G117" s="175"/>
      <c r="H117" s="176">
        <f>SUM(H107:H113,H106)</f>
        <v>119.28617</v>
      </c>
      <c r="I117" s="177"/>
      <c r="J117" s="177"/>
      <c r="K117" s="176">
        <f>SUM(K107:K113,K106)</f>
        <v>120.71117</v>
      </c>
      <c r="L117" s="178">
        <f>K117-H117</f>
        <v>1.4249999999999972</v>
      </c>
      <c r="M117" s="179">
        <f>IF((H117)=0,"",(L117/H117))</f>
        <v>1.1946062146181718E-2</v>
      </c>
    </row>
    <row r="118" spans="1:13" x14ac:dyDescent="0.2">
      <c r="A118" s="46" t="str">
        <f t="shared" si="15"/>
        <v>RESIDENTIAL SERVICE CLASSIFICATION</v>
      </c>
      <c r="B118" s="46" t="s">
        <v>139</v>
      </c>
      <c r="C118" s="115"/>
      <c r="D118" s="180" t="s">
        <v>196</v>
      </c>
      <c r="E118" s="158"/>
      <c r="F118" s="174">
        <v>0.13</v>
      </c>
      <c r="G118" s="181"/>
      <c r="H118" s="182">
        <f>H117*F118</f>
        <v>15.507202100000001</v>
      </c>
      <c r="I118" s="183">
        <v>0.13</v>
      </c>
      <c r="J118" s="119"/>
      <c r="K118" s="182">
        <f>K117*I118</f>
        <v>15.692452100000001</v>
      </c>
      <c r="L118" s="124">
        <f>K118-H118</f>
        <v>0.18524999999999991</v>
      </c>
      <c r="M118" s="184">
        <f>IF((H118)=0,"",(L118/H118))</f>
        <v>1.1946062146181735E-2</v>
      </c>
    </row>
    <row r="119" spans="1:13" ht="15" x14ac:dyDescent="0.25">
      <c r="A119" s="46" t="str">
        <f t="shared" si="15"/>
        <v>RESIDENTIAL SERVICE CLASSIFICATION</v>
      </c>
      <c r="B119" s="46" t="s">
        <v>139</v>
      </c>
      <c r="C119" s="115"/>
      <c r="D119" s="180" t="s">
        <v>197</v>
      </c>
      <c r="E119"/>
      <c r="F119" s="185">
        <v>0.11700000000000001</v>
      </c>
      <c r="G119" s="181"/>
      <c r="H119" s="182">
        <f>IF(OR(ISNUMBER(SEARCH("[DGEN]", E78))=TRUE, ISNUMBER(SEARCH("STREET LIGHT", E78))=TRUE), 0, IF(AND(E80=0, E81=0),0, IF(AND(E81=0, E80*12&gt;250000), 0, IF(AND(E80=0, E81&gt;=50), 0, IF(E80*12&lt;=250000, F119*H117*-1, IF(E81&lt;50, F119*H117*-1, 0))))))</f>
        <v>-13.956481890000001</v>
      </c>
      <c r="I119" s="185">
        <v>0.11700000000000001</v>
      </c>
      <c r="J119" s="119"/>
      <c r="K119" s="182">
        <f>IF(OR(ISNUMBER(SEARCH("[DGEN]", E78))=TRUE, ISNUMBER(SEARCH("STREET LIGHT", E78))=TRUE), 0, IF(AND(E80=0, E81=0),0, IF(AND(E81=0, E80*12&gt;250000), 0, IF(AND(E80=0, E81&gt;=50), 0, IF(E80*12&lt;=250000, I119*K117*-1, IF(E81&lt;50, I119*K117*-1, 0))))))</f>
        <v>-14.123206890000001</v>
      </c>
      <c r="L119" s="124">
        <f>K119-H119</f>
        <v>-0.16672499999999957</v>
      </c>
      <c r="M119" s="184"/>
    </row>
    <row r="120" spans="1:13" ht="13.5" thickBot="1" x14ac:dyDescent="0.25">
      <c r="A120" s="46" t="str">
        <f t="shared" si="15"/>
        <v>RESIDENTIAL SERVICE CLASSIFICATION</v>
      </c>
      <c r="B120" s="46" t="s">
        <v>198</v>
      </c>
      <c r="C120" s="115">
        <f>B30</f>
        <v>1</v>
      </c>
      <c r="D120" s="186" t="s">
        <v>199</v>
      </c>
      <c r="E120" s="186"/>
      <c r="F120" s="187"/>
      <c r="G120" s="188"/>
      <c r="H120" s="189">
        <f>H117+H118+H119</f>
        <v>120.83689020999999</v>
      </c>
      <c r="I120" s="190"/>
      <c r="J120" s="190"/>
      <c r="K120" s="191">
        <f>K117+K118+K119</f>
        <v>122.28041521</v>
      </c>
      <c r="L120" s="192">
        <f>K120-H120</f>
        <v>1.4435250000000082</v>
      </c>
      <c r="M120" s="193">
        <f>IF((H120)=0,"",(L120/H120))</f>
        <v>1.1946062146181808E-2</v>
      </c>
    </row>
    <row r="121" spans="1:13" ht="13.5" thickBot="1" x14ac:dyDescent="0.25">
      <c r="A121" s="46" t="str">
        <f t="shared" si="15"/>
        <v>RESIDENTIAL SERVICE CLASSIFICATION</v>
      </c>
      <c r="B121" s="46" t="s">
        <v>139</v>
      </c>
      <c r="C121" s="115"/>
      <c r="D121" s="165"/>
      <c r="E121" s="166"/>
      <c r="F121" s="167"/>
      <c r="G121" s="168"/>
      <c r="H121" s="169"/>
      <c r="I121" s="167"/>
      <c r="J121" s="170"/>
      <c r="K121" s="169"/>
      <c r="L121" s="171"/>
      <c r="M121" s="172"/>
    </row>
    <row r="122" spans="1:13" hidden="1" x14ac:dyDescent="0.2">
      <c r="A122" s="46" t="str">
        <f t="shared" si="15"/>
        <v>RESIDENTIAL SERVICE CLASSIFICATION</v>
      </c>
      <c r="B122" s="46" t="s">
        <v>141</v>
      </c>
      <c r="C122" s="115"/>
      <c r="D122" s="173" t="s">
        <v>200</v>
      </c>
      <c r="E122" s="158"/>
      <c r="F122" s="174"/>
      <c r="G122" s="175"/>
      <c r="H122" s="176">
        <f>SUM(H114,H107:H110,H106)</f>
        <v>122.13616999999999</v>
      </c>
      <c r="I122" s="177"/>
      <c r="J122" s="177"/>
      <c r="K122" s="176">
        <f>SUM(K114,K107:K110,K106)</f>
        <v>123.56116999999999</v>
      </c>
      <c r="L122" s="178">
        <f>K122-H122</f>
        <v>1.4249999999999972</v>
      </c>
      <c r="M122" s="179">
        <f>IF((H122)=0,"",(L122/H122))</f>
        <v>1.1667305434581724E-2</v>
      </c>
    </row>
    <row r="123" spans="1:13" hidden="1" x14ac:dyDescent="0.2">
      <c r="A123" s="46" t="str">
        <f t="shared" si="15"/>
        <v>RESIDENTIAL SERVICE CLASSIFICATION</v>
      </c>
      <c r="B123" s="46" t="s">
        <v>141</v>
      </c>
      <c r="C123" s="115"/>
      <c r="D123" s="180" t="s">
        <v>196</v>
      </c>
      <c r="E123" s="158"/>
      <c r="F123" s="174">
        <v>0.13</v>
      </c>
      <c r="G123" s="175"/>
      <c r="H123" s="182">
        <f>H122*F123</f>
        <v>15.8777021</v>
      </c>
      <c r="I123" s="174">
        <v>0.13</v>
      </c>
      <c r="J123" s="183"/>
      <c r="K123" s="182">
        <f>K122*I123</f>
        <v>16.0629521</v>
      </c>
      <c r="L123" s="124">
        <f>K123-H123</f>
        <v>0.18524999999999991</v>
      </c>
      <c r="M123" s="184">
        <f>IF((H123)=0,"",(L123/H123))</f>
        <v>1.166730543458174E-2</v>
      </c>
    </row>
    <row r="124" spans="1:13" ht="15" hidden="1" x14ac:dyDescent="0.25">
      <c r="A124" s="46" t="str">
        <f t="shared" si="15"/>
        <v>RESIDENTIAL SERVICE CLASSIFICATION</v>
      </c>
      <c r="B124" s="46" t="s">
        <v>141</v>
      </c>
      <c r="C124" s="115"/>
      <c r="D124" s="180" t="s">
        <v>197</v>
      </c>
      <c r="E124"/>
      <c r="F124" s="185">
        <v>0.11700000000000001</v>
      </c>
      <c r="G124" s="175"/>
      <c r="H124" s="182">
        <f>IF(OR(ISNUMBER(SEARCH("[DGEN]", E78))=TRUE, ISNUMBER(SEARCH("STREET LIGHT", E78))=TRUE), 0, IF(AND(E80=0, E81=0),0, IF(AND(E81=0, E80*12&gt;250000), 0, IF(AND(E80=0, E81&gt;=50), 0, IF(E80*12&lt;=250000, F124*H122*-1, IF(E81&lt;50, F124*H122*-1, 0))))))</f>
        <v>-14.28993189</v>
      </c>
      <c r="I124" s="185">
        <v>0.11700000000000001</v>
      </c>
      <c r="J124" s="183"/>
      <c r="K124" s="182">
        <f>IF(OR(ISNUMBER(SEARCH("[DGEN]", E78))=TRUE, ISNUMBER(SEARCH("STREET LIGHT", E78))=TRUE), 0, IF(AND(E80=0, E81=0),0, IF(AND(E81=0, E80*12&gt;250000), 0, IF(AND(E80=0, E81&gt;=50), 0, IF(E80*12&lt;=250000, I124*K122*-1, IF(E81&lt;50, I124*K122*-1, 0))))))</f>
        <v>-14.45665689</v>
      </c>
      <c r="L124" s="124"/>
      <c r="M124" s="184"/>
    </row>
    <row r="125" spans="1:13" hidden="1" x14ac:dyDescent="0.2">
      <c r="A125" s="46" t="str">
        <f t="shared" si="15"/>
        <v>RESIDENTIAL SERVICE CLASSIFICATION</v>
      </c>
      <c r="B125" s="46" t="s">
        <v>201</v>
      </c>
      <c r="C125" s="115"/>
      <c r="D125" s="186" t="s">
        <v>200</v>
      </c>
      <c r="E125" s="186"/>
      <c r="F125" s="194"/>
      <c r="G125" s="195"/>
      <c r="H125" s="189">
        <f>SUM(H122,H123)</f>
        <v>138.01387209999999</v>
      </c>
      <c r="I125" s="196"/>
      <c r="J125" s="196"/>
      <c r="K125" s="189">
        <f>SUM(K122,K123)</f>
        <v>139.62412209999999</v>
      </c>
      <c r="L125" s="197">
        <f>K125-H125</f>
        <v>1.6102500000000077</v>
      </c>
      <c r="M125" s="198">
        <f>IF((H125)=0,"",(L125/H125))</f>
        <v>1.1667305434581804E-2</v>
      </c>
    </row>
    <row r="126" spans="1:13" ht="13.5" hidden="1" thickBot="1" x14ac:dyDescent="0.25">
      <c r="A126" s="46" t="str">
        <f t="shared" si="15"/>
        <v>RESIDENTIAL SERVICE CLASSIFICATION</v>
      </c>
      <c r="B126" s="46" t="s">
        <v>141</v>
      </c>
      <c r="C126" s="115"/>
      <c r="D126" s="165"/>
      <c r="E126" s="166"/>
      <c r="F126" s="199"/>
      <c r="G126" s="200"/>
      <c r="H126" s="201"/>
      <c r="I126" s="199"/>
      <c r="J126" s="168"/>
      <c r="K126" s="201"/>
      <c r="L126" s="202"/>
      <c r="M126" s="172"/>
    </row>
    <row r="127" spans="1:13" hidden="1" x14ac:dyDescent="0.2">
      <c r="A127" s="46" t="str">
        <f t="shared" si="15"/>
        <v>RESIDENTIAL SERVICE CLASSIFICATION</v>
      </c>
      <c r="B127" s="46" t="s">
        <v>140</v>
      </c>
      <c r="C127" s="115"/>
      <c r="D127" s="173" t="s">
        <v>202</v>
      </c>
      <c r="E127" s="158"/>
      <c r="F127" s="174"/>
      <c r="G127" s="175"/>
      <c r="H127" s="176">
        <f>SUM(H115,H107:H110,H106)</f>
        <v>122.13616999999999</v>
      </c>
      <c r="I127" s="177"/>
      <c r="J127" s="177"/>
      <c r="K127" s="176">
        <f>SUM(K115,K107:K110,K106)</f>
        <v>123.56116999999999</v>
      </c>
      <c r="L127" s="178">
        <f>K127-H127</f>
        <v>1.4249999999999972</v>
      </c>
      <c r="M127" s="179">
        <f>IF((H127)=0,"",(L127/H127))</f>
        <v>1.1667305434581724E-2</v>
      </c>
    </row>
    <row r="128" spans="1:13" hidden="1" x14ac:dyDescent="0.2">
      <c r="A128" s="46" t="str">
        <f t="shared" si="15"/>
        <v>RESIDENTIAL SERVICE CLASSIFICATION</v>
      </c>
      <c r="B128" s="46" t="s">
        <v>140</v>
      </c>
      <c r="C128" s="115"/>
      <c r="D128" s="180" t="s">
        <v>196</v>
      </c>
      <c r="E128" s="158"/>
      <c r="F128" s="174">
        <v>0.13</v>
      </c>
      <c r="G128" s="175"/>
      <c r="H128" s="182">
        <f>H127*F128</f>
        <v>15.8777021</v>
      </c>
      <c r="I128" s="174">
        <v>0.13</v>
      </c>
      <c r="J128" s="183"/>
      <c r="K128" s="182">
        <f>K127*I128</f>
        <v>16.0629521</v>
      </c>
      <c r="L128" s="124">
        <f>K128-H128</f>
        <v>0.18524999999999991</v>
      </c>
      <c r="M128" s="184">
        <f>IF((H128)=0,"",(L128/H128))</f>
        <v>1.166730543458174E-2</v>
      </c>
    </row>
    <row r="129" spans="1:14" ht="15" hidden="1" x14ac:dyDescent="0.25">
      <c r="A129" s="46" t="str">
        <f t="shared" si="15"/>
        <v>RESIDENTIAL SERVICE CLASSIFICATION</v>
      </c>
      <c r="B129" s="46" t="s">
        <v>140</v>
      </c>
      <c r="C129" s="115"/>
      <c r="D129" s="180" t="s">
        <v>197</v>
      </c>
      <c r="E129"/>
      <c r="F129" s="185">
        <v>0.11700000000000001</v>
      </c>
      <c r="G129" s="175"/>
      <c r="H129" s="182">
        <f>IF(OR(ISNUMBER(SEARCH("[DGEN]", E78))=TRUE, ISNUMBER(SEARCH("STREET LIGHT", E78))=TRUE), 0, IF(AND(E80=0, E81=0),0, IF(AND(E81=0, E80*12&gt;250000), 0, IF(AND(E80=0, E81&gt;=50), 0, IF(E80*12&lt;=250000, F129*H127*-1, IF(E81&lt;50, F129*H127*-1, 0))))))</f>
        <v>-14.28993189</v>
      </c>
      <c r="I129" s="185">
        <v>0.11700000000000001</v>
      </c>
      <c r="J129" s="183"/>
      <c r="K129" s="182">
        <f>IF(OR(ISNUMBER(SEARCH("[DGEN]", E78))=TRUE, ISNUMBER(SEARCH("STREET LIGHT", E78))=TRUE), 0, IF(AND(E80=0, E81=0),0, IF(AND(E81=0, E80*12&gt;250000), 0, IF(AND(E80=0, E81&gt;=50), 0, IF(E80*12&lt;=250000, I129*K127*-1, IF(E81&lt;50, I129*K127*-1, 0))))))</f>
        <v>-14.45665689</v>
      </c>
      <c r="L129" s="124"/>
      <c r="M129" s="184"/>
    </row>
    <row r="130" spans="1:14" hidden="1" x14ac:dyDescent="0.2">
      <c r="A130" s="46" t="str">
        <f t="shared" si="15"/>
        <v>RESIDENTIAL SERVICE CLASSIFICATION</v>
      </c>
      <c r="B130" s="46" t="s">
        <v>203</v>
      </c>
      <c r="C130" s="115"/>
      <c r="D130" s="186" t="s">
        <v>202</v>
      </c>
      <c r="E130" s="186"/>
      <c r="F130" s="194"/>
      <c r="G130" s="195"/>
      <c r="H130" s="189">
        <f>SUM(H127,H128)</f>
        <v>138.01387209999999</v>
      </c>
      <c r="I130" s="196"/>
      <c r="J130" s="196"/>
      <c r="K130" s="189">
        <f>SUM(K127,K128)</f>
        <v>139.62412209999999</v>
      </c>
      <c r="L130" s="197">
        <f>K130-H130</f>
        <v>1.6102500000000077</v>
      </c>
      <c r="M130" s="198">
        <f>IF((H130)=0,"",(L130/H130))</f>
        <v>1.1667305434581804E-2</v>
      </c>
    </row>
    <row r="131" spans="1:14" ht="13.5" hidden="1" thickBot="1" x14ac:dyDescent="0.25">
      <c r="A131" s="46" t="str">
        <f t="shared" si="15"/>
        <v>RESIDENTIAL SERVICE CLASSIFICATION</v>
      </c>
      <c r="B131" s="46" t="s">
        <v>140</v>
      </c>
      <c r="C131" s="115"/>
      <c r="D131" s="165"/>
      <c r="E131" s="166"/>
      <c r="F131" s="203"/>
      <c r="G131" s="200"/>
      <c r="H131" s="204"/>
      <c r="I131" s="203"/>
      <c r="J131" s="168"/>
      <c r="K131" s="204"/>
      <c r="L131" s="202"/>
      <c r="M131" s="205"/>
    </row>
    <row r="134" spans="1:14" x14ac:dyDescent="0.2">
      <c r="C134" s="46"/>
      <c r="D134" s="90" t="s">
        <v>150</v>
      </c>
      <c r="E134" s="91" t="str">
        <f>D31</f>
        <v>GENERAL SERVICE LESS THAN 50 KW SERVICE CLASSIFICATION</v>
      </c>
      <c r="F134" s="91"/>
      <c r="G134" s="91"/>
      <c r="H134" s="91"/>
      <c r="I134" s="91"/>
      <c r="J134" s="91"/>
      <c r="K134" s="46" t="str">
        <f>IF(N31="DEMAND - INTERVAL","RTSR - INTERVAL METERED","")</f>
        <v/>
      </c>
    </row>
    <row r="135" spans="1:14" x14ac:dyDescent="0.2">
      <c r="C135" s="46"/>
      <c r="D135" s="90" t="s">
        <v>151</v>
      </c>
      <c r="E135" s="92" t="str">
        <f>H31</f>
        <v>RPP</v>
      </c>
      <c r="F135" s="92"/>
      <c r="G135" s="92"/>
      <c r="H135" s="93"/>
      <c r="I135" s="93"/>
    </row>
    <row r="136" spans="1:14" ht="15.75" x14ac:dyDescent="0.2">
      <c r="C136" s="46"/>
      <c r="D136" s="90" t="s">
        <v>152</v>
      </c>
      <c r="E136" s="94">
        <f>K31</f>
        <v>2000</v>
      </c>
      <c r="F136" s="95" t="s">
        <v>153</v>
      </c>
      <c r="J136" s="96"/>
      <c r="K136" s="96"/>
      <c r="L136" s="96"/>
      <c r="M136" s="96"/>
      <c r="N136" s="96"/>
    </row>
    <row r="137" spans="1:14" ht="15.75" x14ac:dyDescent="0.25">
      <c r="C137" s="46"/>
      <c r="D137" s="90" t="s">
        <v>154</v>
      </c>
      <c r="E137" s="94">
        <f>L31</f>
        <v>0</v>
      </c>
      <c r="F137" s="97" t="s">
        <v>155</v>
      </c>
      <c r="G137" s="98"/>
      <c r="H137" s="99"/>
      <c r="I137" s="99"/>
      <c r="J137" s="99"/>
    </row>
    <row r="138" spans="1:14" x14ac:dyDescent="0.2">
      <c r="C138" s="46"/>
      <c r="D138" s="90" t="s">
        <v>156</v>
      </c>
      <c r="E138" s="100">
        <f>I31</f>
        <v>1.0306999999999999</v>
      </c>
    </row>
    <row r="139" spans="1:14" x14ac:dyDescent="0.2">
      <c r="C139" s="46"/>
      <c r="D139" s="90" t="s">
        <v>157</v>
      </c>
      <c r="E139" s="100">
        <f>J31</f>
        <v>1.0306999999999999</v>
      </c>
    </row>
    <row r="140" spans="1:14" x14ac:dyDescent="0.2">
      <c r="C140" s="46"/>
    </row>
    <row r="141" spans="1:14" x14ac:dyDescent="0.2">
      <c r="C141" s="46"/>
      <c r="E141" s="95"/>
      <c r="F141" s="101" t="s">
        <v>226</v>
      </c>
      <c r="G141" s="102"/>
      <c r="H141" s="103"/>
      <c r="I141" s="101" t="s">
        <v>205</v>
      </c>
      <c r="J141" s="102"/>
      <c r="K141" s="103"/>
      <c r="L141" s="101" t="s">
        <v>158</v>
      </c>
      <c r="M141" s="103"/>
    </row>
    <row r="142" spans="1:14" x14ac:dyDescent="0.2">
      <c r="C142" s="46"/>
      <c r="E142" s="104"/>
      <c r="F142" s="105" t="s">
        <v>159</v>
      </c>
      <c r="G142" s="105" t="s">
        <v>160</v>
      </c>
      <c r="H142" s="106" t="s">
        <v>161</v>
      </c>
      <c r="I142" s="105" t="s">
        <v>159</v>
      </c>
      <c r="J142" s="107" t="s">
        <v>160</v>
      </c>
      <c r="K142" s="106" t="s">
        <v>161</v>
      </c>
      <c r="L142" s="108" t="s">
        <v>162</v>
      </c>
      <c r="M142" s="109" t="s">
        <v>163</v>
      </c>
    </row>
    <row r="143" spans="1:14" x14ac:dyDescent="0.2">
      <c r="C143" s="46"/>
      <c r="E143" s="110"/>
      <c r="F143" s="111" t="s">
        <v>164</v>
      </c>
      <c r="G143" s="111"/>
      <c r="H143" s="112" t="s">
        <v>164</v>
      </c>
      <c r="I143" s="111" t="s">
        <v>164</v>
      </c>
      <c r="J143" s="112"/>
      <c r="K143" s="112" t="s">
        <v>164</v>
      </c>
      <c r="L143" s="113"/>
      <c r="M143" s="114"/>
    </row>
    <row r="144" spans="1:14" x14ac:dyDescent="0.2">
      <c r="A144" s="46" t="str">
        <f>$E134</f>
        <v>GENERAL SERVICE LESS THAN 50 KW SERVICE CLASSIFICATION</v>
      </c>
      <c r="C144" s="115"/>
      <c r="D144" s="116" t="s">
        <v>165</v>
      </c>
      <c r="E144" s="117"/>
      <c r="F144" s="121">
        <v>16.61</v>
      </c>
      <c r="G144" s="119">
        <v>1</v>
      </c>
      <c r="H144" s="120">
        <f>G144*F144</f>
        <v>16.61</v>
      </c>
      <c r="I144" s="121">
        <v>16.61</v>
      </c>
      <c r="J144" s="122">
        <f>G144</f>
        <v>1</v>
      </c>
      <c r="K144" s="123">
        <f>J144*I144</f>
        <v>16.61</v>
      </c>
      <c r="L144" s="124">
        <f t="shared" ref="L144:L165" si="20">K144-H144</f>
        <v>0</v>
      </c>
      <c r="M144" s="125">
        <f>IF(ISERROR(L144/H144), "", L144/H144)</f>
        <v>0</v>
      </c>
    </row>
    <row r="145" spans="1:14" x14ac:dyDescent="0.2">
      <c r="A145" s="46" t="str">
        <f>A144</f>
        <v>GENERAL SERVICE LESS THAN 50 KW SERVICE CLASSIFICATION</v>
      </c>
      <c r="C145" s="115"/>
      <c r="D145" s="116" t="s">
        <v>30</v>
      </c>
      <c r="E145" s="117"/>
      <c r="F145" s="127">
        <v>1.77E-2</v>
      </c>
      <c r="G145" s="119">
        <f>IF($E137&gt;0, $E137, $E136)</f>
        <v>2000</v>
      </c>
      <c r="H145" s="120">
        <f t="shared" ref="H145:H157" si="21">G145*F145</f>
        <v>35.4</v>
      </c>
      <c r="I145" s="127">
        <v>1.77E-2</v>
      </c>
      <c r="J145" s="122">
        <f>IF($E137&gt;0, $E137, $E136)</f>
        <v>2000</v>
      </c>
      <c r="K145" s="123">
        <f>J145*I145</f>
        <v>35.4</v>
      </c>
      <c r="L145" s="124">
        <f t="shared" si="20"/>
        <v>0</v>
      </c>
      <c r="M145" s="125">
        <f t="shared" ref="M145:M155" si="22">IF(ISERROR(L145/H145), "", L145/H145)</f>
        <v>0</v>
      </c>
    </row>
    <row r="146" spans="1:14" hidden="1" x14ac:dyDescent="0.2">
      <c r="A146" s="46" t="str">
        <f t="shared" ref="A146:A187" si="23">A145</f>
        <v>GENERAL SERVICE LESS THAN 50 KW SERVICE CLASSIFICATION</v>
      </c>
      <c r="C146" s="115"/>
      <c r="D146" s="116" t="s">
        <v>166</v>
      </c>
      <c r="E146" s="117"/>
      <c r="F146" s="127"/>
      <c r="G146" s="119">
        <f>IF($E137&gt;0, $E137, $E136)</f>
        <v>2000</v>
      </c>
      <c r="H146" s="120">
        <v>0</v>
      </c>
      <c r="I146" s="127"/>
      <c r="J146" s="122">
        <f>IF($E137&gt;0, $E137, $E136)</f>
        <v>2000</v>
      </c>
      <c r="K146" s="123">
        <v>0</v>
      </c>
      <c r="L146" s="124"/>
      <c r="M146" s="125"/>
    </row>
    <row r="147" spans="1:14" hidden="1" x14ac:dyDescent="0.2">
      <c r="A147" s="46" t="str">
        <f t="shared" si="23"/>
        <v>GENERAL SERVICE LESS THAN 50 KW SERVICE CLASSIFICATION</v>
      </c>
      <c r="C147" s="115"/>
      <c r="D147" s="116" t="s">
        <v>167</v>
      </c>
      <c r="E147" s="117"/>
      <c r="F147" s="127"/>
      <c r="G147" s="119">
        <f>IF($E137&gt;0, $E137, $E136)</f>
        <v>2000</v>
      </c>
      <c r="H147" s="120">
        <v>0</v>
      </c>
      <c r="I147" s="127"/>
      <c r="J147" s="128">
        <f>IF($E137&gt;0, $E137, $E136)</f>
        <v>2000</v>
      </c>
      <c r="K147" s="123">
        <v>0</v>
      </c>
      <c r="L147" s="124">
        <f>K147-H147</f>
        <v>0</v>
      </c>
      <c r="M147" s="125" t="str">
        <f>IF(ISERROR(L147/H147), "", L147/H147)</f>
        <v/>
      </c>
    </row>
    <row r="148" spans="1:14" x14ac:dyDescent="0.2">
      <c r="A148" s="46" t="str">
        <f t="shared" si="23"/>
        <v>GENERAL SERVICE LESS THAN 50 KW SERVICE CLASSIFICATION</v>
      </c>
      <c r="C148" s="115"/>
      <c r="D148" s="116" t="s">
        <v>168</v>
      </c>
      <c r="E148" s="117"/>
      <c r="F148" s="121">
        <v>1.7000000000000002</v>
      </c>
      <c r="G148" s="119">
        <v>1</v>
      </c>
      <c r="H148" s="120">
        <f t="shared" si="21"/>
        <v>1.7000000000000002</v>
      </c>
      <c r="I148" s="121">
        <v>1.7000000000000002</v>
      </c>
      <c r="J148" s="122">
        <f>G148</f>
        <v>1</v>
      </c>
      <c r="K148" s="123">
        <f t="shared" ref="K148:K155" si="24">J148*I148</f>
        <v>1.7000000000000002</v>
      </c>
      <c r="L148" s="124">
        <f t="shared" si="20"/>
        <v>0</v>
      </c>
      <c r="M148" s="125">
        <f t="shared" si="22"/>
        <v>0</v>
      </c>
    </row>
    <row r="149" spans="1:14" x14ac:dyDescent="0.2">
      <c r="A149" s="46" t="str">
        <f t="shared" si="23"/>
        <v>GENERAL SERVICE LESS THAN 50 KW SERVICE CLASSIFICATION</v>
      </c>
      <c r="C149" s="115"/>
      <c r="D149" s="116" t="s">
        <v>169</v>
      </c>
      <c r="E149" s="117"/>
      <c r="F149" s="127">
        <v>0</v>
      </c>
      <c r="G149" s="119">
        <f>IF($E137&gt;0, $E137, $E136)</f>
        <v>2000</v>
      </c>
      <c r="H149" s="120">
        <f t="shared" si="21"/>
        <v>0</v>
      </c>
      <c r="I149" s="127">
        <v>0</v>
      </c>
      <c r="J149" s="122">
        <f>IF($E137&gt;0, $E137, $E136)</f>
        <v>2000</v>
      </c>
      <c r="K149" s="123">
        <f t="shared" si="24"/>
        <v>0</v>
      </c>
      <c r="L149" s="124">
        <f t="shared" si="20"/>
        <v>0</v>
      </c>
      <c r="M149" s="125" t="str">
        <f t="shared" si="22"/>
        <v/>
      </c>
    </row>
    <row r="150" spans="1:14" x14ac:dyDescent="0.2">
      <c r="A150" s="46" t="str">
        <f t="shared" si="23"/>
        <v>GENERAL SERVICE LESS THAN 50 KW SERVICE CLASSIFICATION</v>
      </c>
      <c r="B150" s="46" t="s">
        <v>170</v>
      </c>
      <c r="C150" s="115">
        <f>B31</f>
        <v>2</v>
      </c>
      <c r="D150" s="129" t="s">
        <v>171</v>
      </c>
      <c r="E150" s="130"/>
      <c r="F150" s="134"/>
      <c r="G150" s="132"/>
      <c r="H150" s="133">
        <f>SUM(H144:H149)</f>
        <v>53.71</v>
      </c>
      <c r="I150" s="134"/>
      <c r="J150" s="135"/>
      <c r="K150" s="133">
        <f>SUM(K144:K149)</f>
        <v>53.71</v>
      </c>
      <c r="L150" s="136">
        <f t="shared" si="20"/>
        <v>0</v>
      </c>
      <c r="M150" s="137">
        <f>IF((H150)=0,"",(L150/H150))</f>
        <v>0</v>
      </c>
    </row>
    <row r="151" spans="1:14" x14ac:dyDescent="0.2">
      <c r="A151" s="46" t="str">
        <f t="shared" si="23"/>
        <v>GENERAL SERVICE LESS THAN 50 KW SERVICE CLASSIFICATION</v>
      </c>
      <c r="C151" s="115"/>
      <c r="D151" s="138" t="s">
        <v>172</v>
      </c>
      <c r="E151" s="117"/>
      <c r="F151" s="127">
        <f>IF((E136*12&gt;=150000), 0, IF(E135="RPP",(F167*0.64+F168*0.18+F169*0.18),IF(E135="Non-RPP (Retailer)",F170,F171)))</f>
        <v>9.2899999999999996E-2</v>
      </c>
      <c r="G151" s="139">
        <f>IF(F151=0, 0, $E136*E138-E136)</f>
        <v>61.400000000000091</v>
      </c>
      <c r="H151" s="120">
        <f>G151*F151</f>
        <v>5.7040600000000081</v>
      </c>
      <c r="I151" s="127">
        <f>IF((E136*12&gt;=150000), 0, IF(E135="RPP",(I167*0.64+I168*0.18+I169*0.18),IF(E135="Non-RPP (Retailer)",I170,I171)))</f>
        <v>9.2899999999999996E-2</v>
      </c>
      <c r="J151" s="140">
        <f>IF(I151=0, 0, E136*E139-E136)</f>
        <v>61.400000000000091</v>
      </c>
      <c r="K151" s="123">
        <f>J151*I151</f>
        <v>5.7040600000000081</v>
      </c>
      <c r="L151" s="124">
        <f>K151-H151</f>
        <v>0</v>
      </c>
      <c r="M151" s="125">
        <f>IF(ISERROR(L151/H151), "", L151/H151)</f>
        <v>0</v>
      </c>
    </row>
    <row r="152" spans="1:14" ht="25.5" x14ac:dyDescent="0.2">
      <c r="A152" s="46" t="str">
        <f t="shared" si="23"/>
        <v>GENERAL SERVICE LESS THAN 50 KW SERVICE CLASSIFICATION</v>
      </c>
      <c r="C152" s="115"/>
      <c r="D152" s="138" t="s">
        <v>173</v>
      </c>
      <c r="E152" s="117"/>
      <c r="F152" s="127">
        <v>1.5E-3</v>
      </c>
      <c r="G152" s="141">
        <f>IF($E137&gt;0, $E137, $E136)</f>
        <v>2000</v>
      </c>
      <c r="H152" s="120">
        <f t="shared" si="21"/>
        <v>3</v>
      </c>
      <c r="I152" s="127">
        <f>'Proposed Tariff'!D65+'Proposed Tariff'!D63</f>
        <v>3.4000000000000002E-3</v>
      </c>
      <c r="J152" s="142">
        <f>IF($E137&gt;0, $E137, $E136)</f>
        <v>2000</v>
      </c>
      <c r="K152" s="123">
        <f t="shared" si="24"/>
        <v>6.8000000000000007</v>
      </c>
      <c r="L152" s="124">
        <f t="shared" si="20"/>
        <v>3.8000000000000007</v>
      </c>
      <c r="M152" s="125">
        <f t="shared" si="22"/>
        <v>1.2666666666666668</v>
      </c>
    </row>
    <row r="153" spans="1:14" x14ac:dyDescent="0.2">
      <c r="A153" s="46" t="str">
        <f t="shared" si="23"/>
        <v>GENERAL SERVICE LESS THAN 50 KW SERVICE CLASSIFICATION</v>
      </c>
      <c r="C153" s="115"/>
      <c r="D153" s="138" t="s">
        <v>174</v>
      </c>
      <c r="E153" s="117"/>
      <c r="F153" s="127">
        <v>0</v>
      </c>
      <c r="G153" s="141">
        <f>IF($E137&gt;0, $E137, $E136)</f>
        <v>2000</v>
      </c>
      <c r="H153" s="120">
        <f>G153*F153</f>
        <v>0</v>
      </c>
      <c r="I153" s="127">
        <v>0</v>
      </c>
      <c r="J153" s="142">
        <f>IF($E137&gt;0, $E137, $E136)</f>
        <v>2000</v>
      </c>
      <c r="K153" s="123">
        <f>J153*I153</f>
        <v>0</v>
      </c>
      <c r="L153" s="124">
        <f t="shared" si="20"/>
        <v>0</v>
      </c>
      <c r="M153" s="125" t="str">
        <f t="shared" si="22"/>
        <v/>
      </c>
    </row>
    <row r="154" spans="1:14" x14ac:dyDescent="0.2">
      <c r="A154" s="46" t="str">
        <f t="shared" si="23"/>
        <v>GENERAL SERVICE LESS THAN 50 KW SERVICE CLASSIFICATION</v>
      </c>
      <c r="C154" s="115"/>
      <c r="D154" s="138" t="s">
        <v>175</v>
      </c>
      <c r="E154" s="117"/>
      <c r="F154" s="127">
        <v>0</v>
      </c>
      <c r="G154" s="141">
        <f>E136</f>
        <v>2000</v>
      </c>
      <c r="H154" s="120">
        <f>G154*F154</f>
        <v>0</v>
      </c>
      <c r="I154" s="127">
        <v>0</v>
      </c>
      <c r="J154" s="142">
        <f>E136</f>
        <v>2000</v>
      </c>
      <c r="K154" s="123">
        <f t="shared" si="24"/>
        <v>0</v>
      </c>
      <c r="L154" s="124">
        <f t="shared" si="20"/>
        <v>0</v>
      </c>
      <c r="M154" s="125" t="str">
        <f t="shared" si="22"/>
        <v/>
      </c>
    </row>
    <row r="155" spans="1:14" x14ac:dyDescent="0.2">
      <c r="A155" s="46" t="str">
        <f t="shared" si="23"/>
        <v>GENERAL SERVICE LESS THAN 50 KW SERVICE CLASSIFICATION</v>
      </c>
      <c r="C155" s="115"/>
      <c r="D155" s="116" t="s">
        <v>176</v>
      </c>
      <c r="E155" s="117"/>
      <c r="F155" s="127">
        <v>2.0000000000000001E-4</v>
      </c>
      <c r="G155" s="141">
        <f>IF($E137&gt;0, $E137, $E136)</f>
        <v>2000</v>
      </c>
      <c r="H155" s="120">
        <f t="shared" si="21"/>
        <v>0.4</v>
      </c>
      <c r="I155" s="127">
        <v>2.0000000000000001E-4</v>
      </c>
      <c r="J155" s="142">
        <f>IF($E137&gt;0, $E137, $E136)</f>
        <v>2000</v>
      </c>
      <c r="K155" s="123">
        <f t="shared" si="24"/>
        <v>0.4</v>
      </c>
      <c r="L155" s="124">
        <f t="shared" si="20"/>
        <v>0</v>
      </c>
      <c r="M155" s="125">
        <f t="shared" si="22"/>
        <v>0</v>
      </c>
    </row>
    <row r="156" spans="1:14" ht="25.5" x14ac:dyDescent="0.2">
      <c r="A156" s="46" t="str">
        <f t="shared" si="23"/>
        <v>GENERAL SERVICE LESS THAN 50 KW SERVICE CLASSIFICATION</v>
      </c>
      <c r="C156" s="115"/>
      <c r="D156" s="138" t="s">
        <v>177</v>
      </c>
      <c r="E156" s="117"/>
      <c r="F156" s="144">
        <f>IF(OR(ISNUMBER(SEARCH("RESIDENTIAL", E134))=TRUE, ISNUMBER(SEARCH("GENERAL SERVICE LESS THAN 50", E134))=TRUE), SME, 0)</f>
        <v>0.42</v>
      </c>
      <c r="G156" s="119">
        <v>1</v>
      </c>
      <c r="H156" s="120">
        <f>G156*F156</f>
        <v>0.42</v>
      </c>
      <c r="I156" s="144">
        <f>IF(OR(ISNUMBER(SEARCH("RESIDENTIAL", E134))=TRUE, ISNUMBER(SEARCH("GENERAL SERVICE LESS THAN 50", E134))=TRUE), SME, 0)</f>
        <v>0.42</v>
      </c>
      <c r="J156" s="128">
        <v>1</v>
      </c>
      <c r="K156" s="123">
        <f>J156*I156</f>
        <v>0.42</v>
      </c>
      <c r="L156" s="124">
        <f t="shared" si="20"/>
        <v>0</v>
      </c>
      <c r="M156" s="125">
        <f>IF(ISERROR(L156/H156), "", L156/H156)</f>
        <v>0</v>
      </c>
    </row>
    <row r="157" spans="1:14" x14ac:dyDescent="0.2">
      <c r="A157" s="46" t="str">
        <f t="shared" si="23"/>
        <v>GENERAL SERVICE LESS THAN 50 KW SERVICE CLASSIFICATION</v>
      </c>
      <c r="C157" s="115"/>
      <c r="D157" s="116" t="s">
        <v>178</v>
      </c>
      <c r="E157" s="117"/>
      <c r="F157" s="121">
        <v>0</v>
      </c>
      <c r="G157" s="119">
        <v>1</v>
      </c>
      <c r="H157" s="120">
        <f t="shared" si="21"/>
        <v>0</v>
      </c>
      <c r="I157" s="121">
        <v>0</v>
      </c>
      <c r="J157" s="128">
        <v>1</v>
      </c>
      <c r="K157" s="123">
        <f>J157*I157</f>
        <v>0</v>
      </c>
      <c r="L157" s="124">
        <f>K157-H157</f>
        <v>0</v>
      </c>
      <c r="M157" s="125" t="str">
        <f>IF(ISERROR(L157/H157), "", L157/H157)</f>
        <v/>
      </c>
    </row>
    <row r="158" spans="1:14" x14ac:dyDescent="0.2">
      <c r="A158" s="46" t="str">
        <f t="shared" si="23"/>
        <v>GENERAL SERVICE LESS THAN 50 KW SERVICE CLASSIFICATION</v>
      </c>
      <c r="C158" s="115"/>
      <c r="D158" s="116" t="s">
        <v>179</v>
      </c>
      <c r="E158" s="117"/>
      <c r="F158" s="127">
        <v>0</v>
      </c>
      <c r="G158" s="141">
        <f>IF($E137&gt;0, $E137, $E136)</f>
        <v>2000</v>
      </c>
      <c r="H158" s="120">
        <f>G158*F158</f>
        <v>0</v>
      </c>
      <c r="I158" s="127">
        <v>0</v>
      </c>
      <c r="J158" s="142">
        <f>IF($E137&gt;0, $E137, $E136)</f>
        <v>2000</v>
      </c>
      <c r="K158" s="123">
        <f>J158*I158</f>
        <v>0</v>
      </c>
      <c r="L158" s="124">
        <f t="shared" si="20"/>
        <v>0</v>
      </c>
      <c r="M158" s="125" t="str">
        <f>IF(ISERROR(L158/H158), "", L158/H158)</f>
        <v/>
      </c>
    </row>
    <row r="159" spans="1:14" ht="25.5" x14ac:dyDescent="0.2">
      <c r="A159" s="46" t="str">
        <f t="shared" si="23"/>
        <v>GENERAL SERVICE LESS THAN 50 KW SERVICE CLASSIFICATION</v>
      </c>
      <c r="B159" s="46" t="s">
        <v>180</v>
      </c>
      <c r="C159" s="115">
        <f>B31</f>
        <v>2</v>
      </c>
      <c r="D159" s="145" t="s">
        <v>181</v>
      </c>
      <c r="E159" s="146"/>
      <c r="F159" s="150"/>
      <c r="G159" s="148"/>
      <c r="H159" s="149">
        <f>SUM(H150:H158)</f>
        <v>63.234060000000007</v>
      </c>
      <c r="I159" s="150"/>
      <c r="J159" s="151"/>
      <c r="K159" s="149">
        <f>SUM(K150:K158)</f>
        <v>67.034060000000011</v>
      </c>
      <c r="L159" s="136">
        <f t="shared" si="20"/>
        <v>3.8000000000000043</v>
      </c>
      <c r="M159" s="137">
        <f>IF((H159)=0,"",(L159/H159))</f>
        <v>6.0094196070915006E-2</v>
      </c>
    </row>
    <row r="160" spans="1:14" x14ac:dyDescent="0.2">
      <c r="A160" s="46" t="str">
        <f t="shared" si="23"/>
        <v>GENERAL SERVICE LESS THAN 50 KW SERVICE CLASSIFICATION</v>
      </c>
      <c r="C160" s="115"/>
      <c r="D160" s="152" t="s">
        <v>182</v>
      </c>
      <c r="E160" s="117"/>
      <c r="F160" s="153">
        <v>8.0999999999999996E-3</v>
      </c>
      <c r="G160" s="139">
        <f>IF($E137&gt;0, $E137, $E136*$E138)</f>
        <v>2061.4</v>
      </c>
      <c r="H160" s="120">
        <f>G160*F160</f>
        <v>16.697340000000001</v>
      </c>
      <c r="I160" s="153">
        <v>8.0999999999999996E-3</v>
      </c>
      <c r="J160" s="140">
        <f>IF($E137&gt;0, $E137, $E136*$E139)</f>
        <v>2061.4</v>
      </c>
      <c r="K160" s="123">
        <f>J160*I160</f>
        <v>16.697340000000001</v>
      </c>
      <c r="L160" s="124">
        <f t="shared" si="20"/>
        <v>0</v>
      </c>
      <c r="M160" s="125">
        <f>IF(ISERROR(L160/H160), "", L160/H160)</f>
        <v>0</v>
      </c>
      <c r="N160" s="154" t="str">
        <f>IF(ISERROR(ABS(M160)), "", IF(ABS(M160)&gt;=4%, "In the manager's summary, discuss the reasoning for the change in RTSR rates", ""))</f>
        <v/>
      </c>
    </row>
    <row r="161" spans="1:14" ht="25.5" x14ac:dyDescent="0.2">
      <c r="A161" s="46" t="str">
        <f t="shared" si="23"/>
        <v>GENERAL SERVICE LESS THAN 50 KW SERVICE CLASSIFICATION</v>
      </c>
      <c r="C161" s="115"/>
      <c r="D161" s="155" t="s">
        <v>183</v>
      </c>
      <c r="E161" s="117"/>
      <c r="F161" s="153">
        <v>4.4000000000000003E-3</v>
      </c>
      <c r="G161" s="139">
        <f>IF($E137&gt;0, $E137, $E136*$E138)</f>
        <v>2061.4</v>
      </c>
      <c r="H161" s="120">
        <f>G161*F161</f>
        <v>9.0701600000000013</v>
      </c>
      <c r="I161" s="153">
        <v>4.4000000000000003E-3</v>
      </c>
      <c r="J161" s="140">
        <f>IF($E137&gt;0, $E137, $E136*$E139)</f>
        <v>2061.4</v>
      </c>
      <c r="K161" s="123">
        <f>J161*I161</f>
        <v>9.0701600000000013</v>
      </c>
      <c r="L161" s="124">
        <f t="shared" si="20"/>
        <v>0</v>
      </c>
      <c r="M161" s="125">
        <f>IF(ISERROR(L161/H161), "", L161/H161)</f>
        <v>0</v>
      </c>
      <c r="N161" s="154" t="str">
        <f>IF(ISERROR(ABS(M161)), "", IF(ABS(M161)&gt;=4%, "In the manager's summary, discuss the reasoning for the change in RTSR rates", ""))</f>
        <v/>
      </c>
    </row>
    <row r="162" spans="1:14" ht="25.5" x14ac:dyDescent="0.2">
      <c r="A162" s="46" t="str">
        <f t="shared" si="23"/>
        <v>GENERAL SERVICE LESS THAN 50 KW SERVICE CLASSIFICATION</v>
      </c>
      <c r="B162" s="46" t="s">
        <v>184</v>
      </c>
      <c r="C162" s="115">
        <f>B31</f>
        <v>2</v>
      </c>
      <c r="D162" s="145" t="s">
        <v>185</v>
      </c>
      <c r="E162" s="130"/>
      <c r="F162" s="150"/>
      <c r="G162" s="148"/>
      <c r="H162" s="149">
        <f>SUM(H159:H161)</f>
        <v>89.001560000000012</v>
      </c>
      <c r="I162" s="150"/>
      <c r="J162" s="135"/>
      <c r="K162" s="149">
        <f>SUM(K159:K161)</f>
        <v>92.801560000000009</v>
      </c>
      <c r="L162" s="136">
        <f t="shared" si="20"/>
        <v>3.7999999999999972</v>
      </c>
      <c r="M162" s="137">
        <f>IF((H162)=0,"",(L162/H162))</f>
        <v>4.2695880836245981E-2</v>
      </c>
    </row>
    <row r="163" spans="1:14" ht="25.5" x14ac:dyDescent="0.2">
      <c r="A163" s="46" t="str">
        <f t="shared" si="23"/>
        <v>GENERAL SERVICE LESS THAN 50 KW SERVICE CLASSIFICATION</v>
      </c>
      <c r="C163" s="115"/>
      <c r="D163" s="156" t="s">
        <v>186</v>
      </c>
      <c r="E163" s="117"/>
      <c r="F163" s="127">
        <f>'[1]17. Regulatory Charges'!$E$15+'[1]17. Regulatory Charges'!$E$16</f>
        <v>3.4000000000000002E-3</v>
      </c>
      <c r="G163" s="139">
        <f>E136*E138</f>
        <v>2061.4</v>
      </c>
      <c r="H163" s="157">
        <f t="shared" ref="H163:H169" si="25">G163*F163</f>
        <v>7.0087600000000005</v>
      </c>
      <c r="I163" s="127">
        <f>'[1]17. Regulatory Charges'!$E$15+'[1]17. Regulatory Charges'!$E$16</f>
        <v>3.4000000000000002E-3</v>
      </c>
      <c r="J163" s="140">
        <f>E136*E139</f>
        <v>2061.4</v>
      </c>
      <c r="K163" s="123">
        <f t="shared" ref="K163:K169" si="26">J163*I163</f>
        <v>7.0087600000000005</v>
      </c>
      <c r="L163" s="124">
        <f t="shared" si="20"/>
        <v>0</v>
      </c>
      <c r="M163" s="125">
        <f t="shared" ref="M163:M171" si="27">IF(ISERROR(L163/H163), "", L163/H163)</f>
        <v>0</v>
      </c>
    </row>
    <row r="164" spans="1:14" ht="25.5" x14ac:dyDescent="0.2">
      <c r="A164" s="46" t="str">
        <f t="shared" si="23"/>
        <v>GENERAL SERVICE LESS THAN 50 KW SERVICE CLASSIFICATION</v>
      </c>
      <c r="C164" s="115"/>
      <c r="D164" s="156" t="s">
        <v>187</v>
      </c>
      <c r="E164" s="117"/>
      <c r="F164" s="127">
        <f>'[1]17. Regulatory Charges'!$E$17</f>
        <v>5.0000000000000001E-4</v>
      </c>
      <c r="G164" s="139">
        <f>E136*E138</f>
        <v>2061.4</v>
      </c>
      <c r="H164" s="157">
        <f t="shared" si="25"/>
        <v>1.0307000000000002</v>
      </c>
      <c r="I164" s="127">
        <f>'[1]17. Regulatory Charges'!$E$17</f>
        <v>5.0000000000000001E-4</v>
      </c>
      <c r="J164" s="140">
        <f>E136*E139</f>
        <v>2061.4</v>
      </c>
      <c r="K164" s="123">
        <f t="shared" si="26"/>
        <v>1.0307000000000002</v>
      </c>
      <c r="L164" s="124">
        <f t="shared" si="20"/>
        <v>0</v>
      </c>
      <c r="M164" s="125">
        <f t="shared" si="27"/>
        <v>0</v>
      </c>
    </row>
    <row r="165" spans="1:14" x14ac:dyDescent="0.2">
      <c r="A165" s="46" t="str">
        <f t="shared" si="23"/>
        <v>GENERAL SERVICE LESS THAN 50 KW SERVICE CLASSIFICATION</v>
      </c>
      <c r="C165" s="115"/>
      <c r="D165" s="158" t="s">
        <v>188</v>
      </c>
      <c r="E165" s="117"/>
      <c r="F165" s="144">
        <f>'[1]17. Regulatory Charges'!$E$18</f>
        <v>0.25</v>
      </c>
      <c r="G165" s="119">
        <v>1</v>
      </c>
      <c r="H165" s="157">
        <f t="shared" si="25"/>
        <v>0.25</v>
      </c>
      <c r="I165" s="144">
        <f>'[1]17. Regulatory Charges'!$E$18</f>
        <v>0.25</v>
      </c>
      <c r="J165" s="122">
        <v>1</v>
      </c>
      <c r="K165" s="123">
        <f t="shared" si="26"/>
        <v>0.25</v>
      </c>
      <c r="L165" s="124">
        <f t="shared" si="20"/>
        <v>0</v>
      </c>
      <c r="M165" s="125">
        <f t="shared" si="27"/>
        <v>0</v>
      </c>
    </row>
    <row r="166" spans="1:14" ht="25.5" hidden="1" x14ac:dyDescent="0.2">
      <c r="A166" s="46" t="str">
        <f t="shared" si="23"/>
        <v>GENERAL SERVICE LESS THAN 50 KW SERVICE CLASSIFICATION</v>
      </c>
      <c r="C166" s="115"/>
      <c r="D166" s="156" t="s">
        <v>189</v>
      </c>
      <c r="E166" s="117"/>
      <c r="F166" s="127"/>
      <c r="G166" s="139"/>
      <c r="H166" s="157"/>
      <c r="I166" s="127"/>
      <c r="J166" s="140"/>
      <c r="K166" s="123"/>
      <c r="L166" s="124"/>
      <c r="M166" s="125"/>
    </row>
    <row r="167" spans="1:14" x14ac:dyDescent="0.2">
      <c r="A167" s="46" t="str">
        <f t="shared" si="23"/>
        <v>GENERAL SERVICE LESS THAN 50 KW SERVICE CLASSIFICATION</v>
      </c>
      <c r="B167" s="46" t="s">
        <v>139</v>
      </c>
      <c r="C167" s="115"/>
      <c r="D167" s="158" t="s">
        <v>190</v>
      </c>
      <c r="E167" s="117"/>
      <c r="F167" s="161">
        <f>OffPeak</f>
        <v>7.3999999999999996E-2</v>
      </c>
      <c r="G167" s="160">
        <f>IF(AND(E136*12&gt;=150000),0.64*E136*E138,0.64*E136)</f>
        <v>1280</v>
      </c>
      <c r="H167" s="157">
        <f t="shared" si="25"/>
        <v>94.72</v>
      </c>
      <c r="I167" s="161">
        <f>OffPeak</f>
        <v>7.3999999999999996E-2</v>
      </c>
      <c r="J167" s="162">
        <f>IF(AND(E136*12&gt;=150000),0.64*E136*E139,0.64*E136)</f>
        <v>1280</v>
      </c>
      <c r="K167" s="123">
        <f t="shared" si="26"/>
        <v>94.72</v>
      </c>
      <c r="L167" s="124">
        <f>K167-H167</f>
        <v>0</v>
      </c>
      <c r="M167" s="125">
        <f t="shared" si="27"/>
        <v>0</v>
      </c>
    </row>
    <row r="168" spans="1:14" x14ac:dyDescent="0.2">
      <c r="A168" s="46" t="str">
        <f t="shared" si="23"/>
        <v>GENERAL SERVICE LESS THAN 50 KW SERVICE CLASSIFICATION</v>
      </c>
      <c r="B168" s="46" t="s">
        <v>139</v>
      </c>
      <c r="C168" s="115"/>
      <c r="D168" s="158" t="s">
        <v>191</v>
      </c>
      <c r="E168" s="117"/>
      <c r="F168" s="161">
        <f>MidPeak</f>
        <v>0.10199999999999999</v>
      </c>
      <c r="G168" s="160">
        <f>IF(AND(E136*12&gt;=150000),0.18*E136*E138,0.18*E136)</f>
        <v>360</v>
      </c>
      <c r="H168" s="157">
        <f t="shared" si="25"/>
        <v>36.72</v>
      </c>
      <c r="I168" s="161">
        <f>MidPeak</f>
        <v>0.10199999999999999</v>
      </c>
      <c r="J168" s="162">
        <f>IF(AND(E136*12&gt;=150000),0.18*E136*E139,0.18*E136)</f>
        <v>360</v>
      </c>
      <c r="K168" s="123">
        <f t="shared" si="26"/>
        <v>36.72</v>
      </c>
      <c r="L168" s="124">
        <f>K168-H168</f>
        <v>0</v>
      </c>
      <c r="M168" s="125">
        <f t="shared" si="27"/>
        <v>0</v>
      </c>
    </row>
    <row r="169" spans="1:14" ht="13.5" thickBot="1" x14ac:dyDescent="0.25">
      <c r="A169" s="46" t="str">
        <f t="shared" si="23"/>
        <v>GENERAL SERVICE LESS THAN 50 KW SERVICE CLASSIFICATION</v>
      </c>
      <c r="B169" s="46" t="s">
        <v>139</v>
      </c>
      <c r="C169" s="115"/>
      <c r="D169" s="46" t="s">
        <v>192</v>
      </c>
      <c r="E169" s="117"/>
      <c r="F169" s="161">
        <f>OnPeak</f>
        <v>0.151</v>
      </c>
      <c r="G169" s="160">
        <f>IF(AND(E136*12&gt;=150000),0.18*E136*E138,0.18*E136)</f>
        <v>360</v>
      </c>
      <c r="H169" s="157">
        <f t="shared" si="25"/>
        <v>54.36</v>
      </c>
      <c r="I169" s="161">
        <f>OnPeak</f>
        <v>0.151</v>
      </c>
      <c r="J169" s="162">
        <f>IF(AND(E136*12&gt;=150000),0.18*E136*E139,0.18*E136)</f>
        <v>360</v>
      </c>
      <c r="K169" s="123">
        <f t="shared" si="26"/>
        <v>54.36</v>
      </c>
      <c r="L169" s="124">
        <f>K169-H169</f>
        <v>0</v>
      </c>
      <c r="M169" s="125">
        <f t="shared" si="27"/>
        <v>0</v>
      </c>
    </row>
    <row r="170" spans="1:14" ht="13.5" hidden="1" thickBot="1" x14ac:dyDescent="0.25">
      <c r="A170" s="46" t="str">
        <f t="shared" si="23"/>
        <v>GENERAL SERVICE LESS THAN 50 KW SERVICE CLASSIFICATION</v>
      </c>
      <c r="B170" s="46" t="s">
        <v>141</v>
      </c>
      <c r="C170" s="115"/>
      <c r="D170" s="158" t="s">
        <v>193</v>
      </c>
      <c r="E170" s="117"/>
      <c r="F170" s="163">
        <v>9.6699999999999994E-2</v>
      </c>
      <c r="G170" s="160">
        <f>IF(AND(E136*12&gt;=150000),E136*E138,E136)</f>
        <v>2000</v>
      </c>
      <c r="H170" s="157">
        <f>G170*F170</f>
        <v>193.39999999999998</v>
      </c>
      <c r="I170" s="164">
        <f>F170</f>
        <v>9.6699999999999994E-2</v>
      </c>
      <c r="J170" s="162">
        <f>IF(AND(E136*12&gt;=150000),E136*E139,E136)</f>
        <v>2000</v>
      </c>
      <c r="K170" s="123">
        <f>J170*I170</f>
        <v>193.39999999999998</v>
      </c>
      <c r="L170" s="124">
        <f>K170-H170</f>
        <v>0</v>
      </c>
      <c r="M170" s="125">
        <f t="shared" si="27"/>
        <v>0</v>
      </c>
    </row>
    <row r="171" spans="1:14" ht="13.5" hidden="1" thickBot="1" x14ac:dyDescent="0.25">
      <c r="A171" s="46" t="str">
        <f t="shared" si="23"/>
        <v>GENERAL SERVICE LESS THAN 50 KW SERVICE CLASSIFICATION</v>
      </c>
      <c r="B171" s="46" t="s">
        <v>140</v>
      </c>
      <c r="C171" s="115"/>
      <c r="D171" s="158" t="s">
        <v>194</v>
      </c>
      <c r="E171" s="117"/>
      <c r="F171" s="163">
        <v>9.6699999999999994E-2</v>
      </c>
      <c r="G171" s="160">
        <f>IF(AND(E136*12&gt;=150000),E136*E138,E136)</f>
        <v>2000</v>
      </c>
      <c r="H171" s="157">
        <f>G171*F171</f>
        <v>193.39999999999998</v>
      </c>
      <c r="I171" s="164">
        <f>F171</f>
        <v>9.6699999999999994E-2</v>
      </c>
      <c r="J171" s="162">
        <f>IF(AND(E136*12&gt;=150000),E136*E139,E136)</f>
        <v>2000</v>
      </c>
      <c r="K171" s="123">
        <f>J171*I171</f>
        <v>193.39999999999998</v>
      </c>
      <c r="L171" s="124">
        <f>K171-H171</f>
        <v>0</v>
      </c>
      <c r="M171" s="125">
        <f t="shared" si="27"/>
        <v>0</v>
      </c>
    </row>
    <row r="172" spans="1:14" ht="13.5" thickBot="1" x14ac:dyDescent="0.25">
      <c r="A172" s="46" t="str">
        <f t="shared" si="23"/>
        <v>GENERAL SERVICE LESS THAN 50 KW SERVICE CLASSIFICATION</v>
      </c>
      <c r="C172" s="115"/>
      <c r="D172" s="165"/>
      <c r="E172" s="166"/>
      <c r="F172" s="167"/>
      <c r="G172" s="168"/>
      <c r="H172" s="169"/>
      <c r="I172" s="167"/>
      <c r="J172" s="170"/>
      <c r="K172" s="169"/>
      <c r="L172" s="171"/>
      <c r="M172" s="172"/>
    </row>
    <row r="173" spans="1:14" x14ac:dyDescent="0.2">
      <c r="A173" s="46" t="str">
        <f t="shared" si="23"/>
        <v>GENERAL SERVICE LESS THAN 50 KW SERVICE CLASSIFICATION</v>
      </c>
      <c r="B173" s="46" t="s">
        <v>139</v>
      </c>
      <c r="C173" s="115"/>
      <c r="D173" s="173" t="s">
        <v>195</v>
      </c>
      <c r="E173" s="158"/>
      <c r="F173" s="174"/>
      <c r="G173" s="175"/>
      <c r="H173" s="176">
        <f>SUM(H163:H169,H162)</f>
        <v>283.09102000000007</v>
      </c>
      <c r="I173" s="177"/>
      <c r="J173" s="177"/>
      <c r="K173" s="176">
        <f>SUM(K163:K169,K162)</f>
        <v>286.89102000000003</v>
      </c>
      <c r="L173" s="178">
        <f>K173-H173</f>
        <v>3.7999999999999545</v>
      </c>
      <c r="M173" s="179">
        <f>IF((H173)=0,"",(L173/H173))</f>
        <v>1.3423244580488472E-2</v>
      </c>
    </row>
    <row r="174" spans="1:14" x14ac:dyDescent="0.2">
      <c r="A174" s="46" t="str">
        <f t="shared" si="23"/>
        <v>GENERAL SERVICE LESS THAN 50 KW SERVICE CLASSIFICATION</v>
      </c>
      <c r="B174" s="46" t="s">
        <v>139</v>
      </c>
      <c r="C174" s="115"/>
      <c r="D174" s="180" t="s">
        <v>196</v>
      </c>
      <c r="E174" s="158"/>
      <c r="F174" s="174">
        <v>0.13</v>
      </c>
      <c r="G174" s="181"/>
      <c r="H174" s="182">
        <f>H173*F174</f>
        <v>36.801832600000012</v>
      </c>
      <c r="I174" s="183">
        <v>0.13</v>
      </c>
      <c r="J174" s="119"/>
      <c r="K174" s="182">
        <f>K173*I174</f>
        <v>37.295832600000004</v>
      </c>
      <c r="L174" s="124">
        <f>K174-H174</f>
        <v>0.49399999999999267</v>
      </c>
      <c r="M174" s="184">
        <f>IF((H174)=0,"",(L174/H174))</f>
        <v>1.3423244580488432E-2</v>
      </c>
    </row>
    <row r="175" spans="1:14" ht="15" x14ac:dyDescent="0.25">
      <c r="A175" s="46" t="str">
        <f t="shared" si="23"/>
        <v>GENERAL SERVICE LESS THAN 50 KW SERVICE CLASSIFICATION</v>
      </c>
      <c r="B175" s="46" t="s">
        <v>139</v>
      </c>
      <c r="C175" s="115"/>
      <c r="D175" s="180" t="s">
        <v>197</v>
      </c>
      <c r="E175"/>
      <c r="F175" s="185">
        <v>0.11700000000000001</v>
      </c>
      <c r="G175" s="181"/>
      <c r="H175" s="182">
        <f>IF(OR(ISNUMBER(SEARCH("[DGEN]", E134))=TRUE, ISNUMBER(SEARCH("STREET LIGHT", E134))=TRUE), 0, IF(AND(E136=0, E137=0),0, IF(AND(E137=0, E136*12&gt;250000), 0, IF(AND(E136=0, E137&gt;=50), 0, IF(E136*12&lt;=250000, F175*H173*-1, IF(E137&lt;50, F175*H173*-1, 0))))))</f>
        <v>-33.121649340000012</v>
      </c>
      <c r="I175" s="185">
        <v>0.11700000000000001</v>
      </c>
      <c r="J175" s="119"/>
      <c r="K175" s="182">
        <f>IF(OR(ISNUMBER(SEARCH("[DGEN]", E134))=TRUE, ISNUMBER(SEARCH("STREET LIGHT", E134))=TRUE), 0, IF(AND(E136=0, E137=0),0, IF(AND(E137=0, E136*12&gt;250000), 0, IF(AND(E136=0, E137&gt;=50), 0, IF(E136*12&lt;=250000, I175*K173*-1, IF(E137&lt;50, I175*K173*-1, 0))))))</f>
        <v>-33.566249340000006</v>
      </c>
      <c r="L175" s="124">
        <f>K175-H175</f>
        <v>-0.44459999999999411</v>
      </c>
      <c r="M175" s="184"/>
    </row>
    <row r="176" spans="1:14" ht="13.5" thickBot="1" x14ac:dyDescent="0.25">
      <c r="A176" s="46" t="str">
        <f t="shared" si="23"/>
        <v>GENERAL SERVICE LESS THAN 50 KW SERVICE CLASSIFICATION</v>
      </c>
      <c r="B176" s="46" t="s">
        <v>198</v>
      </c>
      <c r="C176" s="115">
        <f>B31</f>
        <v>2</v>
      </c>
      <c r="D176" s="186" t="s">
        <v>199</v>
      </c>
      <c r="E176" s="186"/>
      <c r="F176" s="187"/>
      <c r="G176" s="188"/>
      <c r="H176" s="189">
        <f>H173+H174+H175</f>
        <v>286.77120326000005</v>
      </c>
      <c r="I176" s="190"/>
      <c r="J176" s="190"/>
      <c r="K176" s="191">
        <f>K173+K174+K175</f>
        <v>290.62060326</v>
      </c>
      <c r="L176" s="192">
        <f>K176-H176</f>
        <v>3.849399999999946</v>
      </c>
      <c r="M176" s="193">
        <f>IF((H176)=0,"",(L176/H176))</f>
        <v>1.3423244580488445E-2</v>
      </c>
    </row>
    <row r="177" spans="1:14" ht="13.5" thickBot="1" x14ac:dyDescent="0.25">
      <c r="A177" s="46" t="str">
        <f t="shared" si="23"/>
        <v>GENERAL SERVICE LESS THAN 50 KW SERVICE CLASSIFICATION</v>
      </c>
      <c r="B177" s="46" t="s">
        <v>139</v>
      </c>
      <c r="C177" s="115"/>
      <c r="D177" s="165"/>
      <c r="E177" s="166"/>
      <c r="F177" s="167"/>
      <c r="G177" s="168"/>
      <c r="H177" s="169"/>
      <c r="I177" s="167"/>
      <c r="J177" s="170"/>
      <c r="K177" s="169"/>
      <c r="L177" s="171"/>
      <c r="M177" s="172"/>
    </row>
    <row r="178" spans="1:14" hidden="1" x14ac:dyDescent="0.2">
      <c r="A178" s="46" t="str">
        <f t="shared" si="23"/>
        <v>GENERAL SERVICE LESS THAN 50 KW SERVICE CLASSIFICATION</v>
      </c>
      <c r="B178" s="46" t="s">
        <v>141</v>
      </c>
      <c r="C178" s="115"/>
      <c r="D178" s="173" t="s">
        <v>200</v>
      </c>
      <c r="E178" s="158"/>
      <c r="F178" s="174"/>
      <c r="G178" s="175"/>
      <c r="H178" s="176">
        <f>SUM(H170,H163:H166,H162)</f>
        <v>290.69101999999998</v>
      </c>
      <c r="I178" s="177"/>
      <c r="J178" s="177"/>
      <c r="K178" s="176">
        <f>SUM(K170,K163:K166,K162)</f>
        <v>294.49101999999999</v>
      </c>
      <c r="L178" s="178">
        <f>K178-H178</f>
        <v>3.8000000000000114</v>
      </c>
      <c r="M178" s="179">
        <f>IF((H178)=0,"",(L178/H178))</f>
        <v>1.3072299240616416E-2</v>
      </c>
    </row>
    <row r="179" spans="1:14" hidden="1" x14ac:dyDescent="0.2">
      <c r="A179" s="46" t="str">
        <f t="shared" si="23"/>
        <v>GENERAL SERVICE LESS THAN 50 KW SERVICE CLASSIFICATION</v>
      </c>
      <c r="B179" s="46" t="s">
        <v>141</v>
      </c>
      <c r="C179" s="115"/>
      <c r="D179" s="180" t="s">
        <v>196</v>
      </c>
      <c r="E179" s="158"/>
      <c r="F179" s="174">
        <v>0.13</v>
      </c>
      <c r="G179" s="175"/>
      <c r="H179" s="182">
        <f>H178*F179</f>
        <v>37.789832599999997</v>
      </c>
      <c r="I179" s="174">
        <v>0.13</v>
      </c>
      <c r="J179" s="183"/>
      <c r="K179" s="182">
        <f>K178*I179</f>
        <v>38.283832600000004</v>
      </c>
      <c r="L179" s="124">
        <f>K179-H179</f>
        <v>0.49400000000000688</v>
      </c>
      <c r="M179" s="184">
        <f>IF((H179)=0,"",(L179/H179))</f>
        <v>1.307229924061656E-2</v>
      </c>
    </row>
    <row r="180" spans="1:14" ht="15" hidden="1" x14ac:dyDescent="0.25">
      <c r="A180" s="46" t="str">
        <f t="shared" si="23"/>
        <v>GENERAL SERVICE LESS THAN 50 KW SERVICE CLASSIFICATION</v>
      </c>
      <c r="B180" s="46" t="s">
        <v>141</v>
      </c>
      <c r="C180" s="115"/>
      <c r="D180" s="180" t="s">
        <v>197</v>
      </c>
      <c r="E180"/>
      <c r="F180" s="185">
        <v>0.11700000000000001</v>
      </c>
      <c r="G180" s="175"/>
      <c r="H180" s="182">
        <f>IF(OR(ISNUMBER(SEARCH("[DGEN]", E134))=TRUE, ISNUMBER(SEARCH("STREET LIGHT", E134))=TRUE), 0, IF(AND(E136=0, E137=0),0, IF(AND(E137=0, E136*12&gt;250000), 0, IF(AND(E136=0, E137&gt;=50), 0, IF(E136*12&lt;=250000, F180*H178*-1, IF(E137&lt;50, F180*H178*-1, 0))))))</f>
        <v>-34.01084934</v>
      </c>
      <c r="I180" s="185">
        <v>0.11700000000000001</v>
      </c>
      <c r="J180" s="183"/>
      <c r="K180" s="182">
        <f>IF(OR(ISNUMBER(SEARCH("[DGEN]", E134))=TRUE, ISNUMBER(SEARCH("STREET LIGHT", E134))=TRUE), 0, IF(AND(E136=0, E137=0),0, IF(AND(E137=0, E136*12&gt;250000), 0, IF(AND(E136=0, E137&gt;=50), 0, IF(E136*12&lt;=250000, I180*K178*-1, IF(E137&lt;50, I180*K178*-1, 0))))))</f>
        <v>-34.455449340000001</v>
      </c>
      <c r="L180" s="124"/>
      <c r="M180" s="184"/>
    </row>
    <row r="181" spans="1:14" hidden="1" x14ac:dyDescent="0.2">
      <c r="A181" s="46" t="str">
        <f t="shared" si="23"/>
        <v>GENERAL SERVICE LESS THAN 50 KW SERVICE CLASSIFICATION</v>
      </c>
      <c r="B181" s="46" t="s">
        <v>201</v>
      </c>
      <c r="C181" s="115"/>
      <c r="D181" s="186" t="s">
        <v>200</v>
      </c>
      <c r="E181" s="186"/>
      <c r="F181" s="194"/>
      <c r="G181" s="195"/>
      <c r="H181" s="189">
        <f>SUM(H178,H179)</f>
        <v>328.48085259999999</v>
      </c>
      <c r="I181" s="196"/>
      <c r="J181" s="196"/>
      <c r="K181" s="189">
        <f>SUM(K178,K179)</f>
        <v>332.77485259999997</v>
      </c>
      <c r="L181" s="197">
        <f>K181-H181</f>
        <v>4.2939999999999827</v>
      </c>
      <c r="M181" s="198">
        <f>IF((H181)=0,"",(L181/H181))</f>
        <v>1.3072299240616325E-2</v>
      </c>
    </row>
    <row r="182" spans="1:14" ht="13.5" hidden="1" thickBot="1" x14ac:dyDescent="0.25">
      <c r="A182" s="46" t="str">
        <f t="shared" si="23"/>
        <v>GENERAL SERVICE LESS THAN 50 KW SERVICE CLASSIFICATION</v>
      </c>
      <c r="B182" s="46" t="s">
        <v>141</v>
      </c>
      <c r="C182" s="115"/>
      <c r="D182" s="165"/>
      <c r="E182" s="166"/>
      <c r="F182" s="199"/>
      <c r="G182" s="200"/>
      <c r="H182" s="201"/>
      <c r="I182" s="199"/>
      <c r="J182" s="168"/>
      <c r="K182" s="201"/>
      <c r="L182" s="202"/>
      <c r="M182" s="172"/>
    </row>
    <row r="183" spans="1:14" hidden="1" x14ac:dyDescent="0.2">
      <c r="A183" s="46" t="str">
        <f t="shared" si="23"/>
        <v>GENERAL SERVICE LESS THAN 50 KW SERVICE CLASSIFICATION</v>
      </c>
      <c r="B183" s="46" t="s">
        <v>140</v>
      </c>
      <c r="C183" s="115"/>
      <c r="D183" s="173" t="s">
        <v>202</v>
      </c>
      <c r="E183" s="158"/>
      <c r="F183" s="174"/>
      <c r="G183" s="175"/>
      <c r="H183" s="176">
        <f>SUM(H171,H163:H166,H162)</f>
        <v>290.69101999999998</v>
      </c>
      <c r="I183" s="177"/>
      <c r="J183" s="177"/>
      <c r="K183" s="176">
        <f>SUM(K171,K163:K166,K162)</f>
        <v>294.49101999999999</v>
      </c>
      <c r="L183" s="178">
        <f>K183-H183</f>
        <v>3.8000000000000114</v>
      </c>
      <c r="M183" s="179">
        <f>IF((H183)=0,"",(L183/H183))</f>
        <v>1.3072299240616416E-2</v>
      </c>
    </row>
    <row r="184" spans="1:14" hidden="1" x14ac:dyDescent="0.2">
      <c r="A184" s="46" t="str">
        <f t="shared" si="23"/>
        <v>GENERAL SERVICE LESS THAN 50 KW SERVICE CLASSIFICATION</v>
      </c>
      <c r="B184" s="46" t="s">
        <v>140</v>
      </c>
      <c r="C184" s="115"/>
      <c r="D184" s="180" t="s">
        <v>196</v>
      </c>
      <c r="E184" s="158"/>
      <c r="F184" s="174">
        <v>0.13</v>
      </c>
      <c r="G184" s="175"/>
      <c r="H184" s="182">
        <f>H183*F184</f>
        <v>37.789832599999997</v>
      </c>
      <c r="I184" s="174">
        <v>0.13</v>
      </c>
      <c r="J184" s="183"/>
      <c r="K184" s="182">
        <f>K183*I184</f>
        <v>38.283832600000004</v>
      </c>
      <c r="L184" s="124">
        <f>K184-H184</f>
        <v>0.49400000000000688</v>
      </c>
      <c r="M184" s="184">
        <f>IF((H184)=0,"",(L184/H184))</f>
        <v>1.307229924061656E-2</v>
      </c>
    </row>
    <row r="185" spans="1:14" ht="15" hidden="1" x14ac:dyDescent="0.25">
      <c r="A185" s="46" t="str">
        <f t="shared" si="23"/>
        <v>GENERAL SERVICE LESS THAN 50 KW SERVICE CLASSIFICATION</v>
      </c>
      <c r="B185" s="46" t="s">
        <v>140</v>
      </c>
      <c r="C185" s="115"/>
      <c r="D185" s="180" t="s">
        <v>197</v>
      </c>
      <c r="E185"/>
      <c r="F185" s="185">
        <v>0.11700000000000001</v>
      </c>
      <c r="G185" s="175"/>
      <c r="H185" s="182">
        <f>IF(OR(ISNUMBER(SEARCH("[DGEN]", E134))=TRUE, ISNUMBER(SEARCH("STREET LIGHT", E134))=TRUE), 0, IF(AND(E136=0, E137=0),0, IF(AND(E137=0, E136*12&gt;250000), 0, IF(AND(E136=0, E137&gt;=50), 0, IF(E136*12&lt;=250000, F185*H183*-1, IF(E137&lt;50, F185*H183*-1, 0))))))</f>
        <v>-34.01084934</v>
      </c>
      <c r="I185" s="185">
        <v>0.11700000000000001</v>
      </c>
      <c r="J185" s="183"/>
      <c r="K185" s="182">
        <f>IF(OR(ISNUMBER(SEARCH("[DGEN]", E134))=TRUE, ISNUMBER(SEARCH("STREET LIGHT", E134))=TRUE), 0, IF(AND(E136=0, E137=0),0, IF(AND(E137=0, E136*12&gt;250000), 0, IF(AND(E136=0, E137&gt;=50), 0, IF(E136*12&lt;=250000, I185*K183*-1, IF(E137&lt;50, I185*K183*-1, 0))))))</f>
        <v>-34.455449340000001</v>
      </c>
      <c r="L185" s="124"/>
      <c r="M185" s="184"/>
    </row>
    <row r="186" spans="1:14" hidden="1" x14ac:dyDescent="0.2">
      <c r="A186" s="46" t="str">
        <f t="shared" si="23"/>
        <v>GENERAL SERVICE LESS THAN 50 KW SERVICE CLASSIFICATION</v>
      </c>
      <c r="B186" s="46" t="s">
        <v>203</v>
      </c>
      <c r="C186" s="115"/>
      <c r="D186" s="186" t="s">
        <v>202</v>
      </c>
      <c r="E186" s="186"/>
      <c r="F186" s="194"/>
      <c r="G186" s="195"/>
      <c r="H186" s="189">
        <f>SUM(H183,H184)</f>
        <v>328.48085259999999</v>
      </c>
      <c r="I186" s="196"/>
      <c r="J186" s="196"/>
      <c r="K186" s="189">
        <f>SUM(K183,K184)</f>
        <v>332.77485259999997</v>
      </c>
      <c r="L186" s="197">
        <f>K186-H186</f>
        <v>4.2939999999999827</v>
      </c>
      <c r="M186" s="198">
        <f>IF((H186)=0,"",(L186/H186))</f>
        <v>1.3072299240616325E-2</v>
      </c>
    </row>
    <row r="187" spans="1:14" ht="13.5" hidden="1" thickBot="1" x14ac:dyDescent="0.25">
      <c r="A187" s="46" t="str">
        <f t="shared" si="23"/>
        <v>GENERAL SERVICE LESS THAN 50 KW SERVICE CLASSIFICATION</v>
      </c>
      <c r="B187" s="46" t="s">
        <v>140</v>
      </c>
      <c r="C187" s="115"/>
      <c r="D187" s="165"/>
      <c r="E187" s="166"/>
      <c r="F187" s="203"/>
      <c r="G187" s="200"/>
      <c r="H187" s="204"/>
      <c r="I187" s="203"/>
      <c r="J187" s="168"/>
      <c r="K187" s="204"/>
      <c r="L187" s="202"/>
      <c r="M187" s="205"/>
    </row>
    <row r="190" spans="1:14" x14ac:dyDescent="0.2">
      <c r="C190" s="46"/>
      <c r="D190" s="90" t="s">
        <v>150</v>
      </c>
      <c r="E190" s="91" t="str">
        <f>D32</f>
        <v>GENERAL SERVICE 50 TO 999 KW SERVICE CLASSIFICATION</v>
      </c>
      <c r="F190" s="91"/>
      <c r="G190" s="91"/>
      <c r="H190" s="91"/>
      <c r="I190" s="91"/>
      <c r="J190" s="91"/>
      <c r="K190" s="46" t="str">
        <f>IF(N32="DEMAND - INTERVAL","RTSR - INTERVAL METERED","")</f>
        <v/>
      </c>
    </row>
    <row r="191" spans="1:14" x14ac:dyDescent="0.2">
      <c r="C191" s="46"/>
      <c r="D191" s="90" t="s">
        <v>151</v>
      </c>
      <c r="E191" s="92" t="str">
        <f>H32</f>
        <v>Non-RPP (Other)</v>
      </c>
      <c r="F191" s="92"/>
      <c r="G191" s="92"/>
      <c r="H191" s="93"/>
      <c r="I191" s="93"/>
    </row>
    <row r="192" spans="1:14" ht="15.75" x14ac:dyDescent="0.2">
      <c r="C192" s="46"/>
      <c r="D192" s="90" t="s">
        <v>152</v>
      </c>
      <c r="E192" s="94">
        <f>K32</f>
        <v>20000</v>
      </c>
      <c r="F192" s="95" t="s">
        <v>153</v>
      </c>
      <c r="J192" s="96"/>
      <c r="K192" s="96"/>
      <c r="L192" s="96"/>
      <c r="M192" s="96"/>
      <c r="N192" s="96"/>
    </row>
    <row r="193" spans="1:13" ht="15.75" x14ac:dyDescent="0.25">
      <c r="C193" s="46"/>
      <c r="D193" s="90" t="s">
        <v>154</v>
      </c>
      <c r="E193" s="94">
        <f>L32</f>
        <v>60</v>
      </c>
      <c r="F193" s="97" t="s">
        <v>155</v>
      </c>
      <c r="G193" s="98"/>
      <c r="H193" s="99"/>
      <c r="I193" s="99"/>
      <c r="J193" s="99"/>
    </row>
    <row r="194" spans="1:13" x14ac:dyDescent="0.2">
      <c r="C194" s="46"/>
      <c r="D194" s="90" t="s">
        <v>156</v>
      </c>
      <c r="E194" s="100">
        <f>I32</f>
        <v>1.0306999999999999</v>
      </c>
    </row>
    <row r="195" spans="1:13" x14ac:dyDescent="0.2">
      <c r="C195" s="46"/>
      <c r="D195" s="90" t="s">
        <v>157</v>
      </c>
      <c r="E195" s="100">
        <f>J32</f>
        <v>1.0306999999999999</v>
      </c>
    </row>
    <row r="196" spans="1:13" x14ac:dyDescent="0.2">
      <c r="C196" s="46"/>
    </row>
    <row r="197" spans="1:13" x14ac:dyDescent="0.2">
      <c r="C197" s="46"/>
      <c r="E197" s="95"/>
      <c r="F197" s="101" t="s">
        <v>226</v>
      </c>
      <c r="G197" s="102"/>
      <c r="H197" s="103"/>
      <c r="I197" s="101" t="s">
        <v>205</v>
      </c>
      <c r="J197" s="102"/>
      <c r="K197" s="103"/>
      <c r="L197" s="101" t="s">
        <v>158</v>
      </c>
      <c r="M197" s="103"/>
    </row>
    <row r="198" spans="1:13" x14ac:dyDescent="0.2">
      <c r="C198" s="46"/>
      <c r="E198" s="104"/>
      <c r="F198" s="105" t="s">
        <v>159</v>
      </c>
      <c r="G198" s="105" t="s">
        <v>160</v>
      </c>
      <c r="H198" s="106" t="s">
        <v>161</v>
      </c>
      <c r="I198" s="105" t="s">
        <v>159</v>
      </c>
      <c r="J198" s="107" t="s">
        <v>160</v>
      </c>
      <c r="K198" s="106" t="s">
        <v>161</v>
      </c>
      <c r="L198" s="108" t="s">
        <v>162</v>
      </c>
      <c r="M198" s="109" t="s">
        <v>163</v>
      </c>
    </row>
    <row r="199" spans="1:13" x14ac:dyDescent="0.2">
      <c r="C199" s="46"/>
      <c r="E199" s="110"/>
      <c r="F199" s="111" t="s">
        <v>164</v>
      </c>
      <c r="G199" s="111"/>
      <c r="H199" s="112" t="s">
        <v>164</v>
      </c>
      <c r="I199" s="111" t="s">
        <v>164</v>
      </c>
      <c r="J199" s="112"/>
      <c r="K199" s="112" t="s">
        <v>164</v>
      </c>
      <c r="L199" s="113"/>
      <c r="M199" s="114"/>
    </row>
    <row r="200" spans="1:13" x14ac:dyDescent="0.2">
      <c r="A200" s="46" t="str">
        <f>$E190</f>
        <v>GENERAL SERVICE 50 TO 999 KW SERVICE CLASSIFICATION</v>
      </c>
      <c r="C200" s="115"/>
      <c r="D200" s="116" t="s">
        <v>165</v>
      </c>
      <c r="E200" s="117"/>
      <c r="F200" s="121">
        <v>113.62</v>
      </c>
      <c r="G200" s="119">
        <v>1</v>
      </c>
      <c r="H200" s="120">
        <f>G200*F200</f>
        <v>113.62</v>
      </c>
      <c r="I200" s="121">
        <v>113.62</v>
      </c>
      <c r="J200" s="122">
        <f>G200</f>
        <v>1</v>
      </c>
      <c r="K200" s="123">
        <f>J200*I200</f>
        <v>113.62</v>
      </c>
      <c r="L200" s="124">
        <f t="shared" ref="L200:L221" si="28">K200-H200</f>
        <v>0</v>
      </c>
      <c r="M200" s="125">
        <f>IF(ISERROR(L200/H200), "", L200/H200)</f>
        <v>0</v>
      </c>
    </row>
    <row r="201" spans="1:13" x14ac:dyDescent="0.2">
      <c r="A201" s="46" t="str">
        <f>A200</f>
        <v>GENERAL SERVICE 50 TO 999 KW SERVICE CLASSIFICATION</v>
      </c>
      <c r="C201" s="115"/>
      <c r="D201" s="116" t="s">
        <v>30</v>
      </c>
      <c r="E201" s="117"/>
      <c r="F201" s="127">
        <v>4.2012999999999998</v>
      </c>
      <c r="G201" s="119">
        <f>IF($E193&gt;0, $E193, $E192)</f>
        <v>60</v>
      </c>
      <c r="H201" s="120">
        <f t="shared" ref="H201:H213" si="29">G201*F201</f>
        <v>252.07799999999997</v>
      </c>
      <c r="I201" s="127">
        <v>4.2012999999999998</v>
      </c>
      <c r="J201" s="122">
        <f>IF($E193&gt;0, $E193, $E192)</f>
        <v>60</v>
      </c>
      <c r="K201" s="123">
        <f>J201*I201</f>
        <v>252.07799999999997</v>
      </c>
      <c r="L201" s="124">
        <f t="shared" si="28"/>
        <v>0</v>
      </c>
      <c r="M201" s="125">
        <f t="shared" ref="M201:M211" si="30">IF(ISERROR(L201/H201), "", L201/H201)</f>
        <v>0</v>
      </c>
    </row>
    <row r="202" spans="1:13" hidden="1" x14ac:dyDescent="0.2">
      <c r="A202" s="46" t="str">
        <f t="shared" ref="A202:A243" si="31">A201</f>
        <v>GENERAL SERVICE 50 TO 999 KW SERVICE CLASSIFICATION</v>
      </c>
      <c r="C202" s="115"/>
      <c r="D202" s="116" t="s">
        <v>166</v>
      </c>
      <c r="E202" s="117"/>
      <c r="F202" s="127"/>
      <c r="G202" s="119">
        <f>IF($E193&gt;0, $E193, $E192)</f>
        <v>60</v>
      </c>
      <c r="H202" s="120">
        <v>0</v>
      </c>
      <c r="I202" s="127"/>
      <c r="J202" s="122">
        <f>IF($E193&gt;0, $E193, $E192)</f>
        <v>60</v>
      </c>
      <c r="K202" s="123">
        <v>0</v>
      </c>
      <c r="L202" s="124"/>
      <c r="M202" s="125"/>
    </row>
    <row r="203" spans="1:13" hidden="1" x14ac:dyDescent="0.2">
      <c r="A203" s="46" t="str">
        <f t="shared" si="31"/>
        <v>GENERAL SERVICE 50 TO 999 KW SERVICE CLASSIFICATION</v>
      </c>
      <c r="C203" s="115"/>
      <c r="D203" s="116" t="s">
        <v>167</v>
      </c>
      <c r="E203" s="117"/>
      <c r="F203" s="127"/>
      <c r="G203" s="119">
        <f>IF($E193&gt;0, $E193, $E192)</f>
        <v>60</v>
      </c>
      <c r="H203" s="120">
        <v>0</v>
      </c>
      <c r="I203" s="127"/>
      <c r="J203" s="128">
        <f>IF($E193&gt;0, $E193, $E192)</f>
        <v>60</v>
      </c>
      <c r="K203" s="123">
        <v>0</v>
      </c>
      <c r="L203" s="124">
        <f>K203-H203</f>
        <v>0</v>
      </c>
      <c r="M203" s="125" t="str">
        <f>IF(ISERROR(L203/H203), "", L203/H203)</f>
        <v/>
      </c>
    </row>
    <row r="204" spans="1:13" x14ac:dyDescent="0.2">
      <c r="A204" s="46" t="str">
        <f t="shared" si="31"/>
        <v>GENERAL SERVICE 50 TO 999 KW SERVICE CLASSIFICATION</v>
      </c>
      <c r="C204" s="115"/>
      <c r="D204" s="116" t="s">
        <v>168</v>
      </c>
      <c r="E204" s="117"/>
      <c r="F204" s="121">
        <v>21.85</v>
      </c>
      <c r="G204" s="119">
        <v>1</v>
      </c>
      <c r="H204" s="120">
        <f t="shared" si="29"/>
        <v>21.85</v>
      </c>
      <c r="I204" s="121">
        <v>21.85</v>
      </c>
      <c r="J204" s="122">
        <f>G204</f>
        <v>1</v>
      </c>
      <c r="K204" s="123">
        <f t="shared" ref="K204:K211" si="32">J204*I204</f>
        <v>21.85</v>
      </c>
      <c r="L204" s="124">
        <f t="shared" si="28"/>
        <v>0</v>
      </c>
      <c r="M204" s="125">
        <f t="shared" si="30"/>
        <v>0</v>
      </c>
    </row>
    <row r="205" spans="1:13" x14ac:dyDescent="0.2">
      <c r="A205" s="46" t="str">
        <f t="shared" si="31"/>
        <v>GENERAL SERVICE 50 TO 999 KW SERVICE CLASSIFICATION</v>
      </c>
      <c r="C205" s="115"/>
      <c r="D205" s="116" t="s">
        <v>169</v>
      </c>
      <c r="E205" s="117"/>
      <c r="F205" s="127">
        <v>0</v>
      </c>
      <c r="G205" s="119">
        <f>IF($E193&gt;0, $E193, $E192)</f>
        <v>60</v>
      </c>
      <c r="H205" s="120">
        <f t="shared" si="29"/>
        <v>0</v>
      </c>
      <c r="I205" s="127">
        <v>0</v>
      </c>
      <c r="J205" s="122">
        <f>IF($E193&gt;0, $E193, $E192)</f>
        <v>60</v>
      </c>
      <c r="K205" s="123">
        <f t="shared" si="32"/>
        <v>0</v>
      </c>
      <c r="L205" s="124">
        <f t="shared" si="28"/>
        <v>0</v>
      </c>
      <c r="M205" s="125" t="str">
        <f t="shared" si="30"/>
        <v/>
      </c>
    </row>
    <row r="206" spans="1:13" x14ac:dyDescent="0.2">
      <c r="A206" s="46" t="str">
        <f t="shared" si="31"/>
        <v>GENERAL SERVICE 50 TO 999 KW SERVICE CLASSIFICATION</v>
      </c>
      <c r="B206" s="46" t="s">
        <v>170</v>
      </c>
      <c r="C206" s="115">
        <f>B32</f>
        <v>3</v>
      </c>
      <c r="D206" s="129" t="s">
        <v>171</v>
      </c>
      <c r="E206" s="130"/>
      <c r="F206" s="134"/>
      <c r="G206" s="132"/>
      <c r="H206" s="133">
        <f>SUM(H200:H205)</f>
        <v>387.548</v>
      </c>
      <c r="I206" s="134"/>
      <c r="J206" s="135"/>
      <c r="K206" s="133">
        <f>SUM(K200:K205)</f>
        <v>387.548</v>
      </c>
      <c r="L206" s="136">
        <f t="shared" si="28"/>
        <v>0</v>
      </c>
      <c r="M206" s="137">
        <f>IF((H206)=0,"",(L206/H206))</f>
        <v>0</v>
      </c>
    </row>
    <row r="207" spans="1:13" x14ac:dyDescent="0.2">
      <c r="A207" s="46" t="str">
        <f t="shared" si="31"/>
        <v>GENERAL SERVICE 50 TO 999 KW SERVICE CLASSIFICATION</v>
      </c>
      <c r="C207" s="115"/>
      <c r="D207" s="138" t="s">
        <v>172</v>
      </c>
      <c r="E207" s="117"/>
      <c r="F207" s="127">
        <f>IF((E192*12&gt;=150000), 0, IF(E191="RPP",(F223*0.64+F224*0.18+F225*0.18),IF(E191="Non-RPP (Retailer)",F226,F227)))</f>
        <v>0</v>
      </c>
      <c r="G207" s="139">
        <f>IF(F207=0, 0, $E192*E194-E192)</f>
        <v>0</v>
      </c>
      <c r="H207" s="120">
        <f>G207*F207</f>
        <v>0</v>
      </c>
      <c r="I207" s="127">
        <f>IF((E192*12&gt;=150000), 0, IF(E191="RPP",(I223*0.64+I224*0.18+I225*0.18),IF(E191="Non-RPP (Retailer)",I226,I227)))</f>
        <v>0</v>
      </c>
      <c r="J207" s="140">
        <f>IF(I207=0, 0, E192*E195-E192)</f>
        <v>0</v>
      </c>
      <c r="K207" s="123">
        <f>J207*I207</f>
        <v>0</v>
      </c>
      <c r="L207" s="124">
        <f>K207-H207</f>
        <v>0</v>
      </c>
      <c r="M207" s="125" t="str">
        <f>IF(ISERROR(L207/H207), "", L207/H207)</f>
        <v/>
      </c>
    </row>
    <row r="208" spans="1:13" ht="25.5" x14ac:dyDescent="0.2">
      <c r="A208" s="46" t="str">
        <f t="shared" si="31"/>
        <v>GENERAL SERVICE 50 TO 999 KW SERVICE CLASSIFICATION</v>
      </c>
      <c r="C208" s="115"/>
      <c r="D208" s="138" t="s">
        <v>173</v>
      </c>
      <c r="E208" s="117"/>
      <c r="F208" s="127">
        <v>0.4703</v>
      </c>
      <c r="G208" s="141">
        <f>IF($E193&gt;0, $E193, $E192)</f>
        <v>60</v>
      </c>
      <c r="H208" s="120">
        <f t="shared" si="29"/>
        <v>28.218</v>
      </c>
      <c r="I208" s="127">
        <f>'Proposed Tariff'!D103+'Proposed Tariff'!D104+'Proposed Tariff'!D100+'Proposed Tariff'!D101</f>
        <v>0.78349999999999997</v>
      </c>
      <c r="J208" s="142">
        <f>IF($E193&gt;0, $E193, $E192)</f>
        <v>60</v>
      </c>
      <c r="K208" s="123">
        <f t="shared" si="32"/>
        <v>47.01</v>
      </c>
      <c r="L208" s="124">
        <f t="shared" si="28"/>
        <v>18.791999999999998</v>
      </c>
      <c r="M208" s="125">
        <f t="shared" si="30"/>
        <v>0.66595789921326809</v>
      </c>
    </row>
    <row r="209" spans="1:14" x14ac:dyDescent="0.2">
      <c r="A209" s="46" t="str">
        <f t="shared" si="31"/>
        <v>GENERAL SERVICE 50 TO 999 KW SERVICE CLASSIFICATION</v>
      </c>
      <c r="C209" s="115"/>
      <c r="D209" s="138" t="s">
        <v>174</v>
      </c>
      <c r="E209" s="117"/>
      <c r="F209" s="127">
        <v>0</v>
      </c>
      <c r="G209" s="141">
        <f>IF($E193&gt;0, $E193, $E192)</f>
        <v>60</v>
      </c>
      <c r="H209" s="120">
        <f>G209*F209</f>
        <v>0</v>
      </c>
      <c r="I209" s="127">
        <f>'Proposed Tariff'!D102</f>
        <v>-3.5299999999999998E-2</v>
      </c>
      <c r="J209" s="142">
        <f>IF($E193&gt;0, $E193, $E192)</f>
        <v>60</v>
      </c>
      <c r="K209" s="123">
        <f>J209*I209</f>
        <v>-2.1179999999999999</v>
      </c>
      <c r="L209" s="124">
        <f t="shared" si="28"/>
        <v>-2.1179999999999999</v>
      </c>
      <c r="M209" s="125" t="str">
        <f t="shared" si="30"/>
        <v/>
      </c>
    </row>
    <row r="210" spans="1:14" x14ac:dyDescent="0.2">
      <c r="A210" s="46" t="str">
        <f t="shared" si="31"/>
        <v>GENERAL SERVICE 50 TO 999 KW SERVICE CLASSIFICATION</v>
      </c>
      <c r="C210" s="115"/>
      <c r="D210" s="138" t="s">
        <v>175</v>
      </c>
      <c r="E210" s="117"/>
      <c r="F210" s="127">
        <v>0</v>
      </c>
      <c r="G210" s="141">
        <f>E192</f>
        <v>20000</v>
      </c>
      <c r="H210" s="120">
        <f>G210*F210</f>
        <v>0</v>
      </c>
      <c r="I210" s="127">
        <f>'Proposed Tariff'!D140</f>
        <v>-4.4999999999999997E-3</v>
      </c>
      <c r="J210" s="142">
        <f>E192</f>
        <v>20000</v>
      </c>
      <c r="K210" s="123">
        <f t="shared" si="32"/>
        <v>-90</v>
      </c>
      <c r="L210" s="124">
        <f t="shared" si="28"/>
        <v>-90</v>
      </c>
      <c r="M210" s="125" t="str">
        <f t="shared" si="30"/>
        <v/>
      </c>
    </row>
    <row r="211" spans="1:14" x14ac:dyDescent="0.2">
      <c r="A211" s="46" t="str">
        <f t="shared" si="31"/>
        <v>GENERAL SERVICE 50 TO 999 KW SERVICE CLASSIFICATION</v>
      </c>
      <c r="C211" s="115"/>
      <c r="D211" s="116" t="s">
        <v>176</v>
      </c>
      <c r="E211" s="117"/>
      <c r="F211" s="127">
        <v>0.14549999999999999</v>
      </c>
      <c r="G211" s="141">
        <f>IF($E193&gt;0, $E193, $E192)</f>
        <v>60</v>
      </c>
      <c r="H211" s="120">
        <f t="shared" si="29"/>
        <v>8.7299999999999986</v>
      </c>
      <c r="I211" s="127">
        <v>0.14549999999999999</v>
      </c>
      <c r="J211" s="142">
        <f>IF($E193&gt;0, $E193, $E192)</f>
        <v>60</v>
      </c>
      <c r="K211" s="123">
        <f t="shared" si="32"/>
        <v>8.7299999999999986</v>
      </c>
      <c r="L211" s="124">
        <f t="shared" si="28"/>
        <v>0</v>
      </c>
      <c r="M211" s="125">
        <f t="shared" si="30"/>
        <v>0</v>
      </c>
    </row>
    <row r="212" spans="1:14" ht="25.5" x14ac:dyDescent="0.2">
      <c r="A212" s="46" t="str">
        <f t="shared" si="31"/>
        <v>GENERAL SERVICE 50 TO 999 KW SERVICE CLASSIFICATION</v>
      </c>
      <c r="C212" s="115"/>
      <c r="D212" s="138" t="s">
        <v>177</v>
      </c>
      <c r="E212" s="117"/>
      <c r="F212" s="144">
        <f>IF(OR(ISNUMBER(SEARCH("RESIDENTIAL", B190))=TRUE, ISNUMBER(SEARCH("GENERAL SERVICE LESS THAN 50", B190))=TRUE), SME, 0)</f>
        <v>0</v>
      </c>
      <c r="G212" s="119">
        <v>1</v>
      </c>
      <c r="H212" s="120">
        <f>G212*F212</f>
        <v>0</v>
      </c>
      <c r="I212" s="144">
        <f>IF(OR(ISNUMBER(SEARCH("RESIDENTIAL", E190))=TRUE, ISNUMBER(SEARCH("GENERAL SERVICE LESS THAN 50", E190))=TRUE), SME, 0)</f>
        <v>0</v>
      </c>
      <c r="J212" s="128">
        <v>1</v>
      </c>
      <c r="K212" s="123">
        <f>J212*I212</f>
        <v>0</v>
      </c>
      <c r="L212" s="124">
        <f t="shared" si="28"/>
        <v>0</v>
      </c>
      <c r="M212" s="125" t="str">
        <f>IF(ISERROR(L212/H212), "", L212/H212)</f>
        <v/>
      </c>
    </row>
    <row r="213" spans="1:14" x14ac:dyDescent="0.2">
      <c r="A213" s="46" t="str">
        <f t="shared" si="31"/>
        <v>GENERAL SERVICE 50 TO 999 KW SERVICE CLASSIFICATION</v>
      </c>
      <c r="C213" s="115"/>
      <c r="D213" s="116" t="s">
        <v>178</v>
      </c>
      <c r="E213" s="117"/>
      <c r="F213" s="121">
        <v>0</v>
      </c>
      <c r="G213" s="119">
        <v>1</v>
      </c>
      <c r="H213" s="120">
        <f t="shared" si="29"/>
        <v>0</v>
      </c>
      <c r="I213" s="121">
        <v>0</v>
      </c>
      <c r="J213" s="128">
        <v>1</v>
      </c>
      <c r="K213" s="123">
        <f>J213*I213</f>
        <v>0</v>
      </c>
      <c r="L213" s="124">
        <f>K213-H213</f>
        <v>0</v>
      </c>
      <c r="M213" s="125" t="str">
        <f>IF(ISERROR(L213/H213), "", L213/H213)</f>
        <v/>
      </c>
    </row>
    <row r="214" spans="1:14" x14ac:dyDescent="0.2">
      <c r="A214" s="46" t="str">
        <f t="shared" si="31"/>
        <v>GENERAL SERVICE 50 TO 999 KW SERVICE CLASSIFICATION</v>
      </c>
      <c r="C214" s="115"/>
      <c r="D214" s="116" t="s">
        <v>179</v>
      </c>
      <c r="E214" s="117"/>
      <c r="F214" s="127">
        <v>0</v>
      </c>
      <c r="G214" s="141">
        <f>IF($E193&gt;0, $E193, $E192)</f>
        <v>60</v>
      </c>
      <c r="H214" s="120">
        <f>G214*F214</f>
        <v>0</v>
      </c>
      <c r="I214" s="127">
        <v>0</v>
      </c>
      <c r="J214" s="142">
        <f>IF($E193&gt;0, $E193, $E192)</f>
        <v>60</v>
      </c>
      <c r="K214" s="123">
        <f>J214*I214</f>
        <v>0</v>
      </c>
      <c r="L214" s="124">
        <f t="shared" si="28"/>
        <v>0</v>
      </c>
      <c r="M214" s="125" t="str">
        <f>IF(ISERROR(L214/H214), "", L214/H214)</f>
        <v/>
      </c>
    </row>
    <row r="215" spans="1:14" ht="25.5" x14ac:dyDescent="0.2">
      <c r="A215" s="46" t="str">
        <f t="shared" si="31"/>
        <v>GENERAL SERVICE 50 TO 999 KW SERVICE CLASSIFICATION</v>
      </c>
      <c r="B215" s="46" t="s">
        <v>180</v>
      </c>
      <c r="C215" s="115">
        <f>B32</f>
        <v>3</v>
      </c>
      <c r="D215" s="145" t="s">
        <v>181</v>
      </c>
      <c r="E215" s="146"/>
      <c r="F215" s="150"/>
      <c r="G215" s="148"/>
      <c r="H215" s="149">
        <f>SUM(H206:H214)</f>
        <v>424.49600000000004</v>
      </c>
      <c r="I215" s="150"/>
      <c r="J215" s="151"/>
      <c r="K215" s="149">
        <f>SUM(K206:K214)</f>
        <v>351.17</v>
      </c>
      <c r="L215" s="136">
        <f t="shared" si="28"/>
        <v>-73.326000000000022</v>
      </c>
      <c r="M215" s="137">
        <f>IF((H215)=0,"",(L215/H215))</f>
        <v>-0.1727366100033923</v>
      </c>
    </row>
    <row r="216" spans="1:14" x14ac:dyDescent="0.2">
      <c r="A216" s="46" t="str">
        <f t="shared" si="31"/>
        <v>GENERAL SERVICE 50 TO 999 KW SERVICE CLASSIFICATION</v>
      </c>
      <c r="C216" s="115"/>
      <c r="D216" s="152" t="s">
        <v>182</v>
      </c>
      <c r="E216" s="117"/>
      <c r="F216" s="153">
        <v>4.7381000000000002</v>
      </c>
      <c r="G216" s="139">
        <f>IF($E193&gt;0, $E193, $E192*$E194)</f>
        <v>60</v>
      </c>
      <c r="H216" s="120">
        <f>G216*F216</f>
        <v>284.286</v>
      </c>
      <c r="I216" s="153">
        <v>4.7381000000000002</v>
      </c>
      <c r="J216" s="140">
        <f>IF($E193&gt;0, $E193, $E192*$E195)</f>
        <v>60</v>
      </c>
      <c r="K216" s="123">
        <f>J216*I216</f>
        <v>284.286</v>
      </c>
      <c r="L216" s="124">
        <f t="shared" si="28"/>
        <v>0</v>
      </c>
      <c r="M216" s="125">
        <f>IF(ISERROR(L216/H216), "", L216/H216)</f>
        <v>0</v>
      </c>
      <c r="N216" s="154" t="str">
        <f>IF(ISERROR(ABS(M216)), "", IF(ABS(M216)&gt;=4%, "In the manager's summary, discuss the reasoning for the change in RTSR rates", ""))</f>
        <v/>
      </c>
    </row>
    <row r="217" spans="1:14" ht="25.5" x14ac:dyDescent="0.2">
      <c r="A217" s="46" t="str">
        <f t="shared" si="31"/>
        <v>GENERAL SERVICE 50 TO 999 KW SERVICE CLASSIFICATION</v>
      </c>
      <c r="C217" s="115"/>
      <c r="D217" s="155" t="s">
        <v>183</v>
      </c>
      <c r="E217" s="117"/>
      <c r="F217" s="153">
        <v>2.5701999999999998</v>
      </c>
      <c r="G217" s="139">
        <f>IF($E193&gt;0, $E193, $E192*$E194)</f>
        <v>60</v>
      </c>
      <c r="H217" s="120">
        <f>G217*F217</f>
        <v>154.21199999999999</v>
      </c>
      <c r="I217" s="153">
        <v>2.5701999999999998</v>
      </c>
      <c r="J217" s="140">
        <f>IF($E193&gt;0, $E193, $E192*$E195)</f>
        <v>60</v>
      </c>
      <c r="K217" s="123">
        <f>J217*I217</f>
        <v>154.21199999999999</v>
      </c>
      <c r="L217" s="124">
        <f t="shared" si="28"/>
        <v>0</v>
      </c>
      <c r="M217" s="125">
        <f>IF(ISERROR(L217/H217), "", L217/H217)</f>
        <v>0</v>
      </c>
      <c r="N217" s="154" t="str">
        <f>IF(ISERROR(ABS(M217)), "", IF(ABS(M217)&gt;=4%, "In the manager's summary, discuss the reasoning for the change in RTSR rates", ""))</f>
        <v/>
      </c>
    </row>
    <row r="218" spans="1:14" ht="25.5" x14ac:dyDescent="0.2">
      <c r="A218" s="46" t="str">
        <f t="shared" si="31"/>
        <v>GENERAL SERVICE 50 TO 999 KW SERVICE CLASSIFICATION</v>
      </c>
      <c r="B218" s="46" t="s">
        <v>184</v>
      </c>
      <c r="C218" s="115">
        <f>B32</f>
        <v>3</v>
      </c>
      <c r="D218" s="145" t="s">
        <v>185</v>
      </c>
      <c r="E218" s="130"/>
      <c r="F218" s="150"/>
      <c r="G218" s="148"/>
      <c r="H218" s="149">
        <f>SUM(H215:H217)</f>
        <v>862.99400000000003</v>
      </c>
      <c r="I218" s="150"/>
      <c r="J218" s="135"/>
      <c r="K218" s="149">
        <f>SUM(K215:K217)</f>
        <v>789.66800000000001</v>
      </c>
      <c r="L218" s="136">
        <f t="shared" si="28"/>
        <v>-73.326000000000022</v>
      </c>
      <c r="M218" s="137">
        <f>IF((H218)=0,"",(L218/H218))</f>
        <v>-8.4966987024243532E-2</v>
      </c>
    </row>
    <row r="219" spans="1:14" ht="25.5" x14ac:dyDescent="0.2">
      <c r="A219" s="46" t="str">
        <f t="shared" si="31"/>
        <v>GENERAL SERVICE 50 TO 999 KW SERVICE CLASSIFICATION</v>
      </c>
      <c r="C219" s="115"/>
      <c r="D219" s="156" t="s">
        <v>186</v>
      </c>
      <c r="E219" s="117"/>
      <c r="F219" s="127">
        <f>'[1]17. Regulatory Charges'!$E$15+'[1]17. Regulatory Charges'!$E$16</f>
        <v>3.4000000000000002E-3</v>
      </c>
      <c r="G219" s="139">
        <f>E192*E194</f>
        <v>20614</v>
      </c>
      <c r="H219" s="157">
        <f t="shared" ref="H219:H225" si="33">G219*F219</f>
        <v>70.087600000000009</v>
      </c>
      <c r="I219" s="127">
        <f>'[1]17. Regulatory Charges'!$E$15+'[1]17. Regulatory Charges'!$E$16</f>
        <v>3.4000000000000002E-3</v>
      </c>
      <c r="J219" s="140">
        <f>E192*E195</f>
        <v>20614</v>
      </c>
      <c r="K219" s="123">
        <f t="shared" ref="K219:K225" si="34">J219*I219</f>
        <v>70.087600000000009</v>
      </c>
      <c r="L219" s="124">
        <f t="shared" si="28"/>
        <v>0</v>
      </c>
      <c r="M219" s="125">
        <f t="shared" ref="M219:M227" si="35">IF(ISERROR(L219/H219), "", L219/H219)</f>
        <v>0</v>
      </c>
    </row>
    <row r="220" spans="1:14" ht="25.5" x14ac:dyDescent="0.2">
      <c r="A220" s="46" t="str">
        <f t="shared" si="31"/>
        <v>GENERAL SERVICE 50 TO 999 KW SERVICE CLASSIFICATION</v>
      </c>
      <c r="C220" s="115"/>
      <c r="D220" s="156" t="s">
        <v>187</v>
      </c>
      <c r="E220" s="117"/>
      <c r="F220" s="127">
        <f>'[1]17. Regulatory Charges'!$E$17</f>
        <v>5.0000000000000001E-4</v>
      </c>
      <c r="G220" s="139">
        <f>E192*E194</f>
        <v>20614</v>
      </c>
      <c r="H220" s="157">
        <f t="shared" si="33"/>
        <v>10.307</v>
      </c>
      <c r="I220" s="127">
        <f>'[1]17. Regulatory Charges'!$E$17</f>
        <v>5.0000000000000001E-4</v>
      </c>
      <c r="J220" s="140">
        <f>E192*E195</f>
        <v>20614</v>
      </c>
      <c r="K220" s="123">
        <f t="shared" si="34"/>
        <v>10.307</v>
      </c>
      <c r="L220" s="124">
        <f t="shared" si="28"/>
        <v>0</v>
      </c>
      <c r="M220" s="125">
        <f t="shared" si="35"/>
        <v>0</v>
      </c>
    </row>
    <row r="221" spans="1:14" x14ac:dyDescent="0.2">
      <c r="A221" s="46" t="str">
        <f t="shared" si="31"/>
        <v>GENERAL SERVICE 50 TO 999 KW SERVICE CLASSIFICATION</v>
      </c>
      <c r="C221" s="115"/>
      <c r="D221" s="158" t="s">
        <v>188</v>
      </c>
      <c r="E221" s="117"/>
      <c r="F221" s="144">
        <f>'[1]17. Regulatory Charges'!$E$18</f>
        <v>0.25</v>
      </c>
      <c r="G221" s="119">
        <v>1</v>
      </c>
      <c r="H221" s="157">
        <f t="shared" si="33"/>
        <v>0.25</v>
      </c>
      <c r="I221" s="144">
        <f>'[1]17. Regulatory Charges'!$E$18</f>
        <v>0.25</v>
      </c>
      <c r="J221" s="122">
        <v>1</v>
      </c>
      <c r="K221" s="123">
        <f t="shared" si="34"/>
        <v>0.25</v>
      </c>
      <c r="L221" s="124">
        <f t="shared" si="28"/>
        <v>0</v>
      </c>
      <c r="M221" s="125">
        <f t="shared" si="35"/>
        <v>0</v>
      </c>
    </row>
    <row r="222" spans="1:14" ht="25.5" hidden="1" x14ac:dyDescent="0.2">
      <c r="A222" s="46" t="str">
        <f t="shared" si="31"/>
        <v>GENERAL SERVICE 50 TO 999 KW SERVICE CLASSIFICATION</v>
      </c>
      <c r="C222" s="115"/>
      <c r="D222" s="156" t="s">
        <v>189</v>
      </c>
      <c r="E222" s="117"/>
      <c r="F222" s="127"/>
      <c r="G222" s="139"/>
      <c r="H222" s="157"/>
      <c r="I222" s="127"/>
      <c r="J222" s="140"/>
      <c r="K222" s="123"/>
      <c r="L222" s="124"/>
      <c r="M222" s="125"/>
    </row>
    <row r="223" spans="1:14" hidden="1" x14ac:dyDescent="0.2">
      <c r="A223" s="46" t="str">
        <f t="shared" si="31"/>
        <v>GENERAL SERVICE 50 TO 999 KW SERVICE CLASSIFICATION</v>
      </c>
      <c r="B223" s="46" t="s">
        <v>139</v>
      </c>
      <c r="C223" s="115"/>
      <c r="D223" s="158" t="s">
        <v>190</v>
      </c>
      <c r="E223" s="117"/>
      <c r="F223" s="161">
        <f>OffPeak</f>
        <v>7.3999999999999996E-2</v>
      </c>
      <c r="G223" s="160">
        <f>IF(AND(E192*12&gt;=150000),0.64*E192*E194,0.64*E192)</f>
        <v>13192.96</v>
      </c>
      <c r="H223" s="157">
        <f t="shared" si="33"/>
        <v>976.2790399999999</v>
      </c>
      <c r="I223" s="161">
        <f>OffPeak</f>
        <v>7.3999999999999996E-2</v>
      </c>
      <c r="J223" s="162">
        <f>IF(AND(E192*12&gt;=150000),0.64*E192*E195,0.64*E192)</f>
        <v>13192.96</v>
      </c>
      <c r="K223" s="123">
        <f t="shared" si="34"/>
        <v>976.2790399999999</v>
      </c>
      <c r="L223" s="124">
        <f>K223-H223</f>
        <v>0</v>
      </c>
      <c r="M223" s="125">
        <f t="shared" si="35"/>
        <v>0</v>
      </c>
    </row>
    <row r="224" spans="1:14" hidden="1" x14ac:dyDescent="0.2">
      <c r="A224" s="46" t="str">
        <f t="shared" si="31"/>
        <v>GENERAL SERVICE 50 TO 999 KW SERVICE CLASSIFICATION</v>
      </c>
      <c r="B224" s="46" t="s">
        <v>139</v>
      </c>
      <c r="C224" s="115"/>
      <c r="D224" s="158" t="s">
        <v>191</v>
      </c>
      <c r="E224" s="117"/>
      <c r="F224" s="161">
        <f>MidPeak</f>
        <v>0.10199999999999999</v>
      </c>
      <c r="G224" s="160">
        <f>IF(AND(E192*12&gt;=150000),0.18*E192*E194,0.18*E192)</f>
        <v>3710.52</v>
      </c>
      <c r="H224" s="157">
        <f t="shared" si="33"/>
        <v>378.47303999999997</v>
      </c>
      <c r="I224" s="161">
        <f>MidPeak</f>
        <v>0.10199999999999999</v>
      </c>
      <c r="J224" s="162">
        <f>IF(AND(E192*12&gt;=150000),0.18*E192*E195,0.18*E192)</f>
        <v>3710.52</v>
      </c>
      <c r="K224" s="123">
        <f t="shared" si="34"/>
        <v>378.47303999999997</v>
      </c>
      <c r="L224" s="124">
        <f>K224-H224</f>
        <v>0</v>
      </c>
      <c r="M224" s="125">
        <f t="shared" si="35"/>
        <v>0</v>
      </c>
    </row>
    <row r="225" spans="1:13" hidden="1" x14ac:dyDescent="0.2">
      <c r="A225" s="46" t="str">
        <f t="shared" si="31"/>
        <v>GENERAL SERVICE 50 TO 999 KW SERVICE CLASSIFICATION</v>
      </c>
      <c r="B225" s="46" t="s">
        <v>139</v>
      </c>
      <c r="C225" s="115"/>
      <c r="D225" s="46" t="s">
        <v>192</v>
      </c>
      <c r="E225" s="117"/>
      <c r="F225" s="161">
        <f>OnPeak</f>
        <v>0.151</v>
      </c>
      <c r="G225" s="160">
        <f>IF(AND(E192*12&gt;=150000),0.18*E192*E194,0.18*E192)</f>
        <v>3710.52</v>
      </c>
      <c r="H225" s="157">
        <f t="shared" si="33"/>
        <v>560.28851999999995</v>
      </c>
      <c r="I225" s="161">
        <f>OnPeak</f>
        <v>0.151</v>
      </c>
      <c r="J225" s="162">
        <f>IF(AND(E192*12&gt;=150000),0.18*E192*E195,0.18*E192)</f>
        <v>3710.52</v>
      </c>
      <c r="K225" s="123">
        <f t="shared" si="34"/>
        <v>560.28851999999995</v>
      </c>
      <c r="L225" s="124">
        <f>K225-H225</f>
        <v>0</v>
      </c>
      <c r="M225" s="125">
        <f t="shared" si="35"/>
        <v>0</v>
      </c>
    </row>
    <row r="226" spans="1:13" hidden="1" x14ac:dyDescent="0.2">
      <c r="A226" s="46" t="str">
        <f t="shared" si="31"/>
        <v>GENERAL SERVICE 50 TO 999 KW SERVICE CLASSIFICATION</v>
      </c>
      <c r="B226" s="46" t="s">
        <v>141</v>
      </c>
      <c r="C226" s="115"/>
      <c r="D226" s="158" t="s">
        <v>193</v>
      </c>
      <c r="E226" s="117"/>
      <c r="F226" s="164">
        <f>C226</f>
        <v>0</v>
      </c>
      <c r="G226" s="160">
        <f>IF(AND(E192*12&gt;=150000),E192*E194,E192)</f>
        <v>20614</v>
      </c>
      <c r="H226" s="157">
        <f>G226*F226</f>
        <v>0</v>
      </c>
      <c r="I226" s="164">
        <f>F226</f>
        <v>0</v>
      </c>
      <c r="J226" s="162">
        <f>IF(AND(E192*12&gt;=150000),E192*E195,E192)</f>
        <v>20614</v>
      </c>
      <c r="K226" s="123">
        <f>J226*I226</f>
        <v>0</v>
      </c>
      <c r="L226" s="124">
        <f>K226-H226</f>
        <v>0</v>
      </c>
      <c r="M226" s="125" t="str">
        <f t="shared" si="35"/>
        <v/>
      </c>
    </row>
    <row r="227" spans="1:13" ht="13.5" thickBot="1" x14ac:dyDescent="0.25">
      <c r="A227" s="46" t="str">
        <f t="shared" si="31"/>
        <v>GENERAL SERVICE 50 TO 999 KW SERVICE CLASSIFICATION</v>
      </c>
      <c r="B227" s="46" t="s">
        <v>140</v>
      </c>
      <c r="C227" s="115"/>
      <c r="D227" s="158" t="s">
        <v>194</v>
      </c>
      <c r="E227" s="117"/>
      <c r="F227" s="163">
        <v>9.6699999999999994E-2</v>
      </c>
      <c r="G227" s="160">
        <f>IF(AND(E192*12&gt;=150000),E192*E194,E192)</f>
        <v>20614</v>
      </c>
      <c r="H227" s="157">
        <f>G227*F227</f>
        <v>1993.3737999999998</v>
      </c>
      <c r="I227" s="164">
        <f>F227</f>
        <v>9.6699999999999994E-2</v>
      </c>
      <c r="J227" s="162">
        <f>IF(AND(E192*12&gt;=150000),E192*E195,E192)</f>
        <v>20614</v>
      </c>
      <c r="K227" s="123">
        <f>J227*I227</f>
        <v>1993.3737999999998</v>
      </c>
      <c r="L227" s="124">
        <f>K227-H227</f>
        <v>0</v>
      </c>
      <c r="M227" s="125">
        <f t="shared" si="35"/>
        <v>0</v>
      </c>
    </row>
    <row r="228" spans="1:13" ht="13.5" thickBot="1" x14ac:dyDescent="0.25">
      <c r="A228" s="46" t="str">
        <f t="shared" si="31"/>
        <v>GENERAL SERVICE 50 TO 999 KW SERVICE CLASSIFICATION</v>
      </c>
      <c r="C228" s="115"/>
      <c r="D228" s="165"/>
      <c r="E228" s="166"/>
      <c r="F228" s="167"/>
      <c r="G228" s="168"/>
      <c r="H228" s="169"/>
      <c r="I228" s="167"/>
      <c r="J228" s="170"/>
      <c r="K228" s="169"/>
      <c r="L228" s="171"/>
      <c r="M228" s="172"/>
    </row>
    <row r="229" spans="1:13" hidden="1" x14ac:dyDescent="0.2">
      <c r="A229" s="46" t="str">
        <f t="shared" si="31"/>
        <v>GENERAL SERVICE 50 TO 999 KW SERVICE CLASSIFICATION</v>
      </c>
      <c r="B229" s="46" t="s">
        <v>139</v>
      </c>
      <c r="C229" s="115"/>
      <c r="D229" s="173" t="s">
        <v>195</v>
      </c>
      <c r="E229" s="158"/>
      <c r="F229" s="177"/>
      <c r="G229" s="175"/>
      <c r="H229" s="176">
        <f>SUM(H219:H225,H218)</f>
        <v>2858.6792</v>
      </c>
      <c r="I229" s="177"/>
      <c r="J229" s="177"/>
      <c r="K229" s="176">
        <f>SUM(K219:K225,K218)</f>
        <v>2785.3532</v>
      </c>
      <c r="L229" s="178">
        <f>K229-H229</f>
        <v>-73.326000000000022</v>
      </c>
      <c r="M229" s="179">
        <f>IF((H229)=0,"",(L229/H229))</f>
        <v>-2.5650307316749645E-2</v>
      </c>
    </row>
    <row r="230" spans="1:13" hidden="1" x14ac:dyDescent="0.2">
      <c r="A230" s="46" t="str">
        <f t="shared" si="31"/>
        <v>GENERAL SERVICE 50 TO 999 KW SERVICE CLASSIFICATION</v>
      </c>
      <c r="B230" s="46" t="s">
        <v>139</v>
      </c>
      <c r="C230" s="115"/>
      <c r="D230" s="180" t="s">
        <v>196</v>
      </c>
      <c r="E230" s="158"/>
      <c r="F230" s="183">
        <v>0.13</v>
      </c>
      <c r="G230" s="181"/>
      <c r="H230" s="182">
        <f>H229*F230</f>
        <v>371.62829600000003</v>
      </c>
      <c r="I230" s="183">
        <v>0.13</v>
      </c>
      <c r="J230" s="119"/>
      <c r="K230" s="182">
        <f>K229*I230</f>
        <v>362.09591599999999</v>
      </c>
      <c r="L230" s="124">
        <f>K230-H230</f>
        <v>-9.532380000000046</v>
      </c>
      <c r="M230" s="184">
        <f>IF((H230)=0,"",(L230/H230))</f>
        <v>-2.5650307316749759E-2</v>
      </c>
    </row>
    <row r="231" spans="1:13" ht="15" hidden="1" x14ac:dyDescent="0.25">
      <c r="A231" s="46" t="str">
        <f t="shared" si="31"/>
        <v>GENERAL SERVICE 50 TO 999 KW SERVICE CLASSIFICATION</v>
      </c>
      <c r="B231" s="46" t="s">
        <v>139</v>
      </c>
      <c r="C231" s="115"/>
      <c r="D231" s="180" t="s">
        <v>197</v>
      </c>
      <c r="E231"/>
      <c r="F231" s="185">
        <v>0.11700000000000001</v>
      </c>
      <c r="G231" s="181"/>
      <c r="H231" s="182">
        <f>IF(OR(ISNUMBER(SEARCH("[DGEN]", E190))=TRUE, ISNUMBER(SEARCH("STREET LIGHT", E190))=TRUE), 0, IF(AND(E192=0, E193=0),0, IF(AND(E193=0, E192*12&gt;250000), 0, IF(AND(E192=0, E193&gt;=50), 0, IF(E192*12&lt;=250000, F231*H229*-1, IF(E193&lt;50, F231*H229*-1, 0))))))</f>
        <v>-334.46546640000003</v>
      </c>
      <c r="I231" s="185">
        <v>0.11700000000000001</v>
      </c>
      <c r="J231" s="119"/>
      <c r="K231" s="182">
        <f>IF(OR(ISNUMBER(SEARCH("[DGEN]", E190))=TRUE, ISNUMBER(SEARCH("STREET LIGHT", E190))=TRUE), 0, IF(AND(E192=0, E193=0),0, IF(AND(E193=0, E192*12&gt;250000), 0, IF(AND(E192=0, E193&gt;=50), 0, IF(E192*12&lt;=250000, I231*K229*-1, IF(E193&lt;50, I231*K229*-1, 0))))))</f>
        <v>-325.88632440000003</v>
      </c>
      <c r="L231" s="124">
        <f>K231-H231</f>
        <v>8.5791419999999903</v>
      </c>
      <c r="M231" s="184"/>
    </row>
    <row r="232" spans="1:13" hidden="1" x14ac:dyDescent="0.2">
      <c r="A232" s="46" t="str">
        <f t="shared" si="31"/>
        <v>GENERAL SERVICE 50 TO 999 KW SERVICE CLASSIFICATION</v>
      </c>
      <c r="B232" s="46" t="s">
        <v>198</v>
      </c>
      <c r="C232" s="115"/>
      <c r="D232" s="186" t="s">
        <v>199</v>
      </c>
      <c r="E232" s="186"/>
      <c r="F232" s="190"/>
      <c r="G232" s="188"/>
      <c r="H232" s="189">
        <f>H229+H230+H231</f>
        <v>2895.8420295999999</v>
      </c>
      <c r="I232" s="190"/>
      <c r="J232" s="190"/>
      <c r="K232" s="191">
        <f>K229+K230+K231</f>
        <v>2821.5627915999999</v>
      </c>
      <c r="L232" s="192">
        <f>K232-H232</f>
        <v>-74.279238000000078</v>
      </c>
      <c r="M232" s="193">
        <f>IF((H232)=0,"",(L232/H232))</f>
        <v>-2.5650307316749665E-2</v>
      </c>
    </row>
    <row r="233" spans="1:13" ht="13.5" hidden="1" thickBot="1" x14ac:dyDescent="0.25">
      <c r="A233" s="46" t="str">
        <f t="shared" si="31"/>
        <v>GENERAL SERVICE 50 TO 999 KW SERVICE CLASSIFICATION</v>
      </c>
      <c r="B233" s="46" t="s">
        <v>139</v>
      </c>
      <c r="C233" s="115"/>
      <c r="D233" s="165"/>
      <c r="E233" s="166"/>
      <c r="F233" s="167"/>
      <c r="G233" s="168"/>
      <c r="H233" s="169"/>
      <c r="I233" s="167"/>
      <c r="J233" s="170"/>
      <c r="K233" s="169"/>
      <c r="L233" s="171"/>
      <c r="M233" s="172"/>
    </row>
    <row r="234" spans="1:13" hidden="1" x14ac:dyDescent="0.2">
      <c r="A234" s="46" t="str">
        <f t="shared" si="31"/>
        <v>GENERAL SERVICE 50 TO 999 KW SERVICE CLASSIFICATION</v>
      </c>
      <c r="B234" s="46" t="s">
        <v>141</v>
      </c>
      <c r="C234" s="115"/>
      <c r="D234" s="173" t="s">
        <v>200</v>
      </c>
      <c r="E234" s="158"/>
      <c r="F234" s="177"/>
      <c r="G234" s="175"/>
      <c r="H234" s="176">
        <f>SUM(H226,H219:H222,H218)</f>
        <v>943.6386</v>
      </c>
      <c r="I234" s="177"/>
      <c r="J234" s="177"/>
      <c r="K234" s="176">
        <f>SUM(K226,K219:K222,K218)</f>
        <v>870.31259999999997</v>
      </c>
      <c r="L234" s="178">
        <f>K234-H234</f>
        <v>-73.326000000000022</v>
      </c>
      <c r="M234" s="179">
        <f>IF((H234)=0,"",(L234/H234))</f>
        <v>-7.7705596189049514E-2</v>
      </c>
    </row>
    <row r="235" spans="1:13" hidden="1" x14ac:dyDescent="0.2">
      <c r="A235" s="46" t="str">
        <f t="shared" si="31"/>
        <v>GENERAL SERVICE 50 TO 999 KW SERVICE CLASSIFICATION</v>
      </c>
      <c r="B235" s="46" t="s">
        <v>141</v>
      </c>
      <c r="C235" s="115"/>
      <c r="D235" s="180" t="s">
        <v>196</v>
      </c>
      <c r="E235" s="158"/>
      <c r="F235" s="174">
        <v>0.13</v>
      </c>
      <c r="G235" s="175"/>
      <c r="H235" s="182">
        <f>H234*F235</f>
        <v>122.673018</v>
      </c>
      <c r="I235" s="174">
        <v>0.13</v>
      </c>
      <c r="J235" s="183"/>
      <c r="K235" s="182">
        <f>K234*I235</f>
        <v>113.140638</v>
      </c>
      <c r="L235" s="124">
        <f>K235-H235</f>
        <v>-9.5323800000000034</v>
      </c>
      <c r="M235" s="184">
        <f>IF((H235)=0,"",(L235/H235))</f>
        <v>-7.7705596189049528E-2</v>
      </c>
    </row>
    <row r="236" spans="1:13" ht="15" hidden="1" x14ac:dyDescent="0.25">
      <c r="A236" s="46" t="str">
        <f t="shared" si="31"/>
        <v>GENERAL SERVICE 50 TO 999 KW SERVICE CLASSIFICATION</v>
      </c>
      <c r="B236" s="46" t="s">
        <v>141</v>
      </c>
      <c r="C236" s="115"/>
      <c r="D236" s="180" t="s">
        <v>197</v>
      </c>
      <c r="E236"/>
      <c r="F236" s="185">
        <v>0.11700000000000001</v>
      </c>
      <c r="G236" s="175"/>
      <c r="H236" s="182">
        <f>IF(OR(ISNUMBER(SEARCH("[DGEN]", E190))=TRUE, ISNUMBER(SEARCH("STREET LIGHT", E190))=TRUE), 0, IF(AND(E192=0, E193=0),0, IF(AND(E193=0, E192*12&gt;250000), 0, IF(AND(E192=0, E193&gt;=50), 0, IF(E192*12&lt;=250000, F236*H234*-1, IF(E193&lt;50, F236*H234*-1, 0))))))</f>
        <v>-110.4057162</v>
      </c>
      <c r="I236" s="185">
        <v>0.11700000000000001</v>
      </c>
      <c r="J236" s="183"/>
      <c r="K236" s="182">
        <f>IF(OR(ISNUMBER(SEARCH("[DGEN]", E190))=TRUE, ISNUMBER(SEARCH("STREET LIGHT", E190))=TRUE), 0, IF(AND(E192=0, E193=0),0, IF(AND(E193=0, E192*12&gt;250000), 0, IF(AND(E192=0, E193&gt;=50), 0, IF(E192*12&lt;=250000, I236*K234*-1, IF(E193&lt;50, I236*K234*-1, 0))))))</f>
        <v>-101.8265742</v>
      </c>
      <c r="L236" s="124"/>
      <c r="M236" s="184"/>
    </row>
    <row r="237" spans="1:13" hidden="1" x14ac:dyDescent="0.2">
      <c r="A237" s="46" t="str">
        <f t="shared" si="31"/>
        <v>GENERAL SERVICE 50 TO 999 KW SERVICE CLASSIFICATION</v>
      </c>
      <c r="B237" s="46" t="s">
        <v>201</v>
      </c>
      <c r="C237" s="115"/>
      <c r="D237" s="186" t="s">
        <v>200</v>
      </c>
      <c r="E237" s="186"/>
      <c r="F237" s="196"/>
      <c r="G237" s="195"/>
      <c r="H237" s="189">
        <f>SUM(H234,H235)</f>
        <v>1066.311618</v>
      </c>
      <c r="I237" s="196"/>
      <c r="J237" s="196"/>
      <c r="K237" s="189">
        <f>SUM(K234,K235)</f>
        <v>983.45323799999994</v>
      </c>
      <c r="L237" s="197">
        <f>K237-H237</f>
        <v>-82.858380000000011</v>
      </c>
      <c r="M237" s="198">
        <f>IF((H237)=0,"",(L237/H237))</f>
        <v>-7.7705596189049514E-2</v>
      </c>
    </row>
    <row r="238" spans="1:13" ht="13.5" hidden="1" thickBot="1" x14ac:dyDescent="0.25">
      <c r="A238" s="46" t="str">
        <f t="shared" si="31"/>
        <v>GENERAL SERVICE 50 TO 999 KW SERVICE CLASSIFICATION</v>
      </c>
      <c r="B238" s="46" t="s">
        <v>141</v>
      </c>
      <c r="C238" s="115"/>
      <c r="D238" s="165"/>
      <c r="E238" s="166"/>
      <c r="F238" s="199"/>
      <c r="G238" s="200"/>
      <c r="H238" s="201"/>
      <c r="I238" s="199"/>
      <c r="J238" s="168"/>
      <c r="K238" s="201"/>
      <c r="L238" s="202"/>
      <c r="M238" s="172"/>
    </row>
    <row r="239" spans="1:13" x14ac:dyDescent="0.2">
      <c r="A239" s="46" t="str">
        <f t="shared" si="31"/>
        <v>GENERAL SERVICE 50 TO 999 KW SERVICE CLASSIFICATION</v>
      </c>
      <c r="B239" s="46" t="s">
        <v>140</v>
      </c>
      <c r="C239" s="115"/>
      <c r="D239" s="173" t="s">
        <v>202</v>
      </c>
      <c r="E239" s="158"/>
      <c r="F239" s="177"/>
      <c r="G239" s="175"/>
      <c r="H239" s="176">
        <f>SUM(H227,H219:H222,H218)</f>
        <v>2937.0123999999996</v>
      </c>
      <c r="I239" s="177"/>
      <c r="J239" s="177"/>
      <c r="K239" s="176">
        <f>SUM(K227,K219:K222,K218)</f>
        <v>2863.6863999999996</v>
      </c>
      <c r="L239" s="178">
        <f>K239-H239</f>
        <v>-73.326000000000022</v>
      </c>
      <c r="M239" s="179">
        <f>IF((H239)=0,"",(L239/H239))</f>
        <v>-2.4966186727710116E-2</v>
      </c>
    </row>
    <row r="240" spans="1:13" x14ac:dyDescent="0.2">
      <c r="A240" s="46" t="str">
        <f t="shared" si="31"/>
        <v>GENERAL SERVICE 50 TO 999 KW SERVICE CLASSIFICATION</v>
      </c>
      <c r="B240" s="46" t="s">
        <v>140</v>
      </c>
      <c r="C240" s="115"/>
      <c r="D240" s="180" t="s">
        <v>196</v>
      </c>
      <c r="E240" s="158"/>
      <c r="F240" s="174">
        <v>0.13</v>
      </c>
      <c r="G240" s="175"/>
      <c r="H240" s="182">
        <f>H239*F240</f>
        <v>381.81161199999997</v>
      </c>
      <c r="I240" s="174">
        <v>0.13</v>
      </c>
      <c r="J240" s="183"/>
      <c r="K240" s="182">
        <f>K239*I240</f>
        <v>372.27923199999998</v>
      </c>
      <c r="L240" s="124">
        <f>K240-H240</f>
        <v>-9.5323799999999892</v>
      </c>
      <c r="M240" s="184">
        <f>IF((H240)=0,"",(L240/H240))</f>
        <v>-2.4966186727710078E-2</v>
      </c>
    </row>
    <row r="241" spans="1:14" ht="15" x14ac:dyDescent="0.25">
      <c r="A241" s="46" t="str">
        <f t="shared" si="31"/>
        <v>GENERAL SERVICE 50 TO 999 KW SERVICE CLASSIFICATION</v>
      </c>
      <c r="B241" s="46" t="s">
        <v>140</v>
      </c>
      <c r="C241" s="115"/>
      <c r="D241" s="180" t="s">
        <v>197</v>
      </c>
      <c r="E241"/>
      <c r="F241" s="185">
        <v>0.11700000000000001</v>
      </c>
      <c r="G241" s="175"/>
      <c r="H241" s="182">
        <f>IF(OR(ISNUMBER(SEARCH("[DGEN]", E190))=TRUE, ISNUMBER(SEARCH("STREET LIGHT", E190))=TRUE), 0, IF(AND(E192=0, E193=0),0, IF(AND(E193=0, E192*12&gt;250000), 0, IF(AND(E192=0, E193&gt;=50), 0, IF(E192*12&lt;=250000, F241*H239*-1, IF(E193&lt;50, F241*H239*-1, 0))))))</f>
        <v>-343.63045079999995</v>
      </c>
      <c r="I241" s="185">
        <v>0.11700000000000001</v>
      </c>
      <c r="J241" s="183"/>
      <c r="K241" s="182">
        <f>IF(OR(ISNUMBER(SEARCH("[DGEN]", E190))=TRUE, ISNUMBER(SEARCH("STREET LIGHT", E190))=TRUE), 0, IF(AND(E192=0, E193=0),0, IF(AND(E193=0, E192*12&gt;250000), 0, IF(AND(E192=0, E193&gt;=50), 0, IF(E192*12&lt;=250000, I241*K239*-1, IF(E193&lt;50, I241*K239*-1, 0))))))</f>
        <v>-335.05130879999996</v>
      </c>
      <c r="L241" s="124"/>
      <c r="M241" s="184"/>
    </row>
    <row r="242" spans="1:14" ht="13.5" thickBot="1" x14ac:dyDescent="0.25">
      <c r="A242" s="46" t="str">
        <f t="shared" si="31"/>
        <v>GENERAL SERVICE 50 TO 999 KW SERVICE CLASSIFICATION</v>
      </c>
      <c r="B242" s="46" t="s">
        <v>203</v>
      </c>
      <c r="C242" s="115">
        <f>B32</f>
        <v>3</v>
      </c>
      <c r="D242" s="186" t="s">
        <v>202</v>
      </c>
      <c r="E242" s="186"/>
      <c r="F242" s="196"/>
      <c r="G242" s="195"/>
      <c r="H242" s="189">
        <f>SUM(H239,H240)</f>
        <v>3318.8240119999996</v>
      </c>
      <c r="I242" s="196"/>
      <c r="J242" s="196"/>
      <c r="K242" s="189">
        <f>SUM(K239,K240)</f>
        <v>3235.9656319999995</v>
      </c>
      <c r="L242" s="197">
        <f>K242-H242</f>
        <v>-82.858380000000125</v>
      </c>
      <c r="M242" s="198">
        <f>IF((H242)=0,"",(L242/H242))</f>
        <v>-2.4966186727710143E-2</v>
      </c>
    </row>
    <row r="243" spans="1:14" ht="13.5" thickBot="1" x14ac:dyDescent="0.25">
      <c r="A243" s="46" t="str">
        <f t="shared" si="31"/>
        <v>GENERAL SERVICE 50 TO 999 KW SERVICE CLASSIFICATION</v>
      </c>
      <c r="B243" s="46" t="s">
        <v>140</v>
      </c>
      <c r="C243" s="115"/>
      <c r="D243" s="165"/>
      <c r="E243" s="166"/>
      <c r="F243" s="203"/>
      <c r="G243" s="200"/>
      <c r="H243" s="204"/>
      <c r="I243" s="203"/>
      <c r="J243" s="168"/>
      <c r="K243" s="204"/>
      <c r="L243" s="202"/>
      <c r="M243" s="205"/>
    </row>
    <row r="246" spans="1:14" x14ac:dyDescent="0.2">
      <c r="C246" s="46"/>
      <c r="D246" s="90" t="s">
        <v>150</v>
      </c>
      <c r="E246" s="91" t="str">
        <f>D33</f>
        <v>GENERAL SERVICE 1,000 TO 4,999 KW SERVICE CLASSIFICATION</v>
      </c>
      <c r="F246" s="91"/>
      <c r="G246" s="91"/>
      <c r="H246" s="91"/>
      <c r="I246" s="91"/>
      <c r="J246" s="91"/>
      <c r="K246" s="46" t="str">
        <f>IF(N33="DEMAND - INTERVAL","RTSR - INTERVAL METERED","")</f>
        <v/>
      </c>
    </row>
    <row r="247" spans="1:14" x14ac:dyDescent="0.2">
      <c r="C247" s="46"/>
      <c r="D247" s="90" t="s">
        <v>151</v>
      </c>
      <c r="E247" s="92" t="str">
        <f>H33</f>
        <v>Non-RPP (Other)</v>
      </c>
      <c r="F247" s="92"/>
      <c r="G247" s="92"/>
      <c r="H247" s="93"/>
      <c r="I247" s="93"/>
    </row>
    <row r="248" spans="1:14" ht="15.75" x14ac:dyDescent="0.2">
      <c r="C248" s="46"/>
      <c r="D248" s="90" t="s">
        <v>152</v>
      </c>
      <c r="E248" s="94">
        <f>K33</f>
        <v>800000</v>
      </c>
      <c r="F248" s="95" t="s">
        <v>153</v>
      </c>
      <c r="J248" s="96"/>
      <c r="K248" s="96"/>
      <c r="L248" s="96"/>
      <c r="M248" s="96"/>
      <c r="N248" s="96"/>
    </row>
    <row r="249" spans="1:14" ht="15.75" x14ac:dyDescent="0.25">
      <c r="C249" s="46"/>
      <c r="D249" s="90" t="s">
        <v>154</v>
      </c>
      <c r="E249" s="94">
        <f>L33</f>
        <v>2000</v>
      </c>
      <c r="F249" s="97" t="s">
        <v>155</v>
      </c>
      <c r="G249" s="98"/>
      <c r="H249" s="99"/>
      <c r="I249" s="99"/>
      <c r="J249" s="99"/>
    </row>
    <row r="250" spans="1:14" x14ac:dyDescent="0.2">
      <c r="C250" s="46"/>
      <c r="D250" s="90" t="s">
        <v>156</v>
      </c>
      <c r="E250" s="100">
        <f>I33</f>
        <v>1.0306999999999999</v>
      </c>
    </row>
    <row r="251" spans="1:14" x14ac:dyDescent="0.2">
      <c r="C251" s="46"/>
      <c r="D251" s="90" t="s">
        <v>157</v>
      </c>
      <c r="E251" s="100">
        <f>J33</f>
        <v>1.0306999999999999</v>
      </c>
    </row>
    <row r="252" spans="1:14" x14ac:dyDescent="0.2">
      <c r="C252" s="46"/>
    </row>
    <row r="253" spans="1:14" x14ac:dyDescent="0.2">
      <c r="C253" s="46"/>
      <c r="E253" s="95"/>
      <c r="F253" s="101" t="s">
        <v>226</v>
      </c>
      <c r="G253" s="102"/>
      <c r="H253" s="103"/>
      <c r="I253" s="101" t="s">
        <v>205</v>
      </c>
      <c r="J253" s="102"/>
      <c r="K253" s="103"/>
      <c r="L253" s="101" t="s">
        <v>158</v>
      </c>
      <c r="M253" s="103"/>
    </row>
    <row r="254" spans="1:14" x14ac:dyDescent="0.2">
      <c r="C254" s="46"/>
      <c r="E254" s="104"/>
      <c r="F254" s="105" t="s">
        <v>159</v>
      </c>
      <c r="G254" s="105" t="s">
        <v>160</v>
      </c>
      <c r="H254" s="106" t="s">
        <v>161</v>
      </c>
      <c r="I254" s="105" t="s">
        <v>159</v>
      </c>
      <c r="J254" s="107" t="s">
        <v>160</v>
      </c>
      <c r="K254" s="106" t="s">
        <v>161</v>
      </c>
      <c r="L254" s="108" t="s">
        <v>162</v>
      </c>
      <c r="M254" s="109" t="s">
        <v>163</v>
      </c>
    </row>
    <row r="255" spans="1:14" x14ac:dyDescent="0.2">
      <c r="C255" s="46"/>
      <c r="E255" s="110"/>
      <c r="F255" s="111" t="s">
        <v>164</v>
      </c>
      <c r="G255" s="111"/>
      <c r="H255" s="112" t="s">
        <v>164</v>
      </c>
      <c r="I255" s="111" t="s">
        <v>164</v>
      </c>
      <c r="J255" s="112"/>
      <c r="K255" s="112" t="s">
        <v>164</v>
      </c>
      <c r="L255" s="113"/>
      <c r="M255" s="114"/>
    </row>
    <row r="256" spans="1:14" x14ac:dyDescent="0.2">
      <c r="A256" s="46" t="str">
        <f>$E246</f>
        <v>GENERAL SERVICE 1,000 TO 4,999 KW SERVICE CLASSIFICATION</v>
      </c>
      <c r="C256" s="115"/>
      <c r="D256" s="116" t="s">
        <v>165</v>
      </c>
      <c r="E256" s="117"/>
      <c r="F256" s="121">
        <v>959.65</v>
      </c>
      <c r="G256" s="119">
        <v>1</v>
      </c>
      <c r="H256" s="120">
        <f>G256*F256</f>
        <v>959.65</v>
      </c>
      <c r="I256" s="121">
        <v>959.65</v>
      </c>
      <c r="J256" s="122">
        <f>G256</f>
        <v>1</v>
      </c>
      <c r="K256" s="123">
        <f>J256*I256</f>
        <v>959.65</v>
      </c>
      <c r="L256" s="124">
        <f t="shared" ref="L256:L277" si="36">K256-H256</f>
        <v>0</v>
      </c>
      <c r="M256" s="125">
        <f>IF(ISERROR(L256/H256), "", L256/H256)</f>
        <v>0</v>
      </c>
    </row>
    <row r="257" spans="1:14" x14ac:dyDescent="0.2">
      <c r="A257" s="46" t="str">
        <f>A256</f>
        <v>GENERAL SERVICE 1,000 TO 4,999 KW SERVICE CLASSIFICATION</v>
      </c>
      <c r="C257" s="115"/>
      <c r="D257" s="116" t="s">
        <v>30</v>
      </c>
      <c r="E257" s="117"/>
      <c r="F257" s="127">
        <v>4.2343000000000002</v>
      </c>
      <c r="G257" s="119">
        <f>IF($E249&gt;0, $E249, $E248)</f>
        <v>2000</v>
      </c>
      <c r="H257" s="120">
        <f t="shared" ref="H257:H269" si="37">G257*F257</f>
        <v>8468.6</v>
      </c>
      <c r="I257" s="127">
        <v>4.2343000000000002</v>
      </c>
      <c r="J257" s="122">
        <f>IF($E249&gt;0, $E249, $E248)</f>
        <v>2000</v>
      </c>
      <c r="K257" s="123">
        <f>J257*I257</f>
        <v>8468.6</v>
      </c>
      <c r="L257" s="124">
        <f t="shared" si="36"/>
        <v>0</v>
      </c>
      <c r="M257" s="125">
        <f t="shared" ref="M257:M267" si="38">IF(ISERROR(L257/H257), "", L257/H257)</f>
        <v>0</v>
      </c>
    </row>
    <row r="258" spans="1:14" hidden="1" x14ac:dyDescent="0.2">
      <c r="A258" s="46" t="str">
        <f t="shared" ref="A258:A299" si="39">A257</f>
        <v>GENERAL SERVICE 1,000 TO 4,999 KW SERVICE CLASSIFICATION</v>
      </c>
      <c r="C258" s="115"/>
      <c r="D258" s="116" t="s">
        <v>166</v>
      </c>
      <c r="E258" s="117"/>
      <c r="F258" s="127"/>
      <c r="G258" s="119">
        <f>IF($E249&gt;0, $E249, $E248)</f>
        <v>2000</v>
      </c>
      <c r="H258" s="120">
        <v>0</v>
      </c>
      <c r="I258" s="127"/>
      <c r="J258" s="122">
        <f>IF($E249&gt;0, $E249, $E248)</f>
        <v>2000</v>
      </c>
      <c r="K258" s="123">
        <v>0</v>
      </c>
      <c r="L258" s="124"/>
      <c r="M258" s="125"/>
    </row>
    <row r="259" spans="1:14" hidden="1" x14ac:dyDescent="0.2">
      <c r="A259" s="46" t="str">
        <f t="shared" si="39"/>
        <v>GENERAL SERVICE 1,000 TO 4,999 KW SERVICE CLASSIFICATION</v>
      </c>
      <c r="C259" s="115"/>
      <c r="D259" s="116" t="s">
        <v>167</v>
      </c>
      <c r="E259" s="117"/>
      <c r="F259" s="127"/>
      <c r="G259" s="119">
        <f>IF($E249&gt;0, $E249, $E248)</f>
        <v>2000</v>
      </c>
      <c r="H259" s="120">
        <v>0</v>
      </c>
      <c r="I259" s="127"/>
      <c r="J259" s="128">
        <f>IF($E249&gt;0, $E249, $E248)</f>
        <v>2000</v>
      </c>
      <c r="K259" s="123">
        <v>0</v>
      </c>
      <c r="L259" s="124">
        <f>K259-H259</f>
        <v>0</v>
      </c>
      <c r="M259" s="125" t="str">
        <f>IF(ISERROR(L259/H259), "", L259/H259)</f>
        <v/>
      </c>
    </row>
    <row r="260" spans="1:14" x14ac:dyDescent="0.2">
      <c r="A260" s="46" t="str">
        <f t="shared" si="39"/>
        <v>GENERAL SERVICE 1,000 TO 4,999 KW SERVICE CLASSIFICATION</v>
      </c>
      <c r="C260" s="115"/>
      <c r="D260" s="116" t="s">
        <v>168</v>
      </c>
      <c r="E260" s="117"/>
      <c r="F260" s="121">
        <v>241.31</v>
      </c>
      <c r="G260" s="119">
        <v>1</v>
      </c>
      <c r="H260" s="120">
        <f t="shared" si="37"/>
        <v>241.31</v>
      </c>
      <c r="I260" s="121">
        <v>241.31</v>
      </c>
      <c r="J260" s="122">
        <f>G260</f>
        <v>1</v>
      </c>
      <c r="K260" s="123">
        <f t="shared" ref="K260:K267" si="40">J260*I260</f>
        <v>241.31</v>
      </c>
      <c r="L260" s="124">
        <f t="shared" si="36"/>
        <v>0</v>
      </c>
      <c r="M260" s="125">
        <f t="shared" si="38"/>
        <v>0</v>
      </c>
    </row>
    <row r="261" spans="1:14" x14ac:dyDescent="0.2">
      <c r="A261" s="46" t="str">
        <f t="shared" si="39"/>
        <v>GENERAL SERVICE 1,000 TO 4,999 KW SERVICE CLASSIFICATION</v>
      </c>
      <c r="C261" s="115"/>
      <c r="D261" s="116" t="s">
        <v>169</v>
      </c>
      <c r="E261" s="117"/>
      <c r="F261" s="127">
        <v>0</v>
      </c>
      <c r="G261" s="119">
        <f>IF($E249&gt;0, $E249, $E248)</f>
        <v>2000</v>
      </c>
      <c r="H261" s="120">
        <f t="shared" si="37"/>
        <v>0</v>
      </c>
      <c r="I261" s="127">
        <v>0</v>
      </c>
      <c r="J261" s="122">
        <f>IF($E249&gt;0, $E249, $E248)</f>
        <v>2000</v>
      </c>
      <c r="K261" s="123">
        <f t="shared" si="40"/>
        <v>0</v>
      </c>
      <c r="L261" s="124">
        <f t="shared" si="36"/>
        <v>0</v>
      </c>
      <c r="M261" s="125" t="str">
        <f t="shared" si="38"/>
        <v/>
      </c>
    </row>
    <row r="262" spans="1:14" x14ac:dyDescent="0.2">
      <c r="A262" s="46" t="str">
        <f t="shared" si="39"/>
        <v>GENERAL SERVICE 1,000 TO 4,999 KW SERVICE CLASSIFICATION</v>
      </c>
      <c r="B262" s="46" t="s">
        <v>170</v>
      </c>
      <c r="C262" s="115">
        <f>B33</f>
        <v>4</v>
      </c>
      <c r="D262" s="129" t="s">
        <v>171</v>
      </c>
      <c r="E262" s="130"/>
      <c r="F262" s="134"/>
      <c r="G262" s="132"/>
      <c r="H262" s="133">
        <f>SUM(H256:H261)</f>
        <v>9669.56</v>
      </c>
      <c r="I262" s="134"/>
      <c r="J262" s="135"/>
      <c r="K262" s="133">
        <f>SUM(K256:K261)</f>
        <v>9669.56</v>
      </c>
      <c r="L262" s="136">
        <f t="shared" si="36"/>
        <v>0</v>
      </c>
      <c r="M262" s="137">
        <f>IF((H262)=0,"",(L262/H262))</f>
        <v>0</v>
      </c>
    </row>
    <row r="263" spans="1:14" x14ac:dyDescent="0.2">
      <c r="A263" s="46" t="str">
        <f t="shared" si="39"/>
        <v>GENERAL SERVICE 1,000 TO 4,999 KW SERVICE CLASSIFICATION</v>
      </c>
      <c r="C263" s="115"/>
      <c r="D263" s="138" t="s">
        <v>172</v>
      </c>
      <c r="E263" s="117"/>
      <c r="F263" s="127">
        <f>IF((E248*12&gt;=150000), 0, IF(E247="RPP",(F279*0.64+F280*0.18+F281*0.18),IF(E247="Non-RPP (Retailer)",F282,F283)))</f>
        <v>0</v>
      </c>
      <c r="G263" s="139">
        <f>IF(F263=0, 0, $E248*E250-E248)</f>
        <v>0</v>
      </c>
      <c r="H263" s="120">
        <f>G263*F263</f>
        <v>0</v>
      </c>
      <c r="I263" s="127">
        <f>IF((E248*12&gt;=150000), 0, IF(E247="RPP",(I279*0.64+I280*0.18+I281*0.18),IF(E247="Non-RPP (Retailer)",I282,I283)))</f>
        <v>0</v>
      </c>
      <c r="J263" s="140">
        <f>IF(I263=0, 0, E248*E251-E248)</f>
        <v>0</v>
      </c>
      <c r="K263" s="123">
        <f>J263*I263</f>
        <v>0</v>
      </c>
      <c r="L263" s="124">
        <f>K263-H263</f>
        <v>0</v>
      </c>
      <c r="M263" s="125" t="str">
        <f>IF(ISERROR(L263/H263), "", L263/H263)</f>
        <v/>
      </c>
    </row>
    <row r="264" spans="1:14" ht="25.5" x14ac:dyDescent="0.2">
      <c r="A264" s="46" t="str">
        <f t="shared" si="39"/>
        <v>GENERAL SERVICE 1,000 TO 4,999 KW SERVICE CLASSIFICATION</v>
      </c>
      <c r="C264" s="115"/>
      <c r="D264" s="138" t="s">
        <v>173</v>
      </c>
      <c r="E264" s="117"/>
      <c r="F264" s="127">
        <v>0.62870000000000004</v>
      </c>
      <c r="G264" s="141">
        <f>IF($E249&gt;0, $E249, $E248)</f>
        <v>2000</v>
      </c>
      <c r="H264" s="120">
        <f t="shared" si="37"/>
        <v>1257.4000000000001</v>
      </c>
      <c r="I264" s="127">
        <f>'Proposed Tariff'!D144+'Proposed Tariff'!D145+'Proposed Tariff'!D141+'Proposed Tariff'!D142</f>
        <v>1.1039000000000001</v>
      </c>
      <c r="J264" s="142">
        <f>IF($E249&gt;0, $E249, $E248)</f>
        <v>2000</v>
      </c>
      <c r="K264" s="123">
        <f t="shared" si="40"/>
        <v>2207.8000000000002</v>
      </c>
      <c r="L264" s="124">
        <f t="shared" si="36"/>
        <v>950.40000000000009</v>
      </c>
      <c r="M264" s="125">
        <f t="shared" si="38"/>
        <v>0.75584539526006045</v>
      </c>
    </row>
    <row r="265" spans="1:14" x14ac:dyDescent="0.2">
      <c r="A265" s="46" t="str">
        <f t="shared" si="39"/>
        <v>GENERAL SERVICE 1,000 TO 4,999 KW SERVICE CLASSIFICATION</v>
      </c>
      <c r="C265" s="115"/>
      <c r="D265" s="138" t="s">
        <v>174</v>
      </c>
      <c r="E265" s="117"/>
      <c r="F265" s="127">
        <v>0</v>
      </c>
      <c r="G265" s="141">
        <f>IF($E249&gt;0, $E249, $E248)</f>
        <v>2000</v>
      </c>
      <c r="H265" s="120">
        <f>G265*F265</f>
        <v>0</v>
      </c>
      <c r="I265" s="127">
        <f>'Proposed Tariff'!D143</f>
        <v>-4.7199999999999999E-2</v>
      </c>
      <c r="J265" s="142">
        <f>IF($E249&gt;0, $E249, $E248)</f>
        <v>2000</v>
      </c>
      <c r="K265" s="123">
        <f>J265*I265</f>
        <v>-94.399999999999991</v>
      </c>
      <c r="L265" s="124">
        <f t="shared" si="36"/>
        <v>-94.399999999999991</v>
      </c>
      <c r="M265" s="125" t="str">
        <f t="shared" si="38"/>
        <v/>
      </c>
    </row>
    <row r="266" spans="1:14" x14ac:dyDescent="0.2">
      <c r="A266" s="46" t="str">
        <f t="shared" si="39"/>
        <v>GENERAL SERVICE 1,000 TO 4,999 KW SERVICE CLASSIFICATION</v>
      </c>
      <c r="C266" s="115"/>
      <c r="D266" s="138" t="s">
        <v>175</v>
      </c>
      <c r="E266" s="117"/>
      <c r="F266" s="127">
        <v>0</v>
      </c>
      <c r="G266" s="141">
        <f>E248</f>
        <v>800000</v>
      </c>
      <c r="H266" s="120">
        <f>G266*F266</f>
        <v>0</v>
      </c>
      <c r="I266" s="127">
        <f>'Proposed Tariff'!D140</f>
        <v>-4.4999999999999997E-3</v>
      </c>
      <c r="J266" s="142">
        <f>E248</f>
        <v>800000</v>
      </c>
      <c r="K266" s="123">
        <f t="shared" si="40"/>
        <v>-3599.9999999999995</v>
      </c>
      <c r="L266" s="124">
        <f t="shared" si="36"/>
        <v>-3599.9999999999995</v>
      </c>
      <c r="M266" s="125" t="str">
        <f t="shared" si="38"/>
        <v/>
      </c>
    </row>
    <row r="267" spans="1:14" x14ac:dyDescent="0.2">
      <c r="A267" s="46" t="str">
        <f t="shared" si="39"/>
        <v>GENERAL SERVICE 1,000 TO 4,999 KW SERVICE CLASSIFICATION</v>
      </c>
      <c r="C267" s="115"/>
      <c r="D267" s="116" t="s">
        <v>176</v>
      </c>
      <c r="E267" s="117"/>
      <c r="F267" s="127">
        <v>0.10100000000000001</v>
      </c>
      <c r="G267" s="141">
        <f>IF($E249&gt;0, $E249, $E248)</f>
        <v>2000</v>
      </c>
      <c r="H267" s="120">
        <f t="shared" si="37"/>
        <v>202</v>
      </c>
      <c r="I267" s="127">
        <v>0.10100000000000001</v>
      </c>
      <c r="J267" s="142">
        <f>IF($E249&gt;0, $E249, $E248)</f>
        <v>2000</v>
      </c>
      <c r="K267" s="123">
        <f t="shared" si="40"/>
        <v>202</v>
      </c>
      <c r="L267" s="124">
        <f t="shared" si="36"/>
        <v>0</v>
      </c>
      <c r="M267" s="125">
        <f t="shared" si="38"/>
        <v>0</v>
      </c>
    </row>
    <row r="268" spans="1:14" ht="25.5" x14ac:dyDescent="0.2">
      <c r="A268" s="46" t="str">
        <f t="shared" si="39"/>
        <v>GENERAL SERVICE 1,000 TO 4,999 KW SERVICE CLASSIFICATION</v>
      </c>
      <c r="C268" s="115"/>
      <c r="D268" s="138" t="s">
        <v>177</v>
      </c>
      <c r="E268" s="117"/>
      <c r="F268" s="144">
        <f>IF(OR(ISNUMBER(SEARCH("RESIDENTIAL", B246))=TRUE, ISNUMBER(SEARCH("GENERAL SERVICE LESS THAN 50", B246))=TRUE), SME, 0)</f>
        <v>0</v>
      </c>
      <c r="G268" s="119">
        <v>1</v>
      </c>
      <c r="H268" s="120">
        <f>G268*F268</f>
        <v>0</v>
      </c>
      <c r="I268" s="144">
        <f>IF(OR(ISNUMBER(SEARCH("RESIDENTIAL", E246))=TRUE, ISNUMBER(SEARCH("GENERAL SERVICE LESS THAN 50", E246))=TRUE), SME, 0)</f>
        <v>0</v>
      </c>
      <c r="J268" s="128">
        <v>1</v>
      </c>
      <c r="K268" s="123">
        <f>J268*I268</f>
        <v>0</v>
      </c>
      <c r="L268" s="124">
        <f t="shared" si="36"/>
        <v>0</v>
      </c>
      <c r="M268" s="125" t="str">
        <f>IF(ISERROR(L268/H268), "", L268/H268)</f>
        <v/>
      </c>
    </row>
    <row r="269" spans="1:14" x14ac:dyDescent="0.2">
      <c r="A269" s="46" t="str">
        <f t="shared" si="39"/>
        <v>GENERAL SERVICE 1,000 TO 4,999 KW SERVICE CLASSIFICATION</v>
      </c>
      <c r="C269" s="115"/>
      <c r="D269" s="116" t="s">
        <v>178</v>
      </c>
      <c r="E269" s="117"/>
      <c r="F269" s="121">
        <v>0</v>
      </c>
      <c r="G269" s="119">
        <v>1</v>
      </c>
      <c r="H269" s="120">
        <f t="shared" si="37"/>
        <v>0</v>
      </c>
      <c r="I269" s="121">
        <v>0</v>
      </c>
      <c r="J269" s="128">
        <v>1</v>
      </c>
      <c r="K269" s="123">
        <f>J269*I269</f>
        <v>0</v>
      </c>
      <c r="L269" s="124">
        <f>K269-H269</f>
        <v>0</v>
      </c>
      <c r="M269" s="125" t="str">
        <f>IF(ISERROR(L269/H269), "", L269/H269)</f>
        <v/>
      </c>
    </row>
    <row r="270" spans="1:14" x14ac:dyDescent="0.2">
      <c r="A270" s="46" t="str">
        <f t="shared" si="39"/>
        <v>GENERAL SERVICE 1,000 TO 4,999 KW SERVICE CLASSIFICATION</v>
      </c>
      <c r="C270" s="115"/>
      <c r="D270" s="116" t="s">
        <v>179</v>
      </c>
      <c r="E270" s="117"/>
      <c r="F270" s="127">
        <v>0</v>
      </c>
      <c r="G270" s="141">
        <f>IF($E249&gt;0, $E249, $E248)</f>
        <v>2000</v>
      </c>
      <c r="H270" s="120">
        <f>G270*F270</f>
        <v>0</v>
      </c>
      <c r="I270" s="127">
        <v>0</v>
      </c>
      <c r="J270" s="142">
        <f>IF($E249&gt;0, $E249, $E248)</f>
        <v>2000</v>
      </c>
      <c r="K270" s="123">
        <f>J270*I270</f>
        <v>0</v>
      </c>
      <c r="L270" s="124">
        <f t="shared" si="36"/>
        <v>0</v>
      </c>
      <c r="M270" s="125" t="str">
        <f>IF(ISERROR(L270/H270), "", L270/H270)</f>
        <v/>
      </c>
    </row>
    <row r="271" spans="1:14" ht="25.5" x14ac:dyDescent="0.2">
      <c r="A271" s="46" t="str">
        <f t="shared" si="39"/>
        <v>GENERAL SERVICE 1,000 TO 4,999 KW SERVICE CLASSIFICATION</v>
      </c>
      <c r="B271" s="46" t="s">
        <v>180</v>
      </c>
      <c r="C271" s="115">
        <f>B33</f>
        <v>4</v>
      </c>
      <c r="D271" s="145" t="s">
        <v>181</v>
      </c>
      <c r="E271" s="146"/>
      <c r="F271" s="150"/>
      <c r="G271" s="148"/>
      <c r="H271" s="149">
        <f>SUM(H262:H270)</f>
        <v>11128.96</v>
      </c>
      <c r="I271" s="150"/>
      <c r="J271" s="151"/>
      <c r="K271" s="149">
        <f>SUM(K262:K270)</f>
        <v>8384.9600000000009</v>
      </c>
      <c r="L271" s="136">
        <f t="shared" si="36"/>
        <v>-2743.9999999999982</v>
      </c>
      <c r="M271" s="137">
        <f>IF((H271)=0,"",(L271/H271))</f>
        <v>-0.24656391971936267</v>
      </c>
    </row>
    <row r="272" spans="1:14" x14ac:dyDescent="0.2">
      <c r="A272" s="46" t="str">
        <f t="shared" si="39"/>
        <v>GENERAL SERVICE 1,000 TO 4,999 KW SERVICE CLASSIFICATION</v>
      </c>
      <c r="C272" s="115"/>
      <c r="D272" s="152" t="s">
        <v>182</v>
      </c>
      <c r="E272" s="117"/>
      <c r="F272" s="153">
        <v>3.4689000000000001</v>
      </c>
      <c r="G272" s="139">
        <f>IF($E249&gt;0, $E249, $E248*$E250)</f>
        <v>2000</v>
      </c>
      <c r="H272" s="120">
        <f>G272*F272</f>
        <v>6937.8</v>
      </c>
      <c r="I272" s="153">
        <v>3.4689000000000001</v>
      </c>
      <c r="J272" s="140">
        <f>IF($E249&gt;0, $E249, $E248*$E251)</f>
        <v>2000</v>
      </c>
      <c r="K272" s="123">
        <f>J272*I272</f>
        <v>6937.8</v>
      </c>
      <c r="L272" s="124">
        <f t="shared" si="36"/>
        <v>0</v>
      </c>
      <c r="M272" s="125">
        <f>IF(ISERROR(L272/H272), "", L272/H272)</f>
        <v>0</v>
      </c>
      <c r="N272" s="154" t="str">
        <f>IF(ISERROR(ABS(M272)), "", IF(ABS(M272)&gt;=4%, "In the manager's summary, discuss the reasoning for the change in RTSR rates", ""))</f>
        <v/>
      </c>
    </row>
    <row r="273" spans="1:14" ht="25.5" x14ac:dyDescent="0.2">
      <c r="A273" s="46" t="str">
        <f t="shared" si="39"/>
        <v>GENERAL SERVICE 1,000 TO 4,999 KW SERVICE CLASSIFICATION</v>
      </c>
      <c r="C273" s="115"/>
      <c r="D273" s="155" t="s">
        <v>183</v>
      </c>
      <c r="E273" s="117"/>
      <c r="F273" s="153">
        <v>1.7835000000000001</v>
      </c>
      <c r="G273" s="139">
        <f>IF($E249&gt;0, $E249, $E248*$E250)</f>
        <v>2000</v>
      </c>
      <c r="H273" s="120">
        <f>G273*F273</f>
        <v>3567</v>
      </c>
      <c r="I273" s="153">
        <v>1.7835000000000001</v>
      </c>
      <c r="J273" s="140">
        <f>IF($E249&gt;0, $E249, $E248*$E251)</f>
        <v>2000</v>
      </c>
      <c r="K273" s="123">
        <f>J273*I273</f>
        <v>3567</v>
      </c>
      <c r="L273" s="124">
        <f t="shared" si="36"/>
        <v>0</v>
      </c>
      <c r="M273" s="125">
        <f>IF(ISERROR(L273/H273), "", L273/H273)</f>
        <v>0</v>
      </c>
      <c r="N273" s="154" t="str">
        <f>IF(ISERROR(ABS(M273)), "", IF(ABS(M273)&gt;=4%, "In the manager's summary, discuss the reasoning for the change in RTSR rates", ""))</f>
        <v/>
      </c>
    </row>
    <row r="274" spans="1:14" ht="25.5" x14ac:dyDescent="0.2">
      <c r="A274" s="46" t="str">
        <f t="shared" si="39"/>
        <v>GENERAL SERVICE 1,000 TO 4,999 KW SERVICE CLASSIFICATION</v>
      </c>
      <c r="B274" s="46" t="s">
        <v>184</v>
      </c>
      <c r="C274" s="115">
        <f>B33</f>
        <v>4</v>
      </c>
      <c r="D274" s="145" t="s">
        <v>185</v>
      </c>
      <c r="E274" s="130"/>
      <c r="F274" s="150"/>
      <c r="G274" s="148"/>
      <c r="H274" s="149">
        <f>SUM(H271:H273)</f>
        <v>21633.759999999998</v>
      </c>
      <c r="I274" s="150"/>
      <c r="J274" s="135"/>
      <c r="K274" s="149">
        <f>SUM(K271:K273)</f>
        <v>18889.760000000002</v>
      </c>
      <c r="L274" s="136">
        <f t="shared" si="36"/>
        <v>-2743.9999999999964</v>
      </c>
      <c r="M274" s="137">
        <f>IF((H274)=0,"",(L274/H274))</f>
        <v>-0.12683879270177706</v>
      </c>
    </row>
    <row r="275" spans="1:14" ht="25.5" x14ac:dyDescent="0.2">
      <c r="A275" s="46" t="str">
        <f t="shared" si="39"/>
        <v>GENERAL SERVICE 1,000 TO 4,999 KW SERVICE CLASSIFICATION</v>
      </c>
      <c r="C275" s="115"/>
      <c r="D275" s="156" t="s">
        <v>186</v>
      </c>
      <c r="E275" s="117"/>
      <c r="F275" s="127">
        <f>'[1]17. Regulatory Charges'!$E$15+'[1]17. Regulatory Charges'!$E$16</f>
        <v>3.4000000000000002E-3</v>
      </c>
      <c r="G275" s="139">
        <f>E248*E250</f>
        <v>824560</v>
      </c>
      <c r="H275" s="157">
        <f t="shared" ref="H275:H281" si="41">G275*F275</f>
        <v>2803.5040000000004</v>
      </c>
      <c r="I275" s="127">
        <f>'[1]17. Regulatory Charges'!$E$15+'[1]17. Regulatory Charges'!$E$16</f>
        <v>3.4000000000000002E-3</v>
      </c>
      <c r="J275" s="140">
        <f>E248*E251</f>
        <v>824560</v>
      </c>
      <c r="K275" s="123">
        <f t="shared" ref="K275:K281" si="42">J275*I275</f>
        <v>2803.5040000000004</v>
      </c>
      <c r="L275" s="124">
        <f t="shared" si="36"/>
        <v>0</v>
      </c>
      <c r="M275" s="125">
        <f t="shared" ref="M275:M283" si="43">IF(ISERROR(L275/H275), "", L275/H275)</f>
        <v>0</v>
      </c>
    </row>
    <row r="276" spans="1:14" ht="25.5" x14ac:dyDescent="0.2">
      <c r="A276" s="46" t="str">
        <f t="shared" si="39"/>
        <v>GENERAL SERVICE 1,000 TO 4,999 KW SERVICE CLASSIFICATION</v>
      </c>
      <c r="C276" s="115"/>
      <c r="D276" s="156" t="s">
        <v>187</v>
      </c>
      <c r="E276" s="117"/>
      <c r="F276" s="127">
        <f>'[1]17. Regulatory Charges'!$E$17</f>
        <v>5.0000000000000001E-4</v>
      </c>
      <c r="G276" s="139">
        <f>E248*E250</f>
        <v>824560</v>
      </c>
      <c r="H276" s="157">
        <f t="shared" si="41"/>
        <v>412.28000000000003</v>
      </c>
      <c r="I276" s="127">
        <f>'[1]17. Regulatory Charges'!$E$17</f>
        <v>5.0000000000000001E-4</v>
      </c>
      <c r="J276" s="140">
        <f>E248*E251</f>
        <v>824560</v>
      </c>
      <c r="K276" s="123">
        <f t="shared" si="42"/>
        <v>412.28000000000003</v>
      </c>
      <c r="L276" s="124">
        <f t="shared" si="36"/>
        <v>0</v>
      </c>
      <c r="M276" s="125">
        <f t="shared" si="43"/>
        <v>0</v>
      </c>
    </row>
    <row r="277" spans="1:14" x14ac:dyDescent="0.2">
      <c r="A277" s="46" t="str">
        <f t="shared" si="39"/>
        <v>GENERAL SERVICE 1,000 TO 4,999 KW SERVICE CLASSIFICATION</v>
      </c>
      <c r="C277" s="115"/>
      <c r="D277" s="158" t="s">
        <v>188</v>
      </c>
      <c r="E277" s="117"/>
      <c r="F277" s="144">
        <f>'[1]17. Regulatory Charges'!$E$18</f>
        <v>0.25</v>
      </c>
      <c r="G277" s="119">
        <v>1</v>
      </c>
      <c r="H277" s="157">
        <f t="shared" si="41"/>
        <v>0.25</v>
      </c>
      <c r="I277" s="144">
        <f>'[1]17. Regulatory Charges'!$E$18</f>
        <v>0.25</v>
      </c>
      <c r="J277" s="122">
        <v>1</v>
      </c>
      <c r="K277" s="123">
        <f t="shared" si="42"/>
        <v>0.25</v>
      </c>
      <c r="L277" s="124">
        <f t="shared" si="36"/>
        <v>0</v>
      </c>
      <c r="M277" s="125">
        <f t="shared" si="43"/>
        <v>0</v>
      </c>
    </row>
    <row r="278" spans="1:14" ht="25.5" hidden="1" x14ac:dyDescent="0.2">
      <c r="A278" s="46" t="str">
        <f t="shared" si="39"/>
        <v>GENERAL SERVICE 1,000 TO 4,999 KW SERVICE CLASSIFICATION</v>
      </c>
      <c r="C278" s="115"/>
      <c r="D278" s="156" t="s">
        <v>189</v>
      </c>
      <c r="E278" s="117"/>
      <c r="F278" s="127"/>
      <c r="G278" s="139"/>
      <c r="H278" s="157"/>
      <c r="I278" s="127"/>
      <c r="J278" s="140"/>
      <c r="K278" s="123"/>
      <c r="L278" s="124"/>
      <c r="M278" s="125"/>
    </row>
    <row r="279" spans="1:14" hidden="1" x14ac:dyDescent="0.2">
      <c r="A279" s="46" t="str">
        <f t="shared" si="39"/>
        <v>GENERAL SERVICE 1,000 TO 4,999 KW SERVICE CLASSIFICATION</v>
      </c>
      <c r="B279" s="46" t="s">
        <v>139</v>
      </c>
      <c r="C279" s="115"/>
      <c r="D279" s="158" t="s">
        <v>190</v>
      </c>
      <c r="E279" s="117"/>
      <c r="F279" s="161">
        <f>OffPeak</f>
        <v>7.3999999999999996E-2</v>
      </c>
      <c r="G279" s="160">
        <f>IF(AND(E248*12&gt;=150000),0.64*E248*E250,0.64*E248)</f>
        <v>527718.40000000002</v>
      </c>
      <c r="H279" s="157">
        <f t="shared" si="41"/>
        <v>39051.161599999999</v>
      </c>
      <c r="I279" s="161">
        <f>OffPeak</f>
        <v>7.3999999999999996E-2</v>
      </c>
      <c r="J279" s="162">
        <f>IF(AND(E248*12&gt;=150000),0.64*E248*E251,0.64*E248)</f>
        <v>527718.40000000002</v>
      </c>
      <c r="K279" s="123">
        <f t="shared" si="42"/>
        <v>39051.161599999999</v>
      </c>
      <c r="L279" s="124">
        <f>K279-H279</f>
        <v>0</v>
      </c>
      <c r="M279" s="125">
        <f t="shared" si="43"/>
        <v>0</v>
      </c>
    </row>
    <row r="280" spans="1:14" hidden="1" x14ac:dyDescent="0.2">
      <c r="A280" s="46" t="str">
        <f t="shared" si="39"/>
        <v>GENERAL SERVICE 1,000 TO 4,999 KW SERVICE CLASSIFICATION</v>
      </c>
      <c r="B280" s="46" t="s">
        <v>139</v>
      </c>
      <c r="C280" s="115"/>
      <c r="D280" s="158" t="s">
        <v>191</v>
      </c>
      <c r="E280" s="117"/>
      <c r="F280" s="161">
        <f>MidPeak</f>
        <v>0.10199999999999999</v>
      </c>
      <c r="G280" s="160">
        <f>IF(AND(E248*12&gt;=150000),0.18*E248*E250,0.18*E248)</f>
        <v>148420.79999999999</v>
      </c>
      <c r="H280" s="157">
        <f t="shared" si="41"/>
        <v>15138.921599999998</v>
      </c>
      <c r="I280" s="161">
        <f>MidPeak</f>
        <v>0.10199999999999999</v>
      </c>
      <c r="J280" s="162">
        <f>IF(AND(E248*12&gt;=150000),0.18*E248*E251,0.18*E248)</f>
        <v>148420.79999999999</v>
      </c>
      <c r="K280" s="123">
        <f t="shared" si="42"/>
        <v>15138.921599999998</v>
      </c>
      <c r="L280" s="124">
        <f>K280-H280</f>
        <v>0</v>
      </c>
      <c r="M280" s="125">
        <f t="shared" si="43"/>
        <v>0</v>
      </c>
    </row>
    <row r="281" spans="1:14" hidden="1" x14ac:dyDescent="0.2">
      <c r="A281" s="46" t="str">
        <f t="shared" si="39"/>
        <v>GENERAL SERVICE 1,000 TO 4,999 KW SERVICE CLASSIFICATION</v>
      </c>
      <c r="B281" s="46" t="s">
        <v>139</v>
      </c>
      <c r="C281" s="115"/>
      <c r="D281" s="46" t="s">
        <v>192</v>
      </c>
      <c r="E281" s="117"/>
      <c r="F281" s="161">
        <f>OnPeak</f>
        <v>0.151</v>
      </c>
      <c r="G281" s="160">
        <f>IF(AND(E248*12&gt;=150000),0.18*E248*E250,0.18*E248)</f>
        <v>148420.79999999999</v>
      </c>
      <c r="H281" s="157">
        <f t="shared" si="41"/>
        <v>22411.540799999999</v>
      </c>
      <c r="I281" s="161">
        <f>OnPeak</f>
        <v>0.151</v>
      </c>
      <c r="J281" s="162">
        <f>IF(AND(E248*12&gt;=150000),0.18*E248*E251,0.18*E248)</f>
        <v>148420.79999999999</v>
      </c>
      <c r="K281" s="123">
        <f t="shared" si="42"/>
        <v>22411.540799999999</v>
      </c>
      <c r="L281" s="124">
        <f>K281-H281</f>
        <v>0</v>
      </c>
      <c r="M281" s="125">
        <f t="shared" si="43"/>
        <v>0</v>
      </c>
    </row>
    <row r="282" spans="1:14" hidden="1" x14ac:dyDescent="0.2">
      <c r="A282" s="46" t="str">
        <f t="shared" si="39"/>
        <v>GENERAL SERVICE 1,000 TO 4,999 KW SERVICE CLASSIFICATION</v>
      </c>
      <c r="B282" s="46" t="s">
        <v>141</v>
      </c>
      <c r="C282" s="115"/>
      <c r="D282" s="158" t="s">
        <v>193</v>
      </c>
      <c r="E282" s="117"/>
      <c r="F282" s="164">
        <f>C282</f>
        <v>0</v>
      </c>
      <c r="G282" s="160">
        <f>IF(AND(E248*12&gt;=150000),E248*E250,E248)</f>
        <v>824560</v>
      </c>
      <c r="H282" s="157">
        <f>G282*F282</f>
        <v>0</v>
      </c>
      <c r="I282" s="164">
        <f>F282</f>
        <v>0</v>
      </c>
      <c r="J282" s="162">
        <f>IF(AND(E248*12&gt;=150000),E248*E251,E248)</f>
        <v>824560</v>
      </c>
      <c r="K282" s="123">
        <f>J282*I282</f>
        <v>0</v>
      </c>
      <c r="L282" s="124">
        <f>K282-H282</f>
        <v>0</v>
      </c>
      <c r="M282" s="125" t="str">
        <f t="shared" si="43"/>
        <v/>
      </c>
    </row>
    <row r="283" spans="1:14" ht="13.5" thickBot="1" x14ac:dyDescent="0.25">
      <c r="A283" s="46" t="str">
        <f t="shared" si="39"/>
        <v>GENERAL SERVICE 1,000 TO 4,999 KW SERVICE CLASSIFICATION</v>
      </c>
      <c r="B283" s="46" t="s">
        <v>140</v>
      </c>
      <c r="C283" s="115"/>
      <c r="D283" s="158" t="s">
        <v>194</v>
      </c>
      <c r="E283" s="117"/>
      <c r="F283" s="163">
        <v>9.6699999999999994E-2</v>
      </c>
      <c r="G283" s="160">
        <f>IF(AND(E248*12&gt;=150000),E248*E250,E248)</f>
        <v>824560</v>
      </c>
      <c r="H283" s="157">
        <f>G283*F283</f>
        <v>79734.95199999999</v>
      </c>
      <c r="I283" s="164">
        <f>F283</f>
        <v>9.6699999999999994E-2</v>
      </c>
      <c r="J283" s="162">
        <f>IF(AND(E248*12&gt;=150000),E248*E251,E248)</f>
        <v>824560</v>
      </c>
      <c r="K283" s="123">
        <f>J283*I283</f>
        <v>79734.95199999999</v>
      </c>
      <c r="L283" s="124">
        <f>K283-H283</f>
        <v>0</v>
      </c>
      <c r="M283" s="125">
        <f t="shared" si="43"/>
        <v>0</v>
      </c>
    </row>
    <row r="284" spans="1:14" ht="13.5" thickBot="1" x14ac:dyDescent="0.25">
      <c r="A284" s="46" t="str">
        <f t="shared" si="39"/>
        <v>GENERAL SERVICE 1,000 TO 4,999 KW SERVICE CLASSIFICATION</v>
      </c>
      <c r="C284" s="115"/>
      <c r="D284" s="165"/>
      <c r="E284" s="166"/>
      <c r="F284" s="167"/>
      <c r="G284" s="168"/>
      <c r="H284" s="169"/>
      <c r="I284" s="167"/>
      <c r="J284" s="170"/>
      <c r="K284" s="169"/>
      <c r="L284" s="171"/>
      <c r="M284" s="172"/>
    </row>
    <row r="285" spans="1:14" hidden="1" x14ac:dyDescent="0.2">
      <c r="A285" s="46" t="str">
        <f t="shared" si="39"/>
        <v>GENERAL SERVICE 1,000 TO 4,999 KW SERVICE CLASSIFICATION</v>
      </c>
      <c r="B285" s="46" t="s">
        <v>139</v>
      </c>
      <c r="C285" s="115"/>
      <c r="D285" s="173" t="s">
        <v>195</v>
      </c>
      <c r="E285" s="158"/>
      <c r="F285" s="177"/>
      <c r="G285" s="175"/>
      <c r="H285" s="176">
        <f>SUM(H275:H281,H274)</f>
        <v>101451.41799999999</v>
      </c>
      <c r="I285" s="177"/>
      <c r="J285" s="177"/>
      <c r="K285" s="176">
        <f>SUM(K275:K281,K274)</f>
        <v>98707.418000000005</v>
      </c>
      <c r="L285" s="178">
        <f>K285-H285</f>
        <v>-2743.9999999999854</v>
      </c>
      <c r="M285" s="179">
        <f>IF((H285)=0,"",(L285/H285))</f>
        <v>-2.7047428750576811E-2</v>
      </c>
    </row>
    <row r="286" spans="1:14" hidden="1" x14ac:dyDescent="0.2">
      <c r="A286" s="46" t="str">
        <f t="shared" si="39"/>
        <v>GENERAL SERVICE 1,000 TO 4,999 KW SERVICE CLASSIFICATION</v>
      </c>
      <c r="B286" s="46" t="s">
        <v>139</v>
      </c>
      <c r="C286" s="115"/>
      <c r="D286" s="180" t="s">
        <v>196</v>
      </c>
      <c r="E286" s="158"/>
      <c r="F286" s="183">
        <v>0.13</v>
      </c>
      <c r="G286" s="181"/>
      <c r="H286" s="182">
        <f>H285*F286</f>
        <v>13188.68434</v>
      </c>
      <c r="I286" s="183">
        <v>0.13</v>
      </c>
      <c r="J286" s="119"/>
      <c r="K286" s="182">
        <f>K285*I286</f>
        <v>12831.96434</v>
      </c>
      <c r="L286" s="124">
        <f>K286-H286</f>
        <v>-356.71999999999935</v>
      </c>
      <c r="M286" s="184">
        <f>IF((H286)=0,"",(L286/H286))</f>
        <v>-2.7047428750576901E-2</v>
      </c>
    </row>
    <row r="287" spans="1:14" ht="15" hidden="1" x14ac:dyDescent="0.25">
      <c r="A287" s="46" t="str">
        <f t="shared" si="39"/>
        <v>GENERAL SERVICE 1,000 TO 4,999 KW SERVICE CLASSIFICATION</v>
      </c>
      <c r="B287" s="46" t="s">
        <v>139</v>
      </c>
      <c r="C287" s="115"/>
      <c r="D287" s="180" t="s">
        <v>197</v>
      </c>
      <c r="E287"/>
      <c r="F287" s="185">
        <v>0.11700000000000001</v>
      </c>
      <c r="G287" s="181"/>
      <c r="H287" s="182">
        <f>IF(OR(ISNUMBER(SEARCH("[DGEN]", E246))=TRUE, ISNUMBER(SEARCH("STREET LIGHT", E246))=TRUE), 0, IF(AND(E248=0, E249=0),0, IF(AND(E249=0, E248*12&gt;250000), 0, IF(AND(E248=0, E249&gt;=50), 0, IF(E248*12&lt;=250000, F287*H285*-1, IF(E249&lt;50, F287*H285*-1, 0))))))</f>
        <v>0</v>
      </c>
      <c r="I287" s="185">
        <v>0.11700000000000001</v>
      </c>
      <c r="J287" s="119"/>
      <c r="K287" s="182">
        <f>IF(OR(ISNUMBER(SEARCH("[DGEN]", E246))=TRUE, ISNUMBER(SEARCH("STREET LIGHT", E246))=TRUE), 0, IF(AND(E248=0, E249=0),0, IF(AND(E249=0, E248*12&gt;250000), 0, IF(AND(E248=0, E249&gt;=50), 0, IF(E248*12&lt;=250000, I287*K285*-1, IF(E249&lt;50, I287*K285*-1, 0))))))</f>
        <v>0</v>
      </c>
      <c r="L287" s="124">
        <f>K287-H287</f>
        <v>0</v>
      </c>
      <c r="M287" s="184"/>
    </row>
    <row r="288" spans="1:14" hidden="1" x14ac:dyDescent="0.2">
      <c r="A288" s="46" t="str">
        <f t="shared" si="39"/>
        <v>GENERAL SERVICE 1,000 TO 4,999 KW SERVICE CLASSIFICATION</v>
      </c>
      <c r="B288" s="46" t="s">
        <v>198</v>
      </c>
      <c r="C288" s="115"/>
      <c r="D288" s="186" t="s">
        <v>199</v>
      </c>
      <c r="E288" s="186"/>
      <c r="F288" s="190"/>
      <c r="G288" s="188"/>
      <c r="H288" s="189">
        <f>H285+H286+H287</f>
        <v>114640.10233999998</v>
      </c>
      <c r="I288" s="190"/>
      <c r="J288" s="190"/>
      <c r="K288" s="191">
        <f>K285+K286+K287</f>
        <v>111539.38234000001</v>
      </c>
      <c r="L288" s="192">
        <f>K288-H288</f>
        <v>-3100.7199999999721</v>
      </c>
      <c r="M288" s="193">
        <f>IF((H288)=0,"",(L288/H288))</f>
        <v>-2.704742875057671E-2</v>
      </c>
    </row>
    <row r="289" spans="1:14" ht="13.5" hidden="1" thickBot="1" x14ac:dyDescent="0.25">
      <c r="A289" s="46" t="str">
        <f t="shared" si="39"/>
        <v>GENERAL SERVICE 1,000 TO 4,999 KW SERVICE CLASSIFICATION</v>
      </c>
      <c r="B289" s="46" t="s">
        <v>139</v>
      </c>
      <c r="C289" s="115"/>
      <c r="D289" s="165"/>
      <c r="E289" s="166"/>
      <c r="F289" s="167"/>
      <c r="G289" s="168"/>
      <c r="H289" s="169"/>
      <c r="I289" s="167"/>
      <c r="J289" s="170"/>
      <c r="K289" s="169"/>
      <c r="L289" s="171"/>
      <c r="M289" s="172"/>
    </row>
    <row r="290" spans="1:14" hidden="1" x14ac:dyDescent="0.2">
      <c r="A290" s="46" t="str">
        <f t="shared" si="39"/>
        <v>GENERAL SERVICE 1,000 TO 4,999 KW SERVICE CLASSIFICATION</v>
      </c>
      <c r="B290" s="46" t="s">
        <v>141</v>
      </c>
      <c r="C290" s="115"/>
      <c r="D290" s="173" t="s">
        <v>200</v>
      </c>
      <c r="E290" s="158"/>
      <c r="F290" s="177"/>
      <c r="G290" s="175"/>
      <c r="H290" s="176">
        <f>SUM(H282,H275:H278,H274)</f>
        <v>24849.793999999998</v>
      </c>
      <c r="I290" s="177"/>
      <c r="J290" s="177"/>
      <c r="K290" s="176">
        <f>SUM(K282,K275:K278,K274)</f>
        <v>22105.794000000002</v>
      </c>
      <c r="L290" s="178">
        <f>K290-H290</f>
        <v>-2743.9999999999964</v>
      </c>
      <c r="M290" s="179">
        <f>IF((H290)=0,"",(L290/H290))</f>
        <v>-0.11042345059278949</v>
      </c>
    </row>
    <row r="291" spans="1:14" hidden="1" x14ac:dyDescent="0.2">
      <c r="A291" s="46" t="str">
        <f t="shared" si="39"/>
        <v>GENERAL SERVICE 1,000 TO 4,999 KW SERVICE CLASSIFICATION</v>
      </c>
      <c r="B291" s="46" t="s">
        <v>141</v>
      </c>
      <c r="C291" s="115"/>
      <c r="D291" s="180" t="s">
        <v>196</v>
      </c>
      <c r="E291" s="158"/>
      <c r="F291" s="174">
        <v>0.13</v>
      </c>
      <c r="G291" s="175"/>
      <c r="H291" s="182">
        <f>H290*F291</f>
        <v>3230.4732199999999</v>
      </c>
      <c r="I291" s="174">
        <v>0.13</v>
      </c>
      <c r="J291" s="183"/>
      <c r="K291" s="182">
        <f>K290*I291</f>
        <v>2873.7532200000005</v>
      </c>
      <c r="L291" s="124">
        <f>K291-H291</f>
        <v>-356.71999999999935</v>
      </c>
      <c r="M291" s="184">
        <f>IF((H291)=0,"",(L291/H291))</f>
        <v>-0.11042345059278942</v>
      </c>
    </row>
    <row r="292" spans="1:14" ht="15" hidden="1" x14ac:dyDescent="0.25">
      <c r="A292" s="46" t="str">
        <f t="shared" si="39"/>
        <v>GENERAL SERVICE 1,000 TO 4,999 KW SERVICE CLASSIFICATION</v>
      </c>
      <c r="B292" s="46" t="s">
        <v>141</v>
      </c>
      <c r="C292" s="115"/>
      <c r="D292" s="180" t="s">
        <v>197</v>
      </c>
      <c r="E292"/>
      <c r="F292" s="185">
        <v>0.11700000000000001</v>
      </c>
      <c r="G292" s="175"/>
      <c r="H292" s="182">
        <f>IF(OR(ISNUMBER(SEARCH("[DGEN]", E246))=TRUE, ISNUMBER(SEARCH("STREET LIGHT", E246))=TRUE), 0, IF(AND(E248=0, E249=0),0, IF(AND(E249=0, E248*12&gt;250000), 0, IF(AND(E248=0, E249&gt;=50), 0, IF(E248*12&lt;=250000, F292*H290*-1, IF(E249&lt;50, F292*H290*-1, 0))))))</f>
        <v>0</v>
      </c>
      <c r="I292" s="185">
        <v>0.11700000000000001</v>
      </c>
      <c r="J292" s="183"/>
      <c r="K292" s="182">
        <f>IF(OR(ISNUMBER(SEARCH("[DGEN]", E246))=TRUE, ISNUMBER(SEARCH("STREET LIGHT", E246))=TRUE), 0, IF(AND(E248=0, E249=0),0, IF(AND(E249=0, E248*12&gt;250000), 0, IF(AND(E248=0, E249&gt;=50), 0, IF(E248*12&lt;=250000, I292*K290*-1, IF(E249&lt;50, I292*K290*-1, 0))))))</f>
        <v>0</v>
      </c>
      <c r="L292" s="124"/>
      <c r="M292" s="184"/>
    </row>
    <row r="293" spans="1:14" hidden="1" x14ac:dyDescent="0.2">
      <c r="A293" s="46" t="str">
        <f t="shared" si="39"/>
        <v>GENERAL SERVICE 1,000 TO 4,999 KW SERVICE CLASSIFICATION</v>
      </c>
      <c r="B293" s="46" t="s">
        <v>201</v>
      </c>
      <c r="C293" s="115"/>
      <c r="D293" s="186" t="s">
        <v>200</v>
      </c>
      <c r="E293" s="186"/>
      <c r="F293" s="196"/>
      <c r="G293" s="195"/>
      <c r="H293" s="189">
        <f>SUM(H290,H291)</f>
        <v>28080.267219999998</v>
      </c>
      <c r="I293" s="196"/>
      <c r="J293" s="196"/>
      <c r="K293" s="189">
        <f>SUM(K290,K291)</f>
        <v>24979.54722</v>
      </c>
      <c r="L293" s="197">
        <f>K293-H293</f>
        <v>-3100.7199999999975</v>
      </c>
      <c r="M293" s="198">
        <f>IF((H293)=0,"",(L293/H293))</f>
        <v>-0.11042345059278955</v>
      </c>
    </row>
    <row r="294" spans="1:14" ht="13.5" hidden="1" thickBot="1" x14ac:dyDescent="0.25">
      <c r="A294" s="46" t="str">
        <f t="shared" si="39"/>
        <v>GENERAL SERVICE 1,000 TO 4,999 KW SERVICE CLASSIFICATION</v>
      </c>
      <c r="B294" s="46" t="s">
        <v>141</v>
      </c>
      <c r="C294" s="115"/>
      <c r="D294" s="165"/>
      <c r="E294" s="166"/>
      <c r="F294" s="199"/>
      <c r="G294" s="200"/>
      <c r="H294" s="201"/>
      <c r="I294" s="199"/>
      <c r="J294" s="168"/>
      <c r="K294" s="201"/>
      <c r="L294" s="202"/>
      <c r="M294" s="172"/>
    </row>
    <row r="295" spans="1:14" x14ac:dyDescent="0.2">
      <c r="A295" s="46" t="str">
        <f t="shared" si="39"/>
        <v>GENERAL SERVICE 1,000 TO 4,999 KW SERVICE CLASSIFICATION</v>
      </c>
      <c r="B295" s="46" t="s">
        <v>140</v>
      </c>
      <c r="C295" s="115"/>
      <c r="D295" s="173" t="s">
        <v>202</v>
      </c>
      <c r="E295" s="158"/>
      <c r="F295" s="177"/>
      <c r="G295" s="175"/>
      <c r="H295" s="176">
        <f>SUM(H283,H275:H278,H274)</f>
        <v>104584.74599999998</v>
      </c>
      <c r="I295" s="177"/>
      <c r="J295" s="177"/>
      <c r="K295" s="176">
        <f>SUM(K283,K275:K278,K274)</f>
        <v>101840.74599999998</v>
      </c>
      <c r="L295" s="178">
        <f>K295-H295</f>
        <v>-2744</v>
      </c>
      <c r="M295" s="179">
        <f>IF((H295)=0,"",(L295/H295))</f>
        <v>-2.6237095799802396E-2</v>
      </c>
    </row>
    <row r="296" spans="1:14" x14ac:dyDescent="0.2">
      <c r="A296" s="46" t="str">
        <f t="shared" si="39"/>
        <v>GENERAL SERVICE 1,000 TO 4,999 KW SERVICE CLASSIFICATION</v>
      </c>
      <c r="B296" s="46" t="s">
        <v>140</v>
      </c>
      <c r="C296" s="115"/>
      <c r="D296" s="180" t="s">
        <v>196</v>
      </c>
      <c r="E296" s="158"/>
      <c r="F296" s="174">
        <v>0.13</v>
      </c>
      <c r="G296" s="175"/>
      <c r="H296" s="182">
        <f>H295*F296</f>
        <v>13596.016979999999</v>
      </c>
      <c r="I296" s="174">
        <v>0.13</v>
      </c>
      <c r="J296" s="183"/>
      <c r="K296" s="182">
        <f>K295*I296</f>
        <v>13239.296979999999</v>
      </c>
      <c r="L296" s="124">
        <f>K296-H296</f>
        <v>-356.71999999999935</v>
      </c>
      <c r="M296" s="184">
        <f>IF((H296)=0,"",(L296/H296))</f>
        <v>-2.6237095799802348E-2</v>
      </c>
    </row>
    <row r="297" spans="1:14" ht="15" x14ac:dyDescent="0.25">
      <c r="A297" s="46" t="str">
        <f t="shared" si="39"/>
        <v>GENERAL SERVICE 1,000 TO 4,999 KW SERVICE CLASSIFICATION</v>
      </c>
      <c r="B297" s="46" t="s">
        <v>140</v>
      </c>
      <c r="C297" s="115"/>
      <c r="D297" s="180" t="s">
        <v>197</v>
      </c>
      <c r="E297"/>
      <c r="F297" s="185">
        <v>0.11700000000000001</v>
      </c>
      <c r="G297" s="175"/>
      <c r="H297" s="182">
        <f>IF(OR(ISNUMBER(SEARCH("[DGEN]", E246))=TRUE, ISNUMBER(SEARCH("STREET LIGHT", E246))=TRUE), 0, IF(AND(E248=0, E249=0),0, IF(AND(E249=0, E248*12&gt;250000), 0, IF(AND(E248=0, E249&gt;=50), 0, IF(E248*12&lt;=250000, F297*H295*-1, IF(E249&lt;50, F297*H295*-1, 0))))))</f>
        <v>0</v>
      </c>
      <c r="I297" s="185">
        <v>0.11700000000000001</v>
      </c>
      <c r="J297" s="183"/>
      <c r="K297" s="182">
        <f>IF(OR(ISNUMBER(SEARCH("[DGEN]", E246))=TRUE, ISNUMBER(SEARCH("STREET LIGHT", E246))=TRUE), 0, IF(AND(E248=0, E249=0),0, IF(AND(E249=0, E248*12&gt;250000), 0, IF(AND(E248=0, E249&gt;=50), 0, IF(E248*12&lt;=250000, I297*K295*-1, IF(E249&lt;50, I297*K295*-1, 0))))))</f>
        <v>0</v>
      </c>
      <c r="L297" s="124"/>
      <c r="M297" s="184"/>
    </row>
    <row r="298" spans="1:14" ht="13.5" thickBot="1" x14ac:dyDescent="0.25">
      <c r="A298" s="46" t="str">
        <f t="shared" si="39"/>
        <v>GENERAL SERVICE 1,000 TO 4,999 KW SERVICE CLASSIFICATION</v>
      </c>
      <c r="B298" s="46" t="s">
        <v>203</v>
      </c>
      <c r="C298" s="115">
        <f>B33</f>
        <v>4</v>
      </c>
      <c r="D298" s="186" t="s">
        <v>202</v>
      </c>
      <c r="E298" s="186"/>
      <c r="F298" s="194"/>
      <c r="G298" s="195"/>
      <c r="H298" s="189">
        <f>SUM(H295,H296)</f>
        <v>118180.76297999998</v>
      </c>
      <c r="I298" s="196"/>
      <c r="J298" s="196"/>
      <c r="K298" s="189">
        <f>SUM(K295,K296)</f>
        <v>115080.04297999998</v>
      </c>
      <c r="L298" s="197">
        <f>K298-H298</f>
        <v>-3100.7200000000012</v>
      </c>
      <c r="M298" s="198">
        <f>IF((H298)=0,"",(L298/H298))</f>
        <v>-2.6237095799802403E-2</v>
      </c>
    </row>
    <row r="299" spans="1:14" ht="13.5" thickBot="1" x14ac:dyDescent="0.25">
      <c r="A299" s="46" t="str">
        <f t="shared" si="39"/>
        <v>GENERAL SERVICE 1,000 TO 4,999 KW SERVICE CLASSIFICATION</v>
      </c>
      <c r="B299" s="46" t="s">
        <v>140</v>
      </c>
      <c r="C299" s="115"/>
      <c r="D299" s="165"/>
      <c r="E299" s="166"/>
      <c r="F299" s="203"/>
      <c r="G299" s="200"/>
      <c r="H299" s="204"/>
      <c r="I299" s="203"/>
      <c r="J299" s="168"/>
      <c r="K299" s="204"/>
      <c r="L299" s="202"/>
      <c r="M299" s="205"/>
    </row>
    <row r="302" spans="1:14" x14ac:dyDescent="0.2">
      <c r="C302" s="46"/>
      <c r="D302" s="90" t="s">
        <v>150</v>
      </c>
      <c r="E302" s="91" t="str">
        <f>D34</f>
        <v>LARGE USE SERVICE CLASSIFICATION</v>
      </c>
      <c r="F302" s="91"/>
      <c r="G302" s="91"/>
      <c r="H302" s="91"/>
      <c r="I302" s="91"/>
      <c r="J302" s="91"/>
      <c r="K302" s="46" t="str">
        <f>IF(N34="DEMAND - INTERVAL","RTSR - INTERVAL METERED","")</f>
        <v/>
      </c>
    </row>
    <row r="303" spans="1:14" x14ac:dyDescent="0.2">
      <c r="C303" s="46"/>
      <c r="D303" s="90" t="s">
        <v>151</v>
      </c>
      <c r="E303" s="92" t="str">
        <f>H34</f>
        <v>Non-RPP (Other)</v>
      </c>
      <c r="F303" s="92"/>
      <c r="G303" s="92"/>
      <c r="H303" s="93"/>
      <c r="I303" s="93"/>
    </row>
    <row r="304" spans="1:14" ht="15.75" x14ac:dyDescent="0.2">
      <c r="C304" s="46"/>
      <c r="D304" s="90" t="s">
        <v>152</v>
      </c>
      <c r="E304" s="94">
        <f>K34</f>
        <v>6600000</v>
      </c>
      <c r="F304" s="95" t="s">
        <v>153</v>
      </c>
      <c r="J304" s="96"/>
      <c r="K304" s="96"/>
      <c r="L304" s="96"/>
      <c r="M304" s="96"/>
      <c r="N304" s="96"/>
    </row>
    <row r="305" spans="1:13" ht="15.75" x14ac:dyDescent="0.25">
      <c r="C305" s="46"/>
      <c r="D305" s="90" t="s">
        <v>154</v>
      </c>
      <c r="E305" s="94">
        <f>L34</f>
        <v>16000</v>
      </c>
      <c r="F305" s="97" t="s">
        <v>155</v>
      </c>
      <c r="G305" s="98"/>
      <c r="H305" s="99"/>
      <c r="I305" s="99"/>
      <c r="J305" s="99"/>
    </row>
    <row r="306" spans="1:13" x14ac:dyDescent="0.2">
      <c r="C306" s="46"/>
      <c r="D306" s="90" t="s">
        <v>156</v>
      </c>
      <c r="E306" s="100">
        <f>I34</f>
        <v>1.0306999999999999</v>
      </c>
    </row>
    <row r="307" spans="1:13" x14ac:dyDescent="0.2">
      <c r="C307" s="46"/>
      <c r="D307" s="90" t="s">
        <v>157</v>
      </c>
      <c r="E307" s="100">
        <f>J34</f>
        <v>1.0306999999999999</v>
      </c>
    </row>
    <row r="308" spans="1:13" x14ac:dyDescent="0.2">
      <c r="C308" s="46"/>
    </row>
    <row r="309" spans="1:13" x14ac:dyDescent="0.2">
      <c r="C309" s="46"/>
      <c r="E309" s="95"/>
      <c r="F309" s="101" t="s">
        <v>226</v>
      </c>
      <c r="G309" s="102"/>
      <c r="H309" s="103"/>
      <c r="I309" s="101" t="s">
        <v>205</v>
      </c>
      <c r="J309" s="102"/>
      <c r="K309" s="103"/>
      <c r="L309" s="101" t="s">
        <v>158</v>
      </c>
      <c r="M309" s="103"/>
    </row>
    <row r="310" spans="1:13" x14ac:dyDescent="0.2">
      <c r="C310" s="46"/>
      <c r="E310" s="104"/>
      <c r="F310" s="105" t="s">
        <v>159</v>
      </c>
      <c r="G310" s="105" t="s">
        <v>160</v>
      </c>
      <c r="H310" s="106" t="s">
        <v>161</v>
      </c>
      <c r="I310" s="105" t="s">
        <v>159</v>
      </c>
      <c r="J310" s="107" t="s">
        <v>160</v>
      </c>
      <c r="K310" s="106" t="s">
        <v>161</v>
      </c>
      <c r="L310" s="108" t="s">
        <v>162</v>
      </c>
      <c r="M310" s="109" t="s">
        <v>163</v>
      </c>
    </row>
    <row r="311" spans="1:13" x14ac:dyDescent="0.2">
      <c r="C311" s="46"/>
      <c r="E311" s="110"/>
      <c r="F311" s="111" t="s">
        <v>164</v>
      </c>
      <c r="G311" s="111"/>
      <c r="H311" s="112" t="s">
        <v>164</v>
      </c>
      <c r="I311" s="111" t="s">
        <v>164</v>
      </c>
      <c r="J311" s="112"/>
      <c r="K311" s="112" t="s">
        <v>164</v>
      </c>
      <c r="L311" s="113"/>
      <c r="M311" s="114"/>
    </row>
    <row r="312" spans="1:13" x14ac:dyDescent="0.2">
      <c r="A312" s="46" t="str">
        <f>$E302</f>
        <v>LARGE USE SERVICE CLASSIFICATION</v>
      </c>
      <c r="C312" s="115"/>
      <c r="D312" s="116" t="s">
        <v>165</v>
      </c>
      <c r="E312" s="117"/>
      <c r="F312" s="121">
        <v>9965.0499999999993</v>
      </c>
      <c r="G312" s="119">
        <v>1</v>
      </c>
      <c r="H312" s="120">
        <f>G312*F312</f>
        <v>9965.0499999999993</v>
      </c>
      <c r="I312" s="121">
        <v>9965.0499999999993</v>
      </c>
      <c r="J312" s="122">
        <f>G312</f>
        <v>1</v>
      </c>
      <c r="K312" s="123">
        <f>J312*I312</f>
        <v>9965.0499999999993</v>
      </c>
      <c r="L312" s="124">
        <f t="shared" ref="L312:L333" si="44">K312-H312</f>
        <v>0</v>
      </c>
      <c r="M312" s="125">
        <f>IF(ISERROR(L312/H312), "", L312/H312)</f>
        <v>0</v>
      </c>
    </row>
    <row r="313" spans="1:13" x14ac:dyDescent="0.2">
      <c r="A313" s="46" t="str">
        <f>A312</f>
        <v>LARGE USE SERVICE CLASSIFICATION</v>
      </c>
      <c r="C313" s="115"/>
      <c r="D313" s="116" t="s">
        <v>30</v>
      </c>
      <c r="E313" s="117"/>
      <c r="F313" s="127">
        <v>1.8512</v>
      </c>
      <c r="G313" s="119">
        <f>IF($E305&gt;0, $E305, $E304)</f>
        <v>16000</v>
      </c>
      <c r="H313" s="120">
        <f t="shared" ref="H313:H325" si="45">G313*F313</f>
        <v>29619.200000000001</v>
      </c>
      <c r="I313" s="127">
        <v>1.8512</v>
      </c>
      <c r="J313" s="122">
        <f>IF($E305&gt;0, $E305, $E304)</f>
        <v>16000</v>
      </c>
      <c r="K313" s="123">
        <f>J313*I313</f>
        <v>29619.200000000001</v>
      </c>
      <c r="L313" s="124">
        <f t="shared" si="44"/>
        <v>0</v>
      </c>
      <c r="M313" s="125">
        <f t="shared" ref="M313:M323" si="46">IF(ISERROR(L313/H313), "", L313/H313)</f>
        <v>0</v>
      </c>
    </row>
    <row r="314" spans="1:13" hidden="1" x14ac:dyDescent="0.2">
      <c r="A314" s="46" t="str">
        <f t="shared" ref="A314:A355" si="47">A313</f>
        <v>LARGE USE SERVICE CLASSIFICATION</v>
      </c>
      <c r="C314" s="115"/>
      <c r="D314" s="116" t="s">
        <v>166</v>
      </c>
      <c r="E314" s="117"/>
      <c r="F314" s="127"/>
      <c r="G314" s="119">
        <f>IF($E305&gt;0, $E305, $E304)</f>
        <v>16000</v>
      </c>
      <c r="H314" s="120">
        <v>0</v>
      </c>
      <c r="I314" s="127"/>
      <c r="J314" s="122">
        <f>IF($E305&gt;0, $E305, $E304)</f>
        <v>16000</v>
      </c>
      <c r="K314" s="123">
        <v>0</v>
      </c>
      <c r="L314" s="124"/>
      <c r="M314" s="125"/>
    </row>
    <row r="315" spans="1:13" hidden="1" x14ac:dyDescent="0.2">
      <c r="A315" s="46" t="str">
        <f t="shared" si="47"/>
        <v>LARGE USE SERVICE CLASSIFICATION</v>
      </c>
      <c r="C315" s="115"/>
      <c r="D315" s="116" t="s">
        <v>167</v>
      </c>
      <c r="E315" s="117"/>
      <c r="F315" s="127"/>
      <c r="G315" s="119">
        <f>IF($E305&gt;0, $E305, $E304)</f>
        <v>16000</v>
      </c>
      <c r="H315" s="120">
        <v>0</v>
      </c>
      <c r="I315" s="127"/>
      <c r="J315" s="128">
        <f>IF($E305&gt;0, $E305, $E304)</f>
        <v>16000</v>
      </c>
      <c r="K315" s="123">
        <v>0</v>
      </c>
      <c r="L315" s="124">
        <f>K315-H315</f>
        <v>0</v>
      </c>
      <c r="M315" s="125" t="str">
        <f>IF(ISERROR(L315/H315), "", L315/H315)</f>
        <v/>
      </c>
    </row>
    <row r="316" spans="1:13" x14ac:dyDescent="0.2">
      <c r="A316" s="46" t="str">
        <f t="shared" si="47"/>
        <v>LARGE USE SERVICE CLASSIFICATION</v>
      </c>
      <c r="C316" s="115"/>
      <c r="D316" s="116" t="s">
        <v>168</v>
      </c>
      <c r="E316" s="117"/>
      <c r="F316" s="121">
        <v>1011.44</v>
      </c>
      <c r="G316" s="119">
        <v>1</v>
      </c>
      <c r="H316" s="120">
        <f t="shared" si="45"/>
        <v>1011.44</v>
      </c>
      <c r="I316" s="121">
        <v>1011.44</v>
      </c>
      <c r="J316" s="122">
        <f>G316</f>
        <v>1</v>
      </c>
      <c r="K316" s="123">
        <f t="shared" ref="K316:K323" si="48">J316*I316</f>
        <v>1011.44</v>
      </c>
      <c r="L316" s="124">
        <f t="shared" si="44"/>
        <v>0</v>
      </c>
      <c r="M316" s="125">
        <f t="shared" si="46"/>
        <v>0</v>
      </c>
    </row>
    <row r="317" spans="1:13" x14ac:dyDescent="0.2">
      <c r="A317" s="46" t="str">
        <f t="shared" si="47"/>
        <v>LARGE USE SERVICE CLASSIFICATION</v>
      </c>
      <c r="C317" s="115"/>
      <c r="D317" s="116" t="s">
        <v>169</v>
      </c>
      <c r="E317" s="117"/>
      <c r="F317" s="127">
        <v>0</v>
      </c>
      <c r="G317" s="119">
        <f>IF($E305&gt;0, $E305, $E304)</f>
        <v>16000</v>
      </c>
      <c r="H317" s="120">
        <f t="shared" si="45"/>
        <v>0</v>
      </c>
      <c r="I317" s="127">
        <v>0</v>
      </c>
      <c r="J317" s="122">
        <f>IF($E305&gt;0, $E305, $E304)</f>
        <v>16000</v>
      </c>
      <c r="K317" s="123">
        <f t="shared" si="48"/>
        <v>0</v>
      </c>
      <c r="L317" s="124">
        <f t="shared" si="44"/>
        <v>0</v>
      </c>
      <c r="M317" s="125" t="str">
        <f t="shared" si="46"/>
        <v/>
      </c>
    </row>
    <row r="318" spans="1:13" x14ac:dyDescent="0.2">
      <c r="A318" s="46" t="str">
        <f t="shared" si="47"/>
        <v>LARGE USE SERVICE CLASSIFICATION</v>
      </c>
      <c r="B318" s="46" t="s">
        <v>170</v>
      </c>
      <c r="C318" s="115">
        <f>B34</f>
        <v>5</v>
      </c>
      <c r="D318" s="129" t="s">
        <v>171</v>
      </c>
      <c r="E318" s="130"/>
      <c r="F318" s="134"/>
      <c r="G318" s="132"/>
      <c r="H318" s="133">
        <f>SUM(H312:H317)</f>
        <v>40595.69</v>
      </c>
      <c r="I318" s="134"/>
      <c r="J318" s="135"/>
      <c r="K318" s="133">
        <f>SUM(K312:K317)</f>
        <v>40595.69</v>
      </c>
      <c r="L318" s="136">
        <f t="shared" si="44"/>
        <v>0</v>
      </c>
      <c r="M318" s="137">
        <f>IF((H318)=0,"",(L318/H318))</f>
        <v>0</v>
      </c>
    </row>
    <row r="319" spans="1:13" x14ac:dyDescent="0.2">
      <c r="A319" s="46" t="str">
        <f t="shared" si="47"/>
        <v>LARGE USE SERVICE CLASSIFICATION</v>
      </c>
      <c r="C319" s="115"/>
      <c r="D319" s="138" t="s">
        <v>172</v>
      </c>
      <c r="E319" s="117"/>
      <c r="F319" s="127">
        <f>IF((E304*12&gt;=150000), 0, IF(E303="RPP",(F335*0.64+F336*0.18+F337*0.18),IF(E303="Non-RPP (Retailer)",F338,F339)))</f>
        <v>0</v>
      </c>
      <c r="G319" s="139">
        <f>IF(F319=0, 0, $E304*E306-E304)</f>
        <v>0</v>
      </c>
      <c r="H319" s="120">
        <f>G319*F319</f>
        <v>0</v>
      </c>
      <c r="I319" s="127">
        <f>IF((E304*12&gt;=150000), 0, IF(E303="RPP",(I335*0.64+I336*0.18+I337*0.18),IF(E303="Non-RPP (Retailer)",I338,I339)))</f>
        <v>0</v>
      </c>
      <c r="J319" s="140">
        <f>IF(I319=0, 0, E304*E307-E304)</f>
        <v>0</v>
      </c>
      <c r="K319" s="123">
        <f>J319*I319</f>
        <v>0</v>
      </c>
      <c r="L319" s="124">
        <f>K319-H319</f>
        <v>0</v>
      </c>
      <c r="M319" s="125" t="str">
        <f>IF(ISERROR(L319/H319), "", L319/H319)</f>
        <v/>
      </c>
    </row>
    <row r="320" spans="1:13" ht="25.5" x14ac:dyDescent="0.2">
      <c r="A320" s="46" t="str">
        <f t="shared" si="47"/>
        <v>LARGE USE SERVICE CLASSIFICATION</v>
      </c>
      <c r="C320" s="115"/>
      <c r="D320" s="138" t="s">
        <v>173</v>
      </c>
      <c r="E320" s="117"/>
      <c r="F320" s="127">
        <v>0.60540000000000005</v>
      </c>
      <c r="G320" s="141">
        <f>IF($E305&gt;0, $E305, $E304)</f>
        <v>16000</v>
      </c>
      <c r="H320" s="120">
        <f t="shared" si="45"/>
        <v>9686.4000000000015</v>
      </c>
      <c r="I320" s="127">
        <f>'Proposed Tariff'!D180+'Proposed Tariff'!D179</f>
        <v>1.5437000000000001</v>
      </c>
      <c r="J320" s="142">
        <f>IF($E305&gt;0, $E305, $E304)</f>
        <v>16000</v>
      </c>
      <c r="K320" s="123">
        <f t="shared" si="48"/>
        <v>24699.200000000001</v>
      </c>
      <c r="L320" s="124">
        <f t="shared" si="44"/>
        <v>15012.8</v>
      </c>
      <c r="M320" s="125">
        <f t="shared" si="46"/>
        <v>1.5498843739676245</v>
      </c>
    </row>
    <row r="321" spans="1:14" x14ac:dyDescent="0.2">
      <c r="A321" s="46" t="str">
        <f t="shared" si="47"/>
        <v>LARGE USE SERVICE CLASSIFICATION</v>
      </c>
      <c r="C321" s="115"/>
      <c r="D321" s="138" t="s">
        <v>174</v>
      </c>
      <c r="E321" s="117"/>
      <c r="F321" s="127">
        <v>0</v>
      </c>
      <c r="G321" s="141">
        <f>IF($E305&gt;0, $E305, $E304)</f>
        <v>16000</v>
      </c>
      <c r="H321" s="120">
        <f>G321*F321</f>
        <v>0</v>
      </c>
      <c r="I321" s="127">
        <v>0</v>
      </c>
      <c r="J321" s="142">
        <f>IF($E305&gt;0, $E305, $E304)</f>
        <v>16000</v>
      </c>
      <c r="K321" s="123">
        <f>J321*I321</f>
        <v>0</v>
      </c>
      <c r="L321" s="124">
        <f t="shared" si="44"/>
        <v>0</v>
      </c>
      <c r="M321" s="125" t="str">
        <f t="shared" si="46"/>
        <v/>
      </c>
    </row>
    <row r="322" spans="1:14" x14ac:dyDescent="0.2">
      <c r="A322" s="46" t="str">
        <f t="shared" si="47"/>
        <v>LARGE USE SERVICE CLASSIFICATION</v>
      </c>
      <c r="C322" s="115"/>
      <c r="D322" s="138" t="s">
        <v>175</v>
      </c>
      <c r="E322" s="117"/>
      <c r="F322" s="127">
        <v>0</v>
      </c>
      <c r="G322" s="141">
        <f>E304</f>
        <v>6600000</v>
      </c>
      <c r="H322" s="120">
        <f>G322*F322</f>
        <v>0</v>
      </c>
      <c r="I322" s="127">
        <v>0</v>
      </c>
      <c r="J322" s="142">
        <f>E304</f>
        <v>6600000</v>
      </c>
      <c r="K322" s="123">
        <f t="shared" si="48"/>
        <v>0</v>
      </c>
      <c r="L322" s="124">
        <f t="shared" si="44"/>
        <v>0</v>
      </c>
      <c r="M322" s="125" t="str">
        <f t="shared" si="46"/>
        <v/>
      </c>
    </row>
    <row r="323" spans="1:14" x14ac:dyDescent="0.2">
      <c r="A323" s="46" t="str">
        <f t="shared" si="47"/>
        <v>LARGE USE SERVICE CLASSIFICATION</v>
      </c>
      <c r="C323" s="115"/>
      <c r="D323" s="116" t="s">
        <v>176</v>
      </c>
      <c r="E323" s="117"/>
      <c r="F323" s="127">
        <v>0.1019</v>
      </c>
      <c r="G323" s="141">
        <f>IF($E305&gt;0, $E305, $E304)</f>
        <v>16000</v>
      </c>
      <c r="H323" s="120">
        <f t="shared" si="45"/>
        <v>1630.4</v>
      </c>
      <c r="I323" s="127">
        <v>0.1019</v>
      </c>
      <c r="J323" s="142">
        <f>IF($E305&gt;0, $E305, $E304)</f>
        <v>16000</v>
      </c>
      <c r="K323" s="123">
        <f t="shared" si="48"/>
        <v>1630.4</v>
      </c>
      <c r="L323" s="124">
        <f t="shared" si="44"/>
        <v>0</v>
      </c>
      <c r="M323" s="125">
        <f t="shared" si="46"/>
        <v>0</v>
      </c>
    </row>
    <row r="324" spans="1:14" ht="25.5" x14ac:dyDescent="0.2">
      <c r="A324" s="46" t="str">
        <f t="shared" si="47"/>
        <v>LARGE USE SERVICE CLASSIFICATION</v>
      </c>
      <c r="C324" s="115"/>
      <c r="D324" s="138" t="s">
        <v>177</v>
      </c>
      <c r="E324" s="117"/>
      <c r="F324" s="144">
        <f>IF(OR(ISNUMBER(SEARCH("RESIDENTIAL", B302))=TRUE, ISNUMBER(SEARCH("GENERAL SERVICE LESS THAN 50", B302))=TRUE), SME, 0)</f>
        <v>0</v>
      </c>
      <c r="G324" s="119">
        <v>1</v>
      </c>
      <c r="H324" s="120">
        <f>G324*F324</f>
        <v>0</v>
      </c>
      <c r="I324" s="144">
        <f>IF(OR(ISNUMBER(SEARCH("RESIDENTIAL", E302))=TRUE, ISNUMBER(SEARCH("GENERAL SERVICE LESS THAN 50", E302))=TRUE), SME, 0)</f>
        <v>0</v>
      </c>
      <c r="J324" s="128">
        <v>1</v>
      </c>
      <c r="K324" s="123">
        <f>J324*I324</f>
        <v>0</v>
      </c>
      <c r="L324" s="124">
        <f t="shared" si="44"/>
        <v>0</v>
      </c>
      <c r="M324" s="125" t="str">
        <f>IF(ISERROR(L324/H324), "", L324/H324)</f>
        <v/>
      </c>
    </row>
    <row r="325" spans="1:14" x14ac:dyDescent="0.2">
      <c r="A325" s="46" t="str">
        <f t="shared" si="47"/>
        <v>LARGE USE SERVICE CLASSIFICATION</v>
      </c>
      <c r="C325" s="115"/>
      <c r="D325" s="116" t="s">
        <v>178</v>
      </c>
      <c r="E325" s="117"/>
      <c r="F325" s="121">
        <v>0</v>
      </c>
      <c r="G325" s="119">
        <v>1</v>
      </c>
      <c r="H325" s="120">
        <f t="shared" si="45"/>
        <v>0</v>
      </c>
      <c r="I325" s="121">
        <v>0</v>
      </c>
      <c r="J325" s="128">
        <v>1</v>
      </c>
      <c r="K325" s="123">
        <f>J325*I325</f>
        <v>0</v>
      </c>
      <c r="L325" s="124">
        <f>K325-H325</f>
        <v>0</v>
      </c>
      <c r="M325" s="125" t="str">
        <f>IF(ISERROR(L325/H325), "", L325/H325)</f>
        <v/>
      </c>
    </row>
    <row r="326" spans="1:14" x14ac:dyDescent="0.2">
      <c r="A326" s="46" t="str">
        <f t="shared" si="47"/>
        <v>LARGE USE SERVICE CLASSIFICATION</v>
      </c>
      <c r="C326" s="115"/>
      <c r="D326" s="116" t="s">
        <v>179</v>
      </c>
      <c r="E326" s="117"/>
      <c r="F326" s="127">
        <v>0</v>
      </c>
      <c r="G326" s="141">
        <f>IF($E305&gt;0, $E305, $E304)</f>
        <v>16000</v>
      </c>
      <c r="H326" s="120">
        <f>G326*F326</f>
        <v>0</v>
      </c>
      <c r="I326" s="127">
        <v>0</v>
      </c>
      <c r="J326" s="142">
        <f>IF($E305&gt;0, $E305, $E304)</f>
        <v>16000</v>
      </c>
      <c r="K326" s="123">
        <f>J326*I326</f>
        <v>0</v>
      </c>
      <c r="L326" s="124">
        <f t="shared" si="44"/>
        <v>0</v>
      </c>
      <c r="M326" s="125" t="str">
        <f>IF(ISERROR(L326/H326), "", L326/H326)</f>
        <v/>
      </c>
    </row>
    <row r="327" spans="1:14" ht="25.5" x14ac:dyDescent="0.2">
      <c r="A327" s="46" t="str">
        <f t="shared" si="47"/>
        <v>LARGE USE SERVICE CLASSIFICATION</v>
      </c>
      <c r="B327" s="46" t="s">
        <v>180</v>
      </c>
      <c r="C327" s="115">
        <f>B34</f>
        <v>5</v>
      </c>
      <c r="D327" s="145" t="s">
        <v>181</v>
      </c>
      <c r="E327" s="146"/>
      <c r="F327" s="150"/>
      <c r="G327" s="148"/>
      <c r="H327" s="149">
        <f>SUM(H318:H326)</f>
        <v>51912.490000000005</v>
      </c>
      <c r="I327" s="150"/>
      <c r="J327" s="151"/>
      <c r="K327" s="149">
        <f>SUM(K318:K326)</f>
        <v>66925.289999999994</v>
      </c>
      <c r="L327" s="136">
        <f t="shared" si="44"/>
        <v>15012.799999999988</v>
      </c>
      <c r="M327" s="137">
        <f>IF((H327)=0,"",(L327/H327))</f>
        <v>0.28919437306898566</v>
      </c>
    </row>
    <row r="328" spans="1:14" x14ac:dyDescent="0.2">
      <c r="A328" s="46" t="str">
        <f t="shared" si="47"/>
        <v>LARGE USE SERVICE CLASSIFICATION</v>
      </c>
      <c r="C328" s="115"/>
      <c r="D328" s="152" t="s">
        <v>182</v>
      </c>
      <c r="E328" s="117"/>
      <c r="F328" s="153">
        <v>3.5680000000000001</v>
      </c>
      <c r="G328" s="139">
        <f>IF($E305&gt;0, $E305, $E304*$E306)</f>
        <v>16000</v>
      </c>
      <c r="H328" s="120">
        <f>G328*F328</f>
        <v>57088</v>
      </c>
      <c r="I328" s="153">
        <v>3.5680000000000001</v>
      </c>
      <c r="J328" s="140">
        <f>IF($E305&gt;0, $E305, $E304*$E307)</f>
        <v>16000</v>
      </c>
      <c r="K328" s="123">
        <f>J328*I328</f>
        <v>57088</v>
      </c>
      <c r="L328" s="124">
        <f t="shared" si="44"/>
        <v>0</v>
      </c>
      <c r="M328" s="125">
        <f>IF(ISERROR(L328/H328), "", L328/H328)</f>
        <v>0</v>
      </c>
      <c r="N328" s="154" t="str">
        <f>IF(ISERROR(ABS(M328)), "", IF(ABS(M328)&gt;=4%, "In the manager's summary, discuss the reasoning for the change in RTSR rates", ""))</f>
        <v/>
      </c>
    </row>
    <row r="329" spans="1:14" ht="25.5" x14ac:dyDescent="0.2">
      <c r="A329" s="46" t="str">
        <f t="shared" si="47"/>
        <v>LARGE USE SERVICE CLASSIFICATION</v>
      </c>
      <c r="C329" s="115"/>
      <c r="D329" s="155" t="s">
        <v>183</v>
      </c>
      <c r="E329" s="117"/>
      <c r="F329" s="153">
        <v>1.7994000000000001</v>
      </c>
      <c r="G329" s="139">
        <f>IF($E305&gt;0, $E305, $E304*$E306)</f>
        <v>16000</v>
      </c>
      <c r="H329" s="120">
        <f>G329*F329</f>
        <v>28790.400000000001</v>
      </c>
      <c r="I329" s="153">
        <v>1.7994000000000001</v>
      </c>
      <c r="J329" s="140">
        <f>IF($E305&gt;0, $E305, $E304*$E307)</f>
        <v>16000</v>
      </c>
      <c r="K329" s="123">
        <f>J329*I329</f>
        <v>28790.400000000001</v>
      </c>
      <c r="L329" s="124">
        <f t="shared" si="44"/>
        <v>0</v>
      </c>
      <c r="M329" s="125">
        <f>IF(ISERROR(L329/H329), "", L329/H329)</f>
        <v>0</v>
      </c>
      <c r="N329" s="154" t="str">
        <f>IF(ISERROR(ABS(M329)), "", IF(ABS(M329)&gt;=4%, "In the manager's summary, discuss the reasoning for the change in RTSR rates", ""))</f>
        <v/>
      </c>
    </row>
    <row r="330" spans="1:14" ht="25.5" x14ac:dyDescent="0.2">
      <c r="A330" s="46" t="str">
        <f t="shared" si="47"/>
        <v>LARGE USE SERVICE CLASSIFICATION</v>
      </c>
      <c r="B330" s="46" t="s">
        <v>184</v>
      </c>
      <c r="C330" s="115">
        <f>B34</f>
        <v>5</v>
      </c>
      <c r="D330" s="145" t="s">
        <v>185</v>
      </c>
      <c r="E330" s="130"/>
      <c r="F330" s="150"/>
      <c r="G330" s="148"/>
      <c r="H330" s="149">
        <f>SUM(H327:H329)</f>
        <v>137790.89000000001</v>
      </c>
      <c r="I330" s="150"/>
      <c r="J330" s="135"/>
      <c r="K330" s="149">
        <f>SUM(K327:K329)</f>
        <v>152803.69</v>
      </c>
      <c r="L330" s="136">
        <f t="shared" si="44"/>
        <v>15012.799999999988</v>
      </c>
      <c r="M330" s="137">
        <f>IF((H330)=0,"",(L330/H330))</f>
        <v>0.10895350193325544</v>
      </c>
    </row>
    <row r="331" spans="1:14" ht="25.5" x14ac:dyDescent="0.2">
      <c r="A331" s="46" t="str">
        <f t="shared" si="47"/>
        <v>LARGE USE SERVICE CLASSIFICATION</v>
      </c>
      <c r="C331" s="115"/>
      <c r="D331" s="156" t="s">
        <v>186</v>
      </c>
      <c r="E331" s="117"/>
      <c r="F331" s="127">
        <f>'[1]17. Regulatory Charges'!$E$15+'[1]17. Regulatory Charges'!$E$16</f>
        <v>3.4000000000000002E-3</v>
      </c>
      <c r="G331" s="139">
        <f>E304*E306</f>
        <v>6802620</v>
      </c>
      <c r="H331" s="157">
        <f t="shared" ref="H331:H337" si="49">G331*F331</f>
        <v>23128.908000000003</v>
      </c>
      <c r="I331" s="127">
        <f>'[1]17. Regulatory Charges'!$E$15+'[1]17. Regulatory Charges'!$E$16</f>
        <v>3.4000000000000002E-3</v>
      </c>
      <c r="J331" s="140">
        <f>E304*E307</f>
        <v>6802620</v>
      </c>
      <c r="K331" s="123">
        <f t="shared" ref="K331:K337" si="50">J331*I331</f>
        <v>23128.908000000003</v>
      </c>
      <c r="L331" s="124">
        <f t="shared" si="44"/>
        <v>0</v>
      </c>
      <c r="M331" s="125">
        <f t="shared" ref="M331:M339" si="51">IF(ISERROR(L331/H331), "", L331/H331)</f>
        <v>0</v>
      </c>
    </row>
    <row r="332" spans="1:14" ht="25.5" x14ac:dyDescent="0.2">
      <c r="A332" s="46" t="str">
        <f t="shared" si="47"/>
        <v>LARGE USE SERVICE CLASSIFICATION</v>
      </c>
      <c r="C332" s="115"/>
      <c r="D332" s="156" t="s">
        <v>187</v>
      </c>
      <c r="E332" s="117"/>
      <c r="F332" s="127">
        <f>'[1]17. Regulatory Charges'!$E$17</f>
        <v>5.0000000000000001E-4</v>
      </c>
      <c r="G332" s="139">
        <f>E304*E306</f>
        <v>6802620</v>
      </c>
      <c r="H332" s="157">
        <f t="shared" si="49"/>
        <v>3401.31</v>
      </c>
      <c r="I332" s="127">
        <f>'[1]17. Regulatory Charges'!$E$17</f>
        <v>5.0000000000000001E-4</v>
      </c>
      <c r="J332" s="140">
        <f>E304*E307</f>
        <v>6802620</v>
      </c>
      <c r="K332" s="123">
        <f t="shared" si="50"/>
        <v>3401.31</v>
      </c>
      <c r="L332" s="124">
        <f t="shared" si="44"/>
        <v>0</v>
      </c>
      <c r="M332" s="125">
        <f t="shared" si="51"/>
        <v>0</v>
      </c>
    </row>
    <row r="333" spans="1:14" x14ac:dyDescent="0.2">
      <c r="A333" s="46" t="str">
        <f t="shared" si="47"/>
        <v>LARGE USE SERVICE CLASSIFICATION</v>
      </c>
      <c r="C333" s="115"/>
      <c r="D333" s="158" t="s">
        <v>188</v>
      </c>
      <c r="E333" s="117"/>
      <c r="F333" s="144">
        <f>'[1]17. Regulatory Charges'!$E$18</f>
        <v>0.25</v>
      </c>
      <c r="G333" s="119">
        <v>1</v>
      </c>
      <c r="H333" s="157">
        <f t="shared" si="49"/>
        <v>0.25</v>
      </c>
      <c r="I333" s="144">
        <f>'[1]17. Regulatory Charges'!$E$18</f>
        <v>0.25</v>
      </c>
      <c r="J333" s="122">
        <v>1</v>
      </c>
      <c r="K333" s="123">
        <f t="shared" si="50"/>
        <v>0.25</v>
      </c>
      <c r="L333" s="124">
        <f t="shared" si="44"/>
        <v>0</v>
      </c>
      <c r="M333" s="125">
        <f t="shared" si="51"/>
        <v>0</v>
      </c>
    </row>
    <row r="334" spans="1:14" ht="25.5" hidden="1" x14ac:dyDescent="0.2">
      <c r="A334" s="46" t="str">
        <f t="shared" si="47"/>
        <v>LARGE USE SERVICE CLASSIFICATION</v>
      </c>
      <c r="C334" s="115"/>
      <c r="D334" s="156" t="s">
        <v>189</v>
      </c>
      <c r="E334" s="117"/>
      <c r="F334" s="127"/>
      <c r="G334" s="139"/>
      <c r="H334" s="157"/>
      <c r="I334" s="127"/>
      <c r="J334" s="140"/>
      <c r="K334" s="123"/>
      <c r="L334" s="124"/>
      <c r="M334" s="125"/>
    </row>
    <row r="335" spans="1:14" hidden="1" x14ac:dyDescent="0.2">
      <c r="A335" s="46" t="str">
        <f t="shared" si="47"/>
        <v>LARGE USE SERVICE CLASSIFICATION</v>
      </c>
      <c r="B335" s="46" t="s">
        <v>139</v>
      </c>
      <c r="C335" s="115"/>
      <c r="D335" s="158" t="s">
        <v>190</v>
      </c>
      <c r="E335" s="117"/>
      <c r="F335" s="161">
        <f>OffPeak</f>
        <v>7.3999999999999996E-2</v>
      </c>
      <c r="G335" s="160">
        <f>IF(AND(E304*12&gt;=150000),0.64*E304*E306,0.64*E304)</f>
        <v>4353676.8</v>
      </c>
      <c r="H335" s="157">
        <f t="shared" si="49"/>
        <v>322172.08319999999</v>
      </c>
      <c r="I335" s="161">
        <f>OffPeak</f>
        <v>7.3999999999999996E-2</v>
      </c>
      <c r="J335" s="162">
        <f>IF(AND(E304*12&gt;=150000),0.64*E304*E307,0.64*E304)</f>
        <v>4353676.8</v>
      </c>
      <c r="K335" s="123">
        <f t="shared" si="50"/>
        <v>322172.08319999999</v>
      </c>
      <c r="L335" s="124">
        <f>K335-H335</f>
        <v>0</v>
      </c>
      <c r="M335" s="125">
        <f t="shared" si="51"/>
        <v>0</v>
      </c>
    </row>
    <row r="336" spans="1:14" hidden="1" x14ac:dyDescent="0.2">
      <c r="A336" s="46" t="str">
        <f t="shared" si="47"/>
        <v>LARGE USE SERVICE CLASSIFICATION</v>
      </c>
      <c r="B336" s="46" t="s">
        <v>139</v>
      </c>
      <c r="C336" s="115"/>
      <c r="D336" s="158" t="s">
        <v>191</v>
      </c>
      <c r="E336" s="117"/>
      <c r="F336" s="161">
        <f>MidPeak</f>
        <v>0.10199999999999999</v>
      </c>
      <c r="G336" s="160">
        <f>IF(AND(E304*12&gt;=150000),0.18*E304*E306,0.18*E304)</f>
        <v>1224471.5999999999</v>
      </c>
      <c r="H336" s="157">
        <f t="shared" si="49"/>
        <v>124896.10319999998</v>
      </c>
      <c r="I336" s="161">
        <f>MidPeak</f>
        <v>0.10199999999999999</v>
      </c>
      <c r="J336" s="162">
        <f>IF(AND(E304*12&gt;=150000),0.18*E304*E307,0.18*E304)</f>
        <v>1224471.5999999999</v>
      </c>
      <c r="K336" s="123">
        <f t="shared" si="50"/>
        <v>124896.10319999998</v>
      </c>
      <c r="L336" s="124">
        <f>K336-H336</f>
        <v>0</v>
      </c>
      <c r="M336" s="125">
        <f t="shared" si="51"/>
        <v>0</v>
      </c>
    </row>
    <row r="337" spans="1:13" hidden="1" x14ac:dyDescent="0.2">
      <c r="A337" s="46" t="str">
        <f t="shared" si="47"/>
        <v>LARGE USE SERVICE CLASSIFICATION</v>
      </c>
      <c r="B337" s="46" t="s">
        <v>139</v>
      </c>
      <c r="C337" s="115"/>
      <c r="D337" s="46" t="s">
        <v>192</v>
      </c>
      <c r="E337" s="117"/>
      <c r="F337" s="161">
        <f>OnPeak</f>
        <v>0.151</v>
      </c>
      <c r="G337" s="160">
        <f>IF(AND(E304*12&gt;=150000),0.18*E304*E306,0.18*E304)</f>
        <v>1224471.5999999999</v>
      </c>
      <c r="H337" s="157">
        <f t="shared" si="49"/>
        <v>184895.21159999998</v>
      </c>
      <c r="I337" s="161">
        <f>OnPeak</f>
        <v>0.151</v>
      </c>
      <c r="J337" s="162">
        <f>IF(AND(E304*12&gt;=150000),0.18*E304*E307,0.18*E304)</f>
        <v>1224471.5999999999</v>
      </c>
      <c r="K337" s="123">
        <f t="shared" si="50"/>
        <v>184895.21159999998</v>
      </c>
      <c r="L337" s="124">
        <f>K337-H337</f>
        <v>0</v>
      </c>
      <c r="M337" s="125">
        <f t="shared" si="51"/>
        <v>0</v>
      </c>
    </row>
    <row r="338" spans="1:13" hidden="1" x14ac:dyDescent="0.2">
      <c r="A338" s="46" t="str">
        <f t="shared" si="47"/>
        <v>LARGE USE SERVICE CLASSIFICATION</v>
      </c>
      <c r="B338" s="46" t="s">
        <v>141</v>
      </c>
      <c r="C338" s="115"/>
      <c r="D338" s="158" t="s">
        <v>193</v>
      </c>
      <c r="E338" s="117"/>
      <c r="F338" s="164">
        <f>C338</f>
        <v>0</v>
      </c>
      <c r="G338" s="160">
        <f>IF(AND(E304*12&gt;=150000),E304*E306,E304)</f>
        <v>6802620</v>
      </c>
      <c r="H338" s="157">
        <f>G338*F338</f>
        <v>0</v>
      </c>
      <c r="I338" s="164">
        <f>F338</f>
        <v>0</v>
      </c>
      <c r="J338" s="162">
        <f>IF(AND(E304*12&gt;=150000),E304*E307,E304)</f>
        <v>6802620</v>
      </c>
      <c r="K338" s="123">
        <f>J338*I338</f>
        <v>0</v>
      </c>
      <c r="L338" s="124">
        <f>K338-H338</f>
        <v>0</v>
      </c>
      <c r="M338" s="125" t="str">
        <f t="shared" si="51"/>
        <v/>
      </c>
    </row>
    <row r="339" spans="1:13" ht="13.5" thickBot="1" x14ac:dyDescent="0.25">
      <c r="A339" s="46" t="str">
        <f t="shared" si="47"/>
        <v>LARGE USE SERVICE CLASSIFICATION</v>
      </c>
      <c r="B339" s="46" t="s">
        <v>140</v>
      </c>
      <c r="C339" s="115"/>
      <c r="D339" s="158" t="s">
        <v>194</v>
      </c>
      <c r="E339" s="117"/>
      <c r="F339" s="163">
        <v>9.6699999999999994E-2</v>
      </c>
      <c r="G339" s="160">
        <f>IF(AND(E304*12&gt;=150000),E304*E306,E304)</f>
        <v>6802620</v>
      </c>
      <c r="H339" s="157">
        <f>G339*F339</f>
        <v>657813.35399999993</v>
      </c>
      <c r="I339" s="164">
        <f>F339</f>
        <v>9.6699999999999994E-2</v>
      </c>
      <c r="J339" s="162">
        <f>IF(AND(E304*12&gt;=150000),E304*E307,E304)</f>
        <v>6802620</v>
      </c>
      <c r="K339" s="123">
        <f>J339*I339</f>
        <v>657813.35399999993</v>
      </c>
      <c r="L339" s="124">
        <f>K339-H339</f>
        <v>0</v>
      </c>
      <c r="M339" s="125">
        <f t="shared" si="51"/>
        <v>0</v>
      </c>
    </row>
    <row r="340" spans="1:13" ht="13.5" thickBot="1" x14ac:dyDescent="0.25">
      <c r="A340" s="46" t="str">
        <f t="shared" si="47"/>
        <v>LARGE USE SERVICE CLASSIFICATION</v>
      </c>
      <c r="C340" s="115"/>
      <c r="D340" s="165"/>
      <c r="E340" s="166"/>
      <c r="F340" s="167"/>
      <c r="G340" s="168"/>
      <c r="H340" s="169"/>
      <c r="I340" s="167"/>
      <c r="J340" s="170"/>
      <c r="K340" s="169"/>
      <c r="L340" s="171"/>
      <c r="M340" s="172"/>
    </row>
    <row r="341" spans="1:13" hidden="1" x14ac:dyDescent="0.2">
      <c r="A341" s="46" t="str">
        <f t="shared" si="47"/>
        <v>LARGE USE SERVICE CLASSIFICATION</v>
      </c>
      <c r="B341" s="46" t="s">
        <v>139</v>
      </c>
      <c r="C341" s="115"/>
      <c r="D341" s="173" t="s">
        <v>195</v>
      </c>
      <c r="E341" s="158"/>
      <c r="F341" s="177"/>
      <c r="G341" s="175"/>
      <c r="H341" s="176">
        <f>SUM(H331:H337,H330)</f>
        <v>796284.75599999994</v>
      </c>
      <c r="I341" s="177"/>
      <c r="J341" s="177"/>
      <c r="K341" s="176">
        <f>SUM(K331:K337,K330)</f>
        <v>811297.55599999987</v>
      </c>
      <c r="L341" s="178">
        <f>K341-H341</f>
        <v>15012.79999999993</v>
      </c>
      <c r="M341" s="179">
        <f>IF((H341)=0,"",(L341/H341))</f>
        <v>1.8853556955446642E-2</v>
      </c>
    </row>
    <row r="342" spans="1:13" hidden="1" x14ac:dyDescent="0.2">
      <c r="A342" s="46" t="str">
        <f t="shared" si="47"/>
        <v>LARGE USE SERVICE CLASSIFICATION</v>
      </c>
      <c r="B342" s="46" t="s">
        <v>139</v>
      </c>
      <c r="C342" s="115"/>
      <c r="D342" s="180" t="s">
        <v>196</v>
      </c>
      <c r="E342" s="158"/>
      <c r="F342" s="183">
        <v>0.13</v>
      </c>
      <c r="G342" s="181"/>
      <c r="H342" s="182">
        <f>H341*F342</f>
        <v>103517.01827999999</v>
      </c>
      <c r="I342" s="183">
        <v>0.13</v>
      </c>
      <c r="J342" s="119"/>
      <c r="K342" s="182">
        <f>K341*I342</f>
        <v>105468.68227999998</v>
      </c>
      <c r="L342" s="124">
        <f>K342-H342</f>
        <v>1951.6639999999898</v>
      </c>
      <c r="M342" s="184">
        <f>IF((H342)=0,"",(L342/H342))</f>
        <v>1.8853556955446629E-2</v>
      </c>
    </row>
    <row r="343" spans="1:13" ht="15" hidden="1" x14ac:dyDescent="0.25">
      <c r="A343" s="46" t="str">
        <f t="shared" si="47"/>
        <v>LARGE USE SERVICE CLASSIFICATION</v>
      </c>
      <c r="B343" s="46" t="s">
        <v>139</v>
      </c>
      <c r="C343" s="115"/>
      <c r="D343" s="180" t="s">
        <v>197</v>
      </c>
      <c r="E343"/>
      <c r="F343" s="185">
        <v>0.11700000000000001</v>
      </c>
      <c r="G343" s="181"/>
      <c r="H343" s="182">
        <f>IF(OR(ISNUMBER(SEARCH("[DGEN]", E302))=TRUE, ISNUMBER(SEARCH("STREET LIGHT", E302))=TRUE), 0, IF(AND(E304=0, E305=0),0, IF(AND(E305=0, E304*12&gt;250000), 0, IF(AND(E304=0, E305&gt;=50), 0, IF(E304*12&lt;=250000, F343*H341*-1, IF(E305&lt;50, F343*H341*-1, 0))))))</f>
        <v>0</v>
      </c>
      <c r="I343" s="185">
        <v>0.11700000000000001</v>
      </c>
      <c r="J343" s="119"/>
      <c r="K343" s="182">
        <f>IF(OR(ISNUMBER(SEARCH("[DGEN]", E302))=TRUE, ISNUMBER(SEARCH("STREET LIGHT", E302))=TRUE), 0, IF(AND(E304=0, E305=0),0, IF(AND(E305=0, E304*12&gt;250000), 0, IF(AND(E304=0, E305&gt;=50), 0, IF(E304*12&lt;=250000, I343*K341*-1, IF(E305&lt;50, I343*K341*-1, 0))))))</f>
        <v>0</v>
      </c>
      <c r="L343" s="124">
        <f>K343-H343</f>
        <v>0</v>
      </c>
      <c r="M343" s="184"/>
    </row>
    <row r="344" spans="1:13" hidden="1" x14ac:dyDescent="0.2">
      <c r="A344" s="46" t="str">
        <f t="shared" si="47"/>
        <v>LARGE USE SERVICE CLASSIFICATION</v>
      </c>
      <c r="B344" s="46" t="s">
        <v>198</v>
      </c>
      <c r="C344" s="115"/>
      <c r="D344" s="186" t="s">
        <v>199</v>
      </c>
      <c r="E344" s="186"/>
      <c r="F344" s="190"/>
      <c r="G344" s="188"/>
      <c r="H344" s="189">
        <f>H341+H342+H343</f>
        <v>899801.7742799999</v>
      </c>
      <c r="I344" s="190"/>
      <c r="J344" s="190"/>
      <c r="K344" s="191">
        <f>K341+K342+K343</f>
        <v>916766.23827999982</v>
      </c>
      <c r="L344" s="192">
        <f>K344-H344</f>
        <v>16964.46399999992</v>
      </c>
      <c r="M344" s="193">
        <f>IF((H344)=0,"",(L344/H344))</f>
        <v>1.8853556955446639E-2</v>
      </c>
    </row>
    <row r="345" spans="1:13" ht="13.5" hidden="1" thickBot="1" x14ac:dyDescent="0.25">
      <c r="A345" s="46" t="str">
        <f t="shared" si="47"/>
        <v>LARGE USE SERVICE CLASSIFICATION</v>
      </c>
      <c r="B345" s="46" t="s">
        <v>139</v>
      </c>
      <c r="C345" s="115"/>
      <c r="D345" s="165"/>
      <c r="E345" s="166"/>
      <c r="F345" s="167"/>
      <c r="G345" s="168"/>
      <c r="H345" s="169"/>
      <c r="I345" s="167"/>
      <c r="J345" s="170"/>
      <c r="K345" s="169"/>
      <c r="L345" s="171"/>
      <c r="M345" s="172"/>
    </row>
    <row r="346" spans="1:13" hidden="1" x14ac:dyDescent="0.2">
      <c r="A346" s="46" t="str">
        <f t="shared" si="47"/>
        <v>LARGE USE SERVICE CLASSIFICATION</v>
      </c>
      <c r="B346" s="46" t="s">
        <v>141</v>
      </c>
      <c r="C346" s="115"/>
      <c r="D346" s="173" t="s">
        <v>200</v>
      </c>
      <c r="E346" s="158"/>
      <c r="F346" s="177"/>
      <c r="G346" s="175"/>
      <c r="H346" s="176">
        <f>SUM(H338,H331:H334,H330)</f>
        <v>164321.35800000001</v>
      </c>
      <c r="I346" s="177"/>
      <c r="J346" s="177"/>
      <c r="K346" s="176">
        <f>SUM(K338,K331:K334,K330)</f>
        <v>179334.158</v>
      </c>
      <c r="L346" s="178">
        <f>K346-H346</f>
        <v>15012.799999999988</v>
      </c>
      <c r="M346" s="179">
        <f>IF((H346)=0,"",(L346/H346))</f>
        <v>9.1362438715970135E-2</v>
      </c>
    </row>
    <row r="347" spans="1:13" hidden="1" x14ac:dyDescent="0.2">
      <c r="A347" s="46" t="str">
        <f t="shared" si="47"/>
        <v>LARGE USE SERVICE CLASSIFICATION</v>
      </c>
      <c r="B347" s="46" t="s">
        <v>141</v>
      </c>
      <c r="C347" s="115"/>
      <c r="D347" s="180" t="s">
        <v>196</v>
      </c>
      <c r="E347" s="158"/>
      <c r="F347" s="174">
        <v>0.13</v>
      </c>
      <c r="G347" s="175"/>
      <c r="H347" s="182">
        <f>H346*F347</f>
        <v>21361.776540000003</v>
      </c>
      <c r="I347" s="174">
        <v>0.13</v>
      </c>
      <c r="J347" s="183"/>
      <c r="K347" s="182">
        <f>K346*I347</f>
        <v>23313.44054</v>
      </c>
      <c r="L347" s="124">
        <f>K347-H347</f>
        <v>1951.663999999997</v>
      </c>
      <c r="M347" s="184">
        <f>IF((H347)=0,"",(L347/H347))</f>
        <v>9.1362438715970051E-2</v>
      </c>
    </row>
    <row r="348" spans="1:13" ht="15" hidden="1" x14ac:dyDescent="0.25">
      <c r="A348" s="46" t="str">
        <f t="shared" si="47"/>
        <v>LARGE USE SERVICE CLASSIFICATION</v>
      </c>
      <c r="B348" s="46" t="s">
        <v>141</v>
      </c>
      <c r="C348" s="115"/>
      <c r="D348" s="180" t="s">
        <v>197</v>
      </c>
      <c r="E348"/>
      <c r="F348" s="185">
        <v>0.11700000000000001</v>
      </c>
      <c r="G348" s="175"/>
      <c r="H348" s="182">
        <f>IF(OR(ISNUMBER(SEARCH("[DGEN]", E302))=TRUE, ISNUMBER(SEARCH("STREET LIGHT", E302))=TRUE), 0, IF(AND(E304=0, E305=0),0, IF(AND(E305=0, E304*12&gt;250000), 0, IF(AND(E304=0, E305&gt;=50), 0, IF(E304*12&lt;=250000, F348*H346*-1, IF(E305&lt;50, F348*H346*-1, 0))))))</f>
        <v>0</v>
      </c>
      <c r="I348" s="185">
        <v>0.11700000000000001</v>
      </c>
      <c r="J348" s="183"/>
      <c r="K348" s="182">
        <f>IF(OR(ISNUMBER(SEARCH("[DGEN]", E302))=TRUE, ISNUMBER(SEARCH("STREET LIGHT", E302))=TRUE), 0, IF(AND(E304=0, E305=0),0, IF(AND(E305=0, E304*12&gt;250000), 0, IF(AND(E304=0, E305&gt;=50), 0, IF(E304*12&lt;=250000, I348*K346*-1, IF(E305&lt;50, I348*K346*-1, 0))))))</f>
        <v>0</v>
      </c>
      <c r="L348" s="124"/>
      <c r="M348" s="184"/>
    </row>
    <row r="349" spans="1:13" hidden="1" x14ac:dyDescent="0.2">
      <c r="A349" s="46" t="str">
        <f t="shared" si="47"/>
        <v>LARGE USE SERVICE CLASSIFICATION</v>
      </c>
      <c r="B349" s="46" t="s">
        <v>201</v>
      </c>
      <c r="C349" s="115"/>
      <c r="D349" s="186" t="s">
        <v>200</v>
      </c>
      <c r="E349" s="186"/>
      <c r="F349" s="196"/>
      <c r="G349" s="195"/>
      <c r="H349" s="189">
        <f>SUM(H346,H347)</f>
        <v>185683.13454</v>
      </c>
      <c r="I349" s="196"/>
      <c r="J349" s="196"/>
      <c r="K349" s="189">
        <f>SUM(K346,K347)</f>
        <v>202647.59854000001</v>
      </c>
      <c r="L349" s="197">
        <f>K349-H349</f>
        <v>16964.464000000007</v>
      </c>
      <c r="M349" s="198">
        <f>IF((H349)=0,"",(L349/H349))</f>
        <v>9.1362438715970246E-2</v>
      </c>
    </row>
    <row r="350" spans="1:13" ht="13.5" hidden="1" thickBot="1" x14ac:dyDescent="0.25">
      <c r="A350" s="46" t="str">
        <f t="shared" si="47"/>
        <v>LARGE USE SERVICE CLASSIFICATION</v>
      </c>
      <c r="B350" s="46" t="s">
        <v>141</v>
      </c>
      <c r="C350" s="115"/>
      <c r="D350" s="165"/>
      <c r="E350" s="166"/>
      <c r="F350" s="199"/>
      <c r="G350" s="200"/>
      <c r="H350" s="201"/>
      <c r="I350" s="199"/>
      <c r="J350" s="168"/>
      <c r="K350" s="201"/>
      <c r="L350" s="202"/>
      <c r="M350" s="172"/>
    </row>
    <row r="351" spans="1:13" x14ac:dyDescent="0.2">
      <c r="A351" s="46" t="str">
        <f t="shared" si="47"/>
        <v>LARGE USE SERVICE CLASSIFICATION</v>
      </c>
      <c r="B351" s="46" t="s">
        <v>140</v>
      </c>
      <c r="C351" s="115"/>
      <c r="D351" s="173" t="s">
        <v>202</v>
      </c>
      <c r="E351" s="158"/>
      <c r="F351" s="177"/>
      <c r="G351" s="175"/>
      <c r="H351" s="176">
        <f>SUM(H339,H331:H334,H330)</f>
        <v>822134.71200000006</v>
      </c>
      <c r="I351" s="177"/>
      <c r="J351" s="177"/>
      <c r="K351" s="176">
        <f>SUM(K339,K331:K334,K330)</f>
        <v>837147.5120000001</v>
      </c>
      <c r="L351" s="178">
        <f>K351-H351</f>
        <v>15012.800000000047</v>
      </c>
      <c r="M351" s="179">
        <f>IF((H351)=0,"",(L351/H351))</f>
        <v>1.8260754327570645E-2</v>
      </c>
    </row>
    <row r="352" spans="1:13" x14ac:dyDescent="0.2">
      <c r="A352" s="46" t="str">
        <f t="shared" si="47"/>
        <v>LARGE USE SERVICE CLASSIFICATION</v>
      </c>
      <c r="B352" s="46" t="s">
        <v>140</v>
      </c>
      <c r="C352" s="115"/>
      <c r="D352" s="180" t="s">
        <v>196</v>
      </c>
      <c r="E352" s="158"/>
      <c r="F352" s="174">
        <v>0.13</v>
      </c>
      <c r="G352" s="175"/>
      <c r="H352" s="182">
        <f>H351*F352</f>
        <v>106877.51256000002</v>
      </c>
      <c r="I352" s="174">
        <v>0.13</v>
      </c>
      <c r="J352" s="183"/>
      <c r="K352" s="182">
        <f>K351*I352</f>
        <v>108829.17656000002</v>
      </c>
      <c r="L352" s="124">
        <f>K352-H352</f>
        <v>1951.6640000000043</v>
      </c>
      <c r="M352" s="184">
        <f>IF((H352)=0,"",(L352/H352))</f>
        <v>1.8260754327570627E-2</v>
      </c>
    </row>
    <row r="353" spans="1:14" ht="15" x14ac:dyDescent="0.25">
      <c r="A353" s="46" t="str">
        <f t="shared" si="47"/>
        <v>LARGE USE SERVICE CLASSIFICATION</v>
      </c>
      <c r="B353" s="46" t="s">
        <v>140</v>
      </c>
      <c r="C353" s="115"/>
      <c r="D353" s="180" t="s">
        <v>197</v>
      </c>
      <c r="E353"/>
      <c r="F353" s="185">
        <v>0.11700000000000001</v>
      </c>
      <c r="G353" s="175"/>
      <c r="H353" s="182">
        <f>IF(OR(ISNUMBER(SEARCH("[DGEN]", E302))=TRUE, ISNUMBER(SEARCH("STREET LIGHT", E302))=TRUE), 0, IF(AND(E304=0, E305=0),0, IF(AND(E305=0, E304*12&gt;250000), 0, IF(AND(E304=0, E305&gt;=50), 0, IF(E304*12&lt;=250000, F353*H351*-1, IF(E305&lt;50, F353*H351*-1, 0))))))</f>
        <v>0</v>
      </c>
      <c r="I353" s="185">
        <v>0.11700000000000001</v>
      </c>
      <c r="J353" s="183"/>
      <c r="K353" s="182">
        <f>IF(OR(ISNUMBER(SEARCH("[DGEN]", E302))=TRUE, ISNUMBER(SEARCH("STREET LIGHT", E302))=TRUE), 0, IF(AND(E304=0, E305=0),0, IF(AND(E305=0, E304*12&gt;250000), 0, IF(AND(E304=0, E305&gt;=50), 0, IF(E304*12&lt;=250000, I353*K351*-1, IF(E305&lt;50, I353*K351*-1, 0))))))</f>
        <v>0</v>
      </c>
      <c r="L353" s="124"/>
      <c r="M353" s="184"/>
    </row>
    <row r="354" spans="1:14" ht="13.5" thickBot="1" x14ac:dyDescent="0.25">
      <c r="A354" s="46" t="str">
        <f t="shared" si="47"/>
        <v>LARGE USE SERVICE CLASSIFICATION</v>
      </c>
      <c r="B354" s="46" t="s">
        <v>203</v>
      </c>
      <c r="C354" s="115">
        <f>B34</f>
        <v>5</v>
      </c>
      <c r="D354" s="186" t="s">
        <v>202</v>
      </c>
      <c r="E354" s="186"/>
      <c r="F354" s="194"/>
      <c r="G354" s="195"/>
      <c r="H354" s="189">
        <f>SUM(H351,H352)</f>
        <v>929012.22456000012</v>
      </c>
      <c r="I354" s="196"/>
      <c r="J354" s="196"/>
      <c r="K354" s="189">
        <f>SUM(K351,K352)</f>
        <v>945976.68856000016</v>
      </c>
      <c r="L354" s="197">
        <f>K354-H354</f>
        <v>16964.464000000036</v>
      </c>
      <c r="M354" s="198">
        <f>IF((H354)=0,"",(L354/H354))</f>
        <v>1.8260754327570627E-2</v>
      </c>
    </row>
    <row r="355" spans="1:14" ht="13.5" thickBot="1" x14ac:dyDescent="0.25">
      <c r="A355" s="46" t="str">
        <f t="shared" si="47"/>
        <v>LARGE USE SERVICE CLASSIFICATION</v>
      </c>
      <c r="B355" s="46" t="s">
        <v>140</v>
      </c>
      <c r="C355" s="115"/>
      <c r="D355" s="165"/>
      <c r="E355" s="166"/>
      <c r="F355" s="203"/>
      <c r="G355" s="200"/>
      <c r="H355" s="204"/>
      <c r="I355" s="203"/>
      <c r="J355" s="168"/>
      <c r="K355" s="204"/>
      <c r="L355" s="202"/>
      <c r="M355" s="205"/>
    </row>
    <row r="358" spans="1:14" x14ac:dyDescent="0.2">
      <c r="C358" s="46"/>
      <c r="D358" s="90" t="s">
        <v>150</v>
      </c>
      <c r="E358" s="91" t="str">
        <f>D35</f>
        <v>UNMETERED SCATTERED LOAD SERVICE CLASSIFICATION</v>
      </c>
      <c r="F358" s="91"/>
      <c r="G358" s="91"/>
      <c r="H358" s="91"/>
      <c r="I358" s="91"/>
      <c r="J358" s="91"/>
      <c r="K358" s="46" t="str">
        <f>IF(N35="DEMAND - INTERVAL","RTSR - INTERVAL METERED","")</f>
        <v/>
      </c>
    </row>
    <row r="359" spans="1:14" x14ac:dyDescent="0.2">
      <c r="C359" s="46"/>
      <c r="D359" s="90" t="s">
        <v>151</v>
      </c>
      <c r="E359" s="92" t="str">
        <f>H35</f>
        <v>RPP</v>
      </c>
      <c r="F359" s="92"/>
      <c r="G359" s="92"/>
      <c r="H359" s="93"/>
      <c r="I359" s="93"/>
    </row>
    <row r="360" spans="1:14" ht="15.75" x14ac:dyDescent="0.2">
      <c r="C360" s="46"/>
      <c r="D360" s="90" t="s">
        <v>152</v>
      </c>
      <c r="E360" s="94">
        <f>K35</f>
        <v>100</v>
      </c>
      <c r="F360" s="95" t="s">
        <v>153</v>
      </c>
      <c r="J360" s="96"/>
      <c r="K360" s="96"/>
      <c r="L360" s="96"/>
      <c r="M360" s="96"/>
      <c r="N360" s="96"/>
    </row>
    <row r="361" spans="1:14" ht="15.75" x14ac:dyDescent="0.25">
      <c r="C361" s="46"/>
      <c r="D361" s="90" t="s">
        <v>154</v>
      </c>
      <c r="E361" s="94">
        <f>L35</f>
        <v>0</v>
      </c>
      <c r="F361" s="97" t="s">
        <v>155</v>
      </c>
      <c r="G361" s="98"/>
      <c r="H361" s="99"/>
      <c r="I361" s="99"/>
      <c r="J361" s="99"/>
    </row>
    <row r="362" spans="1:14" x14ac:dyDescent="0.2">
      <c r="C362" s="46"/>
      <c r="D362" s="90" t="s">
        <v>156</v>
      </c>
      <c r="E362" s="100">
        <f>I35</f>
        <v>1.0306999999999999</v>
      </c>
    </row>
    <row r="363" spans="1:14" x14ac:dyDescent="0.2">
      <c r="C363" s="46"/>
      <c r="D363" s="90" t="s">
        <v>157</v>
      </c>
      <c r="E363" s="100">
        <f>J35</f>
        <v>1.0306999999999999</v>
      </c>
    </row>
    <row r="364" spans="1:14" x14ac:dyDescent="0.2">
      <c r="C364" s="46"/>
    </row>
    <row r="365" spans="1:14" x14ac:dyDescent="0.2">
      <c r="C365" s="46"/>
      <c r="E365" s="95"/>
      <c r="F365" s="101" t="s">
        <v>226</v>
      </c>
      <c r="G365" s="102"/>
      <c r="H365" s="103"/>
      <c r="I365" s="101" t="s">
        <v>205</v>
      </c>
      <c r="J365" s="102"/>
      <c r="K365" s="103"/>
      <c r="L365" s="101" t="s">
        <v>158</v>
      </c>
      <c r="M365" s="103"/>
    </row>
    <row r="366" spans="1:14" x14ac:dyDescent="0.2">
      <c r="C366" s="46"/>
      <c r="E366" s="104"/>
      <c r="F366" s="105" t="s">
        <v>159</v>
      </c>
      <c r="G366" s="105" t="s">
        <v>160</v>
      </c>
      <c r="H366" s="106" t="s">
        <v>161</v>
      </c>
      <c r="I366" s="105" t="s">
        <v>159</v>
      </c>
      <c r="J366" s="107" t="s">
        <v>160</v>
      </c>
      <c r="K366" s="106" t="s">
        <v>161</v>
      </c>
      <c r="L366" s="108" t="s">
        <v>162</v>
      </c>
      <c r="M366" s="109" t="s">
        <v>163</v>
      </c>
    </row>
    <row r="367" spans="1:14" x14ac:dyDescent="0.2">
      <c r="C367" s="46"/>
      <c r="E367" s="110"/>
      <c r="F367" s="111" t="s">
        <v>164</v>
      </c>
      <c r="G367" s="111"/>
      <c r="H367" s="112" t="s">
        <v>164</v>
      </c>
      <c r="I367" s="111" t="s">
        <v>164</v>
      </c>
      <c r="J367" s="112"/>
      <c r="K367" s="112" t="s">
        <v>164</v>
      </c>
      <c r="L367" s="113"/>
      <c r="M367" s="114"/>
    </row>
    <row r="368" spans="1:14" x14ac:dyDescent="0.2">
      <c r="A368" s="46" t="str">
        <f>$E358</f>
        <v>UNMETERED SCATTERED LOAD SERVICE CLASSIFICATION</v>
      </c>
      <c r="C368" s="115"/>
      <c r="D368" s="116" t="s">
        <v>165</v>
      </c>
      <c r="E368" s="117"/>
      <c r="F368" s="121">
        <v>6.46</v>
      </c>
      <c r="G368" s="119">
        <v>1</v>
      </c>
      <c r="H368" s="120">
        <f>G368*F368</f>
        <v>6.46</v>
      </c>
      <c r="I368" s="121">
        <v>6.46</v>
      </c>
      <c r="J368" s="122">
        <v>1</v>
      </c>
      <c r="K368" s="123">
        <f>J368*I368</f>
        <v>6.46</v>
      </c>
      <c r="L368" s="124">
        <f t="shared" ref="L368:L389" si="52">K368-H368</f>
        <v>0</v>
      </c>
      <c r="M368" s="125">
        <f>IF(ISERROR(L368/H368), "", L368/H368)</f>
        <v>0</v>
      </c>
    </row>
    <row r="369" spans="1:14" x14ac:dyDescent="0.2">
      <c r="A369" s="46" t="str">
        <f>A368</f>
        <v>UNMETERED SCATTERED LOAD SERVICE CLASSIFICATION</v>
      </c>
      <c r="C369" s="115"/>
      <c r="D369" s="116" t="s">
        <v>30</v>
      </c>
      <c r="E369" s="117"/>
      <c r="F369" s="127">
        <v>1.5900000000000001E-2</v>
      </c>
      <c r="G369" s="119">
        <f>IF($E361&gt;0, $E361, $E360)</f>
        <v>100</v>
      </c>
      <c r="H369" s="120">
        <f t="shared" ref="H369:H381" si="53">G369*F369</f>
        <v>1.59</v>
      </c>
      <c r="I369" s="127">
        <v>1.5900000000000001E-2</v>
      </c>
      <c r="J369" s="122">
        <f>IF($E361&gt;0, $E361, $E360)</f>
        <v>100</v>
      </c>
      <c r="K369" s="123">
        <f>J369*I369</f>
        <v>1.59</v>
      </c>
      <c r="L369" s="124">
        <f t="shared" si="52"/>
        <v>0</v>
      </c>
      <c r="M369" s="125">
        <f t="shared" ref="M369:M379" si="54">IF(ISERROR(L369/H369), "", L369/H369)</f>
        <v>0</v>
      </c>
    </row>
    <row r="370" spans="1:14" hidden="1" x14ac:dyDescent="0.2">
      <c r="A370" s="46" t="str">
        <f t="shared" ref="A370:A411" si="55">A369</f>
        <v>UNMETERED SCATTERED LOAD SERVICE CLASSIFICATION</v>
      </c>
      <c r="C370" s="115"/>
      <c r="D370" s="116" t="s">
        <v>166</v>
      </c>
      <c r="E370" s="117"/>
      <c r="F370" s="127"/>
      <c r="G370" s="119">
        <f>IF($E361&gt;0, $E361, $E360)</f>
        <v>100</v>
      </c>
      <c r="H370" s="120">
        <v>0</v>
      </c>
      <c r="I370" s="127"/>
      <c r="J370" s="122">
        <f>IF($E361&gt;0, $E361, $E360)</f>
        <v>100</v>
      </c>
      <c r="K370" s="123">
        <v>0</v>
      </c>
      <c r="L370" s="124"/>
      <c r="M370" s="125"/>
    </row>
    <row r="371" spans="1:14" hidden="1" x14ac:dyDescent="0.2">
      <c r="A371" s="46" t="str">
        <f t="shared" si="55"/>
        <v>UNMETERED SCATTERED LOAD SERVICE CLASSIFICATION</v>
      </c>
      <c r="C371" s="115"/>
      <c r="D371" s="116" t="s">
        <v>167</v>
      </c>
      <c r="E371" s="117"/>
      <c r="F371" s="127"/>
      <c r="G371" s="119">
        <f>IF($E361&gt;0, $E361, $E360)</f>
        <v>100</v>
      </c>
      <c r="H371" s="120">
        <v>0</v>
      </c>
      <c r="I371" s="127"/>
      <c r="J371" s="128">
        <f>IF($E361&gt;0, $E361, $E360)</f>
        <v>100</v>
      </c>
      <c r="K371" s="123">
        <v>0</v>
      </c>
      <c r="L371" s="124">
        <f>K371-H371</f>
        <v>0</v>
      </c>
      <c r="M371" s="125" t="str">
        <f>IF(ISERROR(L371/H371), "", L371/H371)</f>
        <v/>
      </c>
    </row>
    <row r="372" spans="1:14" x14ac:dyDescent="0.2">
      <c r="A372" s="46" t="str">
        <f t="shared" si="55"/>
        <v>UNMETERED SCATTERED LOAD SERVICE CLASSIFICATION</v>
      </c>
      <c r="C372" s="115"/>
      <c r="D372" s="116" t="s">
        <v>168</v>
      </c>
      <c r="E372" s="117"/>
      <c r="F372" s="121">
        <v>0.32999999999999996</v>
      </c>
      <c r="G372" s="119">
        <v>1</v>
      </c>
      <c r="H372" s="120">
        <f t="shared" si="53"/>
        <v>0.32999999999999996</v>
      </c>
      <c r="I372" s="121">
        <v>0.32999999999999996</v>
      </c>
      <c r="J372" s="122">
        <v>1</v>
      </c>
      <c r="K372" s="123">
        <f t="shared" ref="K372:K379" si="56">J372*I372</f>
        <v>0.32999999999999996</v>
      </c>
      <c r="L372" s="124">
        <f t="shared" si="52"/>
        <v>0</v>
      </c>
      <c r="M372" s="125">
        <f t="shared" si="54"/>
        <v>0</v>
      </c>
    </row>
    <row r="373" spans="1:14" x14ac:dyDescent="0.2">
      <c r="A373" s="46" t="str">
        <f t="shared" si="55"/>
        <v>UNMETERED SCATTERED LOAD SERVICE CLASSIFICATION</v>
      </c>
      <c r="C373" s="115"/>
      <c r="D373" s="116" t="s">
        <v>169</v>
      </c>
      <c r="E373" s="117"/>
      <c r="F373" s="127">
        <v>0</v>
      </c>
      <c r="G373" s="119">
        <f>IF($E361&gt;0, $E361, $E360)</f>
        <v>100</v>
      </c>
      <c r="H373" s="120">
        <f t="shared" si="53"/>
        <v>0</v>
      </c>
      <c r="I373" s="127">
        <v>0</v>
      </c>
      <c r="J373" s="122">
        <f>IF($E361&gt;0, $E361, $E360)</f>
        <v>100</v>
      </c>
      <c r="K373" s="123">
        <f t="shared" si="56"/>
        <v>0</v>
      </c>
      <c r="L373" s="124">
        <f t="shared" si="52"/>
        <v>0</v>
      </c>
      <c r="M373" s="125" t="str">
        <f t="shared" si="54"/>
        <v/>
      </c>
    </row>
    <row r="374" spans="1:14" x14ac:dyDescent="0.2">
      <c r="A374" s="46" t="str">
        <f t="shared" si="55"/>
        <v>UNMETERED SCATTERED LOAD SERVICE CLASSIFICATION</v>
      </c>
      <c r="B374" s="46" t="s">
        <v>170</v>
      </c>
      <c r="C374" s="115">
        <f>B35</f>
        <v>6</v>
      </c>
      <c r="D374" s="129" t="s">
        <v>171</v>
      </c>
      <c r="E374" s="130"/>
      <c r="F374" s="134"/>
      <c r="G374" s="132"/>
      <c r="H374" s="133">
        <f>SUM(H368:H373)</f>
        <v>8.3800000000000008</v>
      </c>
      <c r="I374" s="134"/>
      <c r="J374" s="135"/>
      <c r="K374" s="133">
        <f>SUM(K368:K373)</f>
        <v>8.3800000000000008</v>
      </c>
      <c r="L374" s="136">
        <f t="shared" si="52"/>
        <v>0</v>
      </c>
      <c r="M374" s="137">
        <f>IF((H374)=0,"",(L374/H374))</f>
        <v>0</v>
      </c>
    </row>
    <row r="375" spans="1:14" x14ac:dyDescent="0.2">
      <c r="A375" s="46" t="str">
        <f t="shared" si="55"/>
        <v>UNMETERED SCATTERED LOAD SERVICE CLASSIFICATION</v>
      </c>
      <c r="C375" s="115"/>
      <c r="D375" s="138" t="s">
        <v>172</v>
      </c>
      <c r="E375" s="117"/>
      <c r="F375" s="127">
        <f>IF((E360*12&gt;=150000), 0, IF(E359="RPP",(F391*0.64+F392*0.18+F393*0.18),IF(E359="Non-RPP (Retailer)",F394,F395)))</f>
        <v>9.2899999999999996E-2</v>
      </c>
      <c r="G375" s="139">
        <f>IF(F375=0, 0, $E360*E362-E360)</f>
        <v>3.0699999999999932</v>
      </c>
      <c r="H375" s="120">
        <f>G375*F375</f>
        <v>0.28520299999999937</v>
      </c>
      <c r="I375" s="127">
        <f>IF((E360*12&gt;=150000), 0, IF(E359="RPP",(I391*0.64+I392*0.18+I393*0.18),IF(E359="Non-RPP (Retailer)",I394,I395)))</f>
        <v>9.2899999999999996E-2</v>
      </c>
      <c r="J375" s="140">
        <f>IF(I375=0, 0, E360*E363-E360)</f>
        <v>3.0699999999999932</v>
      </c>
      <c r="K375" s="123">
        <f>J375*I375</f>
        <v>0.28520299999999937</v>
      </c>
      <c r="L375" s="124">
        <f>K375-H375</f>
        <v>0</v>
      </c>
      <c r="M375" s="125">
        <f>IF(ISERROR(L375/H375), "", L375/H375)</f>
        <v>0</v>
      </c>
    </row>
    <row r="376" spans="1:14" ht="25.5" x14ac:dyDescent="0.2">
      <c r="A376" s="46" t="str">
        <f t="shared" si="55"/>
        <v>UNMETERED SCATTERED LOAD SERVICE CLASSIFICATION</v>
      </c>
      <c r="C376" s="115"/>
      <c r="D376" s="138" t="s">
        <v>173</v>
      </c>
      <c r="E376" s="117"/>
      <c r="F376" s="127">
        <v>1.5E-3</v>
      </c>
      <c r="G376" s="141">
        <f>IF($E361&gt;0, $E361, $E360)</f>
        <v>100</v>
      </c>
      <c r="H376" s="120">
        <f t="shared" si="53"/>
        <v>0.15</v>
      </c>
      <c r="I376" s="127">
        <f>'Proposed Tariff'!D211+'Proposed Tariff'!D213</f>
        <v>3.5000000000000001E-3</v>
      </c>
      <c r="J376" s="142">
        <f>IF($E361&gt;0, $E361, $E360)</f>
        <v>100</v>
      </c>
      <c r="K376" s="123">
        <f t="shared" si="56"/>
        <v>0.35000000000000003</v>
      </c>
      <c r="L376" s="124">
        <f t="shared" si="52"/>
        <v>0.20000000000000004</v>
      </c>
      <c r="M376" s="125">
        <f t="shared" si="54"/>
        <v>1.3333333333333337</v>
      </c>
    </row>
    <row r="377" spans="1:14" x14ac:dyDescent="0.2">
      <c r="A377" s="46" t="str">
        <f t="shared" si="55"/>
        <v>UNMETERED SCATTERED LOAD SERVICE CLASSIFICATION</v>
      </c>
      <c r="C377" s="115"/>
      <c r="D377" s="138" t="s">
        <v>174</v>
      </c>
      <c r="E377" s="117"/>
      <c r="F377" s="127">
        <v>0</v>
      </c>
      <c r="G377" s="141">
        <f>IF($E361&gt;0, $E361, $E360)</f>
        <v>100</v>
      </c>
      <c r="H377" s="120">
        <f>G377*F377</f>
        <v>0</v>
      </c>
      <c r="I377" s="127">
        <f>'Proposed Tariff'!D212</f>
        <v>-1E-4</v>
      </c>
      <c r="J377" s="142">
        <f>IF($E361&gt;0, $E361, $E360)</f>
        <v>100</v>
      </c>
      <c r="K377" s="123">
        <f>J377*I377</f>
        <v>-0.01</v>
      </c>
      <c r="L377" s="124">
        <f t="shared" si="52"/>
        <v>-0.01</v>
      </c>
      <c r="M377" s="125" t="str">
        <f t="shared" si="54"/>
        <v/>
      </c>
    </row>
    <row r="378" spans="1:14" x14ac:dyDescent="0.2">
      <c r="A378" s="46" t="str">
        <f t="shared" si="55"/>
        <v>UNMETERED SCATTERED LOAD SERVICE CLASSIFICATION</v>
      </c>
      <c r="C378" s="115"/>
      <c r="D378" s="138" t="s">
        <v>175</v>
      </c>
      <c r="E378" s="117"/>
      <c r="F378" s="127">
        <v>0</v>
      </c>
      <c r="G378" s="141">
        <f>E360</f>
        <v>100</v>
      </c>
      <c r="H378" s="120">
        <f>G378*F378</f>
        <v>0</v>
      </c>
      <c r="I378" s="127">
        <f>'Proposed Tariff'!D210</f>
        <v>-4.4999999999999997E-3</v>
      </c>
      <c r="J378" s="142">
        <f>E360</f>
        <v>100</v>
      </c>
      <c r="K378" s="123">
        <f t="shared" si="56"/>
        <v>-0.44999999999999996</v>
      </c>
      <c r="L378" s="124">
        <f t="shared" si="52"/>
        <v>-0.44999999999999996</v>
      </c>
      <c r="M378" s="125" t="str">
        <f t="shared" si="54"/>
        <v/>
      </c>
    </row>
    <row r="379" spans="1:14" x14ac:dyDescent="0.2">
      <c r="A379" s="46" t="str">
        <f t="shared" si="55"/>
        <v>UNMETERED SCATTERED LOAD SERVICE CLASSIFICATION</v>
      </c>
      <c r="C379" s="115"/>
      <c r="D379" s="116" t="s">
        <v>176</v>
      </c>
      <c r="E379" s="117"/>
      <c r="F379" s="127">
        <v>2.9999999999999997E-4</v>
      </c>
      <c r="G379" s="141">
        <f>IF($E361&gt;0, $E361, $E360)</f>
        <v>100</v>
      </c>
      <c r="H379" s="120">
        <f t="shared" si="53"/>
        <v>0.03</v>
      </c>
      <c r="I379" s="127">
        <v>2.9999999999999997E-4</v>
      </c>
      <c r="J379" s="142">
        <f>IF($E361&gt;0, $E361, $E360)</f>
        <v>100</v>
      </c>
      <c r="K379" s="123">
        <f t="shared" si="56"/>
        <v>0.03</v>
      </c>
      <c r="L379" s="124">
        <f t="shared" si="52"/>
        <v>0</v>
      </c>
      <c r="M379" s="125">
        <f t="shared" si="54"/>
        <v>0</v>
      </c>
    </row>
    <row r="380" spans="1:14" ht="25.5" x14ac:dyDescent="0.2">
      <c r="A380" s="46" t="str">
        <f t="shared" si="55"/>
        <v>UNMETERED SCATTERED LOAD SERVICE CLASSIFICATION</v>
      </c>
      <c r="C380" s="115"/>
      <c r="D380" s="138" t="s">
        <v>177</v>
      </c>
      <c r="E380" s="117"/>
      <c r="F380" s="144">
        <f>IF(OR(ISNUMBER(SEARCH("RESIDENTIAL", B358))=TRUE, ISNUMBER(SEARCH("GENERAL SERVICE LESS THAN 50", B358))=TRUE), SME, 0)</f>
        <v>0</v>
      </c>
      <c r="G380" s="119">
        <v>1</v>
      </c>
      <c r="H380" s="120">
        <f>G380*F380</f>
        <v>0</v>
      </c>
      <c r="I380" s="144">
        <f>IF(OR(ISNUMBER(SEARCH("RESIDENTIAL", E358))=TRUE, ISNUMBER(SEARCH("GENERAL SERVICE LESS THAN 50", E358))=TRUE), SME, 0)</f>
        <v>0</v>
      </c>
      <c r="J380" s="128">
        <v>1</v>
      </c>
      <c r="K380" s="123">
        <f>J380*I380</f>
        <v>0</v>
      </c>
      <c r="L380" s="124">
        <f t="shared" si="52"/>
        <v>0</v>
      </c>
      <c r="M380" s="125" t="str">
        <f>IF(ISERROR(L380/H380), "", L380/H380)</f>
        <v/>
      </c>
    </row>
    <row r="381" spans="1:14" x14ac:dyDescent="0.2">
      <c r="A381" s="46" t="str">
        <f t="shared" si="55"/>
        <v>UNMETERED SCATTERED LOAD SERVICE CLASSIFICATION</v>
      </c>
      <c r="C381" s="115"/>
      <c r="D381" s="116" t="s">
        <v>178</v>
      </c>
      <c r="E381" s="117"/>
      <c r="F381" s="121">
        <v>0</v>
      </c>
      <c r="G381" s="119">
        <v>1</v>
      </c>
      <c r="H381" s="120">
        <f t="shared" si="53"/>
        <v>0</v>
      </c>
      <c r="I381" s="121">
        <v>0</v>
      </c>
      <c r="J381" s="128">
        <v>1</v>
      </c>
      <c r="K381" s="123">
        <f>J381*I381</f>
        <v>0</v>
      </c>
      <c r="L381" s="124">
        <f>K381-H381</f>
        <v>0</v>
      </c>
      <c r="M381" s="125" t="str">
        <f>IF(ISERROR(L381/H381), "", L381/H381)</f>
        <v/>
      </c>
    </row>
    <row r="382" spans="1:14" x14ac:dyDescent="0.2">
      <c r="A382" s="46" t="str">
        <f t="shared" si="55"/>
        <v>UNMETERED SCATTERED LOAD SERVICE CLASSIFICATION</v>
      </c>
      <c r="C382" s="115"/>
      <c r="D382" s="116" t="s">
        <v>179</v>
      </c>
      <c r="E382" s="117"/>
      <c r="F382" s="127">
        <v>0</v>
      </c>
      <c r="G382" s="141">
        <f>IF($E361&gt;0, $E361, $E360)</f>
        <v>100</v>
      </c>
      <c r="H382" s="120">
        <f>G382*F382</f>
        <v>0</v>
      </c>
      <c r="I382" s="127">
        <v>0</v>
      </c>
      <c r="J382" s="142">
        <f>IF($E361&gt;0, $E361, $E360)</f>
        <v>100</v>
      </c>
      <c r="K382" s="123">
        <f>J382*I382</f>
        <v>0</v>
      </c>
      <c r="L382" s="124">
        <f t="shared" si="52"/>
        <v>0</v>
      </c>
      <c r="M382" s="125" t="str">
        <f>IF(ISERROR(L382/H382), "", L382/H382)</f>
        <v/>
      </c>
    </row>
    <row r="383" spans="1:14" ht="25.5" x14ac:dyDescent="0.2">
      <c r="A383" s="46" t="str">
        <f t="shared" si="55"/>
        <v>UNMETERED SCATTERED LOAD SERVICE CLASSIFICATION</v>
      </c>
      <c r="B383" s="46" t="s">
        <v>180</v>
      </c>
      <c r="C383" s="115">
        <f>B35</f>
        <v>6</v>
      </c>
      <c r="D383" s="145" t="s">
        <v>181</v>
      </c>
      <c r="E383" s="146"/>
      <c r="F383" s="150"/>
      <c r="G383" s="148"/>
      <c r="H383" s="149">
        <f>SUM(H374:H382)</f>
        <v>8.8452029999999997</v>
      </c>
      <c r="I383" s="150"/>
      <c r="J383" s="151"/>
      <c r="K383" s="149">
        <f>SUM(K374:K382)</f>
        <v>8.5852029999999999</v>
      </c>
      <c r="L383" s="136">
        <f t="shared" si="52"/>
        <v>-0.25999999999999979</v>
      </c>
      <c r="M383" s="137">
        <f>IF((H383)=0,"",(L383/H383))</f>
        <v>-2.9394463869285962E-2</v>
      </c>
    </row>
    <row r="384" spans="1:14" x14ac:dyDescent="0.2">
      <c r="A384" s="46" t="str">
        <f t="shared" si="55"/>
        <v>UNMETERED SCATTERED LOAD SERVICE CLASSIFICATION</v>
      </c>
      <c r="C384" s="115"/>
      <c r="D384" s="152" t="s">
        <v>182</v>
      </c>
      <c r="E384" s="117"/>
      <c r="F384" s="153">
        <v>7.7999999999999996E-3</v>
      </c>
      <c r="G384" s="139">
        <f>IF($E361&gt;0, $E361, $E360*$E362)</f>
        <v>103.07</v>
      </c>
      <c r="H384" s="120">
        <f>G384*F384</f>
        <v>0.80394599999999994</v>
      </c>
      <c r="I384" s="153">
        <v>7.7999999999999996E-3</v>
      </c>
      <c r="J384" s="140">
        <f>IF($E361&gt;0, $E361, $E360*$E363)</f>
        <v>103.07</v>
      </c>
      <c r="K384" s="123">
        <f>J384*I384</f>
        <v>0.80394599999999994</v>
      </c>
      <c r="L384" s="124">
        <f t="shared" si="52"/>
        <v>0</v>
      </c>
      <c r="M384" s="125">
        <f>IF(ISERROR(L384/H384), "", L384/H384)</f>
        <v>0</v>
      </c>
      <c r="N384" s="154" t="str">
        <f>IF(ISERROR(ABS(M384)), "", IF(ABS(M384)&gt;=4%, "In the manager's summary, discuss the reasoning for the change in RTSR rates", ""))</f>
        <v/>
      </c>
    </row>
    <row r="385" spans="1:14" ht="25.5" x14ac:dyDescent="0.2">
      <c r="A385" s="46" t="str">
        <f t="shared" si="55"/>
        <v>UNMETERED SCATTERED LOAD SERVICE CLASSIFICATION</v>
      </c>
      <c r="C385" s="115"/>
      <c r="D385" s="155" t="s">
        <v>183</v>
      </c>
      <c r="E385" s="117"/>
      <c r="F385" s="153">
        <v>4.4000000000000003E-3</v>
      </c>
      <c r="G385" s="139">
        <f>IF($E361&gt;0, $E361, $E360*$E362)</f>
        <v>103.07</v>
      </c>
      <c r="H385" s="120">
        <f>G385*F385</f>
        <v>0.45350800000000002</v>
      </c>
      <c r="I385" s="153">
        <v>4.4000000000000003E-3</v>
      </c>
      <c r="J385" s="140">
        <f>IF($E361&gt;0, $E361, $E360*$E363)</f>
        <v>103.07</v>
      </c>
      <c r="K385" s="123">
        <f>J385*I385</f>
        <v>0.45350800000000002</v>
      </c>
      <c r="L385" s="124">
        <f t="shared" si="52"/>
        <v>0</v>
      </c>
      <c r="M385" s="125">
        <f>IF(ISERROR(L385/H385), "", L385/H385)</f>
        <v>0</v>
      </c>
      <c r="N385" s="154" t="str">
        <f>IF(ISERROR(ABS(M385)), "", IF(ABS(M385)&gt;=4%, "In the manager's summary, discuss the reasoning for the change in RTSR rates", ""))</f>
        <v/>
      </c>
    </row>
    <row r="386" spans="1:14" ht="25.5" x14ac:dyDescent="0.2">
      <c r="A386" s="46" t="str">
        <f t="shared" si="55"/>
        <v>UNMETERED SCATTERED LOAD SERVICE CLASSIFICATION</v>
      </c>
      <c r="B386" s="46" t="s">
        <v>184</v>
      </c>
      <c r="C386" s="115">
        <f>B35</f>
        <v>6</v>
      </c>
      <c r="D386" s="145" t="s">
        <v>185</v>
      </c>
      <c r="E386" s="130"/>
      <c r="F386" s="150"/>
      <c r="G386" s="148"/>
      <c r="H386" s="149">
        <f>SUM(H383:H385)</f>
        <v>10.102656999999999</v>
      </c>
      <c r="I386" s="150"/>
      <c r="J386" s="135"/>
      <c r="K386" s="149">
        <f>SUM(K383:K385)</f>
        <v>9.8426569999999991</v>
      </c>
      <c r="L386" s="136">
        <f t="shared" si="52"/>
        <v>-0.25999999999999979</v>
      </c>
      <c r="M386" s="137">
        <f>IF((H386)=0,"",(L386/H386))</f>
        <v>-2.5735803957315371E-2</v>
      </c>
    </row>
    <row r="387" spans="1:14" ht="25.5" x14ac:dyDescent="0.2">
      <c r="A387" s="46" t="str">
        <f t="shared" si="55"/>
        <v>UNMETERED SCATTERED LOAD SERVICE CLASSIFICATION</v>
      </c>
      <c r="C387" s="115"/>
      <c r="D387" s="156" t="s">
        <v>186</v>
      </c>
      <c r="E387" s="117"/>
      <c r="F387" s="127">
        <f>'[1]17. Regulatory Charges'!$E$15+'[1]17. Regulatory Charges'!$E$16</f>
        <v>3.4000000000000002E-3</v>
      </c>
      <c r="G387" s="139">
        <f>E360*E362</f>
        <v>103.07</v>
      </c>
      <c r="H387" s="157">
        <f t="shared" ref="H387:H393" si="57">G387*F387</f>
        <v>0.35043800000000003</v>
      </c>
      <c r="I387" s="127">
        <f>'[1]17. Regulatory Charges'!$E$15+'[1]17. Regulatory Charges'!$E$16</f>
        <v>3.4000000000000002E-3</v>
      </c>
      <c r="J387" s="140">
        <f>E360*E363</f>
        <v>103.07</v>
      </c>
      <c r="K387" s="123">
        <f t="shared" ref="K387:K393" si="58">J387*I387</f>
        <v>0.35043800000000003</v>
      </c>
      <c r="L387" s="124">
        <f t="shared" si="52"/>
        <v>0</v>
      </c>
      <c r="M387" s="125">
        <f t="shared" ref="M387:M395" si="59">IF(ISERROR(L387/H387), "", L387/H387)</f>
        <v>0</v>
      </c>
    </row>
    <row r="388" spans="1:14" ht="25.5" x14ac:dyDescent="0.2">
      <c r="A388" s="46" t="str">
        <f t="shared" si="55"/>
        <v>UNMETERED SCATTERED LOAD SERVICE CLASSIFICATION</v>
      </c>
      <c r="C388" s="115"/>
      <c r="D388" s="156" t="s">
        <v>187</v>
      </c>
      <c r="E388" s="117"/>
      <c r="F388" s="127">
        <f>'[1]17. Regulatory Charges'!$E$17</f>
        <v>5.0000000000000001E-4</v>
      </c>
      <c r="G388" s="139">
        <f>E360*E362</f>
        <v>103.07</v>
      </c>
      <c r="H388" s="157">
        <f t="shared" si="57"/>
        <v>5.1534999999999997E-2</v>
      </c>
      <c r="I388" s="127">
        <f>'[1]17. Regulatory Charges'!$E$17</f>
        <v>5.0000000000000001E-4</v>
      </c>
      <c r="J388" s="140">
        <f>E360*E363</f>
        <v>103.07</v>
      </c>
      <c r="K388" s="123">
        <f t="shared" si="58"/>
        <v>5.1534999999999997E-2</v>
      </c>
      <c r="L388" s="124">
        <f t="shared" si="52"/>
        <v>0</v>
      </c>
      <c r="M388" s="125">
        <f t="shared" si="59"/>
        <v>0</v>
      </c>
    </row>
    <row r="389" spans="1:14" x14ac:dyDescent="0.2">
      <c r="A389" s="46" t="str">
        <f t="shared" si="55"/>
        <v>UNMETERED SCATTERED LOAD SERVICE CLASSIFICATION</v>
      </c>
      <c r="C389" s="115"/>
      <c r="D389" s="158" t="s">
        <v>188</v>
      </c>
      <c r="E389" s="117"/>
      <c r="F389" s="144">
        <f>'[1]17. Regulatory Charges'!$E$18</f>
        <v>0.25</v>
      </c>
      <c r="G389" s="119">
        <v>1</v>
      </c>
      <c r="H389" s="157">
        <f t="shared" si="57"/>
        <v>0.25</v>
      </c>
      <c r="I389" s="144">
        <f>'[1]17. Regulatory Charges'!$E$18</f>
        <v>0.25</v>
      </c>
      <c r="J389" s="122">
        <v>1</v>
      </c>
      <c r="K389" s="123">
        <f t="shared" si="58"/>
        <v>0.25</v>
      </c>
      <c r="L389" s="124">
        <f t="shared" si="52"/>
        <v>0</v>
      </c>
      <c r="M389" s="125">
        <f t="shared" si="59"/>
        <v>0</v>
      </c>
    </row>
    <row r="390" spans="1:14" ht="25.5" hidden="1" x14ac:dyDescent="0.2">
      <c r="A390" s="46" t="str">
        <f t="shared" si="55"/>
        <v>UNMETERED SCATTERED LOAD SERVICE CLASSIFICATION</v>
      </c>
      <c r="C390" s="115"/>
      <c r="D390" s="156" t="s">
        <v>189</v>
      </c>
      <c r="E390" s="117"/>
      <c r="F390" s="127"/>
      <c r="G390" s="139"/>
      <c r="H390" s="157"/>
      <c r="I390" s="127"/>
      <c r="J390" s="140"/>
      <c r="K390" s="123"/>
      <c r="L390" s="124"/>
      <c r="M390" s="125"/>
    </row>
    <row r="391" spans="1:14" x14ac:dyDescent="0.2">
      <c r="A391" s="46" t="str">
        <f t="shared" si="55"/>
        <v>UNMETERED SCATTERED LOAD SERVICE CLASSIFICATION</v>
      </c>
      <c r="B391" s="46" t="s">
        <v>139</v>
      </c>
      <c r="C391" s="115"/>
      <c r="D391" s="158" t="s">
        <v>190</v>
      </c>
      <c r="E391" s="117"/>
      <c r="F391" s="161">
        <f>OffPeak</f>
        <v>7.3999999999999996E-2</v>
      </c>
      <c r="G391" s="160">
        <f>IF(AND(E360*12&gt;=150000),0.64*E360*E362,0.64*E360)</f>
        <v>64</v>
      </c>
      <c r="H391" s="157">
        <f t="shared" si="57"/>
        <v>4.7359999999999998</v>
      </c>
      <c r="I391" s="161">
        <f>OffPeak</f>
        <v>7.3999999999999996E-2</v>
      </c>
      <c r="J391" s="162">
        <f>IF(AND(E360*12&gt;=150000),0.64*E360*E363,0.64*E360)</f>
        <v>64</v>
      </c>
      <c r="K391" s="123">
        <f t="shared" si="58"/>
        <v>4.7359999999999998</v>
      </c>
      <c r="L391" s="124">
        <f>K391-H391</f>
        <v>0</v>
      </c>
      <c r="M391" s="125">
        <f t="shared" si="59"/>
        <v>0</v>
      </c>
    </row>
    <row r="392" spans="1:14" x14ac:dyDescent="0.2">
      <c r="A392" s="46" t="str">
        <f t="shared" si="55"/>
        <v>UNMETERED SCATTERED LOAD SERVICE CLASSIFICATION</v>
      </c>
      <c r="B392" s="46" t="s">
        <v>139</v>
      </c>
      <c r="C392" s="115"/>
      <c r="D392" s="158" t="s">
        <v>191</v>
      </c>
      <c r="E392" s="117"/>
      <c r="F392" s="161">
        <f>MidPeak</f>
        <v>0.10199999999999999</v>
      </c>
      <c r="G392" s="160">
        <f>IF(AND(E360*12&gt;=150000),0.18*E360*E362,0.18*E360)</f>
        <v>18</v>
      </c>
      <c r="H392" s="157">
        <f t="shared" si="57"/>
        <v>1.8359999999999999</v>
      </c>
      <c r="I392" s="161">
        <f>MidPeak</f>
        <v>0.10199999999999999</v>
      </c>
      <c r="J392" s="162">
        <f>IF(AND(E360*12&gt;=150000),0.18*E360*E363,0.18*E360)</f>
        <v>18</v>
      </c>
      <c r="K392" s="123">
        <f t="shared" si="58"/>
        <v>1.8359999999999999</v>
      </c>
      <c r="L392" s="124">
        <f>K392-H392</f>
        <v>0</v>
      </c>
      <c r="M392" s="125">
        <f t="shared" si="59"/>
        <v>0</v>
      </c>
    </row>
    <row r="393" spans="1:14" ht="13.5" thickBot="1" x14ac:dyDescent="0.25">
      <c r="A393" s="46" t="str">
        <f t="shared" si="55"/>
        <v>UNMETERED SCATTERED LOAD SERVICE CLASSIFICATION</v>
      </c>
      <c r="B393" s="46" t="s">
        <v>139</v>
      </c>
      <c r="C393" s="115"/>
      <c r="D393" s="46" t="s">
        <v>192</v>
      </c>
      <c r="E393" s="117"/>
      <c r="F393" s="161">
        <f>OnPeak</f>
        <v>0.151</v>
      </c>
      <c r="G393" s="160">
        <f>IF(AND(E360*12&gt;=150000),0.18*E360*E362,0.18*E360)</f>
        <v>18</v>
      </c>
      <c r="H393" s="157">
        <f t="shared" si="57"/>
        <v>2.718</v>
      </c>
      <c r="I393" s="161">
        <f>OnPeak</f>
        <v>0.151</v>
      </c>
      <c r="J393" s="162">
        <f>IF(AND(E360*12&gt;=150000),0.18*E360*E363,0.18*E360)</f>
        <v>18</v>
      </c>
      <c r="K393" s="123">
        <f t="shared" si="58"/>
        <v>2.718</v>
      </c>
      <c r="L393" s="124">
        <f>K393-H393</f>
        <v>0</v>
      </c>
      <c r="M393" s="125">
        <f t="shared" si="59"/>
        <v>0</v>
      </c>
    </row>
    <row r="394" spans="1:14" ht="13.5" hidden="1" thickBot="1" x14ac:dyDescent="0.25">
      <c r="A394" s="46" t="str">
        <f t="shared" si="55"/>
        <v>UNMETERED SCATTERED LOAD SERVICE CLASSIFICATION</v>
      </c>
      <c r="B394" s="46" t="s">
        <v>141</v>
      </c>
      <c r="C394" s="115"/>
      <c r="D394" s="158" t="s">
        <v>193</v>
      </c>
      <c r="E394" s="117"/>
      <c r="F394" s="164">
        <f>C394</f>
        <v>0</v>
      </c>
      <c r="G394" s="160">
        <f>IF(AND(E360*12&gt;=150000),E360*E362,E360)</f>
        <v>100</v>
      </c>
      <c r="H394" s="157">
        <f>G394*F394</f>
        <v>0</v>
      </c>
      <c r="I394" s="164">
        <f>F394</f>
        <v>0</v>
      </c>
      <c r="J394" s="162">
        <f>IF(AND(E360*12&gt;=150000),E360*E363,E360)</f>
        <v>100</v>
      </c>
      <c r="K394" s="123">
        <f>J394*I394</f>
        <v>0</v>
      </c>
      <c r="L394" s="124">
        <f>K394-H394</f>
        <v>0</v>
      </c>
      <c r="M394" s="125" t="str">
        <f t="shared" si="59"/>
        <v/>
      </c>
    </row>
    <row r="395" spans="1:14" ht="13.5" hidden="1" thickBot="1" x14ac:dyDescent="0.25">
      <c r="A395" s="46" t="str">
        <f t="shared" si="55"/>
        <v>UNMETERED SCATTERED LOAD SERVICE CLASSIFICATION</v>
      </c>
      <c r="B395" s="46" t="s">
        <v>140</v>
      </c>
      <c r="C395" s="115"/>
      <c r="D395" s="158" t="s">
        <v>194</v>
      </c>
      <c r="E395" s="117"/>
      <c r="F395" s="164">
        <f>C395</f>
        <v>0</v>
      </c>
      <c r="G395" s="160">
        <f>IF(AND(E360*12&gt;=150000),E360*E362,E360)</f>
        <v>100</v>
      </c>
      <c r="H395" s="157">
        <f>G395*F395</f>
        <v>0</v>
      </c>
      <c r="I395" s="164">
        <f>F395</f>
        <v>0</v>
      </c>
      <c r="J395" s="162">
        <f>IF(AND(E360*12&gt;=150000),E360*E363,E360)</f>
        <v>100</v>
      </c>
      <c r="K395" s="123">
        <f>J395*I395</f>
        <v>0</v>
      </c>
      <c r="L395" s="124">
        <f>K395-H395</f>
        <v>0</v>
      </c>
      <c r="M395" s="125" t="str">
        <f t="shared" si="59"/>
        <v/>
      </c>
    </row>
    <row r="396" spans="1:14" ht="13.5" thickBot="1" x14ac:dyDescent="0.25">
      <c r="A396" s="46" t="str">
        <f t="shared" si="55"/>
        <v>UNMETERED SCATTERED LOAD SERVICE CLASSIFICATION</v>
      </c>
      <c r="C396" s="115"/>
      <c r="D396" s="165"/>
      <c r="E396" s="166"/>
      <c r="F396" s="167"/>
      <c r="G396" s="168"/>
      <c r="H396" s="169"/>
      <c r="I396" s="167"/>
      <c r="J396" s="170"/>
      <c r="K396" s="169"/>
      <c r="L396" s="171"/>
      <c r="M396" s="172"/>
    </row>
    <row r="397" spans="1:14" x14ac:dyDescent="0.2">
      <c r="A397" s="46" t="str">
        <f t="shared" si="55"/>
        <v>UNMETERED SCATTERED LOAD SERVICE CLASSIFICATION</v>
      </c>
      <c r="B397" s="46" t="s">
        <v>139</v>
      </c>
      <c r="C397" s="115"/>
      <c r="D397" s="173" t="s">
        <v>195</v>
      </c>
      <c r="E397" s="158"/>
      <c r="F397" s="177"/>
      <c r="G397" s="175"/>
      <c r="H397" s="176">
        <f>SUM(H387:H393,H386)</f>
        <v>20.044629999999998</v>
      </c>
      <c r="I397" s="177"/>
      <c r="J397" s="177"/>
      <c r="K397" s="176">
        <f>SUM(K387:K393,K386)</f>
        <v>19.78463</v>
      </c>
      <c r="L397" s="178">
        <f>K397-H397</f>
        <v>-0.25999999999999801</v>
      </c>
      <c r="M397" s="179">
        <f>IF((H397)=0,"",(L397/H397))</f>
        <v>-1.2971055090565306E-2</v>
      </c>
    </row>
    <row r="398" spans="1:14" x14ac:dyDescent="0.2">
      <c r="A398" s="46" t="str">
        <f t="shared" si="55"/>
        <v>UNMETERED SCATTERED LOAD SERVICE CLASSIFICATION</v>
      </c>
      <c r="B398" s="46" t="s">
        <v>139</v>
      </c>
      <c r="C398" s="115"/>
      <c r="D398" s="180" t="s">
        <v>196</v>
      </c>
      <c r="E398" s="158"/>
      <c r="F398" s="183">
        <v>0.13</v>
      </c>
      <c r="G398" s="181"/>
      <c r="H398" s="182">
        <f>H397*F398</f>
        <v>2.6058018999999999</v>
      </c>
      <c r="I398" s="183">
        <v>0.13</v>
      </c>
      <c r="J398" s="119"/>
      <c r="K398" s="182">
        <f>K397*I398</f>
        <v>2.5720019000000001</v>
      </c>
      <c r="L398" s="124">
        <f>K398-H398</f>
        <v>-3.379999999999983E-2</v>
      </c>
      <c r="M398" s="184">
        <f>IF((H398)=0,"",(L398/H398))</f>
        <v>-1.2971055090565339E-2</v>
      </c>
    </row>
    <row r="399" spans="1:14" ht="15" x14ac:dyDescent="0.25">
      <c r="A399" s="46" t="str">
        <f t="shared" si="55"/>
        <v>UNMETERED SCATTERED LOAD SERVICE CLASSIFICATION</v>
      </c>
      <c r="B399" s="46" t="s">
        <v>139</v>
      </c>
      <c r="C399" s="115"/>
      <c r="D399" s="180" t="s">
        <v>197</v>
      </c>
      <c r="E399"/>
      <c r="F399" s="185">
        <v>0.11700000000000001</v>
      </c>
      <c r="G399" s="181"/>
      <c r="H399" s="182">
        <f>IF(OR(ISNUMBER(SEARCH("[DGEN]", E358))=TRUE, ISNUMBER(SEARCH("STREET LIGHT", E358))=TRUE), 0, IF(AND(E360=0, E361=0),0, IF(AND(E361=0, E360*12&gt;250000), 0, IF(AND(E360=0, E361&gt;=50), 0, IF(E360*12&lt;=250000, F399*H397*-1, IF(E361&lt;50, F399*H397*-1, 0))))))</f>
        <v>-2.3452217099999997</v>
      </c>
      <c r="I399" s="185">
        <v>0.11700000000000001</v>
      </c>
      <c r="J399" s="119"/>
      <c r="K399" s="182">
        <f>IF(OR(ISNUMBER(SEARCH("[DGEN]", E358))=TRUE, ISNUMBER(SEARCH("STREET LIGHT", E358))=TRUE), 0, IF(AND(E360=0, E361=0),0, IF(AND(E361=0, E360*12&gt;250000), 0, IF(AND(E360=0, E361&gt;=50), 0, IF(E360*12&lt;=250000, I399*K397*-1, IF(E361&lt;50, I399*K397*-1, 0))))))</f>
        <v>-2.3148017100000002</v>
      </c>
      <c r="L399" s="124">
        <f>K399-H399</f>
        <v>3.0419999999999447E-2</v>
      </c>
      <c r="M399" s="184"/>
    </row>
    <row r="400" spans="1:14" ht="13.5" thickBot="1" x14ac:dyDescent="0.25">
      <c r="A400" s="46" t="str">
        <f t="shared" si="55"/>
        <v>UNMETERED SCATTERED LOAD SERVICE CLASSIFICATION</v>
      </c>
      <c r="B400" s="46" t="s">
        <v>198</v>
      </c>
      <c r="C400" s="115">
        <f>B35</f>
        <v>6</v>
      </c>
      <c r="D400" s="186" t="s">
        <v>199</v>
      </c>
      <c r="E400" s="186"/>
      <c r="F400" s="187"/>
      <c r="G400" s="188"/>
      <c r="H400" s="189">
        <f>H397+H398+H399</f>
        <v>20.305210189999997</v>
      </c>
      <c r="I400" s="190"/>
      <c r="J400" s="190"/>
      <c r="K400" s="191">
        <f>K397+K398+K399</f>
        <v>20.041830189999999</v>
      </c>
      <c r="L400" s="192">
        <f>K400-H400</f>
        <v>-0.26337999999999795</v>
      </c>
      <c r="M400" s="193">
        <f>IF((H400)=0,"",(L400/H400))</f>
        <v>-1.2971055090565304E-2</v>
      </c>
    </row>
    <row r="401" spans="1:14" ht="13.5" thickBot="1" x14ac:dyDescent="0.25">
      <c r="A401" s="46" t="str">
        <f t="shared" si="55"/>
        <v>UNMETERED SCATTERED LOAD SERVICE CLASSIFICATION</v>
      </c>
      <c r="B401" s="46" t="s">
        <v>139</v>
      </c>
      <c r="C401" s="115"/>
      <c r="D401" s="165"/>
      <c r="E401" s="166"/>
      <c r="F401" s="167"/>
      <c r="G401" s="168"/>
      <c r="H401" s="169"/>
      <c r="I401" s="167"/>
      <c r="J401" s="170"/>
      <c r="K401" s="169"/>
      <c r="L401" s="171"/>
      <c r="M401" s="172"/>
    </row>
    <row r="402" spans="1:14" hidden="1" x14ac:dyDescent="0.2">
      <c r="A402" s="46" t="str">
        <f t="shared" si="55"/>
        <v>UNMETERED SCATTERED LOAD SERVICE CLASSIFICATION</v>
      </c>
      <c r="B402" s="46" t="s">
        <v>141</v>
      </c>
      <c r="C402" s="115"/>
      <c r="D402" s="173" t="s">
        <v>200</v>
      </c>
      <c r="E402" s="158"/>
      <c r="F402" s="174"/>
      <c r="G402" s="175"/>
      <c r="H402" s="176">
        <f>SUM(H394,H387:H390,H386)</f>
        <v>10.754629999999999</v>
      </c>
      <c r="I402" s="177"/>
      <c r="J402" s="177"/>
      <c r="K402" s="176">
        <f>SUM(K394,K387:K390,K386)</f>
        <v>10.494629999999999</v>
      </c>
      <c r="L402" s="178">
        <f>K402-H402</f>
        <v>-0.25999999999999979</v>
      </c>
      <c r="M402" s="179">
        <f>IF((H402)=0,"",(L402/H402))</f>
        <v>-2.4175634122233849E-2</v>
      </c>
    </row>
    <row r="403" spans="1:14" hidden="1" x14ac:dyDescent="0.2">
      <c r="A403" s="46" t="str">
        <f t="shared" si="55"/>
        <v>UNMETERED SCATTERED LOAD SERVICE CLASSIFICATION</v>
      </c>
      <c r="B403" s="46" t="s">
        <v>141</v>
      </c>
      <c r="C403" s="115"/>
      <c r="D403" s="180" t="s">
        <v>196</v>
      </c>
      <c r="E403" s="158"/>
      <c r="F403" s="174">
        <v>0.13</v>
      </c>
      <c r="G403" s="175"/>
      <c r="H403" s="182">
        <f>H402*F403</f>
        <v>1.3981018999999999</v>
      </c>
      <c r="I403" s="174">
        <v>0.13</v>
      </c>
      <c r="J403" s="183"/>
      <c r="K403" s="182">
        <f>K402*I403</f>
        <v>1.3643018999999998</v>
      </c>
      <c r="L403" s="124">
        <f>K403-H403</f>
        <v>-3.3800000000000052E-2</v>
      </c>
      <c r="M403" s="184">
        <f>IF((H403)=0,"",(L403/H403))</f>
        <v>-2.4175634122233905E-2</v>
      </c>
    </row>
    <row r="404" spans="1:14" ht="15" hidden="1" x14ac:dyDescent="0.25">
      <c r="A404" s="46" t="str">
        <f t="shared" si="55"/>
        <v>UNMETERED SCATTERED LOAD SERVICE CLASSIFICATION</v>
      </c>
      <c r="B404" s="46" t="s">
        <v>141</v>
      </c>
      <c r="C404" s="115"/>
      <c r="D404" s="180" t="s">
        <v>197</v>
      </c>
      <c r="E404"/>
      <c r="F404" s="185">
        <v>0.11700000000000001</v>
      </c>
      <c r="G404" s="175"/>
      <c r="H404" s="182">
        <f>IF(OR(ISNUMBER(SEARCH("[DGEN]", E358))=TRUE, ISNUMBER(SEARCH("STREET LIGHT", E358))=TRUE), 0, IF(AND(E360=0, E361=0),0, IF(AND(E361=0, E360*12&gt;250000), 0, IF(AND(E360=0, E361&gt;=50), 0, IF(E360*12&lt;=250000, F404*H402*-1, IF(E361&lt;50, F404*H402*-1, 0))))))</f>
        <v>-1.25829171</v>
      </c>
      <c r="I404" s="185">
        <v>0.11700000000000001</v>
      </c>
      <c r="J404" s="183"/>
      <c r="K404" s="182">
        <f>IF(OR(ISNUMBER(SEARCH("[DGEN]", E358))=TRUE, ISNUMBER(SEARCH("STREET LIGHT", E358))=TRUE), 0, IF(AND(E360=0, E361=0),0, IF(AND(E361=0, E360*12&gt;250000), 0, IF(AND(E360=0, E361&gt;=50), 0, IF(E360*12&lt;=250000, I404*K402*-1, IF(E361&lt;50, I404*K402*-1, 0))))))</f>
        <v>-1.2278717100000001</v>
      </c>
      <c r="L404" s="124"/>
      <c r="M404" s="184"/>
    </row>
    <row r="405" spans="1:14" hidden="1" x14ac:dyDescent="0.2">
      <c r="A405" s="46" t="str">
        <f t="shared" si="55"/>
        <v>UNMETERED SCATTERED LOAD SERVICE CLASSIFICATION</v>
      </c>
      <c r="B405" s="46" t="s">
        <v>201</v>
      </c>
      <c r="C405" s="115"/>
      <c r="D405" s="186" t="s">
        <v>200</v>
      </c>
      <c r="E405" s="186"/>
      <c r="F405" s="194"/>
      <c r="G405" s="195"/>
      <c r="H405" s="189">
        <f>SUM(H402,H403)</f>
        <v>12.152731899999999</v>
      </c>
      <c r="I405" s="196"/>
      <c r="J405" s="196"/>
      <c r="K405" s="189">
        <f>SUM(K402,K403)</f>
        <v>11.858931899999998</v>
      </c>
      <c r="L405" s="197">
        <f>K405-H405</f>
        <v>-0.29380000000000095</v>
      </c>
      <c r="M405" s="198">
        <f>IF((H405)=0,"",(L405/H405))</f>
        <v>-2.4175634122233947E-2</v>
      </c>
    </row>
    <row r="406" spans="1:14" ht="13.5" hidden="1" thickBot="1" x14ac:dyDescent="0.25">
      <c r="A406" s="46" t="str">
        <f t="shared" si="55"/>
        <v>UNMETERED SCATTERED LOAD SERVICE CLASSIFICATION</v>
      </c>
      <c r="B406" s="46" t="s">
        <v>141</v>
      </c>
      <c r="C406" s="115"/>
      <c r="D406" s="165"/>
      <c r="E406" s="166"/>
      <c r="F406" s="199"/>
      <c r="G406" s="200"/>
      <c r="H406" s="201"/>
      <c r="I406" s="199"/>
      <c r="J406" s="168"/>
      <c r="K406" s="201"/>
      <c r="L406" s="202"/>
      <c r="M406" s="172"/>
    </row>
    <row r="407" spans="1:14" hidden="1" x14ac:dyDescent="0.2">
      <c r="A407" s="46" t="str">
        <f t="shared" si="55"/>
        <v>UNMETERED SCATTERED LOAD SERVICE CLASSIFICATION</v>
      </c>
      <c r="B407" s="46" t="s">
        <v>140</v>
      </c>
      <c r="C407" s="115"/>
      <c r="D407" s="173" t="s">
        <v>202</v>
      </c>
      <c r="E407" s="158"/>
      <c r="F407" s="174"/>
      <c r="G407" s="175"/>
      <c r="H407" s="176">
        <f>SUM(H395,H387:H390,H386)</f>
        <v>10.754629999999999</v>
      </c>
      <c r="I407" s="177"/>
      <c r="J407" s="177"/>
      <c r="K407" s="176">
        <f>SUM(K395,K387:K390,K386)</f>
        <v>10.494629999999999</v>
      </c>
      <c r="L407" s="178">
        <f>K407-H407</f>
        <v>-0.25999999999999979</v>
      </c>
      <c r="M407" s="179">
        <f>IF((H407)=0,"",(L407/H407))</f>
        <v>-2.4175634122233849E-2</v>
      </c>
    </row>
    <row r="408" spans="1:14" hidden="1" x14ac:dyDescent="0.2">
      <c r="A408" s="46" t="str">
        <f t="shared" si="55"/>
        <v>UNMETERED SCATTERED LOAD SERVICE CLASSIFICATION</v>
      </c>
      <c r="B408" s="46" t="s">
        <v>140</v>
      </c>
      <c r="C408" s="115"/>
      <c r="D408" s="180" t="s">
        <v>196</v>
      </c>
      <c r="E408" s="158"/>
      <c r="F408" s="174">
        <v>0.13</v>
      </c>
      <c r="G408" s="175"/>
      <c r="H408" s="182">
        <f>H407*F408</f>
        <v>1.3981018999999999</v>
      </c>
      <c r="I408" s="174">
        <v>0.13</v>
      </c>
      <c r="J408" s="183"/>
      <c r="K408" s="182">
        <f>K407*I408</f>
        <v>1.3643018999999998</v>
      </c>
      <c r="L408" s="124">
        <f>K408-H408</f>
        <v>-3.3800000000000052E-2</v>
      </c>
      <c r="M408" s="184">
        <f>IF((H408)=0,"",(L408/H408))</f>
        <v>-2.4175634122233905E-2</v>
      </c>
    </row>
    <row r="409" spans="1:14" ht="15" hidden="1" x14ac:dyDescent="0.25">
      <c r="A409" s="46" t="str">
        <f t="shared" si="55"/>
        <v>UNMETERED SCATTERED LOAD SERVICE CLASSIFICATION</v>
      </c>
      <c r="B409" s="46" t="s">
        <v>140</v>
      </c>
      <c r="C409" s="115"/>
      <c r="D409" s="180" t="s">
        <v>197</v>
      </c>
      <c r="E409"/>
      <c r="F409" s="185">
        <v>0.11700000000000001</v>
      </c>
      <c r="G409" s="175"/>
      <c r="H409" s="182">
        <f>IF(OR(ISNUMBER(SEARCH("[DGEN]", E358))=TRUE, ISNUMBER(SEARCH("STREET LIGHT", E358))=TRUE), 0, IF(AND(E360=0, E361=0),0, IF(AND(E361=0, E360*12&gt;250000), 0, IF(AND(E360=0, E361&gt;=50), 0, IF(E360*12&lt;=250000, F409*H407*-1, IF(E361&lt;50, F409*H407*-1, 0))))))</f>
        <v>-1.25829171</v>
      </c>
      <c r="I409" s="185">
        <v>0.11700000000000001</v>
      </c>
      <c r="J409" s="183"/>
      <c r="K409" s="182">
        <f>IF(OR(ISNUMBER(SEARCH("[DGEN]", E358))=TRUE, ISNUMBER(SEARCH("STREET LIGHT", E358))=TRUE), 0, IF(AND(E360=0, E361=0),0, IF(AND(E361=0, E360*12&gt;250000), 0, IF(AND(E360=0, E361&gt;=50), 0, IF(E360*12&lt;=250000, I409*K407*-1, IF(E361&lt;50, I409*K407*-1, 0))))))</f>
        <v>-1.2278717100000001</v>
      </c>
      <c r="L409" s="124"/>
      <c r="M409" s="184"/>
    </row>
    <row r="410" spans="1:14" hidden="1" x14ac:dyDescent="0.2">
      <c r="A410" s="46" t="str">
        <f t="shared" si="55"/>
        <v>UNMETERED SCATTERED LOAD SERVICE CLASSIFICATION</v>
      </c>
      <c r="B410" s="46" t="s">
        <v>203</v>
      </c>
      <c r="C410" s="115"/>
      <c r="D410" s="186" t="s">
        <v>202</v>
      </c>
      <c r="E410" s="186"/>
      <c r="F410" s="194"/>
      <c r="G410" s="195"/>
      <c r="H410" s="189">
        <f>SUM(H407,H408)</f>
        <v>12.152731899999999</v>
      </c>
      <c r="I410" s="196"/>
      <c r="J410" s="196"/>
      <c r="K410" s="189">
        <f>SUM(K407,K408)</f>
        <v>11.858931899999998</v>
      </c>
      <c r="L410" s="197">
        <f>K410-H410</f>
        <v>-0.29380000000000095</v>
      </c>
      <c r="M410" s="198">
        <f>IF((H410)=0,"",(L410/H410))</f>
        <v>-2.4175634122233947E-2</v>
      </c>
    </row>
    <row r="411" spans="1:14" ht="13.5" hidden="1" thickBot="1" x14ac:dyDescent="0.25">
      <c r="A411" s="46" t="str">
        <f t="shared" si="55"/>
        <v>UNMETERED SCATTERED LOAD SERVICE CLASSIFICATION</v>
      </c>
      <c r="B411" s="46" t="s">
        <v>140</v>
      </c>
      <c r="C411" s="115"/>
      <c r="D411" s="165"/>
      <c r="E411" s="166"/>
      <c r="F411" s="203"/>
      <c r="G411" s="200"/>
      <c r="H411" s="204"/>
      <c r="I411" s="203"/>
      <c r="J411" s="168"/>
      <c r="K411" s="204"/>
      <c r="L411" s="202"/>
      <c r="M411" s="205"/>
    </row>
    <row r="414" spans="1:14" x14ac:dyDescent="0.2">
      <c r="C414" s="46"/>
      <c r="D414" s="90" t="s">
        <v>150</v>
      </c>
      <c r="E414" s="91" t="str">
        <f>D36</f>
        <v>STREET LIGHTING SERVICE CLASSIFICATION</v>
      </c>
      <c r="F414" s="91"/>
      <c r="G414" s="91"/>
      <c r="H414" s="91"/>
      <c r="I414" s="91"/>
      <c r="J414" s="91"/>
      <c r="K414" s="46" t="str">
        <f>IF(N36="DEMAND - INTERVAL","RTSR - INTERVAL METERED","")</f>
        <v/>
      </c>
    </row>
    <row r="415" spans="1:14" x14ac:dyDescent="0.2">
      <c r="C415" s="46"/>
      <c r="D415" s="90" t="s">
        <v>151</v>
      </c>
      <c r="E415" s="92" t="str">
        <f>H36</f>
        <v>Non-RPP (Other)</v>
      </c>
      <c r="F415" s="92"/>
      <c r="G415" s="92"/>
      <c r="H415" s="93"/>
      <c r="I415" s="93"/>
    </row>
    <row r="416" spans="1:14" ht="15.75" x14ac:dyDescent="0.2">
      <c r="C416" s="46"/>
      <c r="D416" s="90" t="s">
        <v>152</v>
      </c>
      <c r="E416" s="94">
        <f>K36</f>
        <v>400000</v>
      </c>
      <c r="F416" s="95" t="s">
        <v>153</v>
      </c>
      <c r="J416" s="96"/>
      <c r="K416" s="96"/>
      <c r="L416" s="96"/>
      <c r="M416" s="96"/>
      <c r="N416" s="96"/>
    </row>
    <row r="417" spans="1:13" ht="15.75" x14ac:dyDescent="0.25">
      <c r="C417" s="46"/>
      <c r="D417" s="90" t="s">
        <v>154</v>
      </c>
      <c r="E417" s="94">
        <f>L36</f>
        <v>700</v>
      </c>
      <c r="F417" s="97" t="s">
        <v>155</v>
      </c>
      <c r="G417" s="98"/>
      <c r="H417" s="99"/>
      <c r="I417" s="99"/>
      <c r="J417" s="99"/>
    </row>
    <row r="418" spans="1:13" x14ac:dyDescent="0.2">
      <c r="C418" s="46"/>
      <c r="D418" s="90" t="s">
        <v>156</v>
      </c>
      <c r="E418" s="100">
        <f>I36</f>
        <v>1.0306999999999999</v>
      </c>
    </row>
    <row r="419" spans="1:13" x14ac:dyDescent="0.2">
      <c r="C419" s="46"/>
      <c r="D419" s="90" t="s">
        <v>157</v>
      </c>
      <c r="E419" s="100">
        <f>J36</f>
        <v>1.0306999999999999</v>
      </c>
    </row>
    <row r="420" spans="1:13" x14ac:dyDescent="0.2">
      <c r="C420" s="46"/>
    </row>
    <row r="421" spans="1:13" x14ac:dyDescent="0.2">
      <c r="C421" s="46"/>
      <c r="E421" s="95"/>
      <c r="F421" s="101" t="s">
        <v>226</v>
      </c>
      <c r="G421" s="102"/>
      <c r="H421" s="103"/>
      <c r="I421" s="101" t="s">
        <v>205</v>
      </c>
      <c r="J421" s="102"/>
      <c r="K421" s="103"/>
      <c r="L421" s="101" t="s">
        <v>158</v>
      </c>
      <c r="M421" s="103"/>
    </row>
    <row r="422" spans="1:13" x14ac:dyDescent="0.2">
      <c r="C422" s="46"/>
      <c r="E422" s="104"/>
      <c r="F422" s="105" t="s">
        <v>159</v>
      </c>
      <c r="G422" s="105" t="s">
        <v>160</v>
      </c>
      <c r="H422" s="106" t="s">
        <v>161</v>
      </c>
      <c r="I422" s="105" t="s">
        <v>159</v>
      </c>
      <c r="J422" s="107" t="s">
        <v>160</v>
      </c>
      <c r="K422" s="106" t="s">
        <v>161</v>
      </c>
      <c r="L422" s="108" t="s">
        <v>162</v>
      </c>
      <c r="M422" s="109" t="s">
        <v>163</v>
      </c>
    </row>
    <row r="423" spans="1:13" x14ac:dyDescent="0.2">
      <c r="C423" s="46"/>
      <c r="E423" s="110"/>
      <c r="F423" s="111" t="s">
        <v>164</v>
      </c>
      <c r="G423" s="111"/>
      <c r="H423" s="112" t="s">
        <v>164</v>
      </c>
      <c r="I423" s="111" t="s">
        <v>164</v>
      </c>
      <c r="J423" s="112"/>
      <c r="K423" s="112" t="s">
        <v>164</v>
      </c>
      <c r="L423" s="113"/>
      <c r="M423" s="114"/>
    </row>
    <row r="424" spans="1:13" x14ac:dyDescent="0.2">
      <c r="A424" s="46" t="str">
        <f>$E414</f>
        <v>STREET LIGHTING SERVICE CLASSIFICATION</v>
      </c>
      <c r="C424" s="115"/>
      <c r="D424" s="116" t="s">
        <v>165</v>
      </c>
      <c r="E424" s="117"/>
      <c r="F424" s="121">
        <v>2.11</v>
      </c>
      <c r="G424" s="119">
        <v>547</v>
      </c>
      <c r="H424" s="120">
        <f>G424*F424</f>
        <v>1154.1699999999998</v>
      </c>
      <c r="I424" s="121">
        <v>2.11</v>
      </c>
      <c r="J424" s="122">
        <v>547</v>
      </c>
      <c r="K424" s="123">
        <f>J424*I424</f>
        <v>1154.1699999999998</v>
      </c>
      <c r="L424" s="124">
        <f t="shared" ref="L424:L445" si="60">K424-H424</f>
        <v>0</v>
      </c>
      <c r="M424" s="125">
        <f>IF(ISERROR(L424/H424), "", L424/H424)</f>
        <v>0</v>
      </c>
    </row>
    <row r="425" spans="1:13" x14ac:dyDescent="0.2">
      <c r="A425" s="46" t="str">
        <f>A424</f>
        <v>STREET LIGHTING SERVICE CLASSIFICATION</v>
      </c>
      <c r="C425" s="115"/>
      <c r="D425" s="116" t="s">
        <v>30</v>
      </c>
      <c r="E425" s="117"/>
      <c r="F425" s="127">
        <v>16.995000000000001</v>
      </c>
      <c r="G425" s="119">
        <f>IF($E417&gt;0, $E417, $E416)</f>
        <v>700</v>
      </c>
      <c r="H425" s="120">
        <f t="shared" ref="H425:H437" si="61">G425*F425</f>
        <v>11896.5</v>
      </c>
      <c r="I425" s="127">
        <v>16.995000000000001</v>
      </c>
      <c r="J425" s="122">
        <f>IF($E417&gt;0, $E417, $E416)</f>
        <v>700</v>
      </c>
      <c r="K425" s="123">
        <f>J425*I425</f>
        <v>11896.5</v>
      </c>
      <c r="L425" s="124">
        <f t="shared" si="60"/>
        <v>0</v>
      </c>
      <c r="M425" s="125">
        <f t="shared" ref="M425:M435" si="62">IF(ISERROR(L425/H425), "", L425/H425)</f>
        <v>0</v>
      </c>
    </row>
    <row r="426" spans="1:13" hidden="1" x14ac:dyDescent="0.2">
      <c r="A426" s="46" t="str">
        <f t="shared" ref="A426:A467" si="63">A425</f>
        <v>STREET LIGHTING SERVICE CLASSIFICATION</v>
      </c>
      <c r="C426" s="115"/>
      <c r="D426" s="116" t="s">
        <v>166</v>
      </c>
      <c r="E426" s="117"/>
      <c r="F426" s="127"/>
      <c r="G426" s="119">
        <f>IF($E417&gt;0, $E417, $E416)</f>
        <v>700</v>
      </c>
      <c r="H426" s="120">
        <v>0</v>
      </c>
      <c r="I426" s="127"/>
      <c r="J426" s="122">
        <f>IF($E417&gt;0, $E417, $E416)</f>
        <v>700</v>
      </c>
      <c r="K426" s="123">
        <v>0</v>
      </c>
      <c r="L426" s="124"/>
      <c r="M426" s="125"/>
    </row>
    <row r="427" spans="1:13" hidden="1" x14ac:dyDescent="0.2">
      <c r="A427" s="46" t="str">
        <f t="shared" si="63"/>
        <v>STREET LIGHTING SERVICE CLASSIFICATION</v>
      </c>
      <c r="C427" s="115"/>
      <c r="D427" s="116" t="s">
        <v>167</v>
      </c>
      <c r="E427" s="117"/>
      <c r="F427" s="127"/>
      <c r="G427" s="119">
        <f>IF($E417&gt;0, $E417, $E416)</f>
        <v>700</v>
      </c>
      <c r="H427" s="120">
        <v>0</v>
      </c>
      <c r="I427" s="127"/>
      <c r="J427" s="128">
        <f>IF($E417&gt;0, $E417, $E416)</f>
        <v>700</v>
      </c>
      <c r="K427" s="123">
        <v>0</v>
      </c>
      <c r="L427" s="124">
        <f>K427-H427</f>
        <v>0</v>
      </c>
      <c r="M427" s="125" t="str">
        <f>IF(ISERROR(L427/H427), "", L427/H427)</f>
        <v/>
      </c>
    </row>
    <row r="428" spans="1:13" x14ac:dyDescent="0.2">
      <c r="A428" s="46" t="str">
        <f t="shared" si="63"/>
        <v>STREET LIGHTING SERVICE CLASSIFICATION</v>
      </c>
      <c r="C428" s="115"/>
      <c r="D428" s="116" t="s">
        <v>168</v>
      </c>
      <c r="E428" s="117"/>
      <c r="F428" s="121">
        <v>0.09</v>
      </c>
      <c r="G428" s="119">
        <v>547</v>
      </c>
      <c r="H428" s="120">
        <f t="shared" si="61"/>
        <v>49.23</v>
      </c>
      <c r="I428" s="121">
        <v>0.09</v>
      </c>
      <c r="J428" s="122">
        <v>547</v>
      </c>
      <c r="K428" s="123">
        <f t="shared" ref="K428:K435" si="64">J428*I428</f>
        <v>49.23</v>
      </c>
      <c r="L428" s="124">
        <f t="shared" si="60"/>
        <v>0</v>
      </c>
      <c r="M428" s="125">
        <f t="shared" si="62"/>
        <v>0</v>
      </c>
    </row>
    <row r="429" spans="1:13" x14ac:dyDescent="0.2">
      <c r="A429" s="46" t="str">
        <f t="shared" si="63"/>
        <v>STREET LIGHTING SERVICE CLASSIFICATION</v>
      </c>
      <c r="C429" s="115"/>
      <c r="D429" s="116" t="s">
        <v>169</v>
      </c>
      <c r="E429" s="117"/>
      <c r="F429" s="127">
        <v>0</v>
      </c>
      <c r="G429" s="119">
        <f>IF($E417&gt;0, $E417, $E416)</f>
        <v>700</v>
      </c>
      <c r="H429" s="120">
        <f t="shared" si="61"/>
        <v>0</v>
      </c>
      <c r="I429" s="127">
        <v>0</v>
      </c>
      <c r="J429" s="122">
        <f>IF($E417&gt;0, $E417, $E416)</f>
        <v>700</v>
      </c>
      <c r="K429" s="123">
        <f t="shared" si="64"/>
        <v>0</v>
      </c>
      <c r="L429" s="124">
        <f t="shared" si="60"/>
        <v>0</v>
      </c>
      <c r="M429" s="125" t="str">
        <f t="shared" si="62"/>
        <v/>
      </c>
    </row>
    <row r="430" spans="1:13" x14ac:dyDescent="0.2">
      <c r="A430" s="46" t="str">
        <f t="shared" si="63"/>
        <v>STREET LIGHTING SERVICE CLASSIFICATION</v>
      </c>
      <c r="B430" s="46" t="s">
        <v>170</v>
      </c>
      <c r="C430" s="115">
        <f>B36</f>
        <v>7</v>
      </c>
      <c r="D430" s="129" t="s">
        <v>171</v>
      </c>
      <c r="E430" s="130"/>
      <c r="F430" s="134"/>
      <c r="G430" s="132"/>
      <c r="H430" s="133">
        <f>SUM(H424:H429)</f>
        <v>13099.9</v>
      </c>
      <c r="I430" s="134"/>
      <c r="J430" s="135"/>
      <c r="K430" s="133">
        <f>SUM(K424:K429)</f>
        <v>13099.9</v>
      </c>
      <c r="L430" s="136">
        <f t="shared" si="60"/>
        <v>0</v>
      </c>
      <c r="M430" s="137">
        <f>IF((H430)=0,"",(L430/H430))</f>
        <v>0</v>
      </c>
    </row>
    <row r="431" spans="1:13" x14ac:dyDescent="0.2">
      <c r="A431" s="46" t="str">
        <f t="shared" si="63"/>
        <v>STREET LIGHTING SERVICE CLASSIFICATION</v>
      </c>
      <c r="C431" s="115"/>
      <c r="D431" s="138" t="s">
        <v>172</v>
      </c>
      <c r="E431" s="117"/>
      <c r="F431" s="127">
        <f>IF((B416*12&gt;=150000), 0, IF(B415="RPP",(F447*0.64+F448*0.18+F449*0.18),IF(B415="Non-RPP (Retailer)",F450,F451)))</f>
        <v>9.6699999999999994E-2</v>
      </c>
      <c r="G431" s="139">
        <f>IF(F431=0, 0, $E416*E418-E416)</f>
        <v>12280</v>
      </c>
      <c r="H431" s="120">
        <f>G431*F431</f>
        <v>1187.4759999999999</v>
      </c>
      <c r="I431" s="127">
        <f>IF((E416*12&gt;=150000), 0, IF(E415="RPP",(I447*0.64+I448*0.18+I449*0.18),IF(E415="Non-RPP (Retailer)",I450,I451)))</f>
        <v>0</v>
      </c>
      <c r="J431" s="140">
        <f>IF(I431=0, 0, E416*E419-E416)</f>
        <v>0</v>
      </c>
      <c r="K431" s="123">
        <f>J431*I431</f>
        <v>0</v>
      </c>
      <c r="L431" s="124">
        <f>K431-H431</f>
        <v>-1187.4759999999999</v>
      </c>
      <c r="M431" s="125">
        <f>IF(ISERROR(L431/H431), "", L431/H431)</f>
        <v>-1</v>
      </c>
    </row>
    <row r="432" spans="1:13" ht="25.5" x14ac:dyDescent="0.2">
      <c r="A432" s="46" t="str">
        <f t="shared" si="63"/>
        <v>STREET LIGHTING SERVICE CLASSIFICATION</v>
      </c>
      <c r="C432" s="115"/>
      <c r="D432" s="138" t="s">
        <v>173</v>
      </c>
      <c r="E432" s="117"/>
      <c r="F432" s="127">
        <v>0.5272</v>
      </c>
      <c r="G432" s="141">
        <f>IF($E417&gt;0, $E417, $E416)</f>
        <v>700</v>
      </c>
      <c r="H432" s="120">
        <f t="shared" si="61"/>
        <v>369.04</v>
      </c>
      <c r="I432" s="127">
        <f>'Proposed Tariff'!D246+'Proposed Tariff'!D244</f>
        <v>0.98720000000000008</v>
      </c>
      <c r="J432" s="142">
        <f>IF($E417&gt;0, $E417, $E416)</f>
        <v>700</v>
      </c>
      <c r="K432" s="123">
        <f t="shared" si="64"/>
        <v>691.04000000000008</v>
      </c>
      <c r="L432" s="124">
        <f t="shared" si="60"/>
        <v>322.00000000000006</v>
      </c>
      <c r="M432" s="125">
        <f t="shared" si="62"/>
        <v>0.87253414264036433</v>
      </c>
    </row>
    <row r="433" spans="1:14" x14ac:dyDescent="0.2">
      <c r="A433" s="46" t="str">
        <f t="shared" si="63"/>
        <v>STREET LIGHTING SERVICE CLASSIFICATION</v>
      </c>
      <c r="C433" s="115"/>
      <c r="D433" s="138" t="s">
        <v>174</v>
      </c>
      <c r="E433" s="117"/>
      <c r="F433" s="127">
        <v>0</v>
      </c>
      <c r="G433" s="141">
        <f>IF($E417&gt;0, $E417, $E416)</f>
        <v>700</v>
      </c>
      <c r="H433" s="120">
        <f>G433*F433</f>
        <v>0</v>
      </c>
      <c r="I433" s="127">
        <f>'Proposed Tariff'!D245</f>
        <v>-3.9699999999999999E-2</v>
      </c>
      <c r="J433" s="142">
        <f>IF($E417&gt;0, $E417, $E416)</f>
        <v>700</v>
      </c>
      <c r="K433" s="123">
        <f>J433*I433</f>
        <v>-27.79</v>
      </c>
      <c r="L433" s="124">
        <f t="shared" si="60"/>
        <v>-27.79</v>
      </c>
      <c r="M433" s="125" t="str">
        <f t="shared" si="62"/>
        <v/>
      </c>
    </row>
    <row r="434" spans="1:14" x14ac:dyDescent="0.2">
      <c r="A434" s="46" t="str">
        <f t="shared" si="63"/>
        <v>STREET LIGHTING SERVICE CLASSIFICATION</v>
      </c>
      <c r="C434" s="115"/>
      <c r="D434" s="138" t="s">
        <v>175</v>
      </c>
      <c r="E434" s="117"/>
      <c r="F434" s="127">
        <v>0</v>
      </c>
      <c r="G434" s="141">
        <f>E416</f>
        <v>400000</v>
      </c>
      <c r="H434" s="120">
        <f>G434*F434</f>
        <v>0</v>
      </c>
      <c r="I434" s="127">
        <f>'Proposed Tariff'!D243</f>
        <v>-4.4999999999999997E-3</v>
      </c>
      <c r="J434" s="142">
        <f>E416</f>
        <v>400000</v>
      </c>
      <c r="K434" s="123">
        <f t="shared" si="64"/>
        <v>-1799.9999999999998</v>
      </c>
      <c r="L434" s="124">
        <f t="shared" si="60"/>
        <v>-1799.9999999999998</v>
      </c>
      <c r="M434" s="125" t="str">
        <f t="shared" si="62"/>
        <v/>
      </c>
    </row>
    <row r="435" spans="1:14" x14ac:dyDescent="0.2">
      <c r="A435" s="46" t="str">
        <f t="shared" si="63"/>
        <v>STREET LIGHTING SERVICE CLASSIFICATION</v>
      </c>
      <c r="C435" s="115"/>
      <c r="D435" s="116" t="s">
        <v>176</v>
      </c>
      <c r="E435" s="117"/>
      <c r="F435" s="127">
        <v>7.7899999999999997E-2</v>
      </c>
      <c r="G435" s="141">
        <f>IF($E417&gt;0, $E417, $E416)</f>
        <v>700</v>
      </c>
      <c r="H435" s="120">
        <f t="shared" si="61"/>
        <v>54.53</v>
      </c>
      <c r="I435" s="127">
        <v>7.7899999999999997E-2</v>
      </c>
      <c r="J435" s="142">
        <f>IF($E417&gt;0, $E417, $E416)</f>
        <v>700</v>
      </c>
      <c r="K435" s="123">
        <f t="shared" si="64"/>
        <v>54.53</v>
      </c>
      <c r="L435" s="124">
        <f t="shared" si="60"/>
        <v>0</v>
      </c>
      <c r="M435" s="125">
        <f t="shared" si="62"/>
        <v>0</v>
      </c>
    </row>
    <row r="436" spans="1:14" ht="25.5" x14ac:dyDescent="0.2">
      <c r="A436" s="46" t="str">
        <f t="shared" si="63"/>
        <v>STREET LIGHTING SERVICE CLASSIFICATION</v>
      </c>
      <c r="C436" s="115"/>
      <c r="D436" s="138" t="s">
        <v>177</v>
      </c>
      <c r="E436" s="117"/>
      <c r="F436" s="144">
        <f>IF(OR(ISNUMBER(SEARCH("RESIDENTIAL", B414))=TRUE, ISNUMBER(SEARCH("GENERAL SERVICE LESS THAN 50", B414))=TRUE), SME, 0)</f>
        <v>0</v>
      </c>
      <c r="G436" s="119">
        <v>547</v>
      </c>
      <c r="H436" s="120">
        <f>G436*F436</f>
        <v>0</v>
      </c>
      <c r="I436" s="144">
        <f>IF(OR(ISNUMBER(SEARCH("RESIDENTIAL", E414))=TRUE, ISNUMBER(SEARCH("GENERAL SERVICE LESS THAN 50", E414))=TRUE), SME, 0)</f>
        <v>0</v>
      </c>
      <c r="J436" s="128">
        <v>547</v>
      </c>
      <c r="K436" s="123">
        <f>J436*I436</f>
        <v>0</v>
      </c>
      <c r="L436" s="124">
        <f t="shared" si="60"/>
        <v>0</v>
      </c>
      <c r="M436" s="125" t="str">
        <f>IF(ISERROR(L436/H436), "", L436/H436)</f>
        <v/>
      </c>
    </row>
    <row r="437" spans="1:14" x14ac:dyDescent="0.2">
      <c r="A437" s="46" t="str">
        <f t="shared" si="63"/>
        <v>STREET LIGHTING SERVICE CLASSIFICATION</v>
      </c>
      <c r="C437" s="115"/>
      <c r="D437" s="116" t="s">
        <v>178</v>
      </c>
      <c r="E437" s="117"/>
      <c r="F437" s="121">
        <v>0</v>
      </c>
      <c r="G437" s="119">
        <v>547</v>
      </c>
      <c r="H437" s="120">
        <f t="shared" si="61"/>
        <v>0</v>
      </c>
      <c r="I437" s="121">
        <v>0</v>
      </c>
      <c r="J437" s="128">
        <v>547</v>
      </c>
      <c r="K437" s="123">
        <f>J437*I437</f>
        <v>0</v>
      </c>
      <c r="L437" s="124">
        <f>K437-H437</f>
        <v>0</v>
      </c>
      <c r="M437" s="125" t="str">
        <f>IF(ISERROR(L437/H437), "", L437/H437)</f>
        <v/>
      </c>
    </row>
    <row r="438" spans="1:14" x14ac:dyDescent="0.2">
      <c r="A438" s="46" t="str">
        <f t="shared" si="63"/>
        <v>STREET LIGHTING SERVICE CLASSIFICATION</v>
      </c>
      <c r="C438" s="115"/>
      <c r="D438" s="116" t="s">
        <v>179</v>
      </c>
      <c r="E438" s="117"/>
      <c r="F438" s="127">
        <v>0</v>
      </c>
      <c r="G438" s="141">
        <f>IF($E417&gt;0, $E417, $E416)</f>
        <v>700</v>
      </c>
      <c r="H438" s="120">
        <f>G438*F438</f>
        <v>0</v>
      </c>
      <c r="I438" s="127">
        <v>0</v>
      </c>
      <c r="J438" s="142">
        <f>IF($E417&gt;0, $E417, $E416)</f>
        <v>700</v>
      </c>
      <c r="K438" s="123">
        <f>J438*I438</f>
        <v>0</v>
      </c>
      <c r="L438" s="124">
        <f t="shared" si="60"/>
        <v>0</v>
      </c>
      <c r="M438" s="125" t="str">
        <f>IF(ISERROR(L438/H438), "", L438/H438)</f>
        <v/>
      </c>
    </row>
    <row r="439" spans="1:14" ht="25.5" x14ac:dyDescent="0.2">
      <c r="A439" s="46" t="str">
        <f t="shared" si="63"/>
        <v>STREET LIGHTING SERVICE CLASSIFICATION</v>
      </c>
      <c r="B439" s="46" t="s">
        <v>180</v>
      </c>
      <c r="C439" s="115">
        <f>B36</f>
        <v>7</v>
      </c>
      <c r="D439" s="145" t="s">
        <v>181</v>
      </c>
      <c r="E439" s="146"/>
      <c r="F439" s="150"/>
      <c r="G439" s="148"/>
      <c r="H439" s="149">
        <f>SUM(H430:H438)</f>
        <v>14710.946000000002</v>
      </c>
      <c r="I439" s="150"/>
      <c r="J439" s="151"/>
      <c r="K439" s="149">
        <f>SUM(K430:K438)</f>
        <v>12017.68</v>
      </c>
      <c r="L439" s="136">
        <f t="shared" si="60"/>
        <v>-2693.2660000000014</v>
      </c>
      <c r="M439" s="137">
        <f>IF((H439)=0,"",(L439/H439))</f>
        <v>-0.18307904875729958</v>
      </c>
    </row>
    <row r="440" spans="1:14" x14ac:dyDescent="0.2">
      <c r="A440" s="46" t="str">
        <f t="shared" si="63"/>
        <v>STREET LIGHTING SERVICE CLASSIFICATION</v>
      </c>
      <c r="C440" s="115"/>
      <c r="D440" s="152" t="s">
        <v>182</v>
      </c>
      <c r="E440" s="117"/>
      <c r="F440" s="153">
        <v>2.5242</v>
      </c>
      <c r="G440" s="139">
        <f>IF($E417&gt;0, $E417, $E416*$E418)</f>
        <v>700</v>
      </c>
      <c r="H440" s="120">
        <f>G440*F440</f>
        <v>1766.94</v>
      </c>
      <c r="I440" s="153">
        <v>2.5242</v>
      </c>
      <c r="J440" s="140">
        <f>IF($E417&gt;0, $E417, $E416*$E419)</f>
        <v>700</v>
      </c>
      <c r="K440" s="123">
        <f>J440*I440</f>
        <v>1766.94</v>
      </c>
      <c r="L440" s="124">
        <f t="shared" si="60"/>
        <v>0</v>
      </c>
      <c r="M440" s="125">
        <f>IF(ISERROR(L440/H440), "", L440/H440)</f>
        <v>0</v>
      </c>
      <c r="N440" s="154" t="str">
        <f>IF(ISERROR(ABS(M440)), "", IF(ABS(M440)&gt;=4%, "In the manager's summary, discuss the reasoning for the change in RTSR rates", ""))</f>
        <v/>
      </c>
    </row>
    <row r="441" spans="1:14" ht="25.5" x14ac:dyDescent="0.2">
      <c r="A441" s="46" t="str">
        <f t="shared" si="63"/>
        <v>STREET LIGHTING SERVICE CLASSIFICATION</v>
      </c>
      <c r="C441" s="115"/>
      <c r="D441" s="155" t="s">
        <v>183</v>
      </c>
      <c r="E441" s="117"/>
      <c r="F441" s="153">
        <v>1.3754999999999999</v>
      </c>
      <c r="G441" s="139">
        <f>IF($E417&gt;0, $E417, $E416*$E418)</f>
        <v>700</v>
      </c>
      <c r="H441" s="120">
        <f>G441*F441</f>
        <v>962.84999999999991</v>
      </c>
      <c r="I441" s="153">
        <v>1.3754999999999999</v>
      </c>
      <c r="J441" s="140">
        <f>IF($E417&gt;0, $E417, $E416*$E419)</f>
        <v>700</v>
      </c>
      <c r="K441" s="123">
        <f>J441*I441</f>
        <v>962.84999999999991</v>
      </c>
      <c r="L441" s="124">
        <f t="shared" si="60"/>
        <v>0</v>
      </c>
      <c r="M441" s="125">
        <f>IF(ISERROR(L441/H441), "", L441/H441)</f>
        <v>0</v>
      </c>
      <c r="N441" s="154" t="str">
        <f>IF(ISERROR(ABS(M441)), "", IF(ABS(M441)&gt;=4%, "In the manager's summary, discuss the reasoning for the change in RTSR rates", ""))</f>
        <v/>
      </c>
    </row>
    <row r="442" spans="1:14" ht="25.5" x14ac:dyDescent="0.2">
      <c r="A442" s="46" t="str">
        <f t="shared" si="63"/>
        <v>STREET LIGHTING SERVICE CLASSIFICATION</v>
      </c>
      <c r="B442" s="46" t="s">
        <v>184</v>
      </c>
      <c r="C442" s="115">
        <f>B36</f>
        <v>7</v>
      </c>
      <c r="D442" s="145" t="s">
        <v>185</v>
      </c>
      <c r="E442" s="130"/>
      <c r="F442" s="150"/>
      <c r="G442" s="148"/>
      <c r="H442" s="149">
        <f>SUM(H439:H441)</f>
        <v>17440.736000000001</v>
      </c>
      <c r="I442" s="150"/>
      <c r="J442" s="135"/>
      <c r="K442" s="149">
        <f>SUM(K439:K441)</f>
        <v>14747.470000000001</v>
      </c>
      <c r="L442" s="136">
        <f t="shared" si="60"/>
        <v>-2693.2659999999996</v>
      </c>
      <c r="M442" s="137">
        <f>IF((H442)=0,"",(L442/H442))</f>
        <v>-0.15442387293747234</v>
      </c>
    </row>
    <row r="443" spans="1:14" ht="25.5" x14ac:dyDescent="0.2">
      <c r="A443" s="46" t="str">
        <f t="shared" si="63"/>
        <v>STREET LIGHTING SERVICE CLASSIFICATION</v>
      </c>
      <c r="C443" s="115"/>
      <c r="D443" s="156" t="s">
        <v>186</v>
      </c>
      <c r="E443" s="117"/>
      <c r="F443" s="127">
        <f>'[1]17. Regulatory Charges'!$E$15+'[1]17. Regulatory Charges'!$E$16</f>
        <v>3.4000000000000002E-3</v>
      </c>
      <c r="G443" s="139">
        <f>E416*E418</f>
        <v>412280</v>
      </c>
      <c r="H443" s="157">
        <f t="shared" ref="H443:H449" si="65">G443*F443</f>
        <v>1401.7520000000002</v>
      </c>
      <c r="I443" s="127">
        <f>'[1]17. Regulatory Charges'!$E$15+'[1]17. Regulatory Charges'!$E$16</f>
        <v>3.4000000000000002E-3</v>
      </c>
      <c r="J443" s="140">
        <f>E416*E419</f>
        <v>412280</v>
      </c>
      <c r="K443" s="123">
        <f t="shared" ref="K443:K449" si="66">J443*I443</f>
        <v>1401.7520000000002</v>
      </c>
      <c r="L443" s="124">
        <f t="shared" si="60"/>
        <v>0</v>
      </c>
      <c r="M443" s="125">
        <f t="shared" ref="M443:M451" si="67">IF(ISERROR(L443/H443), "", L443/H443)</f>
        <v>0</v>
      </c>
    </row>
    <row r="444" spans="1:14" ht="25.5" x14ac:dyDescent="0.2">
      <c r="A444" s="46" t="str">
        <f t="shared" si="63"/>
        <v>STREET LIGHTING SERVICE CLASSIFICATION</v>
      </c>
      <c r="C444" s="115"/>
      <c r="D444" s="156" t="s">
        <v>187</v>
      </c>
      <c r="E444" s="117"/>
      <c r="F444" s="127">
        <f>'[1]17. Regulatory Charges'!$E$17</f>
        <v>5.0000000000000001E-4</v>
      </c>
      <c r="G444" s="139">
        <f>E416*E418</f>
        <v>412280</v>
      </c>
      <c r="H444" s="157">
        <f t="shared" si="65"/>
        <v>206.14000000000001</v>
      </c>
      <c r="I444" s="127">
        <f>'[1]17. Regulatory Charges'!$E$17</f>
        <v>5.0000000000000001E-4</v>
      </c>
      <c r="J444" s="140">
        <f>E416*E419</f>
        <v>412280</v>
      </c>
      <c r="K444" s="123">
        <f t="shared" si="66"/>
        <v>206.14000000000001</v>
      </c>
      <c r="L444" s="124">
        <f t="shared" si="60"/>
        <v>0</v>
      </c>
      <c r="M444" s="125">
        <f t="shared" si="67"/>
        <v>0</v>
      </c>
    </row>
    <row r="445" spans="1:14" x14ac:dyDescent="0.2">
      <c r="A445" s="46" t="str">
        <f t="shared" si="63"/>
        <v>STREET LIGHTING SERVICE CLASSIFICATION</v>
      </c>
      <c r="C445" s="115"/>
      <c r="D445" s="158" t="s">
        <v>188</v>
      </c>
      <c r="E445" s="117"/>
      <c r="F445" s="144">
        <f>'[1]17. Regulatory Charges'!$E$18</f>
        <v>0.25</v>
      </c>
      <c r="G445" s="119">
        <v>547</v>
      </c>
      <c r="H445" s="157">
        <f t="shared" si="65"/>
        <v>136.75</v>
      </c>
      <c r="I445" s="144">
        <f>'[1]17. Regulatory Charges'!$E$18</f>
        <v>0.25</v>
      </c>
      <c r="J445" s="122">
        <v>547</v>
      </c>
      <c r="K445" s="123">
        <f t="shared" si="66"/>
        <v>136.75</v>
      </c>
      <c r="L445" s="124">
        <f t="shared" si="60"/>
        <v>0</v>
      </c>
      <c r="M445" s="125">
        <f t="shared" si="67"/>
        <v>0</v>
      </c>
    </row>
    <row r="446" spans="1:14" ht="25.5" hidden="1" x14ac:dyDescent="0.2">
      <c r="A446" s="46" t="str">
        <f t="shared" si="63"/>
        <v>STREET LIGHTING SERVICE CLASSIFICATION</v>
      </c>
      <c r="C446" s="115"/>
      <c r="D446" s="156" t="s">
        <v>189</v>
      </c>
      <c r="E446" s="117"/>
      <c r="F446" s="127"/>
      <c r="G446" s="139"/>
      <c r="H446" s="157"/>
      <c r="I446" s="127"/>
      <c r="J446" s="140"/>
      <c r="K446" s="123"/>
      <c r="L446" s="124"/>
      <c r="M446" s="125"/>
    </row>
    <row r="447" spans="1:14" hidden="1" x14ac:dyDescent="0.2">
      <c r="A447" s="46" t="str">
        <f t="shared" si="63"/>
        <v>STREET LIGHTING SERVICE CLASSIFICATION</v>
      </c>
      <c r="B447" s="46" t="s">
        <v>139</v>
      </c>
      <c r="C447" s="115"/>
      <c r="D447" s="158" t="s">
        <v>190</v>
      </c>
      <c r="E447" s="117"/>
      <c r="F447" s="161">
        <f>OffPeak</f>
        <v>7.3999999999999996E-2</v>
      </c>
      <c r="G447" s="160">
        <f>IF(AND(E416*12&gt;=150000),0.64*E416*E418,0.64*E416)</f>
        <v>263859.20000000001</v>
      </c>
      <c r="H447" s="157">
        <f t="shared" si="65"/>
        <v>19525.5808</v>
      </c>
      <c r="I447" s="161">
        <f>OffPeak</f>
        <v>7.3999999999999996E-2</v>
      </c>
      <c r="J447" s="162">
        <f>IF(AND(E416*12&gt;=150000),0.64*E416*E419,0.64*E416)</f>
        <v>263859.20000000001</v>
      </c>
      <c r="K447" s="123">
        <f t="shared" si="66"/>
        <v>19525.5808</v>
      </c>
      <c r="L447" s="124">
        <f>K447-H447</f>
        <v>0</v>
      </c>
      <c r="M447" s="125">
        <f t="shared" si="67"/>
        <v>0</v>
      </c>
    </row>
    <row r="448" spans="1:14" hidden="1" x14ac:dyDescent="0.2">
      <c r="A448" s="46" t="str">
        <f t="shared" si="63"/>
        <v>STREET LIGHTING SERVICE CLASSIFICATION</v>
      </c>
      <c r="B448" s="46" t="s">
        <v>139</v>
      </c>
      <c r="C448" s="115"/>
      <c r="D448" s="158" t="s">
        <v>191</v>
      </c>
      <c r="E448" s="117"/>
      <c r="F448" s="161">
        <f>MidPeak</f>
        <v>0.10199999999999999</v>
      </c>
      <c r="G448" s="160">
        <f>IF(AND(E416*12&gt;=150000),0.18*E416*E418,0.18*E416)</f>
        <v>74210.399999999994</v>
      </c>
      <c r="H448" s="157">
        <f t="shared" si="65"/>
        <v>7569.4607999999989</v>
      </c>
      <c r="I448" s="161">
        <f>MidPeak</f>
        <v>0.10199999999999999</v>
      </c>
      <c r="J448" s="162">
        <f>IF(AND(E416*12&gt;=150000),0.18*E416*E419,0.18*E416)</f>
        <v>74210.399999999994</v>
      </c>
      <c r="K448" s="123">
        <f t="shared" si="66"/>
        <v>7569.4607999999989</v>
      </c>
      <c r="L448" s="124">
        <f>K448-H448</f>
        <v>0</v>
      </c>
      <c r="M448" s="125">
        <f t="shared" si="67"/>
        <v>0</v>
      </c>
    </row>
    <row r="449" spans="1:13" hidden="1" x14ac:dyDescent="0.2">
      <c r="A449" s="46" t="str">
        <f t="shared" si="63"/>
        <v>STREET LIGHTING SERVICE CLASSIFICATION</v>
      </c>
      <c r="B449" s="46" t="s">
        <v>139</v>
      </c>
      <c r="C449" s="115"/>
      <c r="D449" s="46" t="s">
        <v>192</v>
      </c>
      <c r="E449" s="117"/>
      <c r="F449" s="161">
        <f>OnPeak</f>
        <v>0.151</v>
      </c>
      <c r="G449" s="160">
        <f>IF(AND(E416*12&gt;=150000),0.18*E416*E418,0.18*E416)</f>
        <v>74210.399999999994</v>
      </c>
      <c r="H449" s="157">
        <f t="shared" si="65"/>
        <v>11205.770399999999</v>
      </c>
      <c r="I449" s="161">
        <f>OnPeak</f>
        <v>0.151</v>
      </c>
      <c r="J449" s="162">
        <f>IF(AND(E416*12&gt;=150000),0.18*E416*E419,0.18*E416)</f>
        <v>74210.399999999994</v>
      </c>
      <c r="K449" s="123">
        <f t="shared" si="66"/>
        <v>11205.770399999999</v>
      </c>
      <c r="L449" s="124">
        <f>K449-H449</f>
        <v>0</v>
      </c>
      <c r="M449" s="125">
        <f t="shared" si="67"/>
        <v>0</v>
      </c>
    </row>
    <row r="450" spans="1:13" hidden="1" x14ac:dyDescent="0.2">
      <c r="A450" s="46" t="str">
        <f t="shared" si="63"/>
        <v>STREET LIGHTING SERVICE CLASSIFICATION</v>
      </c>
      <c r="B450" s="46" t="s">
        <v>141</v>
      </c>
      <c r="C450" s="115"/>
      <c r="D450" s="158" t="s">
        <v>193</v>
      </c>
      <c r="E450" s="117"/>
      <c r="F450" s="164">
        <f>C450</f>
        <v>0</v>
      </c>
      <c r="G450" s="160">
        <f>IF(AND(E416*12&gt;=150000),E416*E418,E416)</f>
        <v>412280</v>
      </c>
      <c r="H450" s="157">
        <f>G450*F450</f>
        <v>0</v>
      </c>
      <c r="I450" s="164">
        <f>F450</f>
        <v>0</v>
      </c>
      <c r="J450" s="162">
        <f>IF(AND(E416*12&gt;=150000),E416*E419,E416)</f>
        <v>412280</v>
      </c>
      <c r="K450" s="123">
        <f>J450*I450</f>
        <v>0</v>
      </c>
      <c r="L450" s="124">
        <f>K450-H450</f>
        <v>0</v>
      </c>
      <c r="M450" s="125" t="str">
        <f t="shared" si="67"/>
        <v/>
      </c>
    </row>
    <row r="451" spans="1:13" ht="13.5" thickBot="1" x14ac:dyDescent="0.25">
      <c r="A451" s="46" t="str">
        <f t="shared" si="63"/>
        <v>STREET LIGHTING SERVICE CLASSIFICATION</v>
      </c>
      <c r="B451" s="46" t="s">
        <v>140</v>
      </c>
      <c r="C451" s="115"/>
      <c r="D451" s="158" t="s">
        <v>194</v>
      </c>
      <c r="E451" s="117"/>
      <c r="F451" s="163">
        <v>9.6699999999999994E-2</v>
      </c>
      <c r="G451" s="160">
        <f>IF(AND(E416*12&gt;=150000),E416*E418,E416)</f>
        <v>412280</v>
      </c>
      <c r="H451" s="157">
        <f>G451*F451</f>
        <v>39867.475999999995</v>
      </c>
      <c r="I451" s="164">
        <f>F451</f>
        <v>9.6699999999999994E-2</v>
      </c>
      <c r="J451" s="162">
        <f>IF(AND(E416*12&gt;=150000),E416*E419,E416)</f>
        <v>412280</v>
      </c>
      <c r="K451" s="123">
        <f>J451*I451</f>
        <v>39867.475999999995</v>
      </c>
      <c r="L451" s="124">
        <f>K451-H451</f>
        <v>0</v>
      </c>
      <c r="M451" s="125">
        <f t="shared" si="67"/>
        <v>0</v>
      </c>
    </row>
    <row r="452" spans="1:13" ht="13.5" thickBot="1" x14ac:dyDescent="0.25">
      <c r="A452" s="46" t="str">
        <f t="shared" si="63"/>
        <v>STREET LIGHTING SERVICE CLASSIFICATION</v>
      </c>
      <c r="C452" s="115"/>
      <c r="D452" s="165"/>
      <c r="E452" s="166"/>
      <c r="F452" s="167"/>
      <c r="G452" s="168"/>
      <c r="H452" s="169"/>
      <c r="I452" s="167"/>
      <c r="J452" s="170"/>
      <c r="K452" s="169"/>
      <c r="L452" s="171"/>
      <c r="M452" s="172"/>
    </row>
    <row r="453" spans="1:13" hidden="1" x14ac:dyDescent="0.2">
      <c r="A453" s="46" t="str">
        <f t="shared" si="63"/>
        <v>STREET LIGHTING SERVICE CLASSIFICATION</v>
      </c>
      <c r="B453" s="46" t="s">
        <v>139</v>
      </c>
      <c r="C453" s="115"/>
      <c r="D453" s="173" t="s">
        <v>195</v>
      </c>
      <c r="E453" s="158"/>
      <c r="F453" s="177"/>
      <c r="G453" s="175"/>
      <c r="H453" s="176">
        <f>SUM(H443:H449,H442)</f>
        <v>57486.19</v>
      </c>
      <c r="I453" s="177"/>
      <c r="J453" s="177"/>
      <c r="K453" s="176">
        <f>SUM(K443:K449,K442)</f>
        <v>54792.923999999999</v>
      </c>
      <c r="L453" s="178">
        <f>K453-H453</f>
        <v>-2693.2660000000033</v>
      </c>
      <c r="M453" s="179">
        <f>IF((H453)=0,"",(L453/H453))</f>
        <v>-4.6850661002233812E-2</v>
      </c>
    </row>
    <row r="454" spans="1:13" hidden="1" x14ac:dyDescent="0.2">
      <c r="A454" s="46" t="str">
        <f t="shared" si="63"/>
        <v>STREET LIGHTING SERVICE CLASSIFICATION</v>
      </c>
      <c r="B454" s="46" t="s">
        <v>139</v>
      </c>
      <c r="C454" s="115"/>
      <c r="D454" s="180" t="s">
        <v>196</v>
      </c>
      <c r="E454" s="158"/>
      <c r="F454" s="183">
        <v>0.13</v>
      </c>
      <c r="G454" s="181"/>
      <c r="H454" s="182">
        <f>H453*F454</f>
        <v>7473.2047000000002</v>
      </c>
      <c r="I454" s="183">
        <v>0.13</v>
      </c>
      <c r="J454" s="119"/>
      <c r="K454" s="182">
        <f>K453*I454</f>
        <v>7123.0801200000005</v>
      </c>
      <c r="L454" s="124">
        <f>K454-H454</f>
        <v>-350.1245799999997</v>
      </c>
      <c r="M454" s="184">
        <f>IF((H454)=0,"",(L454/H454))</f>
        <v>-4.6850661002233715E-2</v>
      </c>
    </row>
    <row r="455" spans="1:13" ht="15" hidden="1" x14ac:dyDescent="0.25">
      <c r="A455" s="46" t="str">
        <f t="shared" si="63"/>
        <v>STREET LIGHTING SERVICE CLASSIFICATION</v>
      </c>
      <c r="B455" s="46" t="s">
        <v>139</v>
      </c>
      <c r="C455" s="115"/>
      <c r="D455" s="180" t="s">
        <v>197</v>
      </c>
      <c r="E455"/>
      <c r="F455" s="185">
        <v>0.11700000000000001</v>
      </c>
      <c r="G455" s="181"/>
      <c r="H455" s="182">
        <f>IF(OR(ISNUMBER(SEARCH("[DGEN]", E414))=TRUE, ISNUMBER(SEARCH("STREET LIGHT", E414))=TRUE), 0, IF(AND(E416=0, E417=0),0, IF(AND(E417=0, E416*12&gt;250000), 0, IF(AND(E416=0, E417&gt;=50), 0, IF(E416*12&lt;=250000, F455*H453*-1, IF(E417&lt;50, F455*H453*-1, 0))))))</f>
        <v>0</v>
      </c>
      <c r="I455" s="185">
        <v>0.11700000000000001</v>
      </c>
      <c r="J455" s="119"/>
      <c r="K455" s="182">
        <f>IF(OR(ISNUMBER(SEARCH("[DGEN]", E414))=TRUE, ISNUMBER(SEARCH("STREET LIGHT", E414))=TRUE), 0, IF(AND(E416=0, E417=0),0, IF(AND(E417=0, E416*12&gt;250000), 0, IF(AND(E416=0, E417&gt;=50), 0, IF(E416*12&lt;=250000, I455*K453*-1, IF(E417&lt;50, I455*K453*-1, 0))))))</f>
        <v>0</v>
      </c>
      <c r="L455" s="124">
        <f>K455-H455</f>
        <v>0</v>
      </c>
      <c r="M455" s="184"/>
    </row>
    <row r="456" spans="1:13" hidden="1" x14ac:dyDescent="0.2">
      <c r="A456" s="46" t="str">
        <f t="shared" si="63"/>
        <v>STREET LIGHTING SERVICE CLASSIFICATION</v>
      </c>
      <c r="B456" s="46" t="s">
        <v>198</v>
      </c>
      <c r="C456" s="115"/>
      <c r="D456" s="186" t="s">
        <v>199</v>
      </c>
      <c r="E456" s="186"/>
      <c r="F456" s="190"/>
      <c r="G456" s="188"/>
      <c r="H456" s="189">
        <f>H453+H454+H455</f>
        <v>64959.394700000004</v>
      </c>
      <c r="I456" s="190"/>
      <c r="J456" s="190"/>
      <c r="K456" s="191">
        <f>K453+K454+K455</f>
        <v>61916.004119999998</v>
      </c>
      <c r="L456" s="192">
        <f>K456-H456</f>
        <v>-3043.3905800000066</v>
      </c>
      <c r="M456" s="193">
        <f>IF((H456)=0,"",(L456/H456))</f>
        <v>-4.6850661002233854E-2</v>
      </c>
    </row>
    <row r="457" spans="1:13" ht="13.5" hidden="1" thickBot="1" x14ac:dyDescent="0.25">
      <c r="A457" s="46" t="str">
        <f t="shared" si="63"/>
        <v>STREET LIGHTING SERVICE CLASSIFICATION</v>
      </c>
      <c r="B457" s="46" t="s">
        <v>139</v>
      </c>
      <c r="C457" s="115"/>
      <c r="D457" s="165"/>
      <c r="E457" s="166"/>
      <c r="F457" s="167"/>
      <c r="G457" s="168"/>
      <c r="H457" s="169"/>
      <c r="I457" s="167"/>
      <c r="J457" s="170"/>
      <c r="K457" s="169"/>
      <c r="L457" s="171"/>
      <c r="M457" s="172"/>
    </row>
    <row r="458" spans="1:13" hidden="1" x14ac:dyDescent="0.2">
      <c r="A458" s="46" t="str">
        <f t="shared" si="63"/>
        <v>STREET LIGHTING SERVICE CLASSIFICATION</v>
      </c>
      <c r="B458" s="46" t="s">
        <v>141</v>
      </c>
      <c r="C458" s="115"/>
      <c r="D458" s="173" t="s">
        <v>200</v>
      </c>
      <c r="E458" s="158"/>
      <c r="F458" s="177"/>
      <c r="G458" s="175"/>
      <c r="H458" s="176">
        <f>SUM(H450,H443:H446,H442)</f>
        <v>19185.378000000001</v>
      </c>
      <c r="I458" s="177"/>
      <c r="J458" s="177"/>
      <c r="K458" s="176">
        <f>SUM(K450,K443:K446,K442)</f>
        <v>16492.112000000001</v>
      </c>
      <c r="L458" s="178">
        <f>K458-H458</f>
        <v>-2693.2659999999996</v>
      </c>
      <c r="M458" s="179">
        <f>IF((H458)=0,"",(L458/H458))</f>
        <v>-0.14038117987563234</v>
      </c>
    </row>
    <row r="459" spans="1:13" hidden="1" x14ac:dyDescent="0.2">
      <c r="A459" s="46" t="str">
        <f t="shared" si="63"/>
        <v>STREET LIGHTING SERVICE CLASSIFICATION</v>
      </c>
      <c r="B459" s="46" t="s">
        <v>141</v>
      </c>
      <c r="C459" s="115"/>
      <c r="D459" s="180" t="s">
        <v>196</v>
      </c>
      <c r="E459" s="158"/>
      <c r="F459" s="174">
        <v>0.13</v>
      </c>
      <c r="G459" s="175"/>
      <c r="H459" s="182">
        <f>H458*F459</f>
        <v>2494.0991400000003</v>
      </c>
      <c r="I459" s="174">
        <v>0.13</v>
      </c>
      <c r="J459" s="183"/>
      <c r="K459" s="182">
        <f>K458*I459</f>
        <v>2143.9745600000001</v>
      </c>
      <c r="L459" s="124">
        <f>K459-H459</f>
        <v>-350.12458000000015</v>
      </c>
      <c r="M459" s="184">
        <f>IF((H459)=0,"",(L459/H459))</f>
        <v>-0.14038117987563242</v>
      </c>
    </row>
    <row r="460" spans="1:13" ht="15" hidden="1" x14ac:dyDescent="0.25">
      <c r="A460" s="46" t="str">
        <f t="shared" si="63"/>
        <v>STREET LIGHTING SERVICE CLASSIFICATION</v>
      </c>
      <c r="B460" s="46" t="s">
        <v>141</v>
      </c>
      <c r="C460" s="115"/>
      <c r="D460" s="180" t="s">
        <v>197</v>
      </c>
      <c r="E460"/>
      <c r="F460" s="185">
        <v>0.11700000000000001</v>
      </c>
      <c r="G460" s="175"/>
      <c r="H460" s="182">
        <f>IF(OR(ISNUMBER(SEARCH("[DGEN]", E414))=TRUE, ISNUMBER(SEARCH("STREET LIGHT", E414))=TRUE), 0, IF(AND(E416=0, E417=0),0, IF(AND(E417=0, E416*12&gt;250000), 0, IF(AND(E416=0, E417&gt;=50), 0, IF(E416*12&lt;=250000, F460*H458*-1, IF(E417&lt;50, F460*H458*-1, 0))))))</f>
        <v>0</v>
      </c>
      <c r="I460" s="185">
        <v>0.11700000000000001</v>
      </c>
      <c r="J460" s="183"/>
      <c r="K460" s="182">
        <f>IF(OR(ISNUMBER(SEARCH("[DGEN]", E414))=TRUE, ISNUMBER(SEARCH("STREET LIGHT", E414))=TRUE), 0, IF(AND(E416=0, E417=0),0, IF(AND(E417=0, E416*12&gt;250000), 0, IF(AND(E416=0, E417&gt;=50), 0, IF(E416*12&lt;=250000, I460*K458*-1, IF(E417&lt;50, I460*K458*-1, 0))))))</f>
        <v>0</v>
      </c>
      <c r="L460" s="124"/>
      <c r="M460" s="184"/>
    </row>
    <row r="461" spans="1:13" hidden="1" x14ac:dyDescent="0.2">
      <c r="A461" s="46" t="str">
        <f t="shared" si="63"/>
        <v>STREET LIGHTING SERVICE CLASSIFICATION</v>
      </c>
      <c r="B461" s="46" t="s">
        <v>201</v>
      </c>
      <c r="C461" s="115"/>
      <c r="D461" s="186" t="s">
        <v>200</v>
      </c>
      <c r="E461" s="186"/>
      <c r="F461" s="196"/>
      <c r="G461" s="195"/>
      <c r="H461" s="189">
        <f>SUM(H458,H459)</f>
        <v>21679.477140000003</v>
      </c>
      <c r="I461" s="196"/>
      <c r="J461" s="196"/>
      <c r="K461" s="189">
        <f>SUM(K458,K459)</f>
        <v>18636.08656</v>
      </c>
      <c r="L461" s="197">
        <f>K461-H461</f>
        <v>-3043.390580000003</v>
      </c>
      <c r="M461" s="198">
        <f>IF((H461)=0,"",(L461/H461))</f>
        <v>-0.14038117987563248</v>
      </c>
    </row>
    <row r="462" spans="1:13" ht="13.5" hidden="1" thickBot="1" x14ac:dyDescent="0.25">
      <c r="A462" s="46" t="str">
        <f t="shared" si="63"/>
        <v>STREET LIGHTING SERVICE CLASSIFICATION</v>
      </c>
      <c r="B462" s="46" t="s">
        <v>141</v>
      </c>
      <c r="C462" s="115"/>
      <c r="D462" s="165"/>
      <c r="E462" s="166"/>
      <c r="F462" s="199"/>
      <c r="G462" s="200"/>
      <c r="H462" s="201"/>
      <c r="I462" s="199"/>
      <c r="J462" s="168"/>
      <c r="K462" s="201"/>
      <c r="L462" s="202"/>
      <c r="M462" s="172"/>
    </row>
    <row r="463" spans="1:13" x14ac:dyDescent="0.2">
      <c r="A463" s="46" t="str">
        <f t="shared" si="63"/>
        <v>STREET LIGHTING SERVICE CLASSIFICATION</v>
      </c>
      <c r="B463" s="46" t="s">
        <v>140</v>
      </c>
      <c r="C463" s="115"/>
      <c r="D463" s="173" t="s">
        <v>202</v>
      </c>
      <c r="E463" s="158"/>
      <c r="F463" s="177"/>
      <c r="G463" s="175"/>
      <c r="H463" s="176">
        <f>SUM(H451,H443:H446,H442)</f>
        <v>59052.853999999992</v>
      </c>
      <c r="I463" s="177"/>
      <c r="J463" s="177"/>
      <c r="K463" s="176">
        <f>SUM(K451,K443:K446,K442)</f>
        <v>56359.587999999996</v>
      </c>
      <c r="L463" s="178">
        <f>K463-H463</f>
        <v>-2693.265999999996</v>
      </c>
      <c r="M463" s="179">
        <f>IF((H463)=0,"",(L463/H463))</f>
        <v>-4.5607719484650082E-2</v>
      </c>
    </row>
    <row r="464" spans="1:13" x14ac:dyDescent="0.2">
      <c r="A464" s="46" t="str">
        <f t="shared" si="63"/>
        <v>STREET LIGHTING SERVICE CLASSIFICATION</v>
      </c>
      <c r="B464" s="46" t="s">
        <v>140</v>
      </c>
      <c r="C464" s="115"/>
      <c r="D464" s="180" t="s">
        <v>196</v>
      </c>
      <c r="E464" s="158"/>
      <c r="F464" s="174">
        <v>0.13</v>
      </c>
      <c r="G464" s="175"/>
      <c r="H464" s="182">
        <f>H463*F464</f>
        <v>7676.8710199999996</v>
      </c>
      <c r="I464" s="174">
        <v>0.13</v>
      </c>
      <c r="J464" s="183"/>
      <c r="K464" s="182">
        <f>K463*I464</f>
        <v>7326.7464399999999</v>
      </c>
      <c r="L464" s="124">
        <f>K464-H464</f>
        <v>-350.1245799999997</v>
      </c>
      <c r="M464" s="184">
        <f>IF((H464)=0,"",(L464/H464))</f>
        <v>-4.5607719484650103E-2</v>
      </c>
    </row>
    <row r="465" spans="1:14" ht="15" x14ac:dyDescent="0.25">
      <c r="A465" s="46" t="str">
        <f t="shared" si="63"/>
        <v>STREET LIGHTING SERVICE CLASSIFICATION</v>
      </c>
      <c r="B465" s="46" t="s">
        <v>140</v>
      </c>
      <c r="C465" s="115"/>
      <c r="D465" s="180" t="s">
        <v>197</v>
      </c>
      <c r="E465"/>
      <c r="F465" s="185">
        <v>0.11700000000000001</v>
      </c>
      <c r="G465" s="175"/>
      <c r="H465" s="182">
        <f>IF(OR(ISNUMBER(SEARCH("[DGEN]", E414))=TRUE, ISNUMBER(SEARCH("STREET LIGHT", E414))=TRUE), 0, IF(AND(E416=0, E417=0),0, IF(AND(E417=0, E416*12&gt;250000), 0, IF(AND(E416=0, E417&gt;=50), 0, IF(E416*12&lt;=250000, F465*H463*-1, IF(E417&lt;50, F465*H463*-1, 0))))))</f>
        <v>0</v>
      </c>
      <c r="I465" s="185">
        <v>0.11700000000000001</v>
      </c>
      <c r="J465" s="183"/>
      <c r="K465" s="182">
        <f>IF(OR(ISNUMBER(SEARCH("[DGEN]", E414))=TRUE, ISNUMBER(SEARCH("STREET LIGHT", E414))=TRUE), 0, IF(AND(E416=0, E417=0),0, IF(AND(E417=0, E416*12&gt;250000), 0, IF(AND(E416=0, E417&gt;=50), 0, IF(E416*12&lt;=250000, I465*K463*-1, IF(E417&lt;50, I465*K463*-1, 0))))))</f>
        <v>0</v>
      </c>
      <c r="L465" s="124"/>
      <c r="M465" s="184"/>
    </row>
    <row r="466" spans="1:14" ht="13.5" thickBot="1" x14ac:dyDescent="0.25">
      <c r="A466" s="46" t="str">
        <f t="shared" si="63"/>
        <v>STREET LIGHTING SERVICE CLASSIFICATION</v>
      </c>
      <c r="B466" s="46" t="s">
        <v>203</v>
      </c>
      <c r="C466" s="115">
        <f>B36</f>
        <v>7</v>
      </c>
      <c r="D466" s="186" t="s">
        <v>202</v>
      </c>
      <c r="E466" s="186"/>
      <c r="F466" s="196"/>
      <c r="G466" s="195"/>
      <c r="H466" s="189">
        <f>SUM(H463,H464)</f>
        <v>66729.725019999998</v>
      </c>
      <c r="I466" s="196"/>
      <c r="J466" s="196"/>
      <c r="K466" s="189">
        <f>SUM(K463,K464)</f>
        <v>63686.334439999999</v>
      </c>
      <c r="L466" s="197">
        <f>K466-H466</f>
        <v>-3043.3905799999993</v>
      </c>
      <c r="M466" s="198">
        <f>IF((H466)=0,"",(L466/H466))</f>
        <v>-4.560771948465013E-2</v>
      </c>
    </row>
    <row r="467" spans="1:14" ht="13.5" thickBot="1" x14ac:dyDescent="0.25">
      <c r="A467" s="46" t="str">
        <f t="shared" si="63"/>
        <v>STREET LIGHTING SERVICE CLASSIFICATION</v>
      </c>
      <c r="B467" s="46" t="s">
        <v>140</v>
      </c>
      <c r="C467" s="115"/>
      <c r="D467" s="165"/>
      <c r="E467" s="166"/>
      <c r="F467" s="203"/>
      <c r="G467" s="200"/>
      <c r="H467" s="204"/>
      <c r="I467" s="203"/>
      <c r="J467" s="168"/>
      <c r="K467" s="204"/>
      <c r="L467" s="202"/>
      <c r="M467" s="205"/>
    </row>
    <row r="470" spans="1:14" x14ac:dyDescent="0.2">
      <c r="C470" s="46"/>
      <c r="D470" s="90" t="s">
        <v>150</v>
      </c>
      <c r="E470" s="91" t="str">
        <f>D37</f>
        <v>SENTINEL LIGHTING SERVICE CLASSIFICATION</v>
      </c>
      <c r="F470" s="91"/>
      <c r="G470" s="91"/>
      <c r="H470" s="91"/>
      <c r="I470" s="91"/>
      <c r="J470" s="91"/>
      <c r="K470" s="46" t="str">
        <f>IF(N37="DEMAND - INTERVAL","RTSR - INTERVAL METERED","")</f>
        <v/>
      </c>
    </row>
    <row r="471" spans="1:14" x14ac:dyDescent="0.2">
      <c r="C471" s="46"/>
      <c r="D471" s="90" t="s">
        <v>151</v>
      </c>
      <c r="E471" s="92" t="str">
        <f>H37</f>
        <v>RPP</v>
      </c>
      <c r="F471" s="92"/>
      <c r="G471" s="92"/>
      <c r="H471" s="93"/>
      <c r="I471" s="93"/>
    </row>
    <row r="472" spans="1:14" ht="15.75" x14ac:dyDescent="0.2">
      <c r="C472" s="46"/>
      <c r="D472" s="90" t="s">
        <v>152</v>
      </c>
      <c r="E472" s="94">
        <f>K37</f>
        <v>10000</v>
      </c>
      <c r="F472" s="95" t="s">
        <v>153</v>
      </c>
      <c r="J472" s="96"/>
      <c r="K472" s="96"/>
      <c r="L472" s="96"/>
      <c r="M472" s="96"/>
      <c r="N472" s="96"/>
    </row>
    <row r="473" spans="1:14" ht="15.75" x14ac:dyDescent="0.25">
      <c r="C473" s="46"/>
      <c r="D473" s="90" t="s">
        <v>154</v>
      </c>
      <c r="E473" s="94">
        <f>L37</f>
        <v>29</v>
      </c>
      <c r="F473" s="97" t="s">
        <v>155</v>
      </c>
      <c r="G473" s="98"/>
      <c r="H473" s="99"/>
      <c r="I473" s="99"/>
      <c r="J473" s="99"/>
    </row>
    <row r="474" spans="1:14" x14ac:dyDescent="0.2">
      <c r="C474" s="46"/>
      <c r="D474" s="90" t="s">
        <v>156</v>
      </c>
      <c r="E474" s="100">
        <f>I37</f>
        <v>1.0306999999999999</v>
      </c>
    </row>
    <row r="475" spans="1:14" x14ac:dyDescent="0.2">
      <c r="C475" s="46"/>
      <c r="D475" s="90" t="s">
        <v>157</v>
      </c>
      <c r="E475" s="100">
        <f>J37</f>
        <v>1.0306999999999999</v>
      </c>
    </row>
    <row r="476" spans="1:14" x14ac:dyDescent="0.2">
      <c r="C476" s="46"/>
    </row>
    <row r="477" spans="1:14" x14ac:dyDescent="0.2">
      <c r="C477" s="46"/>
      <c r="E477" s="95"/>
      <c r="F477" s="101" t="s">
        <v>226</v>
      </c>
      <c r="G477" s="102"/>
      <c r="H477" s="103"/>
      <c r="I477" s="101" t="s">
        <v>205</v>
      </c>
      <c r="J477" s="102"/>
      <c r="K477" s="103"/>
      <c r="L477" s="101" t="s">
        <v>158</v>
      </c>
      <c r="M477" s="103"/>
    </row>
    <row r="478" spans="1:14" x14ac:dyDescent="0.2">
      <c r="C478" s="46"/>
      <c r="E478" s="104"/>
      <c r="F478" s="105" t="s">
        <v>159</v>
      </c>
      <c r="G478" s="105" t="s">
        <v>160</v>
      </c>
      <c r="H478" s="106" t="s">
        <v>161</v>
      </c>
      <c r="I478" s="105" t="s">
        <v>159</v>
      </c>
      <c r="J478" s="107" t="s">
        <v>160</v>
      </c>
      <c r="K478" s="106" t="s">
        <v>161</v>
      </c>
      <c r="L478" s="108" t="s">
        <v>162</v>
      </c>
      <c r="M478" s="109" t="s">
        <v>163</v>
      </c>
    </row>
    <row r="479" spans="1:14" x14ac:dyDescent="0.2">
      <c r="C479" s="46"/>
      <c r="E479" s="110"/>
      <c r="F479" s="111" t="s">
        <v>164</v>
      </c>
      <c r="G479" s="111"/>
      <c r="H479" s="112" t="s">
        <v>164</v>
      </c>
      <c r="I479" s="111" t="s">
        <v>164</v>
      </c>
      <c r="J479" s="112"/>
      <c r="K479" s="112" t="s">
        <v>164</v>
      </c>
      <c r="L479" s="113"/>
      <c r="M479" s="114"/>
    </row>
    <row r="480" spans="1:14" x14ac:dyDescent="0.2">
      <c r="A480" s="46" t="str">
        <f>$E470</f>
        <v>SENTINEL LIGHTING SERVICE CLASSIFICATION</v>
      </c>
      <c r="C480" s="115"/>
      <c r="D480" s="116" t="s">
        <v>165</v>
      </c>
      <c r="E480" s="117"/>
      <c r="F480" s="121">
        <v>3.13</v>
      </c>
      <c r="G480" s="119">
        <v>1</v>
      </c>
      <c r="H480" s="120">
        <f>G480*F480</f>
        <v>3.13</v>
      </c>
      <c r="I480" s="121">
        <v>3.13</v>
      </c>
      <c r="J480" s="122">
        <v>1</v>
      </c>
      <c r="K480" s="123">
        <f>J480*I480</f>
        <v>3.13</v>
      </c>
      <c r="L480" s="124">
        <f t="shared" ref="L480:L501" si="68">K480-H480</f>
        <v>0</v>
      </c>
      <c r="M480" s="125">
        <f>IF(ISERROR(L480/H480), "", L480/H480)</f>
        <v>0</v>
      </c>
    </row>
    <row r="481" spans="1:14" x14ac:dyDescent="0.2">
      <c r="A481" s="46" t="str">
        <f>A480</f>
        <v>SENTINEL LIGHTING SERVICE CLASSIFICATION</v>
      </c>
      <c r="C481" s="115"/>
      <c r="D481" s="116" t="s">
        <v>30</v>
      </c>
      <c r="E481" s="117"/>
      <c r="F481" s="127">
        <v>46.752499999999998</v>
      </c>
      <c r="G481" s="119">
        <f>IF($E473&gt;0, $E473, $E472)</f>
        <v>29</v>
      </c>
      <c r="H481" s="120">
        <f t="shared" ref="H481:H493" si="69">G481*F481</f>
        <v>1355.8225</v>
      </c>
      <c r="I481" s="127">
        <v>46.752499999999998</v>
      </c>
      <c r="J481" s="122">
        <f>IF($E473&gt;0, $E473, $E472)</f>
        <v>29</v>
      </c>
      <c r="K481" s="123">
        <f>J481*I481</f>
        <v>1355.8225</v>
      </c>
      <c r="L481" s="124">
        <f t="shared" si="68"/>
        <v>0</v>
      </c>
      <c r="M481" s="125">
        <f t="shared" ref="M481:M494" si="70">IF(ISERROR(L481/H481), "", L481/H481)</f>
        <v>0</v>
      </c>
    </row>
    <row r="482" spans="1:14" hidden="1" x14ac:dyDescent="0.2">
      <c r="A482" s="46" t="str">
        <f t="shared" ref="A482:A523" si="71">A481</f>
        <v>SENTINEL LIGHTING SERVICE CLASSIFICATION</v>
      </c>
      <c r="C482" s="115"/>
      <c r="D482" s="116" t="s">
        <v>166</v>
      </c>
      <c r="E482" s="117"/>
      <c r="F482" s="127"/>
      <c r="G482" s="119">
        <f>IF($E473&gt;0, $E473, $E472)</f>
        <v>29</v>
      </c>
      <c r="H482" s="120">
        <v>0</v>
      </c>
      <c r="I482" s="127"/>
      <c r="J482" s="122">
        <f>IF($E473&gt;0, $E473, $E472)</f>
        <v>29</v>
      </c>
      <c r="K482" s="123">
        <v>0</v>
      </c>
      <c r="L482" s="124"/>
      <c r="M482" s="125"/>
    </row>
    <row r="483" spans="1:14" hidden="1" x14ac:dyDescent="0.2">
      <c r="A483" s="46" t="str">
        <f t="shared" si="71"/>
        <v>SENTINEL LIGHTING SERVICE CLASSIFICATION</v>
      </c>
      <c r="C483" s="115"/>
      <c r="D483" s="116" t="s">
        <v>167</v>
      </c>
      <c r="E483" s="117"/>
      <c r="F483" s="127"/>
      <c r="G483" s="119">
        <f>IF($E473&gt;0, $E473, $E472)</f>
        <v>29</v>
      </c>
      <c r="H483" s="120">
        <v>0</v>
      </c>
      <c r="I483" s="127"/>
      <c r="J483" s="128">
        <f>IF($E473&gt;0, $E473, $E472)</f>
        <v>29</v>
      </c>
      <c r="K483" s="123">
        <v>0</v>
      </c>
      <c r="L483" s="124">
        <f>K483-H483</f>
        <v>0</v>
      </c>
      <c r="M483" s="125" t="str">
        <f>IF(ISERROR(L483/H483), "", L483/H483)</f>
        <v/>
      </c>
    </row>
    <row r="484" spans="1:14" x14ac:dyDescent="0.2">
      <c r="A484" s="46" t="str">
        <f t="shared" si="71"/>
        <v>SENTINEL LIGHTING SERVICE CLASSIFICATION</v>
      </c>
      <c r="C484" s="115"/>
      <c r="D484" s="116" t="s">
        <v>168</v>
      </c>
      <c r="E484" s="117"/>
      <c r="F484" s="121">
        <v>0.32</v>
      </c>
      <c r="G484" s="119">
        <v>1</v>
      </c>
      <c r="H484" s="120">
        <f t="shared" si="69"/>
        <v>0.32</v>
      </c>
      <c r="I484" s="121">
        <v>0.32</v>
      </c>
      <c r="J484" s="122">
        <v>1</v>
      </c>
      <c r="K484" s="123">
        <f t="shared" ref="K484:K491" si="72">J484*I484</f>
        <v>0.32</v>
      </c>
      <c r="L484" s="124">
        <f t="shared" si="68"/>
        <v>0</v>
      </c>
      <c r="M484" s="125">
        <f t="shared" si="70"/>
        <v>0</v>
      </c>
    </row>
    <row r="485" spans="1:14" x14ac:dyDescent="0.2">
      <c r="A485" s="46" t="str">
        <f t="shared" si="71"/>
        <v>SENTINEL LIGHTING SERVICE CLASSIFICATION</v>
      </c>
      <c r="C485" s="115"/>
      <c r="D485" s="116" t="s">
        <v>169</v>
      </c>
      <c r="E485" s="117"/>
      <c r="F485" s="127">
        <v>0</v>
      </c>
      <c r="G485" s="119">
        <f>IF($E473&gt;0, $E473, $E472)</f>
        <v>29</v>
      </c>
      <c r="H485" s="120">
        <f t="shared" si="69"/>
        <v>0</v>
      </c>
      <c r="I485" s="127">
        <v>0</v>
      </c>
      <c r="J485" s="122">
        <f>IF($E473&gt;0, $E473, $E472)</f>
        <v>29</v>
      </c>
      <c r="K485" s="123">
        <f t="shared" si="72"/>
        <v>0</v>
      </c>
      <c r="L485" s="124">
        <f t="shared" si="68"/>
        <v>0</v>
      </c>
      <c r="M485" s="125" t="str">
        <f t="shared" si="70"/>
        <v/>
      </c>
    </row>
    <row r="486" spans="1:14" x14ac:dyDescent="0.2">
      <c r="A486" s="46" t="str">
        <f t="shared" si="71"/>
        <v>SENTINEL LIGHTING SERVICE CLASSIFICATION</v>
      </c>
      <c r="B486" s="46" t="s">
        <v>170</v>
      </c>
      <c r="C486" s="115">
        <f>B37</f>
        <v>8</v>
      </c>
      <c r="D486" s="129" t="s">
        <v>171</v>
      </c>
      <c r="E486" s="130"/>
      <c r="F486" s="134"/>
      <c r="G486" s="132"/>
      <c r="H486" s="133">
        <f>SUM(H480:H485)</f>
        <v>1359.2725</v>
      </c>
      <c r="I486" s="134"/>
      <c r="J486" s="135"/>
      <c r="K486" s="133">
        <f>SUM(K480:K485)</f>
        <v>1359.2725</v>
      </c>
      <c r="L486" s="136">
        <f t="shared" si="68"/>
        <v>0</v>
      </c>
      <c r="M486" s="137">
        <f>IF((H486)=0,"",(L486/H486))</f>
        <v>0</v>
      </c>
    </row>
    <row r="487" spans="1:14" x14ac:dyDescent="0.2">
      <c r="A487" s="46" t="str">
        <f t="shared" si="71"/>
        <v>SENTINEL LIGHTING SERVICE CLASSIFICATION</v>
      </c>
      <c r="C487" s="115"/>
      <c r="D487" s="138" t="s">
        <v>172</v>
      </c>
      <c r="E487" s="117"/>
      <c r="F487" s="127">
        <f>IF((E472*12&gt;=150000), 0, IF(E471="RPP",(F503*0.64+F504*0.18+F505*0.18),IF(E471="Non-RPP (Retailer)",F506,F507)))</f>
        <v>9.2899999999999996E-2</v>
      </c>
      <c r="G487" s="139">
        <f>IF(F487=0, 0, $E472*E474-E472)</f>
        <v>307</v>
      </c>
      <c r="H487" s="120">
        <f>G487*F487</f>
        <v>28.520299999999999</v>
      </c>
      <c r="I487" s="127">
        <f>IF((E472*12&gt;=150000), 0, IF(E471="RPP",(I503*0.64+I504*0.18+I505*0.18),IF(E471="Non-RPP (Retailer)",I506,I507)))</f>
        <v>9.2899999999999996E-2</v>
      </c>
      <c r="J487" s="140">
        <f>IF(I487=0, 0, E472*E475-E472)</f>
        <v>307</v>
      </c>
      <c r="K487" s="123">
        <f>J487*I487</f>
        <v>28.520299999999999</v>
      </c>
      <c r="L487" s="124">
        <f>K487-H487</f>
        <v>0</v>
      </c>
      <c r="M487" s="125">
        <f>IF(ISERROR(L487/H487), "", L487/H487)</f>
        <v>0</v>
      </c>
    </row>
    <row r="488" spans="1:14" ht="25.5" x14ac:dyDescent="0.2">
      <c r="A488" s="46" t="str">
        <f t="shared" si="71"/>
        <v>SENTINEL LIGHTING SERVICE CLASSIFICATION</v>
      </c>
      <c r="C488" s="115"/>
      <c r="D488" s="138" t="s">
        <v>173</v>
      </c>
      <c r="E488" s="117"/>
      <c r="F488" s="127">
        <v>6.0999999999999999E-2</v>
      </c>
      <c r="G488" s="141">
        <f>IF($E473&gt;0, $E473, $E472)</f>
        <v>29</v>
      </c>
      <c r="H488" s="120">
        <f t="shared" si="69"/>
        <v>1.7689999999999999</v>
      </c>
      <c r="I488" s="127">
        <f>'Proposed Tariff'!D278+'Proposed Tariff'!D277</f>
        <v>0.65199999999999991</v>
      </c>
      <c r="J488" s="142">
        <f>IF($E473&gt;0, $E473, $E472)</f>
        <v>29</v>
      </c>
      <c r="K488" s="123">
        <f t="shared" si="72"/>
        <v>18.907999999999998</v>
      </c>
      <c r="L488" s="124">
        <f t="shared" si="68"/>
        <v>17.138999999999999</v>
      </c>
      <c r="M488" s="125">
        <f t="shared" si="70"/>
        <v>9.6885245901639347</v>
      </c>
    </row>
    <row r="489" spans="1:14" x14ac:dyDescent="0.2">
      <c r="A489" s="46" t="str">
        <f t="shared" si="71"/>
        <v>SENTINEL LIGHTING SERVICE CLASSIFICATION</v>
      </c>
      <c r="C489" s="115"/>
      <c r="D489" s="138" t="s">
        <v>174</v>
      </c>
      <c r="E489" s="117"/>
      <c r="F489" s="127">
        <v>0</v>
      </c>
      <c r="G489" s="141">
        <f>IF($E473&gt;0, $E473, $E472)</f>
        <v>29</v>
      </c>
      <c r="H489" s="120">
        <f>G489*F489</f>
        <v>0</v>
      </c>
      <c r="I489" s="127">
        <f>'Proposed Tariff'!D276</f>
        <v>-4.1000000000000003E-3</v>
      </c>
      <c r="J489" s="142">
        <f>IF($E473&gt;0, $E473, $E472)</f>
        <v>29</v>
      </c>
      <c r="K489" s="123">
        <f>J489*I489</f>
        <v>-0.11890000000000001</v>
      </c>
      <c r="L489" s="124">
        <f t="shared" si="68"/>
        <v>-0.11890000000000001</v>
      </c>
      <c r="M489" s="125" t="str">
        <f t="shared" si="70"/>
        <v/>
      </c>
    </row>
    <row r="490" spans="1:14" x14ac:dyDescent="0.2">
      <c r="A490" s="46" t="str">
        <f t="shared" si="71"/>
        <v>SENTINEL LIGHTING SERVICE CLASSIFICATION</v>
      </c>
      <c r="C490" s="115"/>
      <c r="D490" s="138" t="s">
        <v>175</v>
      </c>
      <c r="E490" s="117"/>
      <c r="F490" s="127">
        <v>0</v>
      </c>
      <c r="G490" s="141">
        <f>E472</f>
        <v>10000</v>
      </c>
      <c r="H490" s="120">
        <f>G490*F490</f>
        <v>0</v>
      </c>
      <c r="I490" s="127">
        <v>0</v>
      </c>
      <c r="J490" s="142">
        <f>E472</f>
        <v>10000</v>
      </c>
      <c r="K490" s="123">
        <f t="shared" si="72"/>
        <v>0</v>
      </c>
      <c r="L490" s="124">
        <f t="shared" si="68"/>
        <v>0</v>
      </c>
      <c r="M490" s="125" t="str">
        <f t="shared" si="70"/>
        <v/>
      </c>
    </row>
    <row r="491" spans="1:14" x14ac:dyDescent="0.2">
      <c r="A491" s="46" t="str">
        <f t="shared" si="71"/>
        <v>SENTINEL LIGHTING SERVICE CLASSIFICATION</v>
      </c>
      <c r="C491" s="115"/>
      <c r="D491" s="116" t="s">
        <v>176</v>
      </c>
      <c r="E491" s="117"/>
      <c r="F491" s="127">
        <v>7.5300000000000006E-2</v>
      </c>
      <c r="G491" s="141">
        <f>IF($E473&gt;0, $E473, $E472)</f>
        <v>29</v>
      </c>
      <c r="H491" s="120">
        <f t="shared" si="69"/>
        <v>2.1837</v>
      </c>
      <c r="I491" s="127">
        <v>7.5300000000000006E-2</v>
      </c>
      <c r="J491" s="142">
        <f>IF($E473&gt;0, $E473, $E472)</f>
        <v>29</v>
      </c>
      <c r="K491" s="123">
        <f t="shared" si="72"/>
        <v>2.1837</v>
      </c>
      <c r="L491" s="124">
        <f t="shared" si="68"/>
        <v>0</v>
      </c>
      <c r="M491" s="125">
        <f t="shared" si="70"/>
        <v>0</v>
      </c>
    </row>
    <row r="492" spans="1:14" ht="25.5" x14ac:dyDescent="0.2">
      <c r="A492" s="46" t="str">
        <f t="shared" si="71"/>
        <v>SENTINEL LIGHTING SERVICE CLASSIFICATION</v>
      </c>
      <c r="C492" s="115"/>
      <c r="D492" s="138" t="s">
        <v>177</v>
      </c>
      <c r="E492" s="117"/>
      <c r="F492" s="144">
        <f>IF(OR(ISNUMBER(SEARCH("RESIDENTIAL", B470))=TRUE, ISNUMBER(SEARCH("GENERAL SERVICE LESS THAN 50", B470))=TRUE), SME, 0)</f>
        <v>0</v>
      </c>
      <c r="G492" s="119">
        <v>1</v>
      </c>
      <c r="H492" s="120">
        <f>G492*F492</f>
        <v>0</v>
      </c>
      <c r="I492" s="144">
        <f>IF(OR(ISNUMBER(SEARCH("RESIDENTIAL", E470))=TRUE, ISNUMBER(SEARCH("GENERAL SERVICE LESS THAN 50", E470))=TRUE), SME, 0)</f>
        <v>0</v>
      </c>
      <c r="J492" s="128">
        <v>1</v>
      </c>
      <c r="K492" s="123">
        <f>J492*I492</f>
        <v>0</v>
      </c>
      <c r="L492" s="124">
        <f t="shared" si="68"/>
        <v>0</v>
      </c>
      <c r="M492" s="125" t="str">
        <f t="shared" si="70"/>
        <v/>
      </c>
    </row>
    <row r="493" spans="1:14" x14ac:dyDescent="0.2">
      <c r="A493" s="46" t="str">
        <f t="shared" si="71"/>
        <v>SENTINEL LIGHTING SERVICE CLASSIFICATION</v>
      </c>
      <c r="C493" s="115"/>
      <c r="D493" s="116" t="s">
        <v>178</v>
      </c>
      <c r="E493" s="117"/>
      <c r="F493" s="121">
        <v>0</v>
      </c>
      <c r="G493" s="119">
        <v>1</v>
      </c>
      <c r="H493" s="120">
        <f t="shared" si="69"/>
        <v>0</v>
      </c>
      <c r="I493" s="121">
        <v>0</v>
      </c>
      <c r="J493" s="128">
        <v>1</v>
      </c>
      <c r="K493" s="123">
        <f>J493*I493</f>
        <v>0</v>
      </c>
      <c r="L493" s="124">
        <f>K493-H493</f>
        <v>0</v>
      </c>
      <c r="M493" s="125" t="str">
        <f t="shared" si="70"/>
        <v/>
      </c>
    </row>
    <row r="494" spans="1:14" x14ac:dyDescent="0.2">
      <c r="A494" s="46" t="str">
        <f t="shared" si="71"/>
        <v>SENTINEL LIGHTING SERVICE CLASSIFICATION</v>
      </c>
      <c r="C494" s="115"/>
      <c r="D494" s="116" t="s">
        <v>179</v>
      </c>
      <c r="E494" s="117"/>
      <c r="F494" s="127">
        <v>0</v>
      </c>
      <c r="G494" s="141">
        <f>IF($E473&gt;0, $E473, $E472)</f>
        <v>29</v>
      </c>
      <c r="H494" s="120">
        <f>G494*F494</f>
        <v>0</v>
      </c>
      <c r="I494" s="127">
        <v>0</v>
      </c>
      <c r="J494" s="142">
        <f>IF($E473&gt;0, $E473, $E472)</f>
        <v>29</v>
      </c>
      <c r="K494" s="123">
        <f>J494*I494</f>
        <v>0</v>
      </c>
      <c r="L494" s="124">
        <f t="shared" si="68"/>
        <v>0</v>
      </c>
      <c r="M494" s="125" t="str">
        <f t="shared" si="70"/>
        <v/>
      </c>
    </row>
    <row r="495" spans="1:14" ht="25.5" x14ac:dyDescent="0.2">
      <c r="A495" s="46" t="str">
        <f t="shared" si="71"/>
        <v>SENTINEL LIGHTING SERVICE CLASSIFICATION</v>
      </c>
      <c r="B495" s="46" t="s">
        <v>180</v>
      </c>
      <c r="C495" s="115">
        <f>B37</f>
        <v>8</v>
      </c>
      <c r="D495" s="145" t="s">
        <v>181</v>
      </c>
      <c r="E495" s="146"/>
      <c r="F495" s="150"/>
      <c r="G495" s="148"/>
      <c r="H495" s="149">
        <f>SUM(H486:H494)</f>
        <v>1391.7455</v>
      </c>
      <c r="I495" s="150"/>
      <c r="J495" s="151"/>
      <c r="K495" s="149">
        <f>SUM(K486:K494)</f>
        <v>1408.7655999999999</v>
      </c>
      <c r="L495" s="136">
        <f t="shared" si="68"/>
        <v>17.020099999999957</v>
      </c>
      <c r="M495" s="137">
        <f>IF((H495)=0,"",(L495/H495))</f>
        <v>1.2229319225389956E-2</v>
      </c>
    </row>
    <row r="496" spans="1:14" x14ac:dyDescent="0.2">
      <c r="A496" s="46" t="str">
        <f t="shared" si="71"/>
        <v>SENTINEL LIGHTING SERVICE CLASSIFICATION</v>
      </c>
      <c r="C496" s="115"/>
      <c r="D496" s="152" t="s">
        <v>182</v>
      </c>
      <c r="E496" s="117"/>
      <c r="F496" s="153">
        <v>2.7690000000000001</v>
      </c>
      <c r="G496" s="139">
        <f>IF($E473&gt;0, $E473, $E472*$E474)</f>
        <v>29</v>
      </c>
      <c r="H496" s="120">
        <f>G496*F496</f>
        <v>80.301000000000002</v>
      </c>
      <c r="I496" s="153">
        <v>2.7690000000000001</v>
      </c>
      <c r="J496" s="140">
        <f>IF($E473&gt;0, $E473, $E472*$E475)</f>
        <v>29</v>
      </c>
      <c r="K496" s="123">
        <f>J496*I496</f>
        <v>80.301000000000002</v>
      </c>
      <c r="L496" s="124">
        <f t="shared" si="68"/>
        <v>0</v>
      </c>
      <c r="M496" s="125">
        <f>IF(ISERROR(L496/H496), "", L496/H496)</f>
        <v>0</v>
      </c>
      <c r="N496" s="154" t="str">
        <f>IF(ISERROR(ABS(M496)), "", IF(ABS(M496)&gt;=4%, "In the manager's summary, discuss the reasoning for the change in RTSR rates", ""))</f>
        <v/>
      </c>
    </row>
    <row r="497" spans="1:14" ht="25.5" x14ac:dyDescent="0.2">
      <c r="A497" s="46" t="str">
        <f t="shared" si="71"/>
        <v>SENTINEL LIGHTING SERVICE CLASSIFICATION</v>
      </c>
      <c r="C497" s="115"/>
      <c r="D497" s="155" t="s">
        <v>183</v>
      </c>
      <c r="E497" s="117"/>
      <c r="F497" s="153">
        <v>1.3301000000000001</v>
      </c>
      <c r="G497" s="139">
        <f>IF($E473&gt;0, $E473, $E472*$E474)</f>
        <v>29</v>
      </c>
      <c r="H497" s="120">
        <f>G497*F497</f>
        <v>38.572900000000004</v>
      </c>
      <c r="I497" s="153">
        <v>1.3301000000000001</v>
      </c>
      <c r="J497" s="140">
        <f>IF($E473&gt;0, $E473, $E472*$E475)</f>
        <v>29</v>
      </c>
      <c r="K497" s="123">
        <f>J497*I497</f>
        <v>38.572900000000004</v>
      </c>
      <c r="L497" s="124">
        <f t="shared" si="68"/>
        <v>0</v>
      </c>
      <c r="M497" s="125">
        <f>IF(ISERROR(L497/H497), "", L497/H497)</f>
        <v>0</v>
      </c>
      <c r="N497" s="154" t="str">
        <f>IF(ISERROR(ABS(M497)), "", IF(ABS(M497)&gt;=4%, "In the manager's summary, discuss the reasoning for the change in RTSR rates", ""))</f>
        <v/>
      </c>
    </row>
    <row r="498" spans="1:14" ht="25.5" x14ac:dyDescent="0.2">
      <c r="A498" s="46" t="str">
        <f t="shared" si="71"/>
        <v>SENTINEL LIGHTING SERVICE CLASSIFICATION</v>
      </c>
      <c r="B498" s="46" t="s">
        <v>184</v>
      </c>
      <c r="C498" s="115">
        <f>B37</f>
        <v>8</v>
      </c>
      <c r="D498" s="145" t="s">
        <v>185</v>
      </c>
      <c r="E498" s="130"/>
      <c r="F498" s="150"/>
      <c r="G498" s="148"/>
      <c r="H498" s="149">
        <f>SUM(H495:H497)</f>
        <v>1510.6194</v>
      </c>
      <c r="I498" s="150"/>
      <c r="J498" s="135"/>
      <c r="K498" s="149">
        <f>SUM(K495:K497)</f>
        <v>1527.6394999999998</v>
      </c>
      <c r="L498" s="136">
        <f t="shared" si="68"/>
        <v>17.020099999999729</v>
      </c>
      <c r="M498" s="137">
        <f>IF((H498)=0,"",(L498/H498))</f>
        <v>1.126696770874234E-2</v>
      </c>
    </row>
    <row r="499" spans="1:14" ht="25.5" x14ac:dyDescent="0.2">
      <c r="A499" s="46" t="str">
        <f t="shared" si="71"/>
        <v>SENTINEL LIGHTING SERVICE CLASSIFICATION</v>
      </c>
      <c r="C499" s="115"/>
      <c r="D499" s="156" t="s">
        <v>186</v>
      </c>
      <c r="E499" s="117"/>
      <c r="F499" s="127">
        <f>'[1]17. Regulatory Charges'!$E$15+'[1]17. Regulatory Charges'!$E$16</f>
        <v>3.4000000000000002E-3</v>
      </c>
      <c r="G499" s="139">
        <f>E472*E474</f>
        <v>10307</v>
      </c>
      <c r="H499" s="157">
        <f t="shared" ref="H499:H505" si="73">G499*F499</f>
        <v>35.043800000000005</v>
      </c>
      <c r="I499" s="127">
        <f>'[1]17. Regulatory Charges'!$E$15+'[1]17. Regulatory Charges'!$E$16</f>
        <v>3.4000000000000002E-3</v>
      </c>
      <c r="J499" s="140">
        <f>E472*E475</f>
        <v>10307</v>
      </c>
      <c r="K499" s="123">
        <f t="shared" ref="K499:K505" si="74">J499*I499</f>
        <v>35.043800000000005</v>
      </c>
      <c r="L499" s="124">
        <f t="shared" si="68"/>
        <v>0</v>
      </c>
      <c r="M499" s="125">
        <f t="shared" ref="M499:M507" si="75">IF(ISERROR(L499/H499), "", L499/H499)</f>
        <v>0</v>
      </c>
    </row>
    <row r="500" spans="1:14" ht="25.5" x14ac:dyDescent="0.2">
      <c r="A500" s="46" t="str">
        <f t="shared" si="71"/>
        <v>SENTINEL LIGHTING SERVICE CLASSIFICATION</v>
      </c>
      <c r="C500" s="115"/>
      <c r="D500" s="156" t="s">
        <v>187</v>
      </c>
      <c r="E500" s="117"/>
      <c r="F500" s="127">
        <f>'[1]17. Regulatory Charges'!$E$17</f>
        <v>5.0000000000000001E-4</v>
      </c>
      <c r="G500" s="139">
        <f>E472*E474</f>
        <v>10307</v>
      </c>
      <c r="H500" s="157">
        <f t="shared" si="73"/>
        <v>5.1535000000000002</v>
      </c>
      <c r="I500" s="127">
        <f>'[1]17. Regulatory Charges'!$E$17</f>
        <v>5.0000000000000001E-4</v>
      </c>
      <c r="J500" s="140">
        <f>E472*E475</f>
        <v>10307</v>
      </c>
      <c r="K500" s="123">
        <f t="shared" si="74"/>
        <v>5.1535000000000002</v>
      </c>
      <c r="L500" s="124">
        <f t="shared" si="68"/>
        <v>0</v>
      </c>
      <c r="M500" s="125">
        <f t="shared" si="75"/>
        <v>0</v>
      </c>
    </row>
    <row r="501" spans="1:14" x14ac:dyDescent="0.2">
      <c r="A501" s="46" t="str">
        <f t="shared" si="71"/>
        <v>SENTINEL LIGHTING SERVICE CLASSIFICATION</v>
      </c>
      <c r="C501" s="115"/>
      <c r="D501" s="158" t="s">
        <v>188</v>
      </c>
      <c r="E501" s="117"/>
      <c r="F501" s="144">
        <f>'[1]17. Regulatory Charges'!$E$18</f>
        <v>0.25</v>
      </c>
      <c r="G501" s="119">
        <v>1</v>
      </c>
      <c r="H501" s="157">
        <f t="shared" si="73"/>
        <v>0.25</v>
      </c>
      <c r="I501" s="144">
        <f>'[1]17. Regulatory Charges'!$E$18</f>
        <v>0.25</v>
      </c>
      <c r="J501" s="122">
        <v>1</v>
      </c>
      <c r="K501" s="123">
        <f t="shared" si="74"/>
        <v>0.25</v>
      </c>
      <c r="L501" s="124">
        <f t="shared" si="68"/>
        <v>0</v>
      </c>
      <c r="M501" s="125">
        <f t="shared" si="75"/>
        <v>0</v>
      </c>
    </row>
    <row r="502" spans="1:14" ht="25.5" hidden="1" x14ac:dyDescent="0.2">
      <c r="A502" s="46" t="str">
        <f t="shared" si="71"/>
        <v>SENTINEL LIGHTING SERVICE CLASSIFICATION</v>
      </c>
      <c r="C502" s="115"/>
      <c r="D502" s="156" t="s">
        <v>189</v>
      </c>
      <c r="E502" s="117"/>
      <c r="F502" s="127"/>
      <c r="G502" s="139"/>
      <c r="H502" s="157"/>
      <c r="I502" s="127"/>
      <c r="J502" s="140"/>
      <c r="K502" s="123"/>
      <c r="L502" s="124"/>
      <c r="M502" s="125"/>
    </row>
    <row r="503" spans="1:14" x14ac:dyDescent="0.2">
      <c r="A503" s="46" t="str">
        <f t="shared" si="71"/>
        <v>SENTINEL LIGHTING SERVICE CLASSIFICATION</v>
      </c>
      <c r="B503" s="46" t="s">
        <v>139</v>
      </c>
      <c r="C503" s="115"/>
      <c r="D503" s="158" t="s">
        <v>190</v>
      </c>
      <c r="E503" s="117"/>
      <c r="F503" s="161">
        <f>OffPeak</f>
        <v>7.3999999999999996E-2</v>
      </c>
      <c r="G503" s="160">
        <f>IF(AND(E472*12&gt;=150000),0.64*E472*E474,0.64*E472)</f>
        <v>6400</v>
      </c>
      <c r="H503" s="157">
        <f t="shared" si="73"/>
        <v>473.59999999999997</v>
      </c>
      <c r="I503" s="161">
        <f>OffPeak</f>
        <v>7.3999999999999996E-2</v>
      </c>
      <c r="J503" s="162">
        <f>IF(AND(E472*12&gt;=150000),0.64*E472*E475,0.64*E472)</f>
        <v>6400</v>
      </c>
      <c r="K503" s="123">
        <f t="shared" si="74"/>
        <v>473.59999999999997</v>
      </c>
      <c r="L503" s="124">
        <f>K503-H503</f>
        <v>0</v>
      </c>
      <c r="M503" s="125">
        <f t="shared" si="75"/>
        <v>0</v>
      </c>
    </row>
    <row r="504" spans="1:14" x14ac:dyDescent="0.2">
      <c r="A504" s="46" t="str">
        <f t="shared" si="71"/>
        <v>SENTINEL LIGHTING SERVICE CLASSIFICATION</v>
      </c>
      <c r="B504" s="46" t="s">
        <v>139</v>
      </c>
      <c r="C504" s="115"/>
      <c r="D504" s="158" t="s">
        <v>191</v>
      </c>
      <c r="E504" s="117"/>
      <c r="F504" s="161">
        <f>MidPeak</f>
        <v>0.10199999999999999</v>
      </c>
      <c r="G504" s="160">
        <f>IF(AND(E472*12&gt;=150000),0.18*E472*E474,0.18*E472)</f>
        <v>1800</v>
      </c>
      <c r="H504" s="157">
        <f t="shared" si="73"/>
        <v>183.6</v>
      </c>
      <c r="I504" s="161">
        <f>MidPeak</f>
        <v>0.10199999999999999</v>
      </c>
      <c r="J504" s="162">
        <f>IF(AND(E472*12&gt;=150000),0.18*E472*E475,0.18*E472)</f>
        <v>1800</v>
      </c>
      <c r="K504" s="123">
        <f t="shared" si="74"/>
        <v>183.6</v>
      </c>
      <c r="L504" s="124">
        <f>K504-H504</f>
        <v>0</v>
      </c>
      <c r="M504" s="125">
        <f t="shared" si="75"/>
        <v>0</v>
      </c>
    </row>
    <row r="505" spans="1:14" ht="13.5" thickBot="1" x14ac:dyDescent="0.25">
      <c r="A505" s="46" t="str">
        <f t="shared" si="71"/>
        <v>SENTINEL LIGHTING SERVICE CLASSIFICATION</v>
      </c>
      <c r="B505" s="46" t="s">
        <v>139</v>
      </c>
      <c r="C505" s="115"/>
      <c r="D505" s="46" t="s">
        <v>192</v>
      </c>
      <c r="E505" s="117"/>
      <c r="F505" s="161">
        <f>OnPeak</f>
        <v>0.151</v>
      </c>
      <c r="G505" s="160">
        <f>IF(AND(E472*12&gt;=150000),0.18*E472*E474,0.18*E472)</f>
        <v>1800</v>
      </c>
      <c r="H505" s="157">
        <f t="shared" si="73"/>
        <v>271.8</v>
      </c>
      <c r="I505" s="161">
        <f>OnPeak</f>
        <v>0.151</v>
      </c>
      <c r="J505" s="162">
        <f>IF(AND(E472*12&gt;=150000),0.18*E472*E475,0.18*E472)</f>
        <v>1800</v>
      </c>
      <c r="K505" s="123">
        <f t="shared" si="74"/>
        <v>271.8</v>
      </c>
      <c r="L505" s="124">
        <f>K505-H505</f>
        <v>0</v>
      </c>
      <c r="M505" s="125">
        <f t="shared" si="75"/>
        <v>0</v>
      </c>
    </row>
    <row r="506" spans="1:14" ht="13.5" hidden="1" thickBot="1" x14ac:dyDescent="0.25">
      <c r="A506" s="46" t="str">
        <f t="shared" si="71"/>
        <v>SENTINEL LIGHTING SERVICE CLASSIFICATION</v>
      </c>
      <c r="B506" s="46" t="s">
        <v>141</v>
      </c>
      <c r="C506" s="115"/>
      <c r="D506" s="158" t="s">
        <v>193</v>
      </c>
      <c r="E506" s="117"/>
      <c r="F506" s="164">
        <f>C506</f>
        <v>0</v>
      </c>
      <c r="G506" s="160">
        <f>IF(AND(E472*12&gt;=150000),E472*E474,E472)</f>
        <v>10000</v>
      </c>
      <c r="H506" s="157">
        <f>G506*F506</f>
        <v>0</v>
      </c>
      <c r="I506" s="164">
        <f>F506</f>
        <v>0</v>
      </c>
      <c r="J506" s="162">
        <f>IF(AND(E472*12&gt;=150000),E472*E475,E472)</f>
        <v>10000</v>
      </c>
      <c r="K506" s="123">
        <f>J506*I506</f>
        <v>0</v>
      </c>
      <c r="L506" s="124">
        <f>K506-H506</f>
        <v>0</v>
      </c>
      <c r="M506" s="125" t="str">
        <f t="shared" si="75"/>
        <v/>
      </c>
    </row>
    <row r="507" spans="1:14" ht="13.5" hidden="1" thickBot="1" x14ac:dyDescent="0.25">
      <c r="A507" s="46" t="str">
        <f t="shared" si="71"/>
        <v>SENTINEL LIGHTING SERVICE CLASSIFICATION</v>
      </c>
      <c r="B507" s="46" t="s">
        <v>140</v>
      </c>
      <c r="C507" s="115"/>
      <c r="D507" s="158" t="s">
        <v>194</v>
      </c>
      <c r="E507" s="117"/>
      <c r="F507" s="164">
        <f>C507</f>
        <v>0</v>
      </c>
      <c r="G507" s="160">
        <f>IF(AND(E472*12&gt;=150000),E472*E474,E472)</f>
        <v>10000</v>
      </c>
      <c r="H507" s="157">
        <f>G507*F507</f>
        <v>0</v>
      </c>
      <c r="I507" s="164">
        <f>F507</f>
        <v>0</v>
      </c>
      <c r="J507" s="162">
        <f>IF(AND(E472*12&gt;=150000),E472*E475,E472)</f>
        <v>10000</v>
      </c>
      <c r="K507" s="123">
        <f>J507*I507</f>
        <v>0</v>
      </c>
      <c r="L507" s="124">
        <f>K507-H507</f>
        <v>0</v>
      </c>
      <c r="M507" s="125" t="str">
        <f t="shared" si="75"/>
        <v/>
      </c>
    </row>
    <row r="508" spans="1:14" ht="13.5" thickBot="1" x14ac:dyDescent="0.25">
      <c r="A508" s="46" t="str">
        <f t="shared" si="71"/>
        <v>SENTINEL LIGHTING SERVICE CLASSIFICATION</v>
      </c>
      <c r="C508" s="115"/>
      <c r="D508" s="165"/>
      <c r="E508" s="166"/>
      <c r="F508" s="167"/>
      <c r="G508" s="168"/>
      <c r="H508" s="169"/>
      <c r="I508" s="167"/>
      <c r="J508" s="170"/>
      <c r="K508" s="169"/>
      <c r="L508" s="171"/>
      <c r="M508" s="172"/>
    </row>
    <row r="509" spans="1:14" x14ac:dyDescent="0.2">
      <c r="A509" s="46" t="str">
        <f t="shared" si="71"/>
        <v>SENTINEL LIGHTING SERVICE CLASSIFICATION</v>
      </c>
      <c r="B509" s="46" t="s">
        <v>139</v>
      </c>
      <c r="C509" s="115"/>
      <c r="D509" s="173" t="s">
        <v>195</v>
      </c>
      <c r="E509" s="158"/>
      <c r="F509" s="177"/>
      <c r="G509" s="175"/>
      <c r="H509" s="176">
        <f>SUM(H499:H505,H498)</f>
        <v>2480.0667000000003</v>
      </c>
      <c r="I509" s="177"/>
      <c r="J509" s="177"/>
      <c r="K509" s="176">
        <f>SUM(K499:K505,K498)</f>
        <v>2497.0868</v>
      </c>
      <c r="L509" s="178">
        <f>K509-H509</f>
        <v>17.020099999999729</v>
      </c>
      <c r="M509" s="179">
        <f>IF((H509)=0,"",(L509/H509))</f>
        <v>6.862758973377501E-3</v>
      </c>
    </row>
    <row r="510" spans="1:14" x14ac:dyDescent="0.2">
      <c r="A510" s="46" t="str">
        <f t="shared" si="71"/>
        <v>SENTINEL LIGHTING SERVICE CLASSIFICATION</v>
      </c>
      <c r="B510" s="46" t="s">
        <v>139</v>
      </c>
      <c r="C510" s="115"/>
      <c r="D510" s="180" t="s">
        <v>196</v>
      </c>
      <c r="E510" s="158"/>
      <c r="F510" s="183">
        <v>0.13</v>
      </c>
      <c r="G510" s="181"/>
      <c r="H510" s="182">
        <f>H509*F510</f>
        <v>322.40867100000003</v>
      </c>
      <c r="I510" s="183">
        <v>0.13</v>
      </c>
      <c r="J510" s="119"/>
      <c r="K510" s="182">
        <f>K509*I510</f>
        <v>324.621284</v>
      </c>
      <c r="L510" s="124">
        <f>K510-H510</f>
        <v>2.2126129999999762</v>
      </c>
      <c r="M510" s="184">
        <f>IF((H510)=0,"",(L510/H510))</f>
        <v>6.8627589733775366E-3</v>
      </c>
    </row>
    <row r="511" spans="1:14" ht="15" x14ac:dyDescent="0.25">
      <c r="A511" s="46" t="str">
        <f t="shared" si="71"/>
        <v>SENTINEL LIGHTING SERVICE CLASSIFICATION</v>
      </c>
      <c r="B511" s="46" t="s">
        <v>139</v>
      </c>
      <c r="C511" s="115"/>
      <c r="D511" s="180" t="s">
        <v>197</v>
      </c>
      <c r="E511"/>
      <c r="F511" s="185">
        <v>0.11700000000000001</v>
      </c>
      <c r="G511" s="181"/>
      <c r="H511" s="182">
        <f>IF(OR(ISNUMBER(SEARCH("[DGEN]", E470))=TRUE, ISNUMBER(SEARCH("STREET LIGHT", E470))=TRUE), 0, IF(AND(E472=0, E473=0),0, IF(AND(E473=0, E472*12&gt;250000), 0, IF(AND(E472=0, E473&gt;=50), 0, IF(E472*12&lt;=250000, F511*H509*-1, IF(E473&lt;50, F511*H509*-1, 0))))))</f>
        <v>-290.16780390000008</v>
      </c>
      <c r="I511" s="185">
        <v>0.11700000000000001</v>
      </c>
      <c r="J511" s="119"/>
      <c r="K511" s="182">
        <f>IF(OR(ISNUMBER(SEARCH("[DGEN]", E470))=TRUE, ISNUMBER(SEARCH("STREET LIGHT", E470))=TRUE), 0, IF(AND(E472=0, E473=0),0, IF(AND(E473=0, E472*12&gt;250000), 0, IF(AND(E472=0, E473&gt;=50), 0, IF(E472*12&lt;=250000, I511*K509*-1, IF(E473&lt;50, I511*K509*-1, 0))))))</f>
        <v>-292.15915560000002</v>
      </c>
      <c r="L511" s="124">
        <f>K511-H511</f>
        <v>-1.9913516999999388</v>
      </c>
      <c r="M511" s="184"/>
    </row>
    <row r="512" spans="1:14" ht="13.5" thickBot="1" x14ac:dyDescent="0.25">
      <c r="A512" s="46" t="str">
        <f t="shared" si="71"/>
        <v>SENTINEL LIGHTING SERVICE CLASSIFICATION</v>
      </c>
      <c r="B512" s="46" t="s">
        <v>198</v>
      </c>
      <c r="C512" s="115">
        <f>B37</f>
        <v>8</v>
      </c>
      <c r="D512" s="186" t="s">
        <v>199</v>
      </c>
      <c r="E512" s="186"/>
      <c r="F512" s="187"/>
      <c r="G512" s="188"/>
      <c r="H512" s="189">
        <f>H509+H510+H511</f>
        <v>2512.3075671000006</v>
      </c>
      <c r="I512" s="190"/>
      <c r="J512" s="190"/>
      <c r="K512" s="191">
        <f>K509+K510+K511</f>
        <v>2529.5489284</v>
      </c>
      <c r="L512" s="192">
        <f>K512-H512</f>
        <v>17.241361299999426</v>
      </c>
      <c r="M512" s="193">
        <f>IF((H512)=0,"",(L512/H512))</f>
        <v>6.8627589733773814E-3</v>
      </c>
    </row>
    <row r="513" spans="1:14" ht="13.5" thickBot="1" x14ac:dyDescent="0.25">
      <c r="A513" s="46" t="str">
        <f t="shared" si="71"/>
        <v>SENTINEL LIGHTING SERVICE CLASSIFICATION</v>
      </c>
      <c r="B513" s="46" t="s">
        <v>139</v>
      </c>
      <c r="C513" s="115"/>
      <c r="D513" s="165"/>
      <c r="E513" s="166"/>
      <c r="F513" s="167"/>
      <c r="G513" s="168"/>
      <c r="H513" s="169"/>
      <c r="I513" s="167"/>
      <c r="J513" s="170"/>
      <c r="K513" s="169"/>
      <c r="L513" s="171"/>
      <c r="M513" s="172"/>
    </row>
    <row r="514" spans="1:14" hidden="1" x14ac:dyDescent="0.2">
      <c r="A514" s="46" t="str">
        <f t="shared" si="71"/>
        <v>SENTINEL LIGHTING SERVICE CLASSIFICATION</v>
      </c>
      <c r="B514" s="46" t="s">
        <v>141</v>
      </c>
      <c r="C514" s="115"/>
      <c r="D514" s="173" t="s">
        <v>200</v>
      </c>
      <c r="E514" s="158"/>
      <c r="F514" s="174"/>
      <c r="G514" s="175"/>
      <c r="H514" s="176">
        <f>SUM(H506,H499:H502,H498)</f>
        <v>1551.0667000000001</v>
      </c>
      <c r="I514" s="177"/>
      <c r="J514" s="177"/>
      <c r="K514" s="176">
        <f>SUM(K506,K499:K502,K498)</f>
        <v>1568.0867999999998</v>
      </c>
      <c r="L514" s="178">
        <f>K514-H514</f>
        <v>17.020099999999729</v>
      </c>
      <c r="M514" s="179">
        <f>IF((H514)=0,"",(L514/H514))</f>
        <v>1.0973158020863788E-2</v>
      </c>
    </row>
    <row r="515" spans="1:14" hidden="1" x14ac:dyDescent="0.2">
      <c r="A515" s="46" t="str">
        <f t="shared" si="71"/>
        <v>SENTINEL LIGHTING SERVICE CLASSIFICATION</v>
      </c>
      <c r="B515" s="46" t="s">
        <v>141</v>
      </c>
      <c r="C515" s="115"/>
      <c r="D515" s="180" t="s">
        <v>196</v>
      </c>
      <c r="E515" s="158"/>
      <c r="F515" s="174">
        <v>0.13</v>
      </c>
      <c r="G515" s="175"/>
      <c r="H515" s="182">
        <f>H514*F515</f>
        <v>201.63867100000002</v>
      </c>
      <c r="I515" s="174">
        <v>0.13</v>
      </c>
      <c r="J515" s="183"/>
      <c r="K515" s="182">
        <f>K514*I515</f>
        <v>203.85128399999999</v>
      </c>
      <c r="L515" s="124">
        <f>K515-H515</f>
        <v>2.2126129999999762</v>
      </c>
      <c r="M515" s="184">
        <f>IF((H515)=0,"",(L515/H515))</f>
        <v>1.0973158020863846E-2</v>
      </c>
    </row>
    <row r="516" spans="1:14" ht="15" hidden="1" x14ac:dyDescent="0.25">
      <c r="A516" s="46" t="str">
        <f t="shared" si="71"/>
        <v>SENTINEL LIGHTING SERVICE CLASSIFICATION</v>
      </c>
      <c r="B516" s="46" t="s">
        <v>141</v>
      </c>
      <c r="C516" s="115"/>
      <c r="D516" s="180" t="s">
        <v>197</v>
      </c>
      <c r="E516"/>
      <c r="F516" s="185">
        <v>0.11700000000000001</v>
      </c>
      <c r="G516" s="175"/>
      <c r="H516" s="182">
        <f>IF(OR(ISNUMBER(SEARCH("[DGEN]", E470))=TRUE, ISNUMBER(SEARCH("STREET LIGHT", E470))=TRUE), 0, IF(AND(E472=0, E473=0),0, IF(AND(E473=0, E472*12&gt;250000), 0, IF(AND(E472=0, E473&gt;=50), 0, IF(E472*12&lt;=250000, F516*H514*-1, IF(E473&lt;50, F516*H514*-1, 0))))))</f>
        <v>-181.47480390000001</v>
      </c>
      <c r="I516" s="185">
        <v>0.11700000000000001</v>
      </c>
      <c r="J516" s="183"/>
      <c r="K516" s="182">
        <f>IF(OR(ISNUMBER(SEARCH("[DGEN]", E470))=TRUE, ISNUMBER(SEARCH("STREET LIGHT", E470))=TRUE), 0, IF(AND(E472=0, E473=0),0, IF(AND(E473=0, E472*12&gt;250000), 0, IF(AND(E472=0, E473&gt;=50), 0, IF(E472*12&lt;=250000, I516*K514*-1, IF(E473&lt;50, I516*K514*-1, 0))))))</f>
        <v>-183.46615559999998</v>
      </c>
      <c r="L516" s="124"/>
      <c r="M516" s="184"/>
    </row>
    <row r="517" spans="1:14" hidden="1" x14ac:dyDescent="0.2">
      <c r="A517" s="46" t="str">
        <f t="shared" si="71"/>
        <v>SENTINEL LIGHTING SERVICE CLASSIFICATION</v>
      </c>
      <c r="B517" s="46" t="s">
        <v>201</v>
      </c>
      <c r="C517" s="115"/>
      <c r="D517" s="186" t="s">
        <v>200</v>
      </c>
      <c r="E517" s="186"/>
      <c r="F517" s="194"/>
      <c r="G517" s="195"/>
      <c r="H517" s="189">
        <f>SUM(H514,H515)</f>
        <v>1752.705371</v>
      </c>
      <c r="I517" s="196"/>
      <c r="J517" s="196"/>
      <c r="K517" s="189">
        <f>SUM(K514,K515)</f>
        <v>1771.9380839999999</v>
      </c>
      <c r="L517" s="197">
        <f>K517-H517</f>
        <v>19.232712999999876</v>
      </c>
      <c r="M517" s="198">
        <f>IF((H517)=0,"",(L517/H517))</f>
        <v>1.0973158020863894E-2</v>
      </c>
    </row>
    <row r="518" spans="1:14" ht="13.5" hidden="1" thickBot="1" x14ac:dyDescent="0.25">
      <c r="A518" s="46" t="str">
        <f t="shared" si="71"/>
        <v>SENTINEL LIGHTING SERVICE CLASSIFICATION</v>
      </c>
      <c r="B518" s="46" t="s">
        <v>141</v>
      </c>
      <c r="C518" s="115"/>
      <c r="D518" s="165"/>
      <c r="E518" s="166"/>
      <c r="F518" s="199"/>
      <c r="G518" s="200"/>
      <c r="H518" s="201"/>
      <c r="I518" s="199"/>
      <c r="J518" s="168"/>
      <c r="K518" s="201"/>
      <c r="L518" s="202"/>
      <c r="M518" s="172"/>
    </row>
    <row r="519" spans="1:14" hidden="1" x14ac:dyDescent="0.2">
      <c r="A519" s="46" t="str">
        <f t="shared" si="71"/>
        <v>SENTINEL LIGHTING SERVICE CLASSIFICATION</v>
      </c>
      <c r="B519" s="46" t="s">
        <v>140</v>
      </c>
      <c r="C519" s="115"/>
      <c r="D519" s="173" t="s">
        <v>202</v>
      </c>
      <c r="E519" s="158"/>
      <c r="F519" s="174"/>
      <c r="G519" s="175"/>
      <c r="H519" s="176">
        <f>SUM(H507,H499:H502,H498)</f>
        <v>1551.0667000000001</v>
      </c>
      <c r="I519" s="177"/>
      <c r="J519" s="177"/>
      <c r="K519" s="176">
        <f>SUM(K507,K499:K502,K498)</f>
        <v>1568.0867999999998</v>
      </c>
      <c r="L519" s="178">
        <f>K519-H519</f>
        <v>17.020099999999729</v>
      </c>
      <c r="M519" s="179">
        <f>IF((H519)=0,"",(L519/H519))</f>
        <v>1.0973158020863788E-2</v>
      </c>
    </row>
    <row r="520" spans="1:14" hidden="1" x14ac:dyDescent="0.2">
      <c r="A520" s="46" t="str">
        <f t="shared" si="71"/>
        <v>SENTINEL LIGHTING SERVICE CLASSIFICATION</v>
      </c>
      <c r="B520" s="46" t="s">
        <v>140</v>
      </c>
      <c r="C520" s="115"/>
      <c r="D520" s="180" t="s">
        <v>196</v>
      </c>
      <c r="E520" s="158"/>
      <c r="F520" s="174">
        <v>0.13</v>
      </c>
      <c r="G520" s="175"/>
      <c r="H520" s="182">
        <f>H519*F520</f>
        <v>201.63867100000002</v>
      </c>
      <c r="I520" s="174">
        <v>0.13</v>
      </c>
      <c r="J520" s="183"/>
      <c r="K520" s="182">
        <f>K519*I520</f>
        <v>203.85128399999999</v>
      </c>
      <c r="L520" s="124">
        <f>K520-H520</f>
        <v>2.2126129999999762</v>
      </c>
      <c r="M520" s="184">
        <f>IF((H520)=0,"",(L520/H520))</f>
        <v>1.0973158020863846E-2</v>
      </c>
    </row>
    <row r="521" spans="1:14" ht="15" hidden="1" x14ac:dyDescent="0.25">
      <c r="A521" s="46" t="str">
        <f t="shared" si="71"/>
        <v>SENTINEL LIGHTING SERVICE CLASSIFICATION</v>
      </c>
      <c r="B521" s="46" t="s">
        <v>140</v>
      </c>
      <c r="C521" s="115"/>
      <c r="D521" s="180" t="s">
        <v>197</v>
      </c>
      <c r="E521"/>
      <c r="F521" s="185">
        <v>0.11700000000000001</v>
      </c>
      <c r="G521" s="175"/>
      <c r="H521" s="182">
        <f>IF(OR(ISNUMBER(SEARCH("[DGEN]", E470))=TRUE, ISNUMBER(SEARCH("STREET LIGHT", E470))=TRUE), 0, IF(AND(E472=0, E473=0),0, IF(AND(E473=0, E472*12&gt;250000), 0, IF(AND(E472=0, E473&gt;=50), 0, IF(E472*12&lt;=250000, F521*H519*-1, IF(E473&lt;50, F521*H519*-1, 0))))))</f>
        <v>-181.47480390000001</v>
      </c>
      <c r="I521" s="185">
        <v>0.11700000000000001</v>
      </c>
      <c r="J521" s="183"/>
      <c r="K521" s="182">
        <f>IF(OR(ISNUMBER(SEARCH("[DGEN]", E470))=TRUE, ISNUMBER(SEARCH("STREET LIGHT", E470))=TRUE), 0, IF(AND(E472=0, E473=0),0, IF(AND(E473=0, E472*12&gt;250000), 0, IF(AND(E472=0, E473&gt;=50), 0, IF(E472*12&lt;=250000, I521*K519*-1, IF(E473&lt;50, I521*K519*-1, 0))))))</f>
        <v>-183.46615559999998</v>
      </c>
      <c r="L521" s="124"/>
      <c r="M521" s="184"/>
    </row>
    <row r="522" spans="1:14" hidden="1" x14ac:dyDescent="0.2">
      <c r="A522" s="46" t="str">
        <f t="shared" si="71"/>
        <v>SENTINEL LIGHTING SERVICE CLASSIFICATION</v>
      </c>
      <c r="B522" s="46" t="s">
        <v>203</v>
      </c>
      <c r="C522" s="115"/>
      <c r="D522" s="186" t="s">
        <v>202</v>
      </c>
      <c r="E522" s="186"/>
      <c r="F522" s="194"/>
      <c r="G522" s="195"/>
      <c r="H522" s="189">
        <f>SUM(H519,H520)</f>
        <v>1752.705371</v>
      </c>
      <c r="I522" s="196"/>
      <c r="J522" s="196"/>
      <c r="K522" s="189">
        <f>SUM(K519,K520)</f>
        <v>1771.9380839999999</v>
      </c>
      <c r="L522" s="197">
        <f>K522-H522</f>
        <v>19.232712999999876</v>
      </c>
      <c r="M522" s="198">
        <f>IF((H522)=0,"",(L522/H522))</f>
        <v>1.0973158020863894E-2</v>
      </c>
    </row>
    <row r="523" spans="1:14" ht="13.5" hidden="1" thickBot="1" x14ac:dyDescent="0.25">
      <c r="A523" s="46" t="str">
        <f t="shared" si="71"/>
        <v>SENTINEL LIGHTING SERVICE CLASSIFICATION</v>
      </c>
      <c r="B523" s="46" t="s">
        <v>140</v>
      </c>
      <c r="C523" s="115"/>
      <c r="D523" s="165"/>
      <c r="E523" s="166"/>
      <c r="F523" s="203"/>
      <c r="G523" s="200"/>
      <c r="H523" s="204"/>
      <c r="I523" s="203"/>
      <c r="J523" s="168"/>
      <c r="K523" s="204"/>
      <c r="L523" s="202"/>
      <c r="M523" s="205"/>
    </row>
    <row r="526" spans="1:14" x14ac:dyDescent="0.2">
      <c r="C526" s="46"/>
      <c r="D526" s="90" t="s">
        <v>150</v>
      </c>
      <c r="E526" s="91" t="str">
        <f>D38</f>
        <v>EMBEDDED DISTRIBUTOR SERVICE CLASSIFICATION - HYDRO ONE CND</v>
      </c>
      <c r="F526" s="91"/>
      <c r="G526" s="91"/>
      <c r="H526" s="91"/>
      <c r="I526" s="91"/>
      <c r="J526" s="91"/>
      <c r="K526" s="46" t="str">
        <f>IF(N38="DEMAND - INTERVAL","RTSR - INTERVAL METERED","")</f>
        <v/>
      </c>
    </row>
    <row r="527" spans="1:14" x14ac:dyDescent="0.2">
      <c r="C527" s="46"/>
      <c r="D527" s="90" t="s">
        <v>151</v>
      </c>
      <c r="E527" s="92" t="str">
        <f>H38</f>
        <v>Non-RPP (Other)</v>
      </c>
      <c r="F527" s="92"/>
      <c r="G527" s="92"/>
      <c r="H527" s="93"/>
      <c r="I527" s="93"/>
    </row>
    <row r="528" spans="1:14" ht="15.75" x14ac:dyDescent="0.2">
      <c r="C528" s="46"/>
      <c r="D528" s="90" t="s">
        <v>152</v>
      </c>
      <c r="E528" s="94">
        <f>K38</f>
        <v>1382000</v>
      </c>
      <c r="F528" s="95" t="s">
        <v>153</v>
      </c>
      <c r="J528" s="96"/>
      <c r="K528" s="96"/>
      <c r="L528" s="96"/>
      <c r="M528" s="96"/>
      <c r="N528" s="96"/>
    </row>
    <row r="529" spans="1:13" ht="15.75" x14ac:dyDescent="0.25">
      <c r="C529" s="46"/>
      <c r="D529" s="90" t="s">
        <v>154</v>
      </c>
      <c r="E529" s="94">
        <f>L38</f>
        <v>2574</v>
      </c>
      <c r="F529" s="97" t="s">
        <v>155</v>
      </c>
      <c r="G529" s="98"/>
      <c r="H529" s="99"/>
      <c r="I529" s="99"/>
      <c r="J529" s="99"/>
    </row>
    <row r="530" spans="1:13" x14ac:dyDescent="0.2">
      <c r="C530" s="46"/>
      <c r="D530" s="90" t="s">
        <v>156</v>
      </c>
      <c r="E530" s="100">
        <f>I38</f>
        <v>1.0306999999999999</v>
      </c>
    </row>
    <row r="531" spans="1:13" x14ac:dyDescent="0.2">
      <c r="C531" s="46"/>
      <c r="D531" s="90" t="s">
        <v>157</v>
      </c>
      <c r="E531" s="100">
        <f>J38</f>
        <v>1.0306999999999999</v>
      </c>
    </row>
    <row r="532" spans="1:13" x14ac:dyDescent="0.2">
      <c r="C532" s="46"/>
    </row>
    <row r="533" spans="1:13" x14ac:dyDescent="0.2">
      <c r="C533" s="46"/>
      <c r="E533" s="95"/>
      <c r="F533" s="101" t="s">
        <v>226</v>
      </c>
      <c r="G533" s="102"/>
      <c r="H533" s="103"/>
      <c r="I533" s="101" t="s">
        <v>205</v>
      </c>
      <c r="J533" s="102"/>
      <c r="K533" s="103"/>
      <c r="L533" s="101" t="s">
        <v>158</v>
      </c>
      <c r="M533" s="103"/>
    </row>
    <row r="534" spans="1:13" x14ac:dyDescent="0.2">
      <c r="C534" s="46"/>
      <c r="E534" s="104"/>
      <c r="F534" s="105" t="s">
        <v>159</v>
      </c>
      <c r="G534" s="105" t="s">
        <v>160</v>
      </c>
      <c r="H534" s="106" t="s">
        <v>161</v>
      </c>
      <c r="I534" s="105" t="s">
        <v>159</v>
      </c>
      <c r="J534" s="107" t="s">
        <v>160</v>
      </c>
      <c r="K534" s="106" t="s">
        <v>161</v>
      </c>
      <c r="L534" s="108" t="s">
        <v>162</v>
      </c>
      <c r="M534" s="109" t="s">
        <v>163</v>
      </c>
    </row>
    <row r="535" spans="1:13" x14ac:dyDescent="0.2">
      <c r="C535" s="46"/>
      <c r="E535" s="110"/>
      <c r="F535" s="111" t="s">
        <v>164</v>
      </c>
      <c r="G535" s="111"/>
      <c r="H535" s="112" t="s">
        <v>164</v>
      </c>
      <c r="I535" s="111" t="s">
        <v>164</v>
      </c>
      <c r="J535" s="112"/>
      <c r="K535" s="112" t="s">
        <v>164</v>
      </c>
      <c r="L535" s="113"/>
      <c r="M535" s="114"/>
    </row>
    <row r="536" spans="1:13" x14ac:dyDescent="0.2">
      <c r="A536" s="46" t="str">
        <f>$E526</f>
        <v>EMBEDDED DISTRIBUTOR SERVICE CLASSIFICATION - HYDRO ONE CND</v>
      </c>
      <c r="C536" s="115"/>
      <c r="D536" s="116" t="s">
        <v>165</v>
      </c>
      <c r="E536" s="117"/>
      <c r="F536" s="121">
        <v>0</v>
      </c>
      <c r="G536" s="119">
        <v>1</v>
      </c>
      <c r="H536" s="120">
        <f>G536*F536</f>
        <v>0</v>
      </c>
      <c r="I536" s="121">
        <v>0</v>
      </c>
      <c r="J536" s="122">
        <f>G536</f>
        <v>1</v>
      </c>
      <c r="K536" s="123">
        <f>J536*I536</f>
        <v>0</v>
      </c>
      <c r="L536" s="124">
        <f t="shared" ref="L536:L557" si="76">K536-H536</f>
        <v>0</v>
      </c>
      <c r="M536" s="125" t="str">
        <f>IF(ISERROR(L536/H536), "", L536/H536)</f>
        <v/>
      </c>
    </row>
    <row r="537" spans="1:13" x14ac:dyDescent="0.2">
      <c r="A537" s="46" t="str">
        <f>A536</f>
        <v>EMBEDDED DISTRIBUTOR SERVICE CLASSIFICATION - HYDRO ONE CND</v>
      </c>
      <c r="C537" s="115"/>
      <c r="D537" s="116" t="s">
        <v>30</v>
      </c>
      <c r="E537" s="117"/>
      <c r="F537" s="127">
        <v>2.3426999999999998</v>
      </c>
      <c r="G537" s="119">
        <f>IF($E529&gt;0, $E529, $E528)</f>
        <v>2574</v>
      </c>
      <c r="H537" s="120">
        <f t="shared" ref="H537:H549" si="77">G537*F537</f>
        <v>6030.1097999999993</v>
      </c>
      <c r="I537" s="127">
        <v>2.3426999999999998</v>
      </c>
      <c r="J537" s="122">
        <f>IF($E529&gt;0, $E529, $E528)</f>
        <v>2574</v>
      </c>
      <c r="K537" s="123">
        <f>J537*I537</f>
        <v>6030.1097999999993</v>
      </c>
      <c r="L537" s="124">
        <f t="shared" si="76"/>
        <v>0</v>
      </c>
      <c r="M537" s="125">
        <f t="shared" ref="M537:M547" si="78">IF(ISERROR(L537/H537), "", L537/H537)</f>
        <v>0</v>
      </c>
    </row>
    <row r="538" spans="1:13" hidden="1" x14ac:dyDescent="0.2">
      <c r="A538" s="46" t="str">
        <f t="shared" ref="A538:A579" si="79">A537</f>
        <v>EMBEDDED DISTRIBUTOR SERVICE CLASSIFICATION - HYDRO ONE CND</v>
      </c>
      <c r="C538" s="115"/>
      <c r="D538" s="116" t="s">
        <v>166</v>
      </c>
      <c r="E538" s="117"/>
      <c r="F538" s="127"/>
      <c r="G538" s="119">
        <f>IF($E529&gt;0, $E529, $E528)</f>
        <v>2574</v>
      </c>
      <c r="H538" s="120">
        <v>0</v>
      </c>
      <c r="I538" s="127"/>
      <c r="J538" s="122">
        <f>IF($E529&gt;0, $E529, $E528)</f>
        <v>2574</v>
      </c>
      <c r="K538" s="123">
        <v>0</v>
      </c>
      <c r="L538" s="124"/>
      <c r="M538" s="125"/>
    </row>
    <row r="539" spans="1:13" hidden="1" x14ac:dyDescent="0.2">
      <c r="A539" s="46" t="str">
        <f t="shared" si="79"/>
        <v>EMBEDDED DISTRIBUTOR SERVICE CLASSIFICATION - HYDRO ONE CND</v>
      </c>
      <c r="C539" s="115"/>
      <c r="D539" s="116" t="s">
        <v>167</v>
      </c>
      <c r="E539" s="117"/>
      <c r="F539" s="127"/>
      <c r="G539" s="119">
        <f>IF($E529&gt;0, $E529, $E528)</f>
        <v>2574</v>
      </c>
      <c r="H539" s="120">
        <v>0</v>
      </c>
      <c r="I539" s="127"/>
      <c r="J539" s="128">
        <f>IF($E529&gt;0, $E529, $E528)</f>
        <v>2574</v>
      </c>
      <c r="K539" s="123">
        <v>0</v>
      </c>
      <c r="L539" s="124">
        <f>K539-H539</f>
        <v>0</v>
      </c>
      <c r="M539" s="125" t="str">
        <f>IF(ISERROR(L539/H539), "", L539/H539)</f>
        <v/>
      </c>
    </row>
    <row r="540" spans="1:13" x14ac:dyDescent="0.2">
      <c r="A540" s="46" t="str">
        <f t="shared" si="79"/>
        <v>EMBEDDED DISTRIBUTOR SERVICE CLASSIFICATION - HYDRO ONE CND</v>
      </c>
      <c r="C540" s="115"/>
      <c r="D540" s="116" t="s">
        <v>168</v>
      </c>
      <c r="E540" s="117"/>
      <c r="F540" s="121">
        <v>113.95</v>
      </c>
      <c r="G540" s="119">
        <v>1</v>
      </c>
      <c r="H540" s="120">
        <f t="shared" si="77"/>
        <v>113.95</v>
      </c>
      <c r="I540" s="121">
        <v>113.95</v>
      </c>
      <c r="J540" s="122">
        <f>G540</f>
        <v>1</v>
      </c>
      <c r="K540" s="123">
        <f t="shared" ref="K540:K547" si="80">J540*I540</f>
        <v>113.95</v>
      </c>
      <c r="L540" s="124">
        <f t="shared" si="76"/>
        <v>0</v>
      </c>
      <c r="M540" s="125">
        <f t="shared" si="78"/>
        <v>0</v>
      </c>
    </row>
    <row r="541" spans="1:13" x14ac:dyDescent="0.2">
      <c r="A541" s="46" t="str">
        <f t="shared" si="79"/>
        <v>EMBEDDED DISTRIBUTOR SERVICE CLASSIFICATION - HYDRO ONE CND</v>
      </c>
      <c r="C541" s="115"/>
      <c r="D541" s="116" t="s">
        <v>169</v>
      </c>
      <c r="E541" s="117"/>
      <c r="F541" s="127">
        <v>0</v>
      </c>
      <c r="G541" s="119">
        <f>IF($E529&gt;0, $E529, $E528)</f>
        <v>2574</v>
      </c>
      <c r="H541" s="120">
        <f t="shared" si="77"/>
        <v>0</v>
      </c>
      <c r="I541" s="127">
        <v>0</v>
      </c>
      <c r="J541" s="122">
        <f>IF($E529&gt;0, $E529, $E528)</f>
        <v>2574</v>
      </c>
      <c r="K541" s="123">
        <f t="shared" si="80"/>
        <v>0</v>
      </c>
      <c r="L541" s="124">
        <f t="shared" si="76"/>
        <v>0</v>
      </c>
      <c r="M541" s="125" t="str">
        <f t="shared" si="78"/>
        <v/>
      </c>
    </row>
    <row r="542" spans="1:13" x14ac:dyDescent="0.2">
      <c r="A542" s="46" t="str">
        <f t="shared" si="79"/>
        <v>EMBEDDED DISTRIBUTOR SERVICE CLASSIFICATION - HYDRO ONE CND</v>
      </c>
      <c r="B542" s="46" t="s">
        <v>170</v>
      </c>
      <c r="C542" s="115">
        <f>B38</f>
        <v>9</v>
      </c>
      <c r="D542" s="129" t="s">
        <v>171</v>
      </c>
      <c r="E542" s="130"/>
      <c r="F542" s="134"/>
      <c r="G542" s="132"/>
      <c r="H542" s="133">
        <f>SUM(H536:H541)</f>
        <v>6144.0597999999991</v>
      </c>
      <c r="I542" s="134"/>
      <c r="J542" s="135"/>
      <c r="K542" s="133">
        <f>SUM(K536:K541)</f>
        <v>6144.0597999999991</v>
      </c>
      <c r="L542" s="136">
        <f t="shared" si="76"/>
        <v>0</v>
      </c>
      <c r="M542" s="137">
        <f>IF((H542)=0,"",(L542/H542))</f>
        <v>0</v>
      </c>
    </row>
    <row r="543" spans="1:13" x14ac:dyDescent="0.2">
      <c r="A543" s="46" t="str">
        <f t="shared" si="79"/>
        <v>EMBEDDED DISTRIBUTOR SERVICE CLASSIFICATION - HYDRO ONE CND</v>
      </c>
      <c r="C543" s="115"/>
      <c r="D543" s="138" t="s">
        <v>172</v>
      </c>
      <c r="E543" s="117"/>
      <c r="F543" s="127">
        <f>IF((E528*12&gt;=150000), 0, IF(E527="RPP",(F559*0.64+F560*0.18+F561*0.18),IF(E527="Non-RPP (Retailer)",F562,F563)))</f>
        <v>0</v>
      </c>
      <c r="G543" s="139">
        <f>IF(F543=0, 0, $E528*E530-E528)</f>
        <v>0</v>
      </c>
      <c r="H543" s="120">
        <f>G543*F543</f>
        <v>0</v>
      </c>
      <c r="I543" s="127">
        <f>IF((E528*12&gt;=150000), 0, IF(E527="RPP",(I559*0.64+I560*0.18+I561*0.18),IF(E527="Non-RPP (Retailer)",I562,I563)))</f>
        <v>0</v>
      </c>
      <c r="J543" s="140">
        <f>IF(I543=0, 0, E528*E531-E528)</f>
        <v>0</v>
      </c>
      <c r="K543" s="123">
        <f>J543*I543</f>
        <v>0</v>
      </c>
      <c r="L543" s="124">
        <f>K543-H543</f>
        <v>0</v>
      </c>
      <c r="M543" s="125" t="str">
        <f>IF(ISERROR(L543/H543), "", L543/H543)</f>
        <v/>
      </c>
    </row>
    <row r="544" spans="1:13" ht="25.5" x14ac:dyDescent="0.2">
      <c r="A544" s="46" t="str">
        <f t="shared" si="79"/>
        <v>EMBEDDED DISTRIBUTOR SERVICE CLASSIFICATION - HYDRO ONE CND</v>
      </c>
      <c r="C544" s="115"/>
      <c r="D544" s="138" t="s">
        <v>173</v>
      </c>
      <c r="E544" s="117"/>
      <c r="F544" s="127">
        <v>0.72760000000000002</v>
      </c>
      <c r="G544" s="141">
        <f>IF($E529&gt;0, $E529, $E528)</f>
        <v>2574</v>
      </c>
      <c r="H544" s="120">
        <f t="shared" si="77"/>
        <v>1872.8424</v>
      </c>
      <c r="I544" s="127">
        <f>'Proposed Tariff'!D307+'Proposed Tariff'!D305</f>
        <v>1.1712</v>
      </c>
      <c r="J544" s="142">
        <f>IF($E529&gt;0, $E529, $E528)</f>
        <v>2574</v>
      </c>
      <c r="K544" s="123">
        <f t="shared" si="80"/>
        <v>3014.6687999999999</v>
      </c>
      <c r="L544" s="124">
        <f t="shared" si="76"/>
        <v>1141.8263999999999</v>
      </c>
      <c r="M544" s="125">
        <f t="shared" si="78"/>
        <v>0.60967564595931822</v>
      </c>
    </row>
    <row r="545" spans="1:14" x14ac:dyDescent="0.2">
      <c r="A545" s="46" t="str">
        <f t="shared" si="79"/>
        <v>EMBEDDED DISTRIBUTOR SERVICE CLASSIFICATION - HYDRO ONE CND</v>
      </c>
      <c r="C545" s="115"/>
      <c r="D545" s="138" t="s">
        <v>174</v>
      </c>
      <c r="E545" s="117"/>
      <c r="F545" s="127">
        <v>0</v>
      </c>
      <c r="G545" s="141">
        <f>IF($E529&gt;0, $E529, $E528)</f>
        <v>2574</v>
      </c>
      <c r="H545" s="120">
        <f>G545*F545</f>
        <v>0</v>
      </c>
      <c r="I545" s="127">
        <f>'Proposed Tariff'!D306</f>
        <v>-5.4899999999999997E-2</v>
      </c>
      <c r="J545" s="142">
        <f>IF($E529&gt;0, $E529, $E528)</f>
        <v>2574</v>
      </c>
      <c r="K545" s="123">
        <f>J545*I545</f>
        <v>-141.3126</v>
      </c>
      <c r="L545" s="124">
        <f t="shared" si="76"/>
        <v>-141.3126</v>
      </c>
      <c r="M545" s="125" t="str">
        <f t="shared" si="78"/>
        <v/>
      </c>
    </row>
    <row r="546" spans="1:14" x14ac:dyDescent="0.2">
      <c r="A546" s="46" t="str">
        <f t="shared" si="79"/>
        <v>EMBEDDED DISTRIBUTOR SERVICE CLASSIFICATION - HYDRO ONE CND</v>
      </c>
      <c r="C546" s="115"/>
      <c r="D546" s="138" t="s">
        <v>175</v>
      </c>
      <c r="E546" s="117"/>
      <c r="F546" s="127">
        <v>0</v>
      </c>
      <c r="G546" s="141">
        <f>E528</f>
        <v>1382000</v>
      </c>
      <c r="H546" s="120">
        <f>G546*F546</f>
        <v>0</v>
      </c>
      <c r="I546" s="127">
        <f>'Proposed Tariff'!D304</f>
        <v>-4.4999999999999997E-3</v>
      </c>
      <c r="J546" s="142">
        <f>E528</f>
        <v>1382000</v>
      </c>
      <c r="K546" s="123">
        <f t="shared" si="80"/>
        <v>-6218.9999999999991</v>
      </c>
      <c r="L546" s="124">
        <f t="shared" si="76"/>
        <v>-6218.9999999999991</v>
      </c>
      <c r="M546" s="125" t="str">
        <f t="shared" si="78"/>
        <v/>
      </c>
    </row>
    <row r="547" spans="1:14" x14ac:dyDescent="0.2">
      <c r="A547" s="46" t="str">
        <f t="shared" si="79"/>
        <v>EMBEDDED DISTRIBUTOR SERVICE CLASSIFICATION - HYDRO ONE CND</v>
      </c>
      <c r="C547" s="115"/>
      <c r="D547" s="116" t="s">
        <v>176</v>
      </c>
      <c r="E547" s="117"/>
      <c r="F547" s="127"/>
      <c r="G547" s="141">
        <f>IF($E529&gt;0, $E529, $E528)</f>
        <v>2574</v>
      </c>
      <c r="H547" s="120">
        <f t="shared" si="77"/>
        <v>0</v>
      </c>
      <c r="I547" s="127"/>
      <c r="J547" s="142">
        <f>IF($E529&gt;0, $E529, $E528)</f>
        <v>2574</v>
      </c>
      <c r="K547" s="123">
        <f t="shared" si="80"/>
        <v>0</v>
      </c>
      <c r="L547" s="124">
        <f t="shared" si="76"/>
        <v>0</v>
      </c>
      <c r="M547" s="125" t="str">
        <f t="shared" si="78"/>
        <v/>
      </c>
    </row>
    <row r="548" spans="1:14" ht="25.5" x14ac:dyDescent="0.2">
      <c r="A548" s="46" t="str">
        <f t="shared" si="79"/>
        <v>EMBEDDED DISTRIBUTOR SERVICE CLASSIFICATION - HYDRO ONE CND</v>
      </c>
      <c r="C548" s="115"/>
      <c r="D548" s="138" t="s">
        <v>177</v>
      </c>
      <c r="E548" s="117"/>
      <c r="F548" s="144">
        <f>IF(OR(ISNUMBER(SEARCH("RESIDENTIAL", B526))=TRUE, ISNUMBER(SEARCH("GENERAL SERVICE LESS THAN 50", B526))=TRUE), SME, 0)</f>
        <v>0</v>
      </c>
      <c r="G548" s="119">
        <v>1</v>
      </c>
      <c r="H548" s="120">
        <f>G548*F548</f>
        <v>0</v>
      </c>
      <c r="I548" s="144">
        <f>IF(OR(ISNUMBER(SEARCH("RESIDENTIAL", E526))=TRUE, ISNUMBER(SEARCH("GENERAL SERVICE LESS THAN 50", E526))=TRUE), SME, 0)</f>
        <v>0</v>
      </c>
      <c r="J548" s="128">
        <v>1</v>
      </c>
      <c r="K548" s="123">
        <f>J548*I548</f>
        <v>0</v>
      </c>
      <c r="L548" s="124">
        <f t="shared" si="76"/>
        <v>0</v>
      </c>
      <c r="M548" s="125" t="str">
        <f>IF(ISERROR(L548/H548), "", L548/H548)</f>
        <v/>
      </c>
    </row>
    <row r="549" spans="1:14" x14ac:dyDescent="0.2">
      <c r="A549" s="46" t="str">
        <f t="shared" si="79"/>
        <v>EMBEDDED DISTRIBUTOR SERVICE CLASSIFICATION - HYDRO ONE CND</v>
      </c>
      <c r="C549" s="115"/>
      <c r="D549" s="116" t="s">
        <v>178</v>
      </c>
      <c r="E549" s="117"/>
      <c r="F549" s="121">
        <v>0</v>
      </c>
      <c r="G549" s="119">
        <v>1</v>
      </c>
      <c r="H549" s="120">
        <f t="shared" si="77"/>
        <v>0</v>
      </c>
      <c r="I549" s="121">
        <v>0</v>
      </c>
      <c r="J549" s="128">
        <v>1</v>
      </c>
      <c r="K549" s="123">
        <f>J549*I549</f>
        <v>0</v>
      </c>
      <c r="L549" s="124">
        <f>K549-H549</f>
        <v>0</v>
      </c>
      <c r="M549" s="125" t="str">
        <f>IF(ISERROR(L549/H549), "", L549/H549)</f>
        <v/>
      </c>
    </row>
    <row r="550" spans="1:14" x14ac:dyDescent="0.2">
      <c r="A550" s="46" t="str">
        <f t="shared" si="79"/>
        <v>EMBEDDED DISTRIBUTOR SERVICE CLASSIFICATION - HYDRO ONE CND</v>
      </c>
      <c r="C550" s="115"/>
      <c r="D550" s="116" t="s">
        <v>179</v>
      </c>
      <c r="E550" s="117"/>
      <c r="F550" s="127">
        <v>0</v>
      </c>
      <c r="G550" s="141">
        <f>IF($E529&gt;0, $E529, $E528)</f>
        <v>2574</v>
      </c>
      <c r="H550" s="120">
        <f>G550*F550</f>
        <v>0</v>
      </c>
      <c r="I550" s="127">
        <v>0</v>
      </c>
      <c r="J550" s="142">
        <f>IF($E529&gt;0, $E529, $E528)</f>
        <v>2574</v>
      </c>
      <c r="K550" s="123">
        <f>J550*I550</f>
        <v>0</v>
      </c>
      <c r="L550" s="124">
        <f t="shared" si="76"/>
        <v>0</v>
      </c>
      <c r="M550" s="125" t="str">
        <f>IF(ISERROR(L550/H550), "", L550/H550)</f>
        <v/>
      </c>
    </row>
    <row r="551" spans="1:14" ht="25.5" x14ac:dyDescent="0.2">
      <c r="A551" s="46" t="str">
        <f t="shared" si="79"/>
        <v>EMBEDDED DISTRIBUTOR SERVICE CLASSIFICATION - HYDRO ONE CND</v>
      </c>
      <c r="B551" s="46" t="s">
        <v>180</v>
      </c>
      <c r="C551" s="115">
        <f>B38</f>
        <v>9</v>
      </c>
      <c r="D551" s="145" t="s">
        <v>181</v>
      </c>
      <c r="E551" s="146"/>
      <c r="F551" s="150"/>
      <c r="G551" s="148"/>
      <c r="H551" s="149">
        <f>SUM(H542:H550)</f>
        <v>8016.9021999999986</v>
      </c>
      <c r="I551" s="150"/>
      <c r="J551" s="151"/>
      <c r="K551" s="149">
        <f>SUM(K542:K550)</f>
        <v>2798.4160000000002</v>
      </c>
      <c r="L551" s="136">
        <f t="shared" si="76"/>
        <v>-5218.4861999999985</v>
      </c>
      <c r="M551" s="137">
        <f>IF((H551)=0,"",(L551/H551))</f>
        <v>-0.65093549476005819</v>
      </c>
    </row>
    <row r="552" spans="1:14" x14ac:dyDescent="0.2">
      <c r="A552" s="46" t="str">
        <f t="shared" si="79"/>
        <v>EMBEDDED DISTRIBUTOR SERVICE CLASSIFICATION - HYDRO ONE CND</v>
      </c>
      <c r="C552" s="115"/>
      <c r="D552" s="152" t="s">
        <v>182</v>
      </c>
      <c r="E552" s="117"/>
      <c r="F552" s="153">
        <v>3.5680000000000001</v>
      </c>
      <c r="G552" s="139">
        <f>IF($E529&gt;0, $E529, $E528*$E530)</f>
        <v>2574</v>
      </c>
      <c r="H552" s="120">
        <f>G552*F552</f>
        <v>9184.0320000000011</v>
      </c>
      <c r="I552" s="153">
        <v>3.5680000000000001</v>
      </c>
      <c r="J552" s="140">
        <f>IF($E529&gt;0, $E529, $E528*$E531)</f>
        <v>2574</v>
      </c>
      <c r="K552" s="123">
        <f>J552*I552</f>
        <v>9184.0320000000011</v>
      </c>
      <c r="L552" s="124">
        <f t="shared" si="76"/>
        <v>0</v>
      </c>
      <c r="M552" s="125">
        <f>IF(ISERROR(L552/H552), "", L552/H552)</f>
        <v>0</v>
      </c>
      <c r="N552" s="154" t="str">
        <f>IF(ISERROR(ABS(M552)), "", IF(ABS(M552)&gt;=4%, "In the manager's summary, discuss the reasoning for the change in RTSR rates", ""))</f>
        <v/>
      </c>
    </row>
    <row r="553" spans="1:14" ht="25.5" x14ac:dyDescent="0.2">
      <c r="A553" s="46" t="str">
        <f t="shared" si="79"/>
        <v>EMBEDDED DISTRIBUTOR SERVICE CLASSIFICATION - HYDRO ONE CND</v>
      </c>
      <c r="C553" s="115"/>
      <c r="D553" s="155" t="s">
        <v>183</v>
      </c>
      <c r="E553" s="117"/>
      <c r="F553" s="153">
        <v>2.2039</v>
      </c>
      <c r="G553" s="139">
        <f>IF($E529&gt;0, $E529, $E528*$E530)</f>
        <v>2574</v>
      </c>
      <c r="H553" s="120">
        <f>G553*F553</f>
        <v>5672.8386</v>
      </c>
      <c r="I553" s="153">
        <v>2.2039</v>
      </c>
      <c r="J553" s="140">
        <f>IF($E529&gt;0, $E529, $E528*$E531)</f>
        <v>2574</v>
      </c>
      <c r="K553" s="123">
        <f>J553*I553</f>
        <v>5672.8386</v>
      </c>
      <c r="L553" s="124">
        <f t="shared" si="76"/>
        <v>0</v>
      </c>
      <c r="M553" s="125">
        <f>IF(ISERROR(L553/H553), "", L553/H553)</f>
        <v>0</v>
      </c>
      <c r="N553" s="154" t="str">
        <f>IF(ISERROR(ABS(M553)), "", IF(ABS(M553)&gt;=4%, "In the manager's summary, discuss the reasoning for the change in RTSR rates", ""))</f>
        <v/>
      </c>
    </row>
    <row r="554" spans="1:14" ht="25.5" x14ac:dyDescent="0.2">
      <c r="A554" s="46" t="str">
        <f t="shared" si="79"/>
        <v>EMBEDDED DISTRIBUTOR SERVICE CLASSIFICATION - HYDRO ONE CND</v>
      </c>
      <c r="B554" s="46" t="s">
        <v>184</v>
      </c>
      <c r="C554" s="115">
        <f>B38</f>
        <v>9</v>
      </c>
      <c r="D554" s="145" t="s">
        <v>185</v>
      </c>
      <c r="E554" s="130"/>
      <c r="F554" s="150"/>
      <c r="G554" s="148"/>
      <c r="H554" s="149">
        <f>SUM(H551:H553)</f>
        <v>22873.772799999999</v>
      </c>
      <c r="I554" s="150"/>
      <c r="J554" s="135"/>
      <c r="K554" s="149">
        <f>SUM(K551:K553)</f>
        <v>17655.286599999999</v>
      </c>
      <c r="L554" s="136">
        <f t="shared" si="76"/>
        <v>-5218.4861999999994</v>
      </c>
      <c r="M554" s="137">
        <f>IF((H554)=0,"",(L554/H554))</f>
        <v>-0.22814278368630117</v>
      </c>
    </row>
    <row r="555" spans="1:14" ht="25.5" x14ac:dyDescent="0.2">
      <c r="A555" s="46" t="str">
        <f t="shared" si="79"/>
        <v>EMBEDDED DISTRIBUTOR SERVICE CLASSIFICATION - HYDRO ONE CND</v>
      </c>
      <c r="C555" s="115"/>
      <c r="D555" s="156" t="s">
        <v>186</v>
      </c>
      <c r="E555" s="117"/>
      <c r="F555" s="127">
        <f>'[1]17. Regulatory Charges'!$E$15+'[1]17. Regulatory Charges'!$E$16</f>
        <v>3.4000000000000002E-3</v>
      </c>
      <c r="G555" s="139">
        <f>E528*E530</f>
        <v>1424427.4</v>
      </c>
      <c r="H555" s="157">
        <f t="shared" ref="H555:H561" si="81">G555*F555</f>
        <v>4843.0531600000004</v>
      </c>
      <c r="I555" s="127">
        <f>'[1]17. Regulatory Charges'!$E$15+'[1]17. Regulatory Charges'!$E$16</f>
        <v>3.4000000000000002E-3</v>
      </c>
      <c r="J555" s="140">
        <f>E528*E531</f>
        <v>1424427.4</v>
      </c>
      <c r="K555" s="123">
        <f t="shared" ref="K555:K561" si="82">J555*I555</f>
        <v>4843.0531600000004</v>
      </c>
      <c r="L555" s="124">
        <f t="shared" si="76"/>
        <v>0</v>
      </c>
      <c r="M555" s="125">
        <f t="shared" ref="M555:M563" si="83">IF(ISERROR(L555/H555), "", L555/H555)</f>
        <v>0</v>
      </c>
    </row>
    <row r="556" spans="1:14" ht="25.5" x14ac:dyDescent="0.2">
      <c r="A556" s="46" t="str">
        <f t="shared" si="79"/>
        <v>EMBEDDED DISTRIBUTOR SERVICE CLASSIFICATION - HYDRO ONE CND</v>
      </c>
      <c r="C556" s="115"/>
      <c r="D556" s="156" t="s">
        <v>187</v>
      </c>
      <c r="E556" s="117"/>
      <c r="F556" s="127">
        <f>'[1]17. Regulatory Charges'!$E$17</f>
        <v>5.0000000000000001E-4</v>
      </c>
      <c r="G556" s="139">
        <f>E528*E530</f>
        <v>1424427.4</v>
      </c>
      <c r="H556" s="157">
        <f t="shared" si="81"/>
        <v>712.21370000000002</v>
      </c>
      <c r="I556" s="127">
        <f>'[1]17. Regulatory Charges'!$E$17</f>
        <v>5.0000000000000001E-4</v>
      </c>
      <c r="J556" s="140">
        <f>E528*E531</f>
        <v>1424427.4</v>
      </c>
      <c r="K556" s="123">
        <f t="shared" si="82"/>
        <v>712.21370000000002</v>
      </c>
      <c r="L556" s="124">
        <f t="shared" si="76"/>
        <v>0</v>
      </c>
      <c r="M556" s="125">
        <f t="shared" si="83"/>
        <v>0</v>
      </c>
    </row>
    <row r="557" spans="1:14" x14ac:dyDescent="0.2">
      <c r="A557" s="46" t="str">
        <f t="shared" si="79"/>
        <v>EMBEDDED DISTRIBUTOR SERVICE CLASSIFICATION - HYDRO ONE CND</v>
      </c>
      <c r="C557" s="115"/>
      <c r="D557" s="158" t="s">
        <v>188</v>
      </c>
      <c r="E557" s="117"/>
      <c r="F557" s="144">
        <f>'[1]17. Regulatory Charges'!$E$18</f>
        <v>0.25</v>
      </c>
      <c r="G557" s="119">
        <v>1</v>
      </c>
      <c r="H557" s="157">
        <f t="shared" si="81"/>
        <v>0.25</v>
      </c>
      <c r="I557" s="144">
        <f>'[1]17. Regulatory Charges'!$E$18</f>
        <v>0.25</v>
      </c>
      <c r="J557" s="122">
        <v>1</v>
      </c>
      <c r="K557" s="123">
        <f t="shared" si="82"/>
        <v>0.25</v>
      </c>
      <c r="L557" s="124">
        <f t="shared" si="76"/>
        <v>0</v>
      </c>
      <c r="M557" s="125">
        <f t="shared" si="83"/>
        <v>0</v>
      </c>
    </row>
    <row r="558" spans="1:14" ht="25.5" hidden="1" x14ac:dyDescent="0.2">
      <c r="A558" s="46" t="str">
        <f t="shared" si="79"/>
        <v>EMBEDDED DISTRIBUTOR SERVICE CLASSIFICATION - HYDRO ONE CND</v>
      </c>
      <c r="C558" s="115"/>
      <c r="D558" s="156" t="s">
        <v>189</v>
      </c>
      <c r="E558" s="117"/>
      <c r="F558" s="127"/>
      <c r="G558" s="139"/>
      <c r="H558" s="157"/>
      <c r="I558" s="127"/>
      <c r="J558" s="140"/>
      <c r="K558" s="123"/>
      <c r="L558" s="124"/>
      <c r="M558" s="125"/>
    </row>
    <row r="559" spans="1:14" hidden="1" x14ac:dyDescent="0.2">
      <c r="A559" s="46" t="str">
        <f t="shared" si="79"/>
        <v>EMBEDDED DISTRIBUTOR SERVICE CLASSIFICATION - HYDRO ONE CND</v>
      </c>
      <c r="B559" s="46" t="s">
        <v>139</v>
      </c>
      <c r="C559" s="115"/>
      <c r="D559" s="158" t="s">
        <v>190</v>
      </c>
      <c r="E559" s="117"/>
      <c r="F559" s="161">
        <f>OffPeak</f>
        <v>7.3999999999999996E-2</v>
      </c>
      <c r="G559" s="160">
        <f>IF(AND(E528*12&gt;=150000),0.64*E528*E530,0.64*E528)</f>
        <v>911633.53599999996</v>
      </c>
      <c r="H559" s="157">
        <f t="shared" si="81"/>
        <v>67460.881664</v>
      </c>
      <c r="I559" s="161">
        <f>OffPeak</f>
        <v>7.3999999999999996E-2</v>
      </c>
      <c r="J559" s="162">
        <f>IF(AND(E528*12&gt;=150000),0.64*E528*E531,0.64*E528)</f>
        <v>911633.53599999996</v>
      </c>
      <c r="K559" s="123">
        <f t="shared" si="82"/>
        <v>67460.881664</v>
      </c>
      <c r="L559" s="124">
        <f>K559-H559</f>
        <v>0</v>
      </c>
      <c r="M559" s="125">
        <f t="shared" si="83"/>
        <v>0</v>
      </c>
    </row>
    <row r="560" spans="1:14" hidden="1" x14ac:dyDescent="0.2">
      <c r="A560" s="46" t="str">
        <f t="shared" si="79"/>
        <v>EMBEDDED DISTRIBUTOR SERVICE CLASSIFICATION - HYDRO ONE CND</v>
      </c>
      <c r="B560" s="46" t="s">
        <v>139</v>
      </c>
      <c r="C560" s="115"/>
      <c r="D560" s="158" t="s">
        <v>191</v>
      </c>
      <c r="E560" s="117"/>
      <c r="F560" s="161">
        <f>MidPeak</f>
        <v>0.10199999999999999</v>
      </c>
      <c r="G560" s="160">
        <f>IF(AND(E528*12&gt;=150000),0.18*E528*E530,0.18*E528)</f>
        <v>256396.932</v>
      </c>
      <c r="H560" s="157">
        <f t="shared" si="81"/>
        <v>26152.487063999997</v>
      </c>
      <c r="I560" s="161">
        <f>MidPeak</f>
        <v>0.10199999999999999</v>
      </c>
      <c r="J560" s="162">
        <f>IF(AND(E528*12&gt;=150000),0.18*E528*E531,0.18*E528)</f>
        <v>256396.932</v>
      </c>
      <c r="K560" s="123">
        <f t="shared" si="82"/>
        <v>26152.487063999997</v>
      </c>
      <c r="L560" s="124">
        <f>K560-H560</f>
        <v>0</v>
      </c>
      <c r="M560" s="125">
        <f t="shared" si="83"/>
        <v>0</v>
      </c>
    </row>
    <row r="561" spans="1:13" hidden="1" x14ac:dyDescent="0.2">
      <c r="A561" s="46" t="str">
        <f t="shared" si="79"/>
        <v>EMBEDDED DISTRIBUTOR SERVICE CLASSIFICATION - HYDRO ONE CND</v>
      </c>
      <c r="B561" s="46" t="s">
        <v>139</v>
      </c>
      <c r="C561" s="115"/>
      <c r="D561" s="46" t="s">
        <v>192</v>
      </c>
      <c r="E561" s="117"/>
      <c r="F561" s="161">
        <f>OnPeak</f>
        <v>0.151</v>
      </c>
      <c r="G561" s="160">
        <f>IF(AND(E528*12&gt;=150000),0.18*E528*E530,0.18*E528)</f>
        <v>256396.932</v>
      </c>
      <c r="H561" s="157">
        <f t="shared" si="81"/>
        <v>38715.936732000002</v>
      </c>
      <c r="I561" s="161">
        <f>OnPeak</f>
        <v>0.151</v>
      </c>
      <c r="J561" s="162">
        <f>IF(AND(E528*12&gt;=150000),0.18*E528*E531,0.18*E528)</f>
        <v>256396.932</v>
      </c>
      <c r="K561" s="123">
        <f t="shared" si="82"/>
        <v>38715.936732000002</v>
      </c>
      <c r="L561" s="124">
        <f>K561-H561</f>
        <v>0</v>
      </c>
      <c r="M561" s="125">
        <f t="shared" si="83"/>
        <v>0</v>
      </c>
    </row>
    <row r="562" spans="1:13" hidden="1" x14ac:dyDescent="0.2">
      <c r="A562" s="46" t="str">
        <f t="shared" si="79"/>
        <v>EMBEDDED DISTRIBUTOR SERVICE CLASSIFICATION - HYDRO ONE CND</v>
      </c>
      <c r="B562" s="46" t="s">
        <v>141</v>
      </c>
      <c r="C562" s="115"/>
      <c r="D562" s="158" t="s">
        <v>193</v>
      </c>
      <c r="E562" s="117"/>
      <c r="F562" s="164">
        <f>C562</f>
        <v>0</v>
      </c>
      <c r="G562" s="160">
        <f>IF(AND(E528*12&gt;=150000),E528*E530,E528)</f>
        <v>1424427.4</v>
      </c>
      <c r="H562" s="157">
        <f>G562*F562</f>
        <v>0</v>
      </c>
      <c r="I562" s="164">
        <f>F562</f>
        <v>0</v>
      </c>
      <c r="J562" s="162">
        <f>IF(AND(E528*12&gt;=150000),E528*E531,E528)</f>
        <v>1424427.4</v>
      </c>
      <c r="K562" s="123">
        <f>J562*I562</f>
        <v>0</v>
      </c>
      <c r="L562" s="124">
        <f>K562-H562</f>
        <v>0</v>
      </c>
      <c r="M562" s="125" t="str">
        <f t="shared" si="83"/>
        <v/>
      </c>
    </row>
    <row r="563" spans="1:13" ht="13.5" thickBot="1" x14ac:dyDescent="0.25">
      <c r="A563" s="46" t="str">
        <f t="shared" si="79"/>
        <v>EMBEDDED DISTRIBUTOR SERVICE CLASSIFICATION - HYDRO ONE CND</v>
      </c>
      <c r="B563" s="46" t="s">
        <v>140</v>
      </c>
      <c r="C563" s="115"/>
      <c r="D563" s="158" t="s">
        <v>194</v>
      </c>
      <c r="E563" s="117"/>
      <c r="F563" s="163">
        <v>9.6699999999999994E-2</v>
      </c>
      <c r="G563" s="160">
        <f>IF(AND(E528*12&gt;=150000),E528*E530,E528)</f>
        <v>1424427.4</v>
      </c>
      <c r="H563" s="157">
        <f>G563*F563</f>
        <v>137742.12957999998</v>
      </c>
      <c r="I563" s="164">
        <f>F563</f>
        <v>9.6699999999999994E-2</v>
      </c>
      <c r="J563" s="162">
        <f>IF(AND(E528*12&gt;=150000),E528*E531,E528)</f>
        <v>1424427.4</v>
      </c>
      <c r="K563" s="123">
        <f>J563*I563</f>
        <v>137742.12957999998</v>
      </c>
      <c r="L563" s="124">
        <f>K563-H563</f>
        <v>0</v>
      </c>
      <c r="M563" s="125">
        <f t="shared" si="83"/>
        <v>0</v>
      </c>
    </row>
    <row r="564" spans="1:13" ht="13.5" thickBot="1" x14ac:dyDescent="0.25">
      <c r="A564" s="46" t="str">
        <f t="shared" si="79"/>
        <v>EMBEDDED DISTRIBUTOR SERVICE CLASSIFICATION - HYDRO ONE CND</v>
      </c>
      <c r="C564" s="115"/>
      <c r="D564" s="165"/>
      <c r="E564" s="166"/>
      <c r="F564" s="167"/>
      <c r="G564" s="168"/>
      <c r="H564" s="169"/>
      <c r="I564" s="167"/>
      <c r="J564" s="170"/>
      <c r="K564" s="169"/>
      <c r="L564" s="171"/>
      <c r="M564" s="172"/>
    </row>
    <row r="565" spans="1:13" hidden="1" x14ac:dyDescent="0.2">
      <c r="A565" s="46" t="str">
        <f t="shared" si="79"/>
        <v>EMBEDDED DISTRIBUTOR SERVICE CLASSIFICATION - HYDRO ONE CND</v>
      </c>
      <c r="B565" s="46" t="s">
        <v>139</v>
      </c>
      <c r="C565" s="115"/>
      <c r="D565" s="173" t="s">
        <v>195</v>
      </c>
      <c r="E565" s="158"/>
      <c r="F565" s="177"/>
      <c r="G565" s="175"/>
      <c r="H565" s="176">
        <f>SUM(H555:H561,H554)</f>
        <v>160758.59512000001</v>
      </c>
      <c r="I565" s="177"/>
      <c r="J565" s="177"/>
      <c r="K565" s="176">
        <f>SUM(K555:K561,K554)</f>
        <v>155540.10892</v>
      </c>
      <c r="L565" s="178">
        <f>K565-H565</f>
        <v>-5218.4862000000139</v>
      </c>
      <c r="M565" s="179">
        <f>IF((H565)=0,"",(L565/H565))</f>
        <v>-3.24616310319496E-2</v>
      </c>
    </row>
    <row r="566" spans="1:13" hidden="1" x14ac:dyDescent="0.2">
      <c r="A566" s="46" t="str">
        <f t="shared" si="79"/>
        <v>EMBEDDED DISTRIBUTOR SERVICE CLASSIFICATION - HYDRO ONE CND</v>
      </c>
      <c r="B566" s="46" t="s">
        <v>139</v>
      </c>
      <c r="C566" s="115"/>
      <c r="D566" s="180" t="s">
        <v>196</v>
      </c>
      <c r="E566" s="158"/>
      <c r="F566" s="183">
        <v>0.13</v>
      </c>
      <c r="G566" s="181"/>
      <c r="H566" s="182">
        <f>H565*F566</f>
        <v>20898.617365600003</v>
      </c>
      <c r="I566" s="183">
        <v>0.13</v>
      </c>
      <c r="J566" s="119"/>
      <c r="K566" s="182">
        <f>K565*I566</f>
        <v>20220.2141596</v>
      </c>
      <c r="L566" s="124">
        <f>K566-H566</f>
        <v>-678.40320600000268</v>
      </c>
      <c r="M566" s="184">
        <f>IF((H566)=0,"",(L566/H566))</f>
        <v>-3.2461631031949642E-2</v>
      </c>
    </row>
    <row r="567" spans="1:13" ht="15" hidden="1" x14ac:dyDescent="0.25">
      <c r="A567" s="46" t="str">
        <f t="shared" si="79"/>
        <v>EMBEDDED DISTRIBUTOR SERVICE CLASSIFICATION - HYDRO ONE CND</v>
      </c>
      <c r="B567" s="46" t="s">
        <v>139</v>
      </c>
      <c r="C567" s="115"/>
      <c r="D567" s="180" t="s">
        <v>197</v>
      </c>
      <c r="E567"/>
      <c r="F567" s="185">
        <v>0.11700000000000001</v>
      </c>
      <c r="G567" s="181"/>
      <c r="H567" s="182">
        <f>IF(OR(ISNUMBER(SEARCH("[DGEN]", E526))=TRUE, ISNUMBER(SEARCH("STREET LIGHT", E526))=TRUE), 0, IF(AND(E528=0, E529=0),0, IF(AND(E529=0, E528*12&gt;250000), 0, IF(AND(E528=0, E529&gt;=50), 0, IF(E528*12&lt;=250000, F567*H565*-1, IF(E529&lt;50, F567*H565*-1, 0))))))</f>
        <v>0</v>
      </c>
      <c r="I567" s="185">
        <v>0.11700000000000001</v>
      </c>
      <c r="J567" s="119"/>
      <c r="K567" s="182">
        <f>IF(OR(ISNUMBER(SEARCH("[DGEN]", E526))=TRUE, ISNUMBER(SEARCH("STREET LIGHT", E526))=TRUE), 0, IF(AND(E528=0, E529=0),0, IF(AND(E529=0, E528*12&gt;250000), 0, IF(AND(E528=0, E529&gt;=50), 0, IF(E528*12&lt;=250000, I567*K565*-1, IF(E529&lt;50, I567*K565*-1, 0))))))</f>
        <v>0</v>
      </c>
      <c r="L567" s="124">
        <f>K567-H567</f>
        <v>0</v>
      </c>
      <c r="M567" s="184"/>
    </row>
    <row r="568" spans="1:13" hidden="1" x14ac:dyDescent="0.2">
      <c r="A568" s="46" t="str">
        <f t="shared" si="79"/>
        <v>EMBEDDED DISTRIBUTOR SERVICE CLASSIFICATION - HYDRO ONE CND</v>
      </c>
      <c r="B568" s="46" t="s">
        <v>198</v>
      </c>
      <c r="C568" s="115"/>
      <c r="D568" s="186" t="s">
        <v>199</v>
      </c>
      <c r="E568" s="186"/>
      <c r="F568" s="190"/>
      <c r="G568" s="188"/>
      <c r="H568" s="189">
        <f>H565+H566+H567</f>
        <v>181657.21248560003</v>
      </c>
      <c r="I568" s="190"/>
      <c r="J568" s="190"/>
      <c r="K568" s="191">
        <f>K565+K566+K567</f>
        <v>175760.3230796</v>
      </c>
      <c r="L568" s="192">
        <f>K568-H568</f>
        <v>-5896.8894060000312</v>
      </c>
      <c r="M568" s="193">
        <f>IF((H568)=0,"",(L568/H568))</f>
        <v>-3.2461631031949684E-2</v>
      </c>
    </row>
    <row r="569" spans="1:13" ht="13.5" hidden="1" thickBot="1" x14ac:dyDescent="0.25">
      <c r="A569" s="46" t="str">
        <f t="shared" si="79"/>
        <v>EMBEDDED DISTRIBUTOR SERVICE CLASSIFICATION - HYDRO ONE CND</v>
      </c>
      <c r="B569" s="46" t="s">
        <v>139</v>
      </c>
      <c r="C569" s="115"/>
      <c r="D569" s="165"/>
      <c r="E569" s="166"/>
      <c r="F569" s="167"/>
      <c r="G569" s="168"/>
      <c r="H569" s="169"/>
      <c r="I569" s="167"/>
      <c r="J569" s="170"/>
      <c r="K569" s="169"/>
      <c r="L569" s="171"/>
      <c r="M569" s="172"/>
    </row>
    <row r="570" spans="1:13" hidden="1" x14ac:dyDescent="0.2">
      <c r="A570" s="46" t="str">
        <f t="shared" si="79"/>
        <v>EMBEDDED DISTRIBUTOR SERVICE CLASSIFICATION - HYDRO ONE CND</v>
      </c>
      <c r="B570" s="46" t="s">
        <v>141</v>
      </c>
      <c r="C570" s="115"/>
      <c r="D570" s="173" t="s">
        <v>200</v>
      </c>
      <c r="E570" s="158"/>
      <c r="F570" s="177"/>
      <c r="G570" s="175"/>
      <c r="H570" s="176">
        <f>SUM(H562,H555:H558,H554)</f>
        <v>28429.289659999999</v>
      </c>
      <c r="I570" s="177"/>
      <c r="J570" s="177"/>
      <c r="K570" s="176">
        <f>SUM(K562,K555:K558,K554)</f>
        <v>23210.803459999999</v>
      </c>
      <c r="L570" s="178">
        <f>K570-H570</f>
        <v>-5218.4861999999994</v>
      </c>
      <c r="M570" s="179">
        <f>IF((H570)=0,"",(L570/H570))</f>
        <v>-0.18356020366356207</v>
      </c>
    </row>
    <row r="571" spans="1:13" hidden="1" x14ac:dyDescent="0.2">
      <c r="A571" s="46" t="str">
        <f t="shared" si="79"/>
        <v>EMBEDDED DISTRIBUTOR SERVICE CLASSIFICATION - HYDRO ONE CND</v>
      </c>
      <c r="B571" s="46" t="s">
        <v>141</v>
      </c>
      <c r="C571" s="115"/>
      <c r="D571" s="180" t="s">
        <v>196</v>
      </c>
      <c r="E571" s="158"/>
      <c r="F571" s="174">
        <v>0.13</v>
      </c>
      <c r="G571" s="175"/>
      <c r="H571" s="182">
        <f>H570*F571</f>
        <v>3695.8076557999998</v>
      </c>
      <c r="I571" s="174">
        <v>0.13</v>
      </c>
      <c r="J571" s="183"/>
      <c r="K571" s="182">
        <f>K570*I571</f>
        <v>3017.4044497999998</v>
      </c>
      <c r="L571" s="124">
        <f>K571-H571</f>
        <v>-678.40320599999995</v>
      </c>
      <c r="M571" s="184">
        <f>IF((H571)=0,"",(L571/H571))</f>
        <v>-0.1835602036635621</v>
      </c>
    </row>
    <row r="572" spans="1:13" ht="15" hidden="1" x14ac:dyDescent="0.25">
      <c r="A572" s="46" t="str">
        <f t="shared" si="79"/>
        <v>EMBEDDED DISTRIBUTOR SERVICE CLASSIFICATION - HYDRO ONE CND</v>
      </c>
      <c r="B572" s="46" t="s">
        <v>141</v>
      </c>
      <c r="C572" s="115"/>
      <c r="D572" s="180" t="s">
        <v>197</v>
      </c>
      <c r="E572"/>
      <c r="F572" s="185">
        <v>0.11700000000000001</v>
      </c>
      <c r="G572" s="175"/>
      <c r="H572" s="182">
        <f>IF(OR(ISNUMBER(SEARCH("[DGEN]", E526))=TRUE, ISNUMBER(SEARCH("STREET LIGHT", E526))=TRUE), 0, IF(AND(E528=0, E529=0),0, IF(AND(E529=0, E528*12&gt;250000), 0, IF(AND(E528=0, E529&gt;=50), 0, IF(E528*12&lt;=250000, F572*H570*-1, IF(E529&lt;50, F572*H570*-1, 0))))))</f>
        <v>0</v>
      </c>
      <c r="I572" s="185">
        <v>0.11700000000000001</v>
      </c>
      <c r="J572" s="183"/>
      <c r="K572" s="182">
        <f>IF(OR(ISNUMBER(SEARCH("[DGEN]", E526))=TRUE, ISNUMBER(SEARCH("STREET LIGHT", E526))=TRUE), 0, IF(AND(E528=0, E529=0),0, IF(AND(E529=0, E528*12&gt;250000), 0, IF(AND(E528=0, E529&gt;=50), 0, IF(E528*12&lt;=250000, I572*K570*-1, IF(E529&lt;50, I572*K570*-1, 0))))))</f>
        <v>0</v>
      </c>
      <c r="L572" s="124"/>
      <c r="M572" s="184"/>
    </row>
    <row r="573" spans="1:13" hidden="1" x14ac:dyDescent="0.2">
      <c r="A573" s="46" t="str">
        <f t="shared" si="79"/>
        <v>EMBEDDED DISTRIBUTOR SERVICE CLASSIFICATION - HYDRO ONE CND</v>
      </c>
      <c r="B573" s="46" t="s">
        <v>201</v>
      </c>
      <c r="C573" s="115"/>
      <c r="D573" s="186" t="s">
        <v>200</v>
      </c>
      <c r="E573" s="186"/>
      <c r="F573" s="196"/>
      <c r="G573" s="195"/>
      <c r="H573" s="189">
        <f>SUM(H570,H571)</f>
        <v>32125.097315799998</v>
      </c>
      <c r="I573" s="196"/>
      <c r="J573" s="196"/>
      <c r="K573" s="189">
        <f>SUM(K570,K571)</f>
        <v>26228.207909799999</v>
      </c>
      <c r="L573" s="197">
        <f>K573-H573</f>
        <v>-5896.8894059999984</v>
      </c>
      <c r="M573" s="198">
        <f>IF((H573)=0,"",(L573/H573))</f>
        <v>-0.18356020366356207</v>
      </c>
    </row>
    <row r="574" spans="1:13" ht="13.5" hidden="1" thickBot="1" x14ac:dyDescent="0.25">
      <c r="A574" s="46" t="str">
        <f t="shared" si="79"/>
        <v>EMBEDDED DISTRIBUTOR SERVICE CLASSIFICATION - HYDRO ONE CND</v>
      </c>
      <c r="B574" s="46" t="s">
        <v>141</v>
      </c>
      <c r="C574" s="115"/>
      <c r="D574" s="165"/>
      <c r="E574" s="166"/>
      <c r="F574" s="199"/>
      <c r="G574" s="200"/>
      <c r="H574" s="201"/>
      <c r="I574" s="199"/>
      <c r="J574" s="168"/>
      <c r="K574" s="201"/>
      <c r="L574" s="202"/>
      <c r="M574" s="172"/>
    </row>
    <row r="575" spans="1:13" x14ac:dyDescent="0.2">
      <c r="A575" s="46" t="str">
        <f t="shared" si="79"/>
        <v>EMBEDDED DISTRIBUTOR SERVICE CLASSIFICATION - HYDRO ONE CND</v>
      </c>
      <c r="B575" s="46" t="s">
        <v>140</v>
      </c>
      <c r="C575" s="115"/>
      <c r="D575" s="173" t="s">
        <v>202</v>
      </c>
      <c r="E575" s="158"/>
      <c r="F575" s="177"/>
      <c r="G575" s="175"/>
      <c r="H575" s="176">
        <f>SUM(H563,H555:H558,H554)</f>
        <v>166171.41923999999</v>
      </c>
      <c r="I575" s="177"/>
      <c r="J575" s="177"/>
      <c r="K575" s="176">
        <f>SUM(K563,K555:K558,K554)</f>
        <v>160952.93303999997</v>
      </c>
      <c r="L575" s="178">
        <f>K575-H575</f>
        <v>-5218.4862000000139</v>
      </c>
      <c r="M575" s="179">
        <f>IF((H575)=0,"",(L575/H575))</f>
        <v>-3.1404234397631271E-2</v>
      </c>
    </row>
    <row r="576" spans="1:13" x14ac:dyDescent="0.2">
      <c r="A576" s="46" t="str">
        <f t="shared" si="79"/>
        <v>EMBEDDED DISTRIBUTOR SERVICE CLASSIFICATION - HYDRO ONE CND</v>
      </c>
      <c r="B576" s="46" t="s">
        <v>140</v>
      </c>
      <c r="C576" s="115"/>
      <c r="D576" s="180" t="s">
        <v>196</v>
      </c>
      <c r="E576" s="158"/>
      <c r="F576" s="174">
        <v>0.13</v>
      </c>
      <c r="G576" s="175"/>
      <c r="H576" s="182">
        <f>H575*F576</f>
        <v>21602.2845012</v>
      </c>
      <c r="I576" s="174">
        <v>0.13</v>
      </c>
      <c r="J576" s="183"/>
      <c r="K576" s="182">
        <f>K575*I576</f>
        <v>20923.881295199997</v>
      </c>
      <c r="L576" s="124">
        <f>K576-H576</f>
        <v>-678.40320600000268</v>
      </c>
      <c r="M576" s="184">
        <f>IF((H576)=0,"",(L576/H576))</f>
        <v>-3.1404234397631306E-2</v>
      </c>
    </row>
    <row r="577" spans="1:14" ht="15" x14ac:dyDescent="0.25">
      <c r="A577" s="46" t="str">
        <f t="shared" si="79"/>
        <v>EMBEDDED DISTRIBUTOR SERVICE CLASSIFICATION - HYDRO ONE CND</v>
      </c>
      <c r="B577" s="46" t="s">
        <v>140</v>
      </c>
      <c r="C577" s="115"/>
      <c r="D577" s="180" t="s">
        <v>197</v>
      </c>
      <c r="E577"/>
      <c r="F577" s="185">
        <v>0.11700000000000001</v>
      </c>
      <c r="G577" s="175"/>
      <c r="H577" s="182">
        <f>IF(OR(ISNUMBER(SEARCH("[DGEN]", E526))=TRUE, ISNUMBER(SEARCH("STREET LIGHT", E526))=TRUE), 0, IF(AND(E528=0, E529=0),0, IF(AND(E529=0, E528*12&gt;250000), 0, IF(AND(E528=0, E529&gt;=50), 0, IF(E528*12&lt;=250000, F577*H575*-1, IF(E529&lt;50, F577*H575*-1, 0))))))</f>
        <v>0</v>
      </c>
      <c r="I577" s="185">
        <v>0.11700000000000001</v>
      </c>
      <c r="J577" s="183"/>
      <c r="K577" s="182">
        <f>IF(OR(ISNUMBER(SEARCH("[DGEN]", E526))=TRUE, ISNUMBER(SEARCH("STREET LIGHT", E526))=TRUE), 0, IF(AND(E528=0, E529=0),0, IF(AND(E529=0, E528*12&gt;250000), 0, IF(AND(E528=0, E529&gt;=50), 0, IF(E528*12&lt;=250000, I577*K575*-1, IF(E529&lt;50, I577*K575*-1, 0))))))</f>
        <v>0</v>
      </c>
      <c r="L577" s="124"/>
      <c r="M577" s="184"/>
    </row>
    <row r="578" spans="1:14" ht="13.5" thickBot="1" x14ac:dyDescent="0.25">
      <c r="A578" s="46" t="str">
        <f t="shared" si="79"/>
        <v>EMBEDDED DISTRIBUTOR SERVICE CLASSIFICATION - HYDRO ONE CND</v>
      </c>
      <c r="B578" s="46" t="s">
        <v>203</v>
      </c>
      <c r="C578" s="115">
        <f>B38</f>
        <v>9</v>
      </c>
      <c r="D578" s="186" t="s">
        <v>202</v>
      </c>
      <c r="E578" s="186"/>
      <c r="F578" s="194"/>
      <c r="G578" s="195"/>
      <c r="H578" s="189">
        <f>SUM(H575,H576)</f>
        <v>187773.70374119998</v>
      </c>
      <c r="I578" s="196"/>
      <c r="J578" s="196"/>
      <c r="K578" s="189">
        <f>SUM(K575,K576)</f>
        <v>181876.81433519998</v>
      </c>
      <c r="L578" s="197">
        <f>K578-H578</f>
        <v>-5896.8894060000021</v>
      </c>
      <c r="M578" s="198">
        <f>IF((H578)=0,"",(L578/H578))</f>
        <v>-3.1404234397631195E-2</v>
      </c>
    </row>
    <row r="579" spans="1:14" ht="13.5" thickBot="1" x14ac:dyDescent="0.25">
      <c r="A579" s="46" t="str">
        <f t="shared" si="79"/>
        <v>EMBEDDED DISTRIBUTOR SERVICE CLASSIFICATION - HYDRO ONE CND</v>
      </c>
      <c r="B579" s="46" t="s">
        <v>140</v>
      </c>
      <c r="C579" s="115"/>
      <c r="D579" s="165"/>
      <c r="E579" s="166"/>
      <c r="F579" s="203"/>
      <c r="G579" s="200"/>
      <c r="H579" s="204"/>
      <c r="I579" s="203"/>
      <c r="J579" s="168"/>
      <c r="K579" s="204"/>
      <c r="L579" s="202"/>
      <c r="M579" s="205"/>
    </row>
    <row r="582" spans="1:14" x14ac:dyDescent="0.2">
      <c r="C582" s="46"/>
      <c r="D582" s="90" t="s">
        <v>150</v>
      </c>
      <c r="E582" s="91" t="str">
        <f>D39</f>
        <v>EMBEDDED DISTRIBUTOR SERVICE CLASSIFICATION - WATERLOO</v>
      </c>
      <c r="F582" s="91"/>
      <c r="G582" s="91"/>
      <c r="H582" s="91"/>
      <c r="I582" s="91"/>
      <c r="J582" s="91"/>
      <c r="K582" s="46" t="str">
        <f>IF(N39="DEMAND - INTERVAL","RTSR - INTERVAL METERED","")</f>
        <v/>
      </c>
    </row>
    <row r="583" spans="1:14" x14ac:dyDescent="0.2">
      <c r="C583" s="46"/>
      <c r="D583" s="90" t="s">
        <v>151</v>
      </c>
      <c r="E583" s="92" t="str">
        <f>H39</f>
        <v>Non-RPP (Other)</v>
      </c>
      <c r="F583" s="92"/>
      <c r="G583" s="92"/>
      <c r="H583" s="93"/>
      <c r="I583" s="93"/>
    </row>
    <row r="584" spans="1:14" ht="15.75" x14ac:dyDescent="0.2">
      <c r="C584" s="46"/>
      <c r="D584" s="90" t="s">
        <v>152</v>
      </c>
      <c r="E584" s="94">
        <f>K39</f>
        <v>0</v>
      </c>
      <c r="F584" s="95" t="s">
        <v>153</v>
      </c>
      <c r="J584" s="96"/>
      <c r="K584" s="96"/>
      <c r="L584" s="96"/>
      <c r="M584" s="96"/>
      <c r="N584" s="96"/>
    </row>
    <row r="585" spans="1:14" ht="15.75" x14ac:dyDescent="0.25">
      <c r="C585" s="46"/>
      <c r="D585" s="90" t="s">
        <v>154</v>
      </c>
      <c r="E585" s="94">
        <f>L39</f>
        <v>8280</v>
      </c>
      <c r="F585" s="97" t="s">
        <v>155</v>
      </c>
      <c r="G585" s="98"/>
      <c r="H585" s="99"/>
      <c r="I585" s="99"/>
      <c r="J585" s="99"/>
    </row>
    <row r="586" spans="1:14" x14ac:dyDescent="0.2">
      <c r="C586" s="46"/>
      <c r="D586" s="90" t="s">
        <v>156</v>
      </c>
      <c r="E586" s="100">
        <f>I39</f>
        <v>1.0306999999999999</v>
      </c>
    </row>
    <row r="587" spans="1:14" x14ac:dyDescent="0.2">
      <c r="C587" s="46"/>
      <c r="D587" s="90" t="s">
        <v>157</v>
      </c>
      <c r="E587" s="100">
        <f>J39</f>
        <v>1.0306999999999999</v>
      </c>
    </row>
    <row r="588" spans="1:14" x14ac:dyDescent="0.2">
      <c r="C588" s="46"/>
    </row>
    <row r="589" spans="1:14" x14ac:dyDescent="0.2">
      <c r="C589" s="46"/>
      <c r="E589" s="95"/>
      <c r="F589" s="101" t="s">
        <v>226</v>
      </c>
      <c r="G589" s="102"/>
      <c r="H589" s="103"/>
      <c r="I589" s="101" t="s">
        <v>205</v>
      </c>
      <c r="J589" s="102"/>
      <c r="K589" s="103"/>
      <c r="L589" s="101" t="s">
        <v>158</v>
      </c>
      <c r="M589" s="103"/>
    </row>
    <row r="590" spans="1:14" x14ac:dyDescent="0.2">
      <c r="C590" s="46"/>
      <c r="E590" s="104"/>
      <c r="F590" s="105" t="s">
        <v>159</v>
      </c>
      <c r="G590" s="105" t="s">
        <v>160</v>
      </c>
      <c r="H590" s="106" t="s">
        <v>161</v>
      </c>
      <c r="I590" s="105" t="s">
        <v>159</v>
      </c>
      <c r="J590" s="107" t="s">
        <v>160</v>
      </c>
      <c r="K590" s="106" t="s">
        <v>161</v>
      </c>
      <c r="L590" s="108" t="s">
        <v>162</v>
      </c>
      <c r="M590" s="109" t="s">
        <v>163</v>
      </c>
    </row>
    <row r="591" spans="1:14" x14ac:dyDescent="0.2">
      <c r="C591" s="46"/>
      <c r="E591" s="110"/>
      <c r="F591" s="111" t="s">
        <v>164</v>
      </c>
      <c r="G591" s="111"/>
      <c r="H591" s="112" t="s">
        <v>164</v>
      </c>
      <c r="I591" s="111" t="s">
        <v>164</v>
      </c>
      <c r="J591" s="112"/>
      <c r="K591" s="112" t="s">
        <v>164</v>
      </c>
      <c r="L591" s="113"/>
      <c r="M591" s="114"/>
    </row>
    <row r="592" spans="1:14" x14ac:dyDescent="0.2">
      <c r="A592" s="46" t="str">
        <f>$E582</f>
        <v>EMBEDDED DISTRIBUTOR SERVICE CLASSIFICATION - WATERLOO</v>
      </c>
      <c r="C592" s="115"/>
      <c r="D592" s="116" t="s">
        <v>165</v>
      </c>
      <c r="E592" s="117"/>
      <c r="F592" s="121">
        <v>0</v>
      </c>
      <c r="G592" s="119">
        <v>1</v>
      </c>
      <c r="H592" s="120">
        <f>G592*F592</f>
        <v>0</v>
      </c>
      <c r="I592" s="121">
        <v>0</v>
      </c>
      <c r="J592" s="122">
        <f>G592</f>
        <v>1</v>
      </c>
      <c r="K592" s="123">
        <f>J592*I592</f>
        <v>0</v>
      </c>
      <c r="L592" s="124">
        <f t="shared" ref="L592:L613" si="84">K592-H592</f>
        <v>0</v>
      </c>
      <c r="M592" s="125" t="str">
        <f>IF(ISERROR(L592/H592), "", L592/H592)</f>
        <v/>
      </c>
    </row>
    <row r="593" spans="1:14" x14ac:dyDescent="0.2">
      <c r="A593" s="46" t="str">
        <f>A592</f>
        <v>EMBEDDED DISTRIBUTOR SERVICE CLASSIFICATION - WATERLOO</v>
      </c>
      <c r="C593" s="115"/>
      <c r="D593" s="116" t="s">
        <v>30</v>
      </c>
      <c r="E593" s="117"/>
      <c r="F593" s="127">
        <v>1.8185</v>
      </c>
      <c r="G593" s="119">
        <f>IF($E585&gt;0, $E585, $E584)</f>
        <v>8280</v>
      </c>
      <c r="H593" s="120">
        <f t="shared" ref="H593:H605" si="85">G593*F593</f>
        <v>15057.18</v>
      </c>
      <c r="I593" s="127">
        <v>1.8185</v>
      </c>
      <c r="J593" s="122">
        <f>IF($E585&gt;0, $E585, $E584)</f>
        <v>8280</v>
      </c>
      <c r="K593" s="123">
        <f>J593*I593</f>
        <v>15057.18</v>
      </c>
      <c r="L593" s="124">
        <f t="shared" si="84"/>
        <v>0</v>
      </c>
      <c r="M593" s="125">
        <f t="shared" ref="M593:M603" si="86">IF(ISERROR(L593/H593), "", L593/H593)</f>
        <v>0</v>
      </c>
    </row>
    <row r="594" spans="1:14" hidden="1" x14ac:dyDescent="0.2">
      <c r="A594" s="46" t="str">
        <f t="shared" ref="A594:A635" si="87">A593</f>
        <v>EMBEDDED DISTRIBUTOR SERVICE CLASSIFICATION - WATERLOO</v>
      </c>
      <c r="C594" s="115"/>
      <c r="D594" s="116" t="s">
        <v>166</v>
      </c>
      <c r="E594" s="117"/>
      <c r="F594" s="127"/>
      <c r="G594" s="119">
        <f>IF($E585&gt;0, $E585, $E584)</f>
        <v>8280</v>
      </c>
      <c r="H594" s="120">
        <v>0</v>
      </c>
      <c r="I594" s="127"/>
      <c r="J594" s="122">
        <f>IF($E585&gt;0, $E585, $E584)</f>
        <v>8280</v>
      </c>
      <c r="K594" s="123">
        <v>0</v>
      </c>
      <c r="L594" s="124"/>
      <c r="M594" s="125"/>
    </row>
    <row r="595" spans="1:14" hidden="1" x14ac:dyDescent="0.2">
      <c r="A595" s="46" t="str">
        <f t="shared" si="87"/>
        <v>EMBEDDED DISTRIBUTOR SERVICE CLASSIFICATION - WATERLOO</v>
      </c>
      <c r="C595" s="115"/>
      <c r="D595" s="116" t="s">
        <v>167</v>
      </c>
      <c r="E595" s="117"/>
      <c r="F595" s="127"/>
      <c r="G595" s="119">
        <f>IF($E585&gt;0, $E585, $E584)</f>
        <v>8280</v>
      </c>
      <c r="H595" s="120">
        <v>0</v>
      </c>
      <c r="I595" s="127"/>
      <c r="J595" s="128">
        <f>IF($E585&gt;0, $E585, $E584)</f>
        <v>8280</v>
      </c>
      <c r="K595" s="123">
        <v>0</v>
      </c>
      <c r="L595" s="124">
        <f>K595-H595</f>
        <v>0</v>
      </c>
      <c r="M595" s="125" t="str">
        <f>IF(ISERROR(L595/H595), "", L595/H595)</f>
        <v/>
      </c>
    </row>
    <row r="596" spans="1:14" x14ac:dyDescent="0.2">
      <c r="A596" s="46" t="str">
        <f t="shared" si="87"/>
        <v>EMBEDDED DISTRIBUTOR SERVICE CLASSIFICATION - WATERLOO</v>
      </c>
      <c r="C596" s="115"/>
      <c r="D596" s="116" t="s">
        <v>168</v>
      </c>
      <c r="E596" s="117"/>
      <c r="F596" s="121">
        <v>113.95</v>
      </c>
      <c r="G596" s="119">
        <v>1</v>
      </c>
      <c r="H596" s="120">
        <f t="shared" si="85"/>
        <v>113.95</v>
      </c>
      <c r="I596" s="121">
        <v>113.95</v>
      </c>
      <c r="J596" s="122">
        <f>G596</f>
        <v>1</v>
      </c>
      <c r="K596" s="123">
        <f t="shared" ref="K596:K603" si="88">J596*I596</f>
        <v>113.95</v>
      </c>
      <c r="L596" s="124">
        <f t="shared" si="84"/>
        <v>0</v>
      </c>
      <c r="M596" s="125">
        <f t="shared" si="86"/>
        <v>0</v>
      </c>
    </row>
    <row r="597" spans="1:14" x14ac:dyDescent="0.2">
      <c r="A597" s="46" t="str">
        <f t="shared" si="87"/>
        <v>EMBEDDED DISTRIBUTOR SERVICE CLASSIFICATION - WATERLOO</v>
      </c>
      <c r="C597" s="115"/>
      <c r="D597" s="116" t="s">
        <v>169</v>
      </c>
      <c r="E597" s="117"/>
      <c r="F597" s="127">
        <v>0</v>
      </c>
      <c r="G597" s="119">
        <f>IF($E585&gt;0, $E585, $E584)</f>
        <v>8280</v>
      </c>
      <c r="H597" s="120">
        <f t="shared" si="85"/>
        <v>0</v>
      </c>
      <c r="I597" s="127">
        <v>0</v>
      </c>
      <c r="J597" s="122">
        <f>IF($E585&gt;0, $E585, $E584)</f>
        <v>8280</v>
      </c>
      <c r="K597" s="123">
        <f t="shared" si="88"/>
        <v>0</v>
      </c>
      <c r="L597" s="124">
        <f t="shared" si="84"/>
        <v>0</v>
      </c>
      <c r="M597" s="125" t="str">
        <f t="shared" si="86"/>
        <v/>
      </c>
    </row>
    <row r="598" spans="1:14" x14ac:dyDescent="0.2">
      <c r="A598" s="46" t="str">
        <f t="shared" si="87"/>
        <v>EMBEDDED DISTRIBUTOR SERVICE CLASSIFICATION - WATERLOO</v>
      </c>
      <c r="B598" s="46" t="s">
        <v>170</v>
      </c>
      <c r="C598" s="115">
        <f>B39</f>
        <v>10</v>
      </c>
      <c r="D598" s="129" t="s">
        <v>171</v>
      </c>
      <c r="E598" s="130"/>
      <c r="F598" s="134"/>
      <c r="G598" s="132"/>
      <c r="H598" s="133">
        <f>SUM(H592:H597)</f>
        <v>15171.130000000001</v>
      </c>
      <c r="I598" s="134"/>
      <c r="J598" s="135"/>
      <c r="K598" s="133">
        <f>SUM(K592:K597)</f>
        <v>15171.130000000001</v>
      </c>
      <c r="L598" s="136">
        <f t="shared" si="84"/>
        <v>0</v>
      </c>
      <c r="M598" s="137">
        <f>IF((H598)=0,"",(L598/H598))</f>
        <v>0</v>
      </c>
    </row>
    <row r="599" spans="1:14" x14ac:dyDescent="0.2">
      <c r="A599" s="46" t="str">
        <f t="shared" si="87"/>
        <v>EMBEDDED DISTRIBUTOR SERVICE CLASSIFICATION - WATERLOO</v>
      </c>
      <c r="C599" s="115"/>
      <c r="D599" s="138" t="s">
        <v>172</v>
      </c>
      <c r="E599" s="117"/>
      <c r="F599" s="127">
        <f>IF((B584*12&gt;=150000), 0, IF(B583="RPP",(F615*0.64+F616*0.18+F617*0.18),IF(B583="Non-RPP (Retailer)",F618,F619)))</f>
        <v>9.6699999999999994E-2</v>
      </c>
      <c r="G599" s="139">
        <f>IF(F599=0, 0, $E584*E586-E584)</f>
        <v>0</v>
      </c>
      <c r="H599" s="120">
        <f>G599*F599</f>
        <v>0</v>
      </c>
      <c r="I599" s="127">
        <f>IF((E584*12&gt;=150000), 0, IF(E583="RPP",(I615*0.64+I616*0.18+I617*0.18),IF(E583="Non-RPP (Retailer)",I618,I619)))</f>
        <v>9.6699999999999994E-2</v>
      </c>
      <c r="J599" s="140">
        <f>IF(I599=0, 0, E584*E587-E584)</f>
        <v>0</v>
      </c>
      <c r="K599" s="123">
        <f>J599*I599</f>
        <v>0</v>
      </c>
      <c r="L599" s="124">
        <f>K599-H599</f>
        <v>0</v>
      </c>
      <c r="M599" s="125" t="str">
        <f>IF(ISERROR(L599/H599), "", L599/H599)</f>
        <v/>
      </c>
    </row>
    <row r="600" spans="1:14" ht="25.5" x14ac:dyDescent="0.2">
      <c r="A600" s="46" t="str">
        <f t="shared" si="87"/>
        <v>EMBEDDED DISTRIBUTOR SERVICE CLASSIFICATION - WATERLOO</v>
      </c>
      <c r="C600" s="115"/>
      <c r="D600" s="138" t="s">
        <v>173</v>
      </c>
      <c r="E600" s="117"/>
      <c r="F600" s="127">
        <v>0.68959999999999999</v>
      </c>
      <c r="G600" s="141">
        <f>IF($E585&gt;0, $E585, $E584)</f>
        <v>8280</v>
      </c>
      <c r="H600" s="120">
        <f t="shared" si="85"/>
        <v>5709.8879999999999</v>
      </c>
      <c r="I600" s="127">
        <f>'Proposed Tariff'!D339+'Proposed Tariff'!D338</f>
        <v>0.70069999999999999</v>
      </c>
      <c r="J600" s="142">
        <f>IF($E585&gt;0, $E585, $E584)</f>
        <v>8280</v>
      </c>
      <c r="K600" s="123">
        <f t="shared" si="88"/>
        <v>5801.7960000000003</v>
      </c>
      <c r="L600" s="124">
        <f t="shared" si="84"/>
        <v>91.908000000000357</v>
      </c>
      <c r="M600" s="125">
        <f t="shared" si="86"/>
        <v>1.6096287703016306E-2</v>
      </c>
    </row>
    <row r="601" spans="1:14" x14ac:dyDescent="0.2">
      <c r="A601" s="46" t="str">
        <f t="shared" si="87"/>
        <v>EMBEDDED DISTRIBUTOR SERVICE CLASSIFICATION - WATERLOO</v>
      </c>
      <c r="C601" s="115"/>
      <c r="D601" s="138" t="s">
        <v>174</v>
      </c>
      <c r="E601" s="117"/>
      <c r="F601" s="127">
        <v>0</v>
      </c>
      <c r="G601" s="141">
        <f>IF($E585&gt;0, $E585, $E584)</f>
        <v>8280</v>
      </c>
      <c r="H601" s="120">
        <f>G601*F601</f>
        <v>0</v>
      </c>
      <c r="I601" s="127">
        <v>0</v>
      </c>
      <c r="J601" s="142">
        <f>IF($E585&gt;0, $E585, $E584)</f>
        <v>8280</v>
      </c>
      <c r="K601" s="123">
        <f>J601*I601</f>
        <v>0</v>
      </c>
      <c r="L601" s="124">
        <f t="shared" si="84"/>
        <v>0</v>
      </c>
      <c r="M601" s="125" t="str">
        <f t="shared" si="86"/>
        <v/>
      </c>
    </row>
    <row r="602" spans="1:14" x14ac:dyDescent="0.2">
      <c r="A602" s="46" t="str">
        <f t="shared" si="87"/>
        <v>EMBEDDED DISTRIBUTOR SERVICE CLASSIFICATION - WATERLOO</v>
      </c>
      <c r="C602" s="115"/>
      <c r="D602" s="138" t="s">
        <v>175</v>
      </c>
      <c r="E602" s="117"/>
      <c r="F602" s="127">
        <v>0</v>
      </c>
      <c r="G602" s="141">
        <f>E584</f>
        <v>0</v>
      </c>
      <c r="H602" s="120">
        <f>G602*F602</f>
        <v>0</v>
      </c>
      <c r="I602" s="127">
        <v>0</v>
      </c>
      <c r="J602" s="142">
        <f>E584</f>
        <v>0</v>
      </c>
      <c r="K602" s="123">
        <f t="shared" si="88"/>
        <v>0</v>
      </c>
      <c r="L602" s="124">
        <f t="shared" si="84"/>
        <v>0</v>
      </c>
      <c r="M602" s="125" t="str">
        <f t="shared" si="86"/>
        <v/>
      </c>
    </row>
    <row r="603" spans="1:14" x14ac:dyDescent="0.2">
      <c r="A603" s="46" t="str">
        <f t="shared" si="87"/>
        <v>EMBEDDED DISTRIBUTOR SERVICE CLASSIFICATION - WATERLOO</v>
      </c>
      <c r="C603" s="115"/>
      <c r="D603" s="116" t="s">
        <v>176</v>
      </c>
      <c r="E603" s="117"/>
      <c r="F603" s="127">
        <v>0.12479999999999999</v>
      </c>
      <c r="G603" s="141">
        <f>IF($E585&gt;0, $E585, $E584)</f>
        <v>8280</v>
      </c>
      <c r="H603" s="120">
        <f t="shared" si="85"/>
        <v>1033.3440000000001</v>
      </c>
      <c r="I603" s="127">
        <v>0.12479999999999999</v>
      </c>
      <c r="J603" s="142">
        <f>IF($E585&gt;0, $E585, $E584)</f>
        <v>8280</v>
      </c>
      <c r="K603" s="123">
        <f t="shared" si="88"/>
        <v>1033.3440000000001</v>
      </c>
      <c r="L603" s="124">
        <f t="shared" si="84"/>
        <v>0</v>
      </c>
      <c r="M603" s="125">
        <f t="shared" si="86"/>
        <v>0</v>
      </c>
    </row>
    <row r="604" spans="1:14" ht="25.5" x14ac:dyDescent="0.2">
      <c r="A604" s="46" t="str">
        <f t="shared" si="87"/>
        <v>EMBEDDED DISTRIBUTOR SERVICE CLASSIFICATION - WATERLOO</v>
      </c>
      <c r="C604" s="115"/>
      <c r="D604" s="138" t="s">
        <v>177</v>
      </c>
      <c r="E604" s="117"/>
      <c r="F604" s="144">
        <f>IF(OR(ISNUMBER(SEARCH("RESIDENTIAL", B582))=TRUE, ISNUMBER(SEARCH("GENERAL SERVICE LESS THAN 50", B582))=TRUE), SME, 0)</f>
        <v>0</v>
      </c>
      <c r="G604" s="119">
        <v>1</v>
      </c>
      <c r="H604" s="120">
        <f>G604*F604</f>
        <v>0</v>
      </c>
      <c r="I604" s="144">
        <f>IF(OR(ISNUMBER(SEARCH("RESIDENTIAL", E582))=TRUE, ISNUMBER(SEARCH("GENERAL SERVICE LESS THAN 50", E582))=TRUE), SME, 0)</f>
        <v>0</v>
      </c>
      <c r="J604" s="128">
        <v>1</v>
      </c>
      <c r="K604" s="123">
        <f>J604*I604</f>
        <v>0</v>
      </c>
      <c r="L604" s="124">
        <f t="shared" si="84"/>
        <v>0</v>
      </c>
      <c r="M604" s="125" t="str">
        <f>IF(ISERROR(L604/H604), "", L604/H604)</f>
        <v/>
      </c>
    </row>
    <row r="605" spans="1:14" x14ac:dyDescent="0.2">
      <c r="A605" s="46" t="str">
        <f t="shared" si="87"/>
        <v>EMBEDDED DISTRIBUTOR SERVICE CLASSIFICATION - WATERLOO</v>
      </c>
      <c r="C605" s="115"/>
      <c r="D605" s="116" t="s">
        <v>178</v>
      </c>
      <c r="E605" s="117"/>
      <c r="F605" s="121">
        <v>0</v>
      </c>
      <c r="G605" s="119">
        <v>1</v>
      </c>
      <c r="H605" s="120">
        <f t="shared" si="85"/>
        <v>0</v>
      </c>
      <c r="I605" s="121">
        <v>0</v>
      </c>
      <c r="J605" s="128">
        <v>1</v>
      </c>
      <c r="K605" s="123">
        <f>J605*I605</f>
        <v>0</v>
      </c>
      <c r="L605" s="124">
        <f>K605-H605</f>
        <v>0</v>
      </c>
      <c r="M605" s="125" t="str">
        <f>IF(ISERROR(L605/H605), "", L605/H605)</f>
        <v/>
      </c>
    </row>
    <row r="606" spans="1:14" x14ac:dyDescent="0.2">
      <c r="A606" s="46" t="str">
        <f t="shared" si="87"/>
        <v>EMBEDDED DISTRIBUTOR SERVICE CLASSIFICATION - WATERLOO</v>
      </c>
      <c r="C606" s="115"/>
      <c r="D606" s="116" t="s">
        <v>179</v>
      </c>
      <c r="E606" s="117"/>
      <c r="F606" s="127">
        <v>0</v>
      </c>
      <c r="G606" s="141">
        <f>IF($E585&gt;0, $E585, $E584)</f>
        <v>8280</v>
      </c>
      <c r="H606" s="120">
        <f>G606*F606</f>
        <v>0</v>
      </c>
      <c r="I606" s="127">
        <v>0</v>
      </c>
      <c r="J606" s="142">
        <f>IF($E585&gt;0, $E585, $E584)</f>
        <v>8280</v>
      </c>
      <c r="K606" s="123">
        <f>J606*I606</f>
        <v>0</v>
      </c>
      <c r="L606" s="124">
        <f t="shared" si="84"/>
        <v>0</v>
      </c>
      <c r="M606" s="125" t="str">
        <f>IF(ISERROR(L606/H606), "", L606/H606)</f>
        <v/>
      </c>
    </row>
    <row r="607" spans="1:14" ht="25.5" x14ac:dyDescent="0.2">
      <c r="A607" s="46" t="str">
        <f t="shared" si="87"/>
        <v>EMBEDDED DISTRIBUTOR SERVICE CLASSIFICATION - WATERLOO</v>
      </c>
      <c r="B607" s="46" t="s">
        <v>180</v>
      </c>
      <c r="C607" s="115">
        <f>B39</f>
        <v>10</v>
      </c>
      <c r="D607" s="145" t="s">
        <v>181</v>
      </c>
      <c r="E607" s="146"/>
      <c r="F607" s="150"/>
      <c r="G607" s="148"/>
      <c r="H607" s="149">
        <f>SUM(H598:H606)</f>
        <v>21914.362000000001</v>
      </c>
      <c r="I607" s="150"/>
      <c r="J607" s="151"/>
      <c r="K607" s="149">
        <f>SUM(K598:K606)</f>
        <v>22006.27</v>
      </c>
      <c r="L607" s="136">
        <f t="shared" si="84"/>
        <v>91.907999999999447</v>
      </c>
      <c r="M607" s="137">
        <f>IF((H607)=0,"",(L607/H607))</f>
        <v>4.1939619323619571E-3</v>
      </c>
    </row>
    <row r="608" spans="1:14" x14ac:dyDescent="0.2">
      <c r="A608" s="46" t="str">
        <f t="shared" si="87"/>
        <v>EMBEDDED DISTRIBUTOR SERVICE CLASSIFICATION - WATERLOO</v>
      </c>
      <c r="C608" s="115"/>
      <c r="D608" s="152" t="s">
        <v>182</v>
      </c>
      <c r="E608" s="117"/>
      <c r="F608" s="153">
        <v>3.5680000000000001</v>
      </c>
      <c r="G608" s="139">
        <f>IF($E585&gt;0, $E585, $E584*$E586)</f>
        <v>8280</v>
      </c>
      <c r="H608" s="120">
        <f>G608*F608</f>
        <v>29543.040000000001</v>
      </c>
      <c r="I608" s="153">
        <v>3.5680000000000001</v>
      </c>
      <c r="J608" s="140">
        <f>IF($E585&gt;0, $E585, $E584*$E587)</f>
        <v>8280</v>
      </c>
      <c r="K608" s="123">
        <f>J608*I608</f>
        <v>29543.040000000001</v>
      </c>
      <c r="L608" s="124">
        <f t="shared" si="84"/>
        <v>0</v>
      </c>
      <c r="M608" s="125">
        <f>IF(ISERROR(L608/H608), "", L608/H608)</f>
        <v>0</v>
      </c>
      <c r="N608" s="154" t="str">
        <f>IF(ISERROR(ABS(M608)), "", IF(ABS(M608)&gt;=4%, "In the manager's summary, discuss the reasoning for the change in RTSR rates", ""))</f>
        <v/>
      </c>
    </row>
    <row r="609" spans="1:14" ht="25.5" x14ac:dyDescent="0.2">
      <c r="A609" s="46" t="str">
        <f t="shared" si="87"/>
        <v>EMBEDDED DISTRIBUTOR SERVICE CLASSIFICATION - WATERLOO</v>
      </c>
      <c r="C609" s="115"/>
      <c r="D609" s="155" t="s">
        <v>183</v>
      </c>
      <c r="E609" s="117"/>
      <c r="F609" s="153">
        <v>2.2039</v>
      </c>
      <c r="G609" s="139">
        <f>IF($E585&gt;0, $E585, $E584*$E586)</f>
        <v>8280</v>
      </c>
      <c r="H609" s="120">
        <f>G609*F609</f>
        <v>18248.292000000001</v>
      </c>
      <c r="I609" s="153">
        <v>2.2039</v>
      </c>
      <c r="J609" s="140">
        <f>IF($E585&gt;0, $E585, $E584*$E587)</f>
        <v>8280</v>
      </c>
      <c r="K609" s="123">
        <f>J609*I609</f>
        <v>18248.292000000001</v>
      </c>
      <c r="L609" s="124">
        <f t="shared" si="84"/>
        <v>0</v>
      </c>
      <c r="M609" s="125">
        <f>IF(ISERROR(L609/H609), "", L609/H609)</f>
        <v>0</v>
      </c>
      <c r="N609" s="154" t="str">
        <f>IF(ISERROR(ABS(M609)), "", IF(ABS(M609)&gt;=4%, "In the manager's summary, discuss the reasoning for the change in RTSR rates", ""))</f>
        <v/>
      </c>
    </row>
    <row r="610" spans="1:14" ht="25.5" x14ac:dyDescent="0.2">
      <c r="A610" s="46" t="str">
        <f t="shared" si="87"/>
        <v>EMBEDDED DISTRIBUTOR SERVICE CLASSIFICATION - WATERLOO</v>
      </c>
      <c r="B610" s="46" t="s">
        <v>184</v>
      </c>
      <c r="C610" s="115">
        <f>B39</f>
        <v>10</v>
      </c>
      <c r="D610" s="145" t="s">
        <v>185</v>
      </c>
      <c r="E610" s="130"/>
      <c r="F610" s="150"/>
      <c r="G610" s="148"/>
      <c r="H610" s="149">
        <f>SUM(H607:H609)</f>
        <v>69705.694000000003</v>
      </c>
      <c r="I610" s="150"/>
      <c r="J610" s="135"/>
      <c r="K610" s="149">
        <f>SUM(K607:K609)</f>
        <v>69797.601999999999</v>
      </c>
      <c r="L610" s="136">
        <f t="shared" si="84"/>
        <v>91.907999999995809</v>
      </c>
      <c r="M610" s="137">
        <f>IF((H610)=0,"",(L610/H610))</f>
        <v>1.3185149551770592E-3</v>
      </c>
    </row>
    <row r="611" spans="1:14" ht="25.5" x14ac:dyDescent="0.2">
      <c r="A611" s="46" t="str">
        <f t="shared" si="87"/>
        <v>EMBEDDED DISTRIBUTOR SERVICE CLASSIFICATION - WATERLOO</v>
      </c>
      <c r="C611" s="115"/>
      <c r="D611" s="156" t="s">
        <v>186</v>
      </c>
      <c r="E611" s="117"/>
      <c r="F611" s="127">
        <f>'[1]17. Regulatory Charges'!$E$15+'[1]17. Regulatory Charges'!$E$16</f>
        <v>3.4000000000000002E-3</v>
      </c>
      <c r="G611" s="139">
        <f>E584*E586</f>
        <v>0</v>
      </c>
      <c r="H611" s="157">
        <f t="shared" ref="H611:H617" si="89">G611*F611</f>
        <v>0</v>
      </c>
      <c r="I611" s="127">
        <f>'[1]17. Regulatory Charges'!$E$15+'[1]17. Regulatory Charges'!$E$16</f>
        <v>3.4000000000000002E-3</v>
      </c>
      <c r="J611" s="140">
        <f>E584*E587</f>
        <v>0</v>
      </c>
      <c r="K611" s="123">
        <f t="shared" ref="K611:K617" si="90">J611*I611</f>
        <v>0</v>
      </c>
      <c r="L611" s="124">
        <f t="shared" si="84"/>
        <v>0</v>
      </c>
      <c r="M611" s="125" t="str">
        <f t="shared" ref="M611:M619" si="91">IF(ISERROR(L611/H611), "", L611/H611)</f>
        <v/>
      </c>
    </row>
    <row r="612" spans="1:14" ht="25.5" x14ac:dyDescent="0.2">
      <c r="A612" s="46" t="str">
        <f t="shared" si="87"/>
        <v>EMBEDDED DISTRIBUTOR SERVICE CLASSIFICATION - WATERLOO</v>
      </c>
      <c r="C612" s="115"/>
      <c r="D612" s="156" t="s">
        <v>187</v>
      </c>
      <c r="E612" s="117"/>
      <c r="F612" s="127">
        <f>'[1]17. Regulatory Charges'!$E$17</f>
        <v>5.0000000000000001E-4</v>
      </c>
      <c r="G612" s="139">
        <f>E584*E586</f>
        <v>0</v>
      </c>
      <c r="H612" s="157">
        <f t="shared" si="89"/>
        <v>0</v>
      </c>
      <c r="I612" s="127">
        <f>'[1]17. Regulatory Charges'!$E$17</f>
        <v>5.0000000000000001E-4</v>
      </c>
      <c r="J612" s="140">
        <f>E584*E587</f>
        <v>0</v>
      </c>
      <c r="K612" s="123">
        <f t="shared" si="90"/>
        <v>0</v>
      </c>
      <c r="L612" s="124">
        <f t="shared" si="84"/>
        <v>0</v>
      </c>
      <c r="M612" s="125" t="str">
        <f t="shared" si="91"/>
        <v/>
      </c>
    </row>
    <row r="613" spans="1:14" x14ac:dyDescent="0.2">
      <c r="A613" s="46" t="str">
        <f t="shared" si="87"/>
        <v>EMBEDDED DISTRIBUTOR SERVICE CLASSIFICATION - WATERLOO</v>
      </c>
      <c r="C613" s="115"/>
      <c r="D613" s="158" t="s">
        <v>188</v>
      </c>
      <c r="E613" s="117"/>
      <c r="F613" s="144">
        <f>'[1]17. Regulatory Charges'!$E$18</f>
        <v>0.25</v>
      </c>
      <c r="G613" s="119">
        <v>1</v>
      </c>
      <c r="H613" s="157">
        <f t="shared" si="89"/>
        <v>0.25</v>
      </c>
      <c r="I613" s="144">
        <f>'[1]17. Regulatory Charges'!$E$18</f>
        <v>0.25</v>
      </c>
      <c r="J613" s="122">
        <v>1</v>
      </c>
      <c r="K613" s="123">
        <f t="shared" si="90"/>
        <v>0.25</v>
      </c>
      <c r="L613" s="124">
        <f t="shared" si="84"/>
        <v>0</v>
      </c>
      <c r="M613" s="125">
        <f t="shared" si="91"/>
        <v>0</v>
      </c>
    </row>
    <row r="614" spans="1:14" ht="25.5" hidden="1" x14ac:dyDescent="0.2">
      <c r="A614" s="46" t="str">
        <f t="shared" si="87"/>
        <v>EMBEDDED DISTRIBUTOR SERVICE CLASSIFICATION - WATERLOO</v>
      </c>
      <c r="C614" s="115"/>
      <c r="D614" s="156" t="s">
        <v>189</v>
      </c>
      <c r="E614" s="117"/>
      <c r="F614" s="127"/>
      <c r="G614" s="139"/>
      <c r="H614" s="157"/>
      <c r="I614" s="127"/>
      <c r="J614" s="140"/>
      <c r="K614" s="123"/>
      <c r="L614" s="124"/>
      <c r="M614" s="125"/>
    </row>
    <row r="615" spans="1:14" hidden="1" x14ac:dyDescent="0.2">
      <c r="A615" s="46" t="str">
        <f t="shared" si="87"/>
        <v>EMBEDDED DISTRIBUTOR SERVICE CLASSIFICATION - WATERLOO</v>
      </c>
      <c r="B615" s="46" t="s">
        <v>139</v>
      </c>
      <c r="C615" s="115"/>
      <c r="D615" s="158" t="s">
        <v>190</v>
      </c>
      <c r="E615" s="117"/>
      <c r="F615" s="161">
        <f>OffPeak</f>
        <v>7.3999999999999996E-2</v>
      </c>
      <c r="G615" s="160">
        <f>IF(AND(E584*12&gt;=150000),0.64*E584*E586,0.64*E584)</f>
        <v>0</v>
      </c>
      <c r="H615" s="157">
        <f t="shared" si="89"/>
        <v>0</v>
      </c>
      <c r="I615" s="161">
        <f>OffPeak</f>
        <v>7.3999999999999996E-2</v>
      </c>
      <c r="J615" s="162">
        <f>IF(AND(E584*12&gt;=150000),0.64*E584*E587,0.64*E584)</f>
        <v>0</v>
      </c>
      <c r="K615" s="123">
        <f t="shared" si="90"/>
        <v>0</v>
      </c>
      <c r="L615" s="124">
        <f>K615-H615</f>
        <v>0</v>
      </c>
      <c r="M615" s="125" t="str">
        <f t="shared" si="91"/>
        <v/>
      </c>
    </row>
    <row r="616" spans="1:14" hidden="1" x14ac:dyDescent="0.2">
      <c r="A616" s="46" t="str">
        <f t="shared" si="87"/>
        <v>EMBEDDED DISTRIBUTOR SERVICE CLASSIFICATION - WATERLOO</v>
      </c>
      <c r="B616" s="46" t="s">
        <v>139</v>
      </c>
      <c r="C616" s="115"/>
      <c r="D616" s="158" t="s">
        <v>191</v>
      </c>
      <c r="E616" s="117"/>
      <c r="F616" s="161">
        <f>MidPeak</f>
        <v>0.10199999999999999</v>
      </c>
      <c r="G616" s="160">
        <f>IF(AND(E584*12&gt;=150000),0.18*E584*E586,0.18*E584)</f>
        <v>0</v>
      </c>
      <c r="H616" s="157">
        <f t="shared" si="89"/>
        <v>0</v>
      </c>
      <c r="I616" s="161">
        <f>MidPeak</f>
        <v>0.10199999999999999</v>
      </c>
      <c r="J616" s="162">
        <f>IF(AND(E584*12&gt;=150000),0.18*E584*E587,0.18*E584)</f>
        <v>0</v>
      </c>
      <c r="K616" s="123">
        <f t="shared" si="90"/>
        <v>0</v>
      </c>
      <c r="L616" s="124">
        <f>K616-H616</f>
        <v>0</v>
      </c>
      <c r="M616" s="125" t="str">
        <f t="shared" si="91"/>
        <v/>
      </c>
    </row>
    <row r="617" spans="1:14" hidden="1" x14ac:dyDescent="0.2">
      <c r="A617" s="46" t="str">
        <f t="shared" si="87"/>
        <v>EMBEDDED DISTRIBUTOR SERVICE CLASSIFICATION - WATERLOO</v>
      </c>
      <c r="B617" s="46" t="s">
        <v>139</v>
      </c>
      <c r="C617" s="115"/>
      <c r="D617" s="46" t="s">
        <v>192</v>
      </c>
      <c r="E617" s="117"/>
      <c r="F617" s="161">
        <f>OnPeak</f>
        <v>0.151</v>
      </c>
      <c r="G617" s="160">
        <f>IF(AND(E584*12&gt;=150000),0.18*E584*E586,0.18*E584)</f>
        <v>0</v>
      </c>
      <c r="H617" s="157">
        <f t="shared" si="89"/>
        <v>0</v>
      </c>
      <c r="I617" s="161">
        <f>OnPeak</f>
        <v>0.151</v>
      </c>
      <c r="J617" s="162">
        <f>IF(AND(E584*12&gt;=150000),0.18*E584*E587,0.18*E584)</f>
        <v>0</v>
      </c>
      <c r="K617" s="123">
        <f t="shared" si="90"/>
        <v>0</v>
      </c>
      <c r="L617" s="124">
        <f>K617-H617</f>
        <v>0</v>
      </c>
      <c r="M617" s="125" t="str">
        <f t="shared" si="91"/>
        <v/>
      </c>
    </row>
    <row r="618" spans="1:14" hidden="1" x14ac:dyDescent="0.2">
      <c r="A618" s="46" t="str">
        <f t="shared" si="87"/>
        <v>EMBEDDED DISTRIBUTOR SERVICE CLASSIFICATION - WATERLOO</v>
      </c>
      <c r="B618" s="46" t="s">
        <v>141</v>
      </c>
      <c r="C618" s="115"/>
      <c r="D618" s="158" t="s">
        <v>193</v>
      </c>
      <c r="E618" s="117"/>
      <c r="F618" s="164">
        <f>C618</f>
        <v>0</v>
      </c>
      <c r="G618" s="160">
        <f>IF(AND(E584*12&gt;=150000),E584*E586,E584)</f>
        <v>0</v>
      </c>
      <c r="H618" s="157">
        <f>G618*F618</f>
        <v>0</v>
      </c>
      <c r="I618" s="164">
        <f>F618</f>
        <v>0</v>
      </c>
      <c r="J618" s="162">
        <f>IF(AND(E584*12&gt;=150000),E584*E587,E584)</f>
        <v>0</v>
      </c>
      <c r="K618" s="123">
        <f>J618*I618</f>
        <v>0</v>
      </c>
      <c r="L618" s="124">
        <f>K618-H618</f>
        <v>0</v>
      </c>
      <c r="M618" s="125" t="str">
        <f t="shared" si="91"/>
        <v/>
      </c>
    </row>
    <row r="619" spans="1:14" ht="13.5" thickBot="1" x14ac:dyDescent="0.25">
      <c r="A619" s="46" t="str">
        <f t="shared" si="87"/>
        <v>EMBEDDED DISTRIBUTOR SERVICE CLASSIFICATION - WATERLOO</v>
      </c>
      <c r="B619" s="46" t="s">
        <v>140</v>
      </c>
      <c r="C619" s="115"/>
      <c r="D619" s="158" t="s">
        <v>194</v>
      </c>
      <c r="E619" s="117"/>
      <c r="F619" s="163">
        <v>9.6699999999999994E-2</v>
      </c>
      <c r="G619" s="160">
        <f>IF(AND(E584*12&gt;=150000),E584*E586,E584)</f>
        <v>0</v>
      </c>
      <c r="H619" s="157">
        <f>G619*F619</f>
        <v>0</v>
      </c>
      <c r="I619" s="164">
        <f>F619</f>
        <v>9.6699999999999994E-2</v>
      </c>
      <c r="J619" s="162">
        <f>IF(AND(E584*12&gt;=150000),E584*E587,E584)</f>
        <v>0</v>
      </c>
      <c r="K619" s="123">
        <f>J619*I619</f>
        <v>0</v>
      </c>
      <c r="L619" s="124">
        <f>K619-H619</f>
        <v>0</v>
      </c>
      <c r="M619" s="125" t="str">
        <f t="shared" si="91"/>
        <v/>
      </c>
    </row>
    <row r="620" spans="1:14" ht="13.5" thickBot="1" x14ac:dyDescent="0.25">
      <c r="A620" s="46" t="str">
        <f t="shared" si="87"/>
        <v>EMBEDDED DISTRIBUTOR SERVICE CLASSIFICATION - WATERLOO</v>
      </c>
      <c r="C620" s="115"/>
      <c r="D620" s="165"/>
      <c r="E620" s="166"/>
      <c r="F620" s="167"/>
      <c r="G620" s="168"/>
      <c r="H620" s="169"/>
      <c r="I620" s="167"/>
      <c r="J620" s="170"/>
      <c r="K620" s="169"/>
      <c r="L620" s="171"/>
      <c r="M620" s="172"/>
    </row>
    <row r="621" spans="1:14" hidden="1" x14ac:dyDescent="0.2">
      <c r="A621" s="46" t="str">
        <f t="shared" si="87"/>
        <v>EMBEDDED DISTRIBUTOR SERVICE CLASSIFICATION - WATERLOO</v>
      </c>
      <c r="B621" s="46" t="s">
        <v>139</v>
      </c>
      <c r="C621" s="115"/>
      <c r="D621" s="173" t="s">
        <v>195</v>
      </c>
      <c r="E621" s="158"/>
      <c r="F621" s="177"/>
      <c r="G621" s="175"/>
      <c r="H621" s="176">
        <f>SUM(H611:H617,H610)</f>
        <v>69705.944000000003</v>
      </c>
      <c r="I621" s="177"/>
      <c r="J621" s="177"/>
      <c r="K621" s="176">
        <f>SUM(K611:K617,K610)</f>
        <v>69797.851999999999</v>
      </c>
      <c r="L621" s="178">
        <f>K621-H621</f>
        <v>91.907999999995809</v>
      </c>
      <c r="M621" s="179">
        <f>IF((H621)=0,"",(L621/H621))</f>
        <v>1.3185102263301362E-3</v>
      </c>
    </row>
    <row r="622" spans="1:14" hidden="1" x14ac:dyDescent="0.2">
      <c r="A622" s="46" t="str">
        <f t="shared" si="87"/>
        <v>EMBEDDED DISTRIBUTOR SERVICE CLASSIFICATION - WATERLOO</v>
      </c>
      <c r="B622" s="46" t="s">
        <v>139</v>
      </c>
      <c r="C622" s="115"/>
      <c r="D622" s="180" t="s">
        <v>196</v>
      </c>
      <c r="E622" s="158"/>
      <c r="F622" s="183">
        <v>0.13</v>
      </c>
      <c r="G622" s="181"/>
      <c r="H622" s="182">
        <f>H621*F622</f>
        <v>9061.7727200000008</v>
      </c>
      <c r="I622" s="183">
        <v>0.13</v>
      </c>
      <c r="J622" s="119"/>
      <c r="K622" s="182">
        <f>K621*I622</f>
        <v>9073.7207600000002</v>
      </c>
      <c r="L622" s="124">
        <f>K622-H622</f>
        <v>11.94803999999931</v>
      </c>
      <c r="M622" s="184">
        <f>IF((H622)=0,"",(L622/H622))</f>
        <v>1.3185102263301202E-3</v>
      </c>
    </row>
    <row r="623" spans="1:14" ht="15" hidden="1" x14ac:dyDescent="0.25">
      <c r="A623" s="46" t="str">
        <f t="shared" si="87"/>
        <v>EMBEDDED DISTRIBUTOR SERVICE CLASSIFICATION - WATERLOO</v>
      </c>
      <c r="B623" s="46" t="s">
        <v>139</v>
      </c>
      <c r="C623" s="115"/>
      <c r="D623" s="180" t="s">
        <v>197</v>
      </c>
      <c r="E623"/>
      <c r="F623" s="185">
        <v>0.11700000000000001</v>
      </c>
      <c r="G623" s="181"/>
      <c r="H623" s="182">
        <f>IF(OR(ISNUMBER(SEARCH("[DGEN]", E582))=TRUE, ISNUMBER(SEARCH("STREET LIGHT", E582))=TRUE), 0, IF(AND(E584=0, E585=0),0, IF(AND(E585=0, E584*12&gt;250000), 0, IF(AND(E584=0, E585&gt;=50), 0, IF(E584*12&lt;=250000, F623*H621*-1, IF(E585&lt;50, F623*H621*-1, 0))))))</f>
        <v>0</v>
      </c>
      <c r="I623" s="185">
        <v>0.11700000000000001</v>
      </c>
      <c r="J623" s="119"/>
      <c r="K623" s="182">
        <f>IF(OR(ISNUMBER(SEARCH("[DGEN]", E582))=TRUE, ISNUMBER(SEARCH("STREET LIGHT", E582))=TRUE), 0, IF(AND(E584=0, E585=0),0, IF(AND(E585=0, E584*12&gt;250000), 0, IF(AND(E584=0, E585&gt;=50), 0, IF(E584*12&lt;=250000, I623*K621*-1, IF(E585&lt;50, I623*K621*-1, 0))))))</f>
        <v>0</v>
      </c>
      <c r="L623" s="124">
        <f>K623-H623</f>
        <v>0</v>
      </c>
      <c r="M623" s="184"/>
    </row>
    <row r="624" spans="1:14" hidden="1" x14ac:dyDescent="0.2">
      <c r="A624" s="46" t="str">
        <f t="shared" si="87"/>
        <v>EMBEDDED DISTRIBUTOR SERVICE CLASSIFICATION - WATERLOO</v>
      </c>
      <c r="B624" s="46" t="s">
        <v>198</v>
      </c>
      <c r="C624" s="115"/>
      <c r="D624" s="186" t="s">
        <v>199</v>
      </c>
      <c r="E624" s="186"/>
      <c r="F624" s="190"/>
      <c r="G624" s="188"/>
      <c r="H624" s="189">
        <f>H621+H622+H623</f>
        <v>78767.716719999997</v>
      </c>
      <c r="I624" s="190"/>
      <c r="J624" s="190"/>
      <c r="K624" s="191">
        <f>K621+K622+K623</f>
        <v>78871.572759999995</v>
      </c>
      <c r="L624" s="192">
        <f>K624-H624</f>
        <v>103.85603999999876</v>
      </c>
      <c r="M624" s="193">
        <f>IF((H624)=0,"",(L624/H624))</f>
        <v>1.3185102263301807E-3</v>
      </c>
    </row>
    <row r="625" spans="1:14" ht="13.5" hidden="1" thickBot="1" x14ac:dyDescent="0.25">
      <c r="A625" s="46" t="str">
        <f t="shared" si="87"/>
        <v>EMBEDDED DISTRIBUTOR SERVICE CLASSIFICATION - WATERLOO</v>
      </c>
      <c r="B625" s="46" t="s">
        <v>139</v>
      </c>
      <c r="C625" s="115"/>
      <c r="D625" s="165"/>
      <c r="E625" s="166"/>
      <c r="F625" s="167"/>
      <c r="G625" s="168"/>
      <c r="H625" s="169"/>
      <c r="I625" s="167"/>
      <c r="J625" s="170"/>
      <c r="K625" s="169"/>
      <c r="L625" s="171"/>
      <c r="M625" s="172"/>
    </row>
    <row r="626" spans="1:14" hidden="1" x14ac:dyDescent="0.2">
      <c r="A626" s="46" t="str">
        <f t="shared" si="87"/>
        <v>EMBEDDED DISTRIBUTOR SERVICE CLASSIFICATION - WATERLOO</v>
      </c>
      <c r="B626" s="46" t="s">
        <v>141</v>
      </c>
      <c r="C626" s="115"/>
      <c r="D626" s="173" t="s">
        <v>200</v>
      </c>
      <c r="E626" s="158"/>
      <c r="F626" s="177"/>
      <c r="G626" s="175"/>
      <c r="H626" s="176">
        <f>SUM(H618,H611:H614,H610)</f>
        <v>69705.944000000003</v>
      </c>
      <c r="I626" s="177"/>
      <c r="J626" s="177"/>
      <c r="K626" s="176">
        <f>SUM(K618,K611:K614,K610)</f>
        <v>69797.851999999999</v>
      </c>
      <c r="L626" s="178">
        <f>K626-H626</f>
        <v>91.907999999995809</v>
      </c>
      <c r="M626" s="179">
        <f>IF((H626)=0,"",(L626/H626))</f>
        <v>1.3185102263301362E-3</v>
      </c>
    </row>
    <row r="627" spans="1:14" hidden="1" x14ac:dyDescent="0.2">
      <c r="A627" s="46" t="str">
        <f t="shared" si="87"/>
        <v>EMBEDDED DISTRIBUTOR SERVICE CLASSIFICATION - WATERLOO</v>
      </c>
      <c r="B627" s="46" t="s">
        <v>141</v>
      </c>
      <c r="C627" s="115"/>
      <c r="D627" s="180" t="s">
        <v>196</v>
      </c>
      <c r="E627" s="158"/>
      <c r="F627" s="174">
        <v>0.13</v>
      </c>
      <c r="G627" s="175"/>
      <c r="H627" s="182">
        <f>H626*F627</f>
        <v>9061.7727200000008</v>
      </c>
      <c r="I627" s="174">
        <v>0.13</v>
      </c>
      <c r="J627" s="183"/>
      <c r="K627" s="182">
        <f>K626*I627</f>
        <v>9073.7207600000002</v>
      </c>
      <c r="L627" s="124">
        <f>K627-H627</f>
        <v>11.94803999999931</v>
      </c>
      <c r="M627" s="184">
        <f>IF((H627)=0,"",(L627/H627))</f>
        <v>1.3185102263301202E-3</v>
      </c>
    </row>
    <row r="628" spans="1:14" ht="15" hidden="1" x14ac:dyDescent="0.25">
      <c r="A628" s="46" t="str">
        <f t="shared" si="87"/>
        <v>EMBEDDED DISTRIBUTOR SERVICE CLASSIFICATION - WATERLOO</v>
      </c>
      <c r="B628" s="46" t="s">
        <v>141</v>
      </c>
      <c r="C628" s="115"/>
      <c r="D628" s="180" t="s">
        <v>197</v>
      </c>
      <c r="E628"/>
      <c r="F628" s="185">
        <v>0.11700000000000001</v>
      </c>
      <c r="G628" s="175"/>
      <c r="H628" s="182">
        <f>IF(OR(ISNUMBER(SEARCH("[DGEN]", E582))=TRUE, ISNUMBER(SEARCH("STREET LIGHT", E582))=TRUE), 0, IF(AND(E584=0, E585=0),0, IF(AND(E585=0, E584*12&gt;250000), 0, IF(AND(E584=0, E585&gt;=50), 0, IF(E584*12&lt;=250000, F628*H626*-1, IF(E585&lt;50, F628*H626*-1, 0))))))</f>
        <v>0</v>
      </c>
      <c r="I628" s="185">
        <v>0.11700000000000001</v>
      </c>
      <c r="J628" s="183"/>
      <c r="K628" s="182">
        <f>IF(OR(ISNUMBER(SEARCH("[DGEN]", E582))=TRUE, ISNUMBER(SEARCH("STREET LIGHT", E582))=TRUE), 0, IF(AND(E584=0, E585=0),0, IF(AND(E585=0, E584*12&gt;250000), 0, IF(AND(E584=0, E585&gt;=50), 0, IF(E584*12&lt;=250000, I628*K626*-1, IF(E585&lt;50, I628*K626*-1, 0))))))</f>
        <v>0</v>
      </c>
      <c r="L628" s="124"/>
      <c r="M628" s="184"/>
    </row>
    <row r="629" spans="1:14" hidden="1" x14ac:dyDescent="0.2">
      <c r="A629" s="46" t="str">
        <f t="shared" si="87"/>
        <v>EMBEDDED DISTRIBUTOR SERVICE CLASSIFICATION - WATERLOO</v>
      </c>
      <c r="B629" s="46" t="s">
        <v>201</v>
      </c>
      <c r="C629" s="115"/>
      <c r="D629" s="186" t="s">
        <v>200</v>
      </c>
      <c r="E629" s="186"/>
      <c r="F629" s="196"/>
      <c r="G629" s="195"/>
      <c r="H629" s="189">
        <f>SUM(H626,H627)</f>
        <v>78767.716719999997</v>
      </c>
      <c r="I629" s="196"/>
      <c r="J629" s="196"/>
      <c r="K629" s="189">
        <f>SUM(K626,K627)</f>
        <v>78871.572759999995</v>
      </c>
      <c r="L629" s="197">
        <f>K629-H629</f>
        <v>103.85603999999876</v>
      </c>
      <c r="M629" s="198">
        <f>IF((H629)=0,"",(L629/H629))</f>
        <v>1.3185102263301807E-3</v>
      </c>
    </row>
    <row r="630" spans="1:14" ht="13.5" hidden="1" thickBot="1" x14ac:dyDescent="0.25">
      <c r="A630" s="46" t="str">
        <f t="shared" si="87"/>
        <v>EMBEDDED DISTRIBUTOR SERVICE CLASSIFICATION - WATERLOO</v>
      </c>
      <c r="B630" s="46" t="s">
        <v>141</v>
      </c>
      <c r="C630" s="115"/>
      <c r="D630" s="165"/>
      <c r="E630" s="166"/>
      <c r="F630" s="199"/>
      <c r="G630" s="200"/>
      <c r="H630" s="201"/>
      <c r="I630" s="199"/>
      <c r="J630" s="168"/>
      <c r="K630" s="201"/>
      <c r="L630" s="202"/>
      <c r="M630" s="172"/>
    </row>
    <row r="631" spans="1:14" x14ac:dyDescent="0.2">
      <c r="A631" s="46" t="str">
        <f t="shared" si="87"/>
        <v>EMBEDDED DISTRIBUTOR SERVICE CLASSIFICATION - WATERLOO</v>
      </c>
      <c r="B631" s="46" t="s">
        <v>140</v>
      </c>
      <c r="C631" s="115"/>
      <c r="D631" s="173" t="s">
        <v>202</v>
      </c>
      <c r="E631" s="158"/>
      <c r="F631" s="177"/>
      <c r="G631" s="175"/>
      <c r="H631" s="176">
        <f>SUM(H619,H611:H614,H610)</f>
        <v>69705.944000000003</v>
      </c>
      <c r="I631" s="177"/>
      <c r="J631" s="177"/>
      <c r="K631" s="176">
        <f>SUM(K619,K611:K614,K610)</f>
        <v>69797.851999999999</v>
      </c>
      <c r="L631" s="178">
        <f>K631-H631</f>
        <v>91.907999999995809</v>
      </c>
      <c r="M631" s="179">
        <f>IF((H631)=0,"",(L631/H631))</f>
        <v>1.3185102263301362E-3</v>
      </c>
    </row>
    <row r="632" spans="1:14" x14ac:dyDescent="0.2">
      <c r="A632" s="46" t="str">
        <f t="shared" si="87"/>
        <v>EMBEDDED DISTRIBUTOR SERVICE CLASSIFICATION - WATERLOO</v>
      </c>
      <c r="B632" s="46" t="s">
        <v>140</v>
      </c>
      <c r="C632" s="115"/>
      <c r="D632" s="180" t="s">
        <v>196</v>
      </c>
      <c r="E632" s="158"/>
      <c r="F632" s="174">
        <v>0.13</v>
      </c>
      <c r="G632" s="175"/>
      <c r="H632" s="182">
        <f>H631*F632</f>
        <v>9061.7727200000008</v>
      </c>
      <c r="I632" s="174">
        <v>0.13</v>
      </c>
      <c r="J632" s="183"/>
      <c r="K632" s="182">
        <f>K631*I632</f>
        <v>9073.7207600000002</v>
      </c>
      <c r="L632" s="124">
        <f>K632-H632</f>
        <v>11.94803999999931</v>
      </c>
      <c r="M632" s="184">
        <f>IF((H632)=0,"",(L632/H632))</f>
        <v>1.3185102263301202E-3</v>
      </c>
    </row>
    <row r="633" spans="1:14" ht="15" x14ac:dyDescent="0.25">
      <c r="A633" s="46" t="str">
        <f t="shared" si="87"/>
        <v>EMBEDDED DISTRIBUTOR SERVICE CLASSIFICATION - WATERLOO</v>
      </c>
      <c r="B633" s="46" t="s">
        <v>140</v>
      </c>
      <c r="C633" s="115"/>
      <c r="D633" s="180" t="s">
        <v>197</v>
      </c>
      <c r="E633"/>
      <c r="F633" s="185">
        <v>0.11700000000000001</v>
      </c>
      <c r="G633" s="175"/>
      <c r="H633" s="182">
        <f>IF(OR(ISNUMBER(SEARCH("[DGEN]", E582))=TRUE, ISNUMBER(SEARCH("STREET LIGHT", E582))=TRUE), 0, IF(AND(E584=0, E585=0),0, IF(AND(E585=0, E584*12&gt;250000), 0, IF(AND(E584=0, E585&gt;=50), 0, IF(E584*12&lt;=250000, F633*H631*-1, IF(E585&lt;50, F633*H631*-1, 0))))))</f>
        <v>0</v>
      </c>
      <c r="I633" s="185">
        <v>0.11700000000000001</v>
      </c>
      <c r="J633" s="183"/>
      <c r="K633" s="182">
        <f>IF(OR(ISNUMBER(SEARCH("[DGEN]", E582))=TRUE, ISNUMBER(SEARCH("STREET LIGHT", E582))=TRUE), 0, IF(AND(E584=0, E585=0),0, IF(AND(E585=0, E584*12&gt;250000), 0, IF(AND(E584=0, E585&gt;=50), 0, IF(E584*12&lt;=250000, I633*K631*-1, IF(E585&lt;50, I633*K631*-1, 0))))))</f>
        <v>0</v>
      </c>
      <c r="L633" s="124"/>
      <c r="M633" s="184"/>
    </row>
    <row r="634" spans="1:14" ht="13.5" thickBot="1" x14ac:dyDescent="0.25">
      <c r="A634" s="46" t="str">
        <f t="shared" si="87"/>
        <v>EMBEDDED DISTRIBUTOR SERVICE CLASSIFICATION - WATERLOO</v>
      </c>
      <c r="B634" s="46" t="s">
        <v>203</v>
      </c>
      <c r="C634" s="115">
        <f>B39</f>
        <v>10</v>
      </c>
      <c r="D634" s="186" t="s">
        <v>202</v>
      </c>
      <c r="E634" s="186"/>
      <c r="F634" s="194"/>
      <c r="G634" s="195"/>
      <c r="H634" s="189">
        <f>SUM(H631,H632)</f>
        <v>78767.716719999997</v>
      </c>
      <c r="I634" s="196"/>
      <c r="J634" s="196"/>
      <c r="K634" s="189">
        <f>SUM(K631,K632)</f>
        <v>78871.572759999995</v>
      </c>
      <c r="L634" s="197">
        <f>K634-H634</f>
        <v>103.85603999999876</v>
      </c>
      <c r="M634" s="198">
        <f>IF((H634)=0,"",(L634/H634))</f>
        <v>1.3185102263301807E-3</v>
      </c>
    </row>
    <row r="635" spans="1:14" ht="13.5" thickBot="1" x14ac:dyDescent="0.25">
      <c r="A635" s="46" t="str">
        <f t="shared" si="87"/>
        <v>EMBEDDED DISTRIBUTOR SERVICE CLASSIFICATION - WATERLOO</v>
      </c>
      <c r="B635" s="46" t="s">
        <v>140</v>
      </c>
      <c r="C635" s="115"/>
      <c r="D635" s="165"/>
      <c r="E635" s="166"/>
      <c r="F635" s="203"/>
      <c r="G635" s="200"/>
      <c r="H635" s="204"/>
      <c r="I635" s="203"/>
      <c r="J635" s="168"/>
      <c r="K635" s="204"/>
      <c r="L635" s="202"/>
      <c r="M635" s="205"/>
    </row>
    <row r="638" spans="1:14" x14ac:dyDescent="0.2">
      <c r="C638" s="46"/>
      <c r="D638" s="90" t="s">
        <v>150</v>
      </c>
      <c r="E638" s="91" t="str">
        <f>D40</f>
        <v>EMBEDDED DISTRIBUTOR SERVICE CLASSIFICATION - BRANTFORD</v>
      </c>
      <c r="F638" s="91"/>
      <c r="G638" s="91"/>
      <c r="H638" s="91"/>
      <c r="I638" s="91"/>
      <c r="J638" s="91"/>
      <c r="K638" s="46" t="str">
        <f>IF(N40="DEMAND - INTERVAL","RTSR - INTERVAL METERED","")</f>
        <v/>
      </c>
    </row>
    <row r="639" spans="1:14" x14ac:dyDescent="0.2">
      <c r="C639" s="46"/>
      <c r="D639" s="90" t="s">
        <v>151</v>
      </c>
      <c r="E639" s="92" t="str">
        <f>H40</f>
        <v>Non-RPP (Other)</v>
      </c>
      <c r="F639" s="92"/>
      <c r="G639" s="92"/>
      <c r="H639" s="93"/>
      <c r="I639" s="93"/>
    </row>
    <row r="640" spans="1:14" ht="15.75" x14ac:dyDescent="0.2">
      <c r="C640" s="46"/>
      <c r="D640" s="90" t="s">
        <v>152</v>
      </c>
      <c r="E640" s="94">
        <f>K40</f>
        <v>50000</v>
      </c>
      <c r="F640" s="95" t="s">
        <v>153</v>
      </c>
      <c r="J640" s="96"/>
      <c r="K640" s="96"/>
      <c r="L640" s="96"/>
      <c r="M640" s="96"/>
      <c r="N640" s="96"/>
    </row>
    <row r="641" spans="1:13" ht="15.75" x14ac:dyDescent="0.25">
      <c r="C641" s="46"/>
      <c r="D641" s="90" t="s">
        <v>154</v>
      </c>
      <c r="E641" s="94">
        <f>L40</f>
        <v>27</v>
      </c>
      <c r="F641" s="97" t="s">
        <v>155</v>
      </c>
      <c r="G641" s="98"/>
      <c r="H641" s="99"/>
      <c r="I641" s="99"/>
      <c r="J641" s="99"/>
    </row>
    <row r="642" spans="1:13" x14ac:dyDescent="0.2">
      <c r="C642" s="46"/>
      <c r="D642" s="90" t="s">
        <v>156</v>
      </c>
      <c r="E642" s="100">
        <f>I40</f>
        <v>1.0306999999999999</v>
      </c>
    </row>
    <row r="643" spans="1:13" x14ac:dyDescent="0.2">
      <c r="C643" s="46"/>
      <c r="D643" s="90" t="s">
        <v>157</v>
      </c>
      <c r="E643" s="100">
        <f>J40</f>
        <v>1.0306999999999999</v>
      </c>
    </row>
    <row r="644" spans="1:13" x14ac:dyDescent="0.2">
      <c r="C644" s="46"/>
    </row>
    <row r="645" spans="1:13" x14ac:dyDescent="0.2">
      <c r="C645" s="46"/>
      <c r="E645" s="95"/>
      <c r="F645" s="101" t="s">
        <v>226</v>
      </c>
      <c r="G645" s="102"/>
      <c r="H645" s="103"/>
      <c r="I645" s="101" t="s">
        <v>205</v>
      </c>
      <c r="J645" s="102"/>
      <c r="K645" s="103"/>
      <c r="L645" s="101" t="s">
        <v>158</v>
      </c>
      <c r="M645" s="103"/>
    </row>
    <row r="646" spans="1:13" x14ac:dyDescent="0.2">
      <c r="C646" s="46"/>
      <c r="E646" s="104"/>
      <c r="F646" s="105" t="s">
        <v>159</v>
      </c>
      <c r="G646" s="105" t="s">
        <v>160</v>
      </c>
      <c r="H646" s="106" t="s">
        <v>161</v>
      </c>
      <c r="I646" s="105" t="s">
        <v>159</v>
      </c>
      <c r="J646" s="107" t="s">
        <v>160</v>
      </c>
      <c r="K646" s="106" t="s">
        <v>161</v>
      </c>
      <c r="L646" s="108" t="s">
        <v>162</v>
      </c>
      <c r="M646" s="109" t="s">
        <v>163</v>
      </c>
    </row>
    <row r="647" spans="1:13" x14ac:dyDescent="0.2">
      <c r="C647" s="46"/>
      <c r="E647" s="110"/>
      <c r="F647" s="111" t="s">
        <v>164</v>
      </c>
      <c r="G647" s="111"/>
      <c r="H647" s="112" t="s">
        <v>164</v>
      </c>
      <c r="I647" s="111" t="s">
        <v>164</v>
      </c>
      <c r="J647" s="112"/>
      <c r="K647" s="112" t="s">
        <v>164</v>
      </c>
      <c r="L647" s="113"/>
      <c r="M647" s="114"/>
    </row>
    <row r="648" spans="1:13" x14ac:dyDescent="0.2">
      <c r="A648" s="46" t="str">
        <f>$E638</f>
        <v>EMBEDDED DISTRIBUTOR SERVICE CLASSIFICATION - BRANTFORD</v>
      </c>
      <c r="C648" s="115"/>
      <c r="D648" s="116" t="s">
        <v>165</v>
      </c>
      <c r="E648" s="117"/>
      <c r="F648" s="121">
        <v>0</v>
      </c>
      <c r="G648" s="119">
        <v>1</v>
      </c>
      <c r="H648" s="120">
        <f>G648*F648</f>
        <v>0</v>
      </c>
      <c r="I648" s="121">
        <v>0</v>
      </c>
      <c r="J648" s="122">
        <f>G648</f>
        <v>1</v>
      </c>
      <c r="K648" s="123">
        <f>J648*I648</f>
        <v>0</v>
      </c>
      <c r="L648" s="124">
        <f t="shared" ref="L648:L669" si="92">K648-H648</f>
        <v>0</v>
      </c>
      <c r="M648" s="125" t="str">
        <f>IF(ISERROR(L648/H648), "", L648/H648)</f>
        <v/>
      </c>
    </row>
    <row r="649" spans="1:13" x14ac:dyDescent="0.2">
      <c r="A649" s="46" t="str">
        <f>A648</f>
        <v>EMBEDDED DISTRIBUTOR SERVICE CLASSIFICATION - BRANTFORD</v>
      </c>
      <c r="C649" s="115"/>
      <c r="D649" s="116" t="s">
        <v>30</v>
      </c>
      <c r="E649" s="117"/>
      <c r="F649" s="127">
        <v>10.4085</v>
      </c>
      <c r="G649" s="119">
        <f>IF($E641&gt;0, $E641, $E640)</f>
        <v>27</v>
      </c>
      <c r="H649" s="120">
        <f t="shared" ref="H649:H661" si="93">G649*F649</f>
        <v>281.02949999999998</v>
      </c>
      <c r="I649" s="127">
        <v>10.4085</v>
      </c>
      <c r="J649" s="122">
        <f>IF($E641&gt;0, $E641, $E640)</f>
        <v>27</v>
      </c>
      <c r="K649" s="123">
        <f>J649*I649</f>
        <v>281.02949999999998</v>
      </c>
      <c r="L649" s="124">
        <f t="shared" si="92"/>
        <v>0</v>
      </c>
      <c r="M649" s="125">
        <f t="shared" ref="M649:M659" si="94">IF(ISERROR(L649/H649), "", L649/H649)</f>
        <v>0</v>
      </c>
    </row>
    <row r="650" spans="1:13" hidden="1" x14ac:dyDescent="0.2">
      <c r="A650" s="46" t="str">
        <f t="shared" ref="A650:A691" si="95">A649</f>
        <v>EMBEDDED DISTRIBUTOR SERVICE CLASSIFICATION - BRANTFORD</v>
      </c>
      <c r="C650" s="115"/>
      <c r="D650" s="116" t="s">
        <v>166</v>
      </c>
      <c r="E650" s="117"/>
      <c r="F650" s="127"/>
      <c r="G650" s="119">
        <f>IF($E641&gt;0, $E641, $E640)</f>
        <v>27</v>
      </c>
      <c r="H650" s="120">
        <v>0</v>
      </c>
      <c r="I650" s="127"/>
      <c r="J650" s="122">
        <f>IF($E641&gt;0, $E641, $E640)</f>
        <v>27</v>
      </c>
      <c r="K650" s="123">
        <v>0</v>
      </c>
      <c r="L650" s="124"/>
      <c r="M650" s="125"/>
    </row>
    <row r="651" spans="1:13" hidden="1" x14ac:dyDescent="0.2">
      <c r="A651" s="46" t="str">
        <f t="shared" si="95"/>
        <v>EMBEDDED DISTRIBUTOR SERVICE CLASSIFICATION - BRANTFORD</v>
      </c>
      <c r="C651" s="115"/>
      <c r="D651" s="116" t="s">
        <v>167</v>
      </c>
      <c r="E651" s="117"/>
      <c r="F651" s="127"/>
      <c r="G651" s="119">
        <f>IF($E641&gt;0, $E641, $E640)</f>
        <v>27</v>
      </c>
      <c r="H651" s="120">
        <v>0</v>
      </c>
      <c r="I651" s="127"/>
      <c r="J651" s="128">
        <f>IF($E641&gt;0, $E641, $E640)</f>
        <v>27</v>
      </c>
      <c r="K651" s="123">
        <v>0</v>
      </c>
      <c r="L651" s="124">
        <f>K651-H651</f>
        <v>0</v>
      </c>
      <c r="M651" s="125" t="str">
        <f>IF(ISERROR(L651/H651), "", L651/H651)</f>
        <v/>
      </c>
    </row>
    <row r="652" spans="1:13" x14ac:dyDescent="0.2">
      <c r="A652" s="46" t="str">
        <f t="shared" si="95"/>
        <v>EMBEDDED DISTRIBUTOR SERVICE CLASSIFICATION - BRANTFORD</v>
      </c>
      <c r="C652" s="115"/>
      <c r="D652" s="116" t="s">
        <v>168</v>
      </c>
      <c r="E652" s="117"/>
      <c r="F652" s="121">
        <v>113.95</v>
      </c>
      <c r="G652" s="119">
        <v>1</v>
      </c>
      <c r="H652" s="120">
        <f t="shared" si="93"/>
        <v>113.95</v>
      </c>
      <c r="I652" s="121">
        <v>113.95</v>
      </c>
      <c r="J652" s="122">
        <f>G652</f>
        <v>1</v>
      </c>
      <c r="K652" s="123">
        <f t="shared" ref="K652:K659" si="96">J652*I652</f>
        <v>113.95</v>
      </c>
      <c r="L652" s="124">
        <f t="shared" si="92"/>
        <v>0</v>
      </c>
      <c r="M652" s="125">
        <f t="shared" si="94"/>
        <v>0</v>
      </c>
    </row>
    <row r="653" spans="1:13" x14ac:dyDescent="0.2">
      <c r="A653" s="46" t="str">
        <f t="shared" si="95"/>
        <v>EMBEDDED DISTRIBUTOR SERVICE CLASSIFICATION - BRANTFORD</v>
      </c>
      <c r="C653" s="115"/>
      <c r="D653" s="116" t="s">
        <v>169</v>
      </c>
      <c r="E653" s="117"/>
      <c r="F653" s="127">
        <v>0</v>
      </c>
      <c r="G653" s="119">
        <f>IF($E641&gt;0, $E641, $E640)</f>
        <v>27</v>
      </c>
      <c r="H653" s="120">
        <f t="shared" si="93"/>
        <v>0</v>
      </c>
      <c r="I653" s="127">
        <v>0</v>
      </c>
      <c r="J653" s="122">
        <f>IF($E641&gt;0, $E641, $E640)</f>
        <v>27</v>
      </c>
      <c r="K653" s="123">
        <f t="shared" si="96"/>
        <v>0</v>
      </c>
      <c r="L653" s="124">
        <f t="shared" si="92"/>
        <v>0</v>
      </c>
      <c r="M653" s="125" t="str">
        <f t="shared" si="94"/>
        <v/>
      </c>
    </row>
    <row r="654" spans="1:13" x14ac:dyDescent="0.2">
      <c r="A654" s="46" t="str">
        <f t="shared" si="95"/>
        <v>EMBEDDED DISTRIBUTOR SERVICE CLASSIFICATION - BRANTFORD</v>
      </c>
      <c r="B654" s="46" t="s">
        <v>170</v>
      </c>
      <c r="C654" s="115">
        <f>B40</f>
        <v>11</v>
      </c>
      <c r="D654" s="129" t="s">
        <v>171</v>
      </c>
      <c r="E654" s="130"/>
      <c r="F654" s="134"/>
      <c r="G654" s="132"/>
      <c r="H654" s="133">
        <f>SUM(H648:H653)</f>
        <v>394.97949999999997</v>
      </c>
      <c r="I654" s="134"/>
      <c r="J654" s="135"/>
      <c r="K654" s="133">
        <f>SUM(K648:K653)</f>
        <v>394.97949999999997</v>
      </c>
      <c r="L654" s="136">
        <f t="shared" si="92"/>
        <v>0</v>
      </c>
      <c r="M654" s="137">
        <f>IF((H654)=0,"",(L654/H654))</f>
        <v>0</v>
      </c>
    </row>
    <row r="655" spans="1:13" x14ac:dyDescent="0.2">
      <c r="A655" s="46" t="str">
        <f t="shared" si="95"/>
        <v>EMBEDDED DISTRIBUTOR SERVICE CLASSIFICATION - BRANTFORD</v>
      </c>
      <c r="C655" s="115"/>
      <c r="D655" s="138" t="s">
        <v>172</v>
      </c>
      <c r="E655" s="117"/>
      <c r="F655" s="127">
        <f>IF((E640*12&gt;=150000), 0, IF(E639="RPP",(F671*0.64+F672*0.18+F673*0.18),IF(E639="Non-RPP (Retailer)",F674,F675)))</f>
        <v>0</v>
      </c>
      <c r="G655" s="139">
        <f>IF(F655=0, 0, $E640*E642-E640)</f>
        <v>0</v>
      </c>
      <c r="H655" s="120">
        <f>G655*F655</f>
        <v>0</v>
      </c>
      <c r="I655" s="127">
        <f>IF((E640*12&gt;=150000), 0, IF(E639="RPP",(I671*0.64+I672*0.18+I673*0.18),IF(E639="Non-RPP (Retailer)",I674,I675)))</f>
        <v>0</v>
      </c>
      <c r="J655" s="140">
        <f>IF(I655=0, 0, E640*E643-E640)</f>
        <v>0</v>
      </c>
      <c r="K655" s="123">
        <f>J655*I655</f>
        <v>0</v>
      </c>
      <c r="L655" s="124">
        <f>K655-H655</f>
        <v>0</v>
      </c>
      <c r="M655" s="125" t="str">
        <f>IF(ISERROR(L655/H655), "", L655/H655)</f>
        <v/>
      </c>
    </row>
    <row r="656" spans="1:13" ht="25.5" x14ac:dyDescent="0.2">
      <c r="A656" s="46" t="str">
        <f t="shared" si="95"/>
        <v>EMBEDDED DISTRIBUTOR SERVICE CLASSIFICATION - BRANTFORD</v>
      </c>
      <c r="C656" s="115"/>
      <c r="D656" s="138" t="s">
        <v>173</v>
      </c>
      <c r="E656" s="117"/>
      <c r="F656" s="127">
        <v>0.49020000000000002</v>
      </c>
      <c r="G656" s="141">
        <f>IF($E641&gt;0, $E641, $E640)</f>
        <v>27</v>
      </c>
      <c r="H656" s="120">
        <f t="shared" si="93"/>
        <v>13.2354</v>
      </c>
      <c r="I656" s="127">
        <f>'Proposed Tariff'!D371+'Proposed Tariff'!D369</f>
        <v>2.5232000000000001</v>
      </c>
      <c r="J656" s="142">
        <f>IF($E641&gt;0, $E641, $E640)</f>
        <v>27</v>
      </c>
      <c r="K656" s="123">
        <f t="shared" si="96"/>
        <v>68.126400000000004</v>
      </c>
      <c r="L656" s="124">
        <f t="shared" si="92"/>
        <v>54.891000000000005</v>
      </c>
      <c r="M656" s="125">
        <f t="shared" si="94"/>
        <v>4.1472868217054266</v>
      </c>
    </row>
    <row r="657" spans="1:14" x14ac:dyDescent="0.2">
      <c r="A657" s="46" t="str">
        <f t="shared" si="95"/>
        <v>EMBEDDED DISTRIBUTOR SERVICE CLASSIFICATION - BRANTFORD</v>
      </c>
      <c r="C657" s="115"/>
      <c r="D657" s="138" t="s">
        <v>174</v>
      </c>
      <c r="E657" s="117"/>
      <c r="F657" s="127">
        <v>0</v>
      </c>
      <c r="G657" s="141">
        <f>IF($E641&gt;0, $E641, $E640)</f>
        <v>27</v>
      </c>
      <c r="H657" s="120">
        <f>G657*F657</f>
        <v>0</v>
      </c>
      <c r="I657" s="127">
        <f>'Proposed Tariff'!D370</f>
        <v>-3.6900000000000002E-2</v>
      </c>
      <c r="J657" s="142">
        <f>IF($E641&gt;0, $E641, $E640)</f>
        <v>27</v>
      </c>
      <c r="K657" s="123">
        <f>J657*I657</f>
        <v>-0.99630000000000007</v>
      </c>
      <c r="L657" s="124">
        <f t="shared" si="92"/>
        <v>-0.99630000000000007</v>
      </c>
      <c r="M657" s="125" t="str">
        <f t="shared" si="94"/>
        <v/>
      </c>
    </row>
    <row r="658" spans="1:14" x14ac:dyDescent="0.2">
      <c r="A658" s="46" t="str">
        <f t="shared" si="95"/>
        <v>EMBEDDED DISTRIBUTOR SERVICE CLASSIFICATION - BRANTFORD</v>
      </c>
      <c r="C658" s="115"/>
      <c r="D658" s="138" t="s">
        <v>175</v>
      </c>
      <c r="E658" s="117"/>
      <c r="F658" s="127">
        <v>0</v>
      </c>
      <c r="G658" s="141">
        <f>E640</f>
        <v>50000</v>
      </c>
      <c r="H658" s="120">
        <f>G658*F658</f>
        <v>0</v>
      </c>
      <c r="I658" s="127">
        <f>'Proposed Tariff'!D368</f>
        <v>-4.4999999999999997E-3</v>
      </c>
      <c r="J658" s="142">
        <f>E640</f>
        <v>50000</v>
      </c>
      <c r="K658" s="123">
        <f t="shared" si="96"/>
        <v>-224.99999999999997</v>
      </c>
      <c r="L658" s="124">
        <f t="shared" si="92"/>
        <v>-224.99999999999997</v>
      </c>
      <c r="M658" s="125" t="str">
        <f t="shared" si="94"/>
        <v/>
      </c>
    </row>
    <row r="659" spans="1:14" x14ac:dyDescent="0.2">
      <c r="A659" s="46" t="str">
        <f t="shared" si="95"/>
        <v>EMBEDDED DISTRIBUTOR SERVICE CLASSIFICATION - BRANTFORD</v>
      </c>
      <c r="C659" s="115"/>
      <c r="D659" s="116" t="s">
        <v>176</v>
      </c>
      <c r="E659" s="117"/>
      <c r="F659" s="127">
        <v>0.10299999999999999</v>
      </c>
      <c r="G659" s="141">
        <f>IF($E641&gt;0, $E641, $E640)</f>
        <v>27</v>
      </c>
      <c r="H659" s="120">
        <f t="shared" si="93"/>
        <v>2.7809999999999997</v>
      </c>
      <c r="I659" s="127">
        <v>0.10299999999999999</v>
      </c>
      <c r="J659" s="142">
        <f>IF($E641&gt;0, $E641, $E640)</f>
        <v>27</v>
      </c>
      <c r="K659" s="123">
        <f t="shared" si="96"/>
        <v>2.7809999999999997</v>
      </c>
      <c r="L659" s="124">
        <f t="shared" si="92"/>
        <v>0</v>
      </c>
      <c r="M659" s="125">
        <f t="shared" si="94"/>
        <v>0</v>
      </c>
    </row>
    <row r="660" spans="1:14" ht="25.5" x14ac:dyDescent="0.2">
      <c r="A660" s="46" t="str">
        <f t="shared" si="95"/>
        <v>EMBEDDED DISTRIBUTOR SERVICE CLASSIFICATION - BRANTFORD</v>
      </c>
      <c r="C660" s="115"/>
      <c r="D660" s="138" t="s">
        <v>177</v>
      </c>
      <c r="E660" s="117"/>
      <c r="F660" s="144">
        <f>IF(OR(ISNUMBER(SEARCH("RESIDENTIAL", B638))=TRUE, ISNUMBER(SEARCH("GENERAL SERVICE LESS THAN 50", B638))=TRUE), SME, 0)</f>
        <v>0</v>
      </c>
      <c r="G660" s="119">
        <v>1</v>
      </c>
      <c r="H660" s="120">
        <f>G660*F660</f>
        <v>0</v>
      </c>
      <c r="I660" s="144">
        <f>IF(OR(ISNUMBER(SEARCH("RESIDENTIAL", E638))=TRUE, ISNUMBER(SEARCH("GENERAL SERVICE LESS THAN 50", E638))=TRUE), SME, 0)</f>
        <v>0</v>
      </c>
      <c r="J660" s="128">
        <v>1</v>
      </c>
      <c r="K660" s="123">
        <f>J660*I660</f>
        <v>0</v>
      </c>
      <c r="L660" s="124">
        <f t="shared" si="92"/>
        <v>0</v>
      </c>
      <c r="M660" s="125" t="str">
        <f>IF(ISERROR(L660/H660), "", L660/H660)</f>
        <v/>
      </c>
    </row>
    <row r="661" spans="1:14" x14ac:dyDescent="0.2">
      <c r="A661" s="46" t="str">
        <f t="shared" si="95"/>
        <v>EMBEDDED DISTRIBUTOR SERVICE CLASSIFICATION - BRANTFORD</v>
      </c>
      <c r="C661" s="115"/>
      <c r="D661" s="116" t="s">
        <v>178</v>
      </c>
      <c r="E661" s="117"/>
      <c r="F661" s="121">
        <v>0</v>
      </c>
      <c r="G661" s="119">
        <v>1</v>
      </c>
      <c r="H661" s="120">
        <f t="shared" si="93"/>
        <v>0</v>
      </c>
      <c r="I661" s="121">
        <v>0</v>
      </c>
      <c r="J661" s="128">
        <v>1</v>
      </c>
      <c r="K661" s="123">
        <f>J661*I661</f>
        <v>0</v>
      </c>
      <c r="L661" s="124">
        <f>K661-H661</f>
        <v>0</v>
      </c>
      <c r="M661" s="125" t="str">
        <f>IF(ISERROR(L661/H661), "", L661/H661)</f>
        <v/>
      </c>
    </row>
    <row r="662" spans="1:14" x14ac:dyDescent="0.2">
      <c r="A662" s="46" t="str">
        <f t="shared" si="95"/>
        <v>EMBEDDED DISTRIBUTOR SERVICE CLASSIFICATION - BRANTFORD</v>
      </c>
      <c r="C662" s="115"/>
      <c r="D662" s="116" t="s">
        <v>179</v>
      </c>
      <c r="E662" s="117"/>
      <c r="F662" s="127">
        <v>0</v>
      </c>
      <c r="G662" s="141">
        <f>IF($E641&gt;0, $E641, $E640)</f>
        <v>27</v>
      </c>
      <c r="H662" s="120">
        <f>G662*F662</f>
        <v>0</v>
      </c>
      <c r="I662" s="127">
        <v>0</v>
      </c>
      <c r="J662" s="142">
        <f>IF($E641&gt;0, $E641, $E640)</f>
        <v>27</v>
      </c>
      <c r="K662" s="123">
        <f>J662*I662</f>
        <v>0</v>
      </c>
      <c r="L662" s="124">
        <f t="shared" si="92"/>
        <v>0</v>
      </c>
      <c r="M662" s="125" t="str">
        <f>IF(ISERROR(L662/H662), "", L662/H662)</f>
        <v/>
      </c>
    </row>
    <row r="663" spans="1:14" ht="25.5" x14ac:dyDescent="0.2">
      <c r="A663" s="46" t="str">
        <f t="shared" si="95"/>
        <v>EMBEDDED DISTRIBUTOR SERVICE CLASSIFICATION - BRANTFORD</v>
      </c>
      <c r="B663" s="46" t="s">
        <v>180</v>
      </c>
      <c r="C663" s="115">
        <f>B40</f>
        <v>11</v>
      </c>
      <c r="D663" s="145" t="s">
        <v>181</v>
      </c>
      <c r="E663" s="146"/>
      <c r="F663" s="150"/>
      <c r="G663" s="148"/>
      <c r="H663" s="149">
        <f>SUM(H654:H662)</f>
        <v>410.99590000000001</v>
      </c>
      <c r="I663" s="150"/>
      <c r="J663" s="151"/>
      <c r="K663" s="149">
        <f>SUM(K654:K662)</f>
        <v>239.89059999999998</v>
      </c>
      <c r="L663" s="136">
        <f t="shared" si="92"/>
        <v>-171.10530000000003</v>
      </c>
      <c r="M663" s="137">
        <f>IF((H663)=0,"",(L663/H663))</f>
        <v>-0.41631875159825199</v>
      </c>
    </row>
    <row r="664" spans="1:14" x14ac:dyDescent="0.2">
      <c r="A664" s="46" t="str">
        <f t="shared" si="95"/>
        <v>EMBEDDED DISTRIBUTOR SERVICE CLASSIFICATION - BRANTFORD</v>
      </c>
      <c r="C664" s="115"/>
      <c r="D664" s="152" t="s">
        <v>182</v>
      </c>
      <c r="E664" s="117"/>
      <c r="F664" s="153">
        <v>3.9849999999999999</v>
      </c>
      <c r="G664" s="139">
        <f>IF($E641&gt;0, $E641, $E640*$E642)</f>
        <v>27</v>
      </c>
      <c r="H664" s="120">
        <f>G664*F664</f>
        <v>107.595</v>
      </c>
      <c r="I664" s="153">
        <v>3.9849999999999999</v>
      </c>
      <c r="J664" s="140">
        <f>IF($E641&gt;0, $E641, $E640*$E643)</f>
        <v>27</v>
      </c>
      <c r="K664" s="123">
        <f>J664*I664</f>
        <v>107.595</v>
      </c>
      <c r="L664" s="124">
        <f t="shared" si="92"/>
        <v>0</v>
      </c>
      <c r="M664" s="125">
        <f>IF(ISERROR(L664/H664), "", L664/H664)</f>
        <v>0</v>
      </c>
      <c r="N664" s="154" t="str">
        <f>IF(ISERROR(ABS(M664)), "", IF(ABS(M664)&gt;=4%, "In the manager's summary, discuss the reasoning for the change in RTSR rates", ""))</f>
        <v/>
      </c>
    </row>
    <row r="665" spans="1:14" ht="25.5" x14ac:dyDescent="0.2">
      <c r="A665" s="46" t="str">
        <f t="shared" si="95"/>
        <v>EMBEDDED DISTRIBUTOR SERVICE CLASSIFICATION - BRANTFORD</v>
      </c>
      <c r="C665" s="115"/>
      <c r="D665" s="155" t="s">
        <v>183</v>
      </c>
      <c r="E665" s="117"/>
      <c r="F665" s="153">
        <v>1.8191999999999999</v>
      </c>
      <c r="G665" s="139">
        <f>IF($E641&gt;0, $E641, $E640*$E642)</f>
        <v>27</v>
      </c>
      <c r="H665" s="120">
        <f>G665*F665</f>
        <v>49.118400000000001</v>
      </c>
      <c r="I665" s="153">
        <v>1.8191999999999999</v>
      </c>
      <c r="J665" s="140">
        <f>IF($E641&gt;0, $E641, $E640*$E643)</f>
        <v>27</v>
      </c>
      <c r="K665" s="123">
        <f>J665*I665</f>
        <v>49.118400000000001</v>
      </c>
      <c r="L665" s="124">
        <f t="shared" si="92"/>
        <v>0</v>
      </c>
      <c r="M665" s="125">
        <f>IF(ISERROR(L665/H665), "", L665/H665)</f>
        <v>0</v>
      </c>
      <c r="N665" s="154" t="str">
        <f>IF(ISERROR(ABS(M665)), "", IF(ABS(M665)&gt;=4%, "In the manager's summary, discuss the reasoning for the change in RTSR rates", ""))</f>
        <v/>
      </c>
    </row>
    <row r="666" spans="1:14" ht="25.5" x14ac:dyDescent="0.2">
      <c r="A666" s="46" t="str">
        <f t="shared" si="95"/>
        <v>EMBEDDED DISTRIBUTOR SERVICE CLASSIFICATION - BRANTFORD</v>
      </c>
      <c r="B666" s="46" t="s">
        <v>184</v>
      </c>
      <c r="C666" s="115">
        <f>B40</f>
        <v>11</v>
      </c>
      <c r="D666" s="145" t="s">
        <v>185</v>
      </c>
      <c r="E666" s="130"/>
      <c r="F666" s="150"/>
      <c r="G666" s="148"/>
      <c r="H666" s="149">
        <f>SUM(H663:H665)</f>
        <v>567.70929999999998</v>
      </c>
      <c r="I666" s="150"/>
      <c r="J666" s="135"/>
      <c r="K666" s="149">
        <f>SUM(K663:K665)</f>
        <v>396.60399999999998</v>
      </c>
      <c r="L666" s="136">
        <f t="shared" si="92"/>
        <v>-171.1053</v>
      </c>
      <c r="M666" s="137">
        <f>IF((H666)=0,"",(L666/H666))</f>
        <v>-0.30139597854042555</v>
      </c>
    </row>
    <row r="667" spans="1:14" ht="25.5" x14ac:dyDescent="0.2">
      <c r="A667" s="46" t="str">
        <f t="shared" si="95"/>
        <v>EMBEDDED DISTRIBUTOR SERVICE CLASSIFICATION - BRANTFORD</v>
      </c>
      <c r="C667" s="115"/>
      <c r="D667" s="156" t="s">
        <v>186</v>
      </c>
      <c r="E667" s="117"/>
      <c r="F667" s="127">
        <f>'[1]17. Regulatory Charges'!$E$15+'[1]17. Regulatory Charges'!$E$16</f>
        <v>3.4000000000000002E-3</v>
      </c>
      <c r="G667" s="139">
        <f>E640*E642</f>
        <v>51535</v>
      </c>
      <c r="H667" s="157">
        <f t="shared" ref="H667:H673" si="97">G667*F667</f>
        <v>175.21900000000002</v>
      </c>
      <c r="I667" s="127">
        <f>'[1]17. Regulatory Charges'!$E$15+'[1]17. Regulatory Charges'!$E$16</f>
        <v>3.4000000000000002E-3</v>
      </c>
      <c r="J667" s="140">
        <f>E640*E643</f>
        <v>51535</v>
      </c>
      <c r="K667" s="123">
        <f t="shared" ref="K667:K673" si="98">J667*I667</f>
        <v>175.21900000000002</v>
      </c>
      <c r="L667" s="124">
        <f t="shared" si="92"/>
        <v>0</v>
      </c>
      <c r="M667" s="125">
        <f t="shared" ref="M667:M675" si="99">IF(ISERROR(L667/H667), "", L667/H667)</f>
        <v>0</v>
      </c>
    </row>
    <row r="668" spans="1:14" ht="25.5" x14ac:dyDescent="0.2">
      <c r="A668" s="46" t="str">
        <f t="shared" si="95"/>
        <v>EMBEDDED DISTRIBUTOR SERVICE CLASSIFICATION - BRANTFORD</v>
      </c>
      <c r="C668" s="115"/>
      <c r="D668" s="156" t="s">
        <v>187</v>
      </c>
      <c r="E668" s="117"/>
      <c r="F668" s="127">
        <f>'[1]17. Regulatory Charges'!$E$17</f>
        <v>5.0000000000000001E-4</v>
      </c>
      <c r="G668" s="139">
        <f>E640*E642</f>
        <v>51535</v>
      </c>
      <c r="H668" s="157">
        <f t="shared" si="97"/>
        <v>25.767500000000002</v>
      </c>
      <c r="I668" s="127">
        <f>'[1]17. Regulatory Charges'!$E$17</f>
        <v>5.0000000000000001E-4</v>
      </c>
      <c r="J668" s="140">
        <f>E640*E643</f>
        <v>51535</v>
      </c>
      <c r="K668" s="123">
        <f t="shared" si="98"/>
        <v>25.767500000000002</v>
      </c>
      <c r="L668" s="124">
        <f t="shared" si="92"/>
        <v>0</v>
      </c>
      <c r="M668" s="125">
        <f t="shared" si="99"/>
        <v>0</v>
      </c>
    </row>
    <row r="669" spans="1:14" x14ac:dyDescent="0.2">
      <c r="A669" s="46" t="str">
        <f t="shared" si="95"/>
        <v>EMBEDDED DISTRIBUTOR SERVICE CLASSIFICATION - BRANTFORD</v>
      </c>
      <c r="C669" s="115"/>
      <c r="D669" s="158" t="s">
        <v>188</v>
      </c>
      <c r="E669" s="117"/>
      <c r="F669" s="144">
        <f>'[1]17. Regulatory Charges'!$E$18</f>
        <v>0.25</v>
      </c>
      <c r="G669" s="119">
        <v>1</v>
      </c>
      <c r="H669" s="157">
        <f t="shared" si="97"/>
        <v>0.25</v>
      </c>
      <c r="I669" s="144">
        <f>'[1]17. Regulatory Charges'!$E$18</f>
        <v>0.25</v>
      </c>
      <c r="J669" s="122">
        <v>1</v>
      </c>
      <c r="K669" s="123">
        <f t="shared" si="98"/>
        <v>0.25</v>
      </c>
      <c r="L669" s="124">
        <f t="shared" si="92"/>
        <v>0</v>
      </c>
      <c r="M669" s="125">
        <f t="shared" si="99"/>
        <v>0</v>
      </c>
    </row>
    <row r="670" spans="1:14" ht="25.5" hidden="1" x14ac:dyDescent="0.2">
      <c r="A670" s="46" t="str">
        <f t="shared" si="95"/>
        <v>EMBEDDED DISTRIBUTOR SERVICE CLASSIFICATION - BRANTFORD</v>
      </c>
      <c r="C670" s="115"/>
      <c r="D670" s="156" t="s">
        <v>189</v>
      </c>
      <c r="E670" s="117"/>
      <c r="F670" s="127"/>
      <c r="G670" s="139"/>
      <c r="H670" s="157"/>
      <c r="I670" s="127"/>
      <c r="J670" s="140"/>
      <c r="K670" s="123"/>
      <c r="L670" s="124"/>
      <c r="M670" s="125"/>
    </row>
    <row r="671" spans="1:14" hidden="1" x14ac:dyDescent="0.2">
      <c r="A671" s="46" t="str">
        <f t="shared" si="95"/>
        <v>EMBEDDED DISTRIBUTOR SERVICE CLASSIFICATION - BRANTFORD</v>
      </c>
      <c r="B671" s="46" t="s">
        <v>139</v>
      </c>
      <c r="C671" s="115"/>
      <c r="D671" s="158" t="s">
        <v>190</v>
      </c>
      <c r="E671" s="117"/>
      <c r="F671" s="161">
        <f>OffPeak</f>
        <v>7.3999999999999996E-2</v>
      </c>
      <c r="G671" s="160">
        <f>IF(AND(E640*12&gt;=150000),0.64*E640*E642,0.64*E640)</f>
        <v>32982.400000000001</v>
      </c>
      <c r="H671" s="157">
        <f t="shared" si="97"/>
        <v>2440.6976</v>
      </c>
      <c r="I671" s="161">
        <f>OffPeak</f>
        <v>7.3999999999999996E-2</v>
      </c>
      <c r="J671" s="162">
        <f>IF(AND(E640*12&gt;=150000),0.64*E640*E643,0.64*E640)</f>
        <v>32982.400000000001</v>
      </c>
      <c r="K671" s="123">
        <f t="shared" si="98"/>
        <v>2440.6976</v>
      </c>
      <c r="L671" s="124">
        <f>K671-H671</f>
        <v>0</v>
      </c>
      <c r="M671" s="125">
        <f t="shared" si="99"/>
        <v>0</v>
      </c>
    </row>
    <row r="672" spans="1:14" hidden="1" x14ac:dyDescent="0.2">
      <c r="A672" s="46" t="str">
        <f t="shared" si="95"/>
        <v>EMBEDDED DISTRIBUTOR SERVICE CLASSIFICATION - BRANTFORD</v>
      </c>
      <c r="B672" s="46" t="s">
        <v>139</v>
      </c>
      <c r="C672" s="115"/>
      <c r="D672" s="158" t="s">
        <v>191</v>
      </c>
      <c r="E672" s="117"/>
      <c r="F672" s="161">
        <f>MidPeak</f>
        <v>0.10199999999999999</v>
      </c>
      <c r="G672" s="160">
        <f>IF(AND(E640*12&gt;=150000),0.18*E640*E642,0.18*E640)</f>
        <v>9276.2999999999993</v>
      </c>
      <c r="H672" s="157">
        <f t="shared" si="97"/>
        <v>946.18259999999987</v>
      </c>
      <c r="I672" s="161">
        <f>MidPeak</f>
        <v>0.10199999999999999</v>
      </c>
      <c r="J672" s="162">
        <f>IF(AND(E640*12&gt;=150000),0.18*E640*E643,0.18*E640)</f>
        <v>9276.2999999999993</v>
      </c>
      <c r="K672" s="123">
        <f t="shared" si="98"/>
        <v>946.18259999999987</v>
      </c>
      <c r="L672" s="124">
        <f>K672-H672</f>
        <v>0</v>
      </c>
      <c r="M672" s="125">
        <f t="shared" si="99"/>
        <v>0</v>
      </c>
    </row>
    <row r="673" spans="1:13" hidden="1" x14ac:dyDescent="0.2">
      <c r="A673" s="46" t="str">
        <f t="shared" si="95"/>
        <v>EMBEDDED DISTRIBUTOR SERVICE CLASSIFICATION - BRANTFORD</v>
      </c>
      <c r="B673" s="46" t="s">
        <v>139</v>
      </c>
      <c r="C673" s="115"/>
      <c r="D673" s="46" t="s">
        <v>192</v>
      </c>
      <c r="E673" s="117"/>
      <c r="F673" s="161">
        <f>OnPeak</f>
        <v>0.151</v>
      </c>
      <c r="G673" s="160">
        <f>IF(AND(E640*12&gt;=150000),0.18*E640*E642,0.18*E640)</f>
        <v>9276.2999999999993</v>
      </c>
      <c r="H673" s="157">
        <f t="shared" si="97"/>
        <v>1400.7212999999999</v>
      </c>
      <c r="I673" s="161">
        <f>OnPeak</f>
        <v>0.151</v>
      </c>
      <c r="J673" s="162">
        <f>IF(AND(E640*12&gt;=150000),0.18*E640*E643,0.18*E640)</f>
        <v>9276.2999999999993</v>
      </c>
      <c r="K673" s="123">
        <f t="shared" si="98"/>
        <v>1400.7212999999999</v>
      </c>
      <c r="L673" s="124">
        <f>K673-H673</f>
        <v>0</v>
      </c>
      <c r="M673" s="125">
        <f t="shared" si="99"/>
        <v>0</v>
      </c>
    </row>
    <row r="674" spans="1:13" hidden="1" x14ac:dyDescent="0.2">
      <c r="A674" s="46" t="str">
        <f t="shared" si="95"/>
        <v>EMBEDDED DISTRIBUTOR SERVICE CLASSIFICATION - BRANTFORD</v>
      </c>
      <c r="B674" s="46" t="s">
        <v>141</v>
      </c>
      <c r="C674" s="115"/>
      <c r="D674" s="158" t="s">
        <v>193</v>
      </c>
      <c r="E674" s="117"/>
      <c r="F674" s="164">
        <f>C674</f>
        <v>0</v>
      </c>
      <c r="G674" s="160">
        <f>IF(AND(E640*12&gt;=150000),E640*E642,E640)</f>
        <v>51535</v>
      </c>
      <c r="H674" s="157">
        <f>G674*F674</f>
        <v>0</v>
      </c>
      <c r="I674" s="164">
        <f>F674</f>
        <v>0</v>
      </c>
      <c r="J674" s="162">
        <f>IF(AND(E640*12&gt;=150000),E640*E643,E640)</f>
        <v>51535</v>
      </c>
      <c r="K674" s="123">
        <f>J674*I674</f>
        <v>0</v>
      </c>
      <c r="L674" s="124">
        <f>K674-H674</f>
        <v>0</v>
      </c>
      <c r="M674" s="125" t="str">
        <f t="shared" si="99"/>
        <v/>
      </c>
    </row>
    <row r="675" spans="1:13" ht="13.5" thickBot="1" x14ac:dyDescent="0.25">
      <c r="A675" s="46" t="str">
        <f t="shared" si="95"/>
        <v>EMBEDDED DISTRIBUTOR SERVICE CLASSIFICATION - BRANTFORD</v>
      </c>
      <c r="B675" s="46" t="s">
        <v>140</v>
      </c>
      <c r="C675" s="115"/>
      <c r="D675" s="158" t="s">
        <v>194</v>
      </c>
      <c r="E675" s="117"/>
      <c r="F675" s="163">
        <v>9.6699999999999994E-2</v>
      </c>
      <c r="G675" s="160">
        <f>IF(AND(E640*12&gt;=150000),E640*E642,E640)</f>
        <v>51535</v>
      </c>
      <c r="H675" s="157">
        <f>G675*F675</f>
        <v>4983.4344999999994</v>
      </c>
      <c r="I675" s="164">
        <f>F675</f>
        <v>9.6699999999999994E-2</v>
      </c>
      <c r="J675" s="162">
        <f>IF(AND(E640*12&gt;=150000),E640*E643,E640)</f>
        <v>51535</v>
      </c>
      <c r="K675" s="123">
        <f>J675*I675</f>
        <v>4983.4344999999994</v>
      </c>
      <c r="L675" s="124">
        <f>K675-H675</f>
        <v>0</v>
      </c>
      <c r="M675" s="125">
        <f t="shared" si="99"/>
        <v>0</v>
      </c>
    </row>
    <row r="676" spans="1:13" ht="13.5" thickBot="1" x14ac:dyDescent="0.25">
      <c r="A676" s="46" t="str">
        <f t="shared" si="95"/>
        <v>EMBEDDED DISTRIBUTOR SERVICE CLASSIFICATION - BRANTFORD</v>
      </c>
      <c r="C676" s="115"/>
      <c r="D676" s="165"/>
      <c r="E676" s="166"/>
      <c r="F676" s="167"/>
      <c r="G676" s="168"/>
      <c r="H676" s="169"/>
      <c r="I676" s="167"/>
      <c r="J676" s="170"/>
      <c r="K676" s="169"/>
      <c r="L676" s="171"/>
      <c r="M676" s="172"/>
    </row>
    <row r="677" spans="1:13" hidden="1" x14ac:dyDescent="0.2">
      <c r="A677" s="46" t="str">
        <f t="shared" si="95"/>
        <v>EMBEDDED DISTRIBUTOR SERVICE CLASSIFICATION - BRANTFORD</v>
      </c>
      <c r="B677" s="46" t="s">
        <v>139</v>
      </c>
      <c r="C677" s="115"/>
      <c r="D677" s="173" t="s">
        <v>195</v>
      </c>
      <c r="E677" s="158"/>
      <c r="F677" s="177"/>
      <c r="G677" s="175"/>
      <c r="H677" s="176">
        <f>SUM(H667:H673,H666)</f>
        <v>5556.5473000000002</v>
      </c>
      <c r="I677" s="177"/>
      <c r="J677" s="177"/>
      <c r="K677" s="176">
        <f>SUM(K667:K673,K666)</f>
        <v>5385.442</v>
      </c>
      <c r="L677" s="178">
        <f>K677-H677</f>
        <v>-171.10530000000017</v>
      </c>
      <c r="M677" s="179">
        <f>IF((H677)=0,"",(L677/H677))</f>
        <v>-3.079345693682841E-2</v>
      </c>
    </row>
    <row r="678" spans="1:13" hidden="1" x14ac:dyDescent="0.2">
      <c r="A678" s="46" t="str">
        <f t="shared" si="95"/>
        <v>EMBEDDED DISTRIBUTOR SERVICE CLASSIFICATION - BRANTFORD</v>
      </c>
      <c r="B678" s="46" t="s">
        <v>139</v>
      </c>
      <c r="C678" s="115"/>
      <c r="D678" s="180" t="s">
        <v>196</v>
      </c>
      <c r="E678" s="158"/>
      <c r="F678" s="183">
        <v>0.13</v>
      </c>
      <c r="G678" s="181"/>
      <c r="H678" s="182">
        <f>H677*F678</f>
        <v>722.35114900000008</v>
      </c>
      <c r="I678" s="183">
        <v>0.13</v>
      </c>
      <c r="J678" s="119"/>
      <c r="K678" s="182">
        <f>K677*I678</f>
        <v>700.10746000000006</v>
      </c>
      <c r="L678" s="124">
        <f>K678-H678</f>
        <v>-22.243689000000018</v>
      </c>
      <c r="M678" s="184">
        <f>IF((H678)=0,"",(L678/H678))</f>
        <v>-3.07934569368284E-2</v>
      </c>
    </row>
    <row r="679" spans="1:13" ht="15" hidden="1" x14ac:dyDescent="0.25">
      <c r="A679" s="46" t="str">
        <f t="shared" si="95"/>
        <v>EMBEDDED DISTRIBUTOR SERVICE CLASSIFICATION - BRANTFORD</v>
      </c>
      <c r="B679" s="46" t="s">
        <v>139</v>
      </c>
      <c r="C679" s="115"/>
      <c r="D679" s="180" t="s">
        <v>197</v>
      </c>
      <c r="E679"/>
      <c r="F679" s="185">
        <v>0.11700000000000001</v>
      </c>
      <c r="G679" s="181"/>
      <c r="H679" s="182">
        <f>IF(OR(ISNUMBER(SEARCH("[DGEN]", E638))=TRUE, ISNUMBER(SEARCH("STREET LIGHT", E638))=TRUE), 0, IF(AND(E640=0, E641=0),0, IF(AND(E641=0, E640*12&gt;250000), 0, IF(AND(E640=0, E641&gt;=50), 0, IF(E640*12&lt;=250000, F679*H677*-1, IF(E641&lt;50, F679*H677*-1, 0))))))</f>
        <v>-650.11603410000009</v>
      </c>
      <c r="I679" s="185">
        <v>0.11700000000000001</v>
      </c>
      <c r="J679" s="119"/>
      <c r="K679" s="182">
        <f>IF(OR(ISNUMBER(SEARCH("[DGEN]", E638))=TRUE, ISNUMBER(SEARCH("STREET LIGHT", E638))=TRUE), 0, IF(AND(E640=0, E641=0),0, IF(AND(E641=0, E640*12&gt;250000), 0, IF(AND(E640=0, E641&gt;=50), 0, IF(E640*12&lt;=250000, I679*K677*-1, IF(E641&lt;50, I679*K677*-1, 0))))))</f>
        <v>-630.09671400000002</v>
      </c>
      <c r="L679" s="124">
        <f>K679-H679</f>
        <v>20.019320100000073</v>
      </c>
      <c r="M679" s="184"/>
    </row>
    <row r="680" spans="1:13" hidden="1" x14ac:dyDescent="0.2">
      <c r="A680" s="46" t="str">
        <f t="shared" si="95"/>
        <v>EMBEDDED DISTRIBUTOR SERVICE CLASSIFICATION - BRANTFORD</v>
      </c>
      <c r="B680" s="46" t="s">
        <v>198</v>
      </c>
      <c r="C680" s="115"/>
      <c r="D680" s="186" t="s">
        <v>199</v>
      </c>
      <c r="E680" s="186"/>
      <c r="F680" s="190"/>
      <c r="G680" s="188"/>
      <c r="H680" s="189">
        <f>H677+H678+H679</f>
        <v>5628.7824148999998</v>
      </c>
      <c r="I680" s="190"/>
      <c r="J680" s="190"/>
      <c r="K680" s="191">
        <f>K677+K678+K679</f>
        <v>5455.4527459999999</v>
      </c>
      <c r="L680" s="192">
        <f>K680-H680</f>
        <v>-173.32966889999989</v>
      </c>
      <c r="M680" s="193">
        <f>IF((H680)=0,"",(L680/H680))</f>
        <v>-3.0793456936828362E-2</v>
      </c>
    </row>
    <row r="681" spans="1:13" ht="13.5" hidden="1" thickBot="1" x14ac:dyDescent="0.25">
      <c r="A681" s="46" t="str">
        <f t="shared" si="95"/>
        <v>EMBEDDED DISTRIBUTOR SERVICE CLASSIFICATION - BRANTFORD</v>
      </c>
      <c r="B681" s="46" t="s">
        <v>139</v>
      </c>
      <c r="C681" s="115"/>
      <c r="D681" s="165"/>
      <c r="E681" s="166"/>
      <c r="F681" s="167"/>
      <c r="G681" s="168"/>
      <c r="H681" s="169"/>
      <c r="I681" s="167"/>
      <c r="J681" s="170"/>
      <c r="K681" s="169"/>
      <c r="L681" s="171"/>
      <c r="M681" s="172"/>
    </row>
    <row r="682" spans="1:13" hidden="1" x14ac:dyDescent="0.2">
      <c r="A682" s="46" t="str">
        <f t="shared" si="95"/>
        <v>EMBEDDED DISTRIBUTOR SERVICE CLASSIFICATION - BRANTFORD</v>
      </c>
      <c r="B682" s="46" t="s">
        <v>141</v>
      </c>
      <c r="C682" s="115"/>
      <c r="D682" s="173" t="s">
        <v>200</v>
      </c>
      <c r="E682" s="158"/>
      <c r="F682" s="177"/>
      <c r="G682" s="175"/>
      <c r="H682" s="176">
        <f>SUM(H674,H667:H670,H666)</f>
        <v>768.94579999999996</v>
      </c>
      <c r="I682" s="177"/>
      <c r="J682" s="177"/>
      <c r="K682" s="176">
        <f>SUM(K674,K667:K670,K666)</f>
        <v>597.84050000000002</v>
      </c>
      <c r="L682" s="178">
        <f>K682-H682</f>
        <v>-171.10529999999994</v>
      </c>
      <c r="M682" s="179">
        <f>IF((H682)=0,"",(L682/H682))</f>
        <v>-0.22251932450895753</v>
      </c>
    </row>
    <row r="683" spans="1:13" hidden="1" x14ac:dyDescent="0.2">
      <c r="A683" s="46" t="str">
        <f t="shared" si="95"/>
        <v>EMBEDDED DISTRIBUTOR SERVICE CLASSIFICATION - BRANTFORD</v>
      </c>
      <c r="B683" s="46" t="s">
        <v>141</v>
      </c>
      <c r="C683" s="115"/>
      <c r="D683" s="180" t="s">
        <v>196</v>
      </c>
      <c r="E683" s="158"/>
      <c r="F683" s="174">
        <v>0.13</v>
      </c>
      <c r="G683" s="175"/>
      <c r="H683" s="182">
        <f>H682*F683</f>
        <v>99.962953999999996</v>
      </c>
      <c r="I683" s="174">
        <v>0.13</v>
      </c>
      <c r="J683" s="183"/>
      <c r="K683" s="182">
        <f>K682*I683</f>
        <v>77.719265000000007</v>
      </c>
      <c r="L683" s="124">
        <f>K683-H683</f>
        <v>-22.243688999999989</v>
      </c>
      <c r="M683" s="184">
        <f>IF((H683)=0,"",(L683/H683))</f>
        <v>-0.22251932450895748</v>
      </c>
    </row>
    <row r="684" spans="1:13" ht="15" hidden="1" x14ac:dyDescent="0.25">
      <c r="A684" s="46" t="str">
        <f t="shared" si="95"/>
        <v>EMBEDDED DISTRIBUTOR SERVICE CLASSIFICATION - BRANTFORD</v>
      </c>
      <c r="B684" s="46" t="s">
        <v>141</v>
      </c>
      <c r="C684" s="115"/>
      <c r="D684" s="180" t="s">
        <v>197</v>
      </c>
      <c r="E684"/>
      <c r="F684" s="185">
        <v>0.11700000000000001</v>
      </c>
      <c r="G684" s="175"/>
      <c r="H684" s="182">
        <f>IF(OR(ISNUMBER(SEARCH("[DGEN]", E638))=TRUE, ISNUMBER(SEARCH("STREET LIGHT", E638))=TRUE), 0, IF(AND(E640=0, E641=0),0, IF(AND(E641=0, E640*12&gt;250000), 0, IF(AND(E640=0, E641&gt;=50), 0, IF(E640*12&lt;=250000, F684*H682*-1, IF(E641&lt;50, F684*H682*-1, 0))))))</f>
        <v>-89.966658600000002</v>
      </c>
      <c r="I684" s="185">
        <v>0.11700000000000001</v>
      </c>
      <c r="J684" s="183"/>
      <c r="K684" s="182">
        <f>IF(OR(ISNUMBER(SEARCH("[DGEN]", E638))=TRUE, ISNUMBER(SEARCH("STREET LIGHT", E638))=TRUE), 0, IF(AND(E640=0, E641=0),0, IF(AND(E641=0, E640*12&gt;250000), 0, IF(AND(E640=0, E641&gt;=50), 0, IF(E640*12&lt;=250000, I684*K682*-1, IF(E641&lt;50, I684*K682*-1, 0))))))</f>
        <v>-69.947338500000001</v>
      </c>
      <c r="L684" s="124"/>
      <c r="M684" s="184"/>
    </row>
    <row r="685" spans="1:13" hidden="1" x14ac:dyDescent="0.2">
      <c r="A685" s="46" t="str">
        <f t="shared" si="95"/>
        <v>EMBEDDED DISTRIBUTOR SERVICE CLASSIFICATION - BRANTFORD</v>
      </c>
      <c r="B685" s="46" t="s">
        <v>201</v>
      </c>
      <c r="C685" s="115"/>
      <c r="D685" s="186" t="s">
        <v>200</v>
      </c>
      <c r="E685" s="186"/>
      <c r="F685" s="196"/>
      <c r="G685" s="195"/>
      <c r="H685" s="189">
        <f>SUM(H682,H683)</f>
        <v>868.90875399999993</v>
      </c>
      <c r="I685" s="196"/>
      <c r="J685" s="196"/>
      <c r="K685" s="189">
        <f>SUM(K682,K683)</f>
        <v>675.55976499999997</v>
      </c>
      <c r="L685" s="197">
        <f>K685-H685</f>
        <v>-193.34898899999996</v>
      </c>
      <c r="M685" s="198">
        <f>IF((H685)=0,"",(L685/H685))</f>
        <v>-0.22251932450895756</v>
      </c>
    </row>
    <row r="686" spans="1:13" ht="13.5" hidden="1" thickBot="1" x14ac:dyDescent="0.25">
      <c r="A686" s="46" t="str">
        <f t="shared" si="95"/>
        <v>EMBEDDED DISTRIBUTOR SERVICE CLASSIFICATION - BRANTFORD</v>
      </c>
      <c r="B686" s="46" t="s">
        <v>141</v>
      </c>
      <c r="C686" s="115"/>
      <c r="D686" s="165"/>
      <c r="E686" s="166"/>
      <c r="F686" s="199"/>
      <c r="G686" s="200"/>
      <c r="H686" s="201"/>
      <c r="I686" s="199"/>
      <c r="J686" s="168"/>
      <c r="K686" s="201"/>
      <c r="L686" s="202"/>
      <c r="M686" s="172"/>
    </row>
    <row r="687" spans="1:13" x14ac:dyDescent="0.2">
      <c r="A687" s="46" t="str">
        <f t="shared" si="95"/>
        <v>EMBEDDED DISTRIBUTOR SERVICE CLASSIFICATION - BRANTFORD</v>
      </c>
      <c r="B687" s="46" t="s">
        <v>140</v>
      </c>
      <c r="C687" s="115"/>
      <c r="D687" s="173" t="s">
        <v>202</v>
      </c>
      <c r="E687" s="158"/>
      <c r="F687" s="177"/>
      <c r="G687" s="175"/>
      <c r="H687" s="176">
        <f>SUM(H675,H667:H670,H666)</f>
        <v>5752.3802999999989</v>
      </c>
      <c r="I687" s="177"/>
      <c r="J687" s="177"/>
      <c r="K687" s="176">
        <f>SUM(K675,K667:K670,K666)</f>
        <v>5581.2749999999996</v>
      </c>
      <c r="L687" s="178">
        <f>K687-H687</f>
        <v>-171.10529999999926</v>
      </c>
      <c r="M687" s="179">
        <f>IF((H687)=0,"",(L687/H687))</f>
        <v>-2.9745130029041941E-2</v>
      </c>
    </row>
    <row r="688" spans="1:13" x14ac:dyDescent="0.2">
      <c r="A688" s="46" t="str">
        <f t="shared" si="95"/>
        <v>EMBEDDED DISTRIBUTOR SERVICE CLASSIFICATION - BRANTFORD</v>
      </c>
      <c r="B688" s="46" t="s">
        <v>140</v>
      </c>
      <c r="C688" s="115"/>
      <c r="D688" s="180" t="s">
        <v>196</v>
      </c>
      <c r="E688" s="158"/>
      <c r="F688" s="174">
        <v>0.13</v>
      </c>
      <c r="G688" s="175"/>
      <c r="H688" s="182">
        <f>H687*F688</f>
        <v>747.80943899999988</v>
      </c>
      <c r="I688" s="174">
        <v>0.13</v>
      </c>
      <c r="J688" s="183"/>
      <c r="K688" s="182">
        <f>K687*I688</f>
        <v>725.56574999999998</v>
      </c>
      <c r="L688" s="124">
        <f>K688-H688</f>
        <v>-22.243688999999904</v>
      </c>
      <c r="M688" s="184">
        <f>IF((H688)=0,"",(L688/H688))</f>
        <v>-2.9745130029041941E-2</v>
      </c>
    </row>
    <row r="689" spans="1:14" ht="15" x14ac:dyDescent="0.25">
      <c r="A689" s="46" t="str">
        <f t="shared" si="95"/>
        <v>EMBEDDED DISTRIBUTOR SERVICE CLASSIFICATION - BRANTFORD</v>
      </c>
      <c r="B689" s="46" t="s">
        <v>140</v>
      </c>
      <c r="C689" s="115"/>
      <c r="D689" s="180" t="s">
        <v>197</v>
      </c>
      <c r="E689"/>
      <c r="F689" s="185">
        <v>0.11700000000000001</v>
      </c>
      <c r="G689" s="175"/>
      <c r="H689" s="182">
        <f>IF(OR(ISNUMBER(SEARCH("[DGEN]", E638))=TRUE, ISNUMBER(SEARCH("STREET LIGHT", E638))=TRUE), 0, IF(AND(E640=0, E641=0),0, IF(AND(E641=0, E640*12&gt;250000), 0, IF(AND(E640=0, E641&gt;=50), 0, IF(E640*12&lt;=250000, F689*H687*-1, IF(E641&lt;50, F689*H687*-1, 0))))))</f>
        <v>-673.02849509999987</v>
      </c>
      <c r="I689" s="185">
        <v>0.11700000000000001</v>
      </c>
      <c r="J689" s="183"/>
      <c r="K689" s="182">
        <f>IF(OR(ISNUMBER(SEARCH("[DGEN]", E638))=TRUE, ISNUMBER(SEARCH("STREET LIGHT", E638))=TRUE), 0, IF(AND(E640=0, E641=0),0, IF(AND(E641=0, E640*12&gt;250000), 0, IF(AND(E640=0, E641&gt;=50), 0, IF(E640*12&lt;=250000, I689*K687*-1, IF(E641&lt;50, I689*K687*-1, 0))))))</f>
        <v>-653.00917500000003</v>
      </c>
      <c r="L689" s="124"/>
      <c r="M689" s="184"/>
    </row>
    <row r="690" spans="1:14" ht="13.5" thickBot="1" x14ac:dyDescent="0.25">
      <c r="A690" s="46" t="str">
        <f t="shared" si="95"/>
        <v>EMBEDDED DISTRIBUTOR SERVICE CLASSIFICATION - BRANTFORD</v>
      </c>
      <c r="B690" s="46" t="s">
        <v>203</v>
      </c>
      <c r="C690" s="115">
        <f>B40</f>
        <v>11</v>
      </c>
      <c r="D690" s="186" t="s">
        <v>202</v>
      </c>
      <c r="E690" s="186"/>
      <c r="F690" s="196"/>
      <c r="G690" s="195"/>
      <c r="H690" s="189">
        <f>SUM(H687,H688)</f>
        <v>6500.1897389999986</v>
      </c>
      <c r="I690" s="196"/>
      <c r="J690" s="196"/>
      <c r="K690" s="189">
        <f>SUM(K687,K688)</f>
        <v>6306.8407499999994</v>
      </c>
      <c r="L690" s="197">
        <f>K690-H690</f>
        <v>-193.34898899999916</v>
      </c>
      <c r="M690" s="198">
        <f>IF((H690)=0,"",(L690/H690))</f>
        <v>-2.9745130029041944E-2</v>
      </c>
    </row>
    <row r="691" spans="1:14" ht="13.5" thickBot="1" x14ac:dyDescent="0.25">
      <c r="A691" s="46" t="str">
        <f t="shared" si="95"/>
        <v>EMBEDDED DISTRIBUTOR SERVICE CLASSIFICATION - BRANTFORD</v>
      </c>
      <c r="B691" s="46" t="s">
        <v>140</v>
      </c>
      <c r="C691" s="115"/>
      <c r="D691" s="165"/>
      <c r="E691" s="166"/>
      <c r="F691" s="203"/>
      <c r="G691" s="200"/>
      <c r="H691" s="204"/>
      <c r="I691" s="203"/>
      <c r="J691" s="168"/>
      <c r="K691" s="204"/>
      <c r="L691" s="202"/>
      <c r="M691" s="205"/>
    </row>
    <row r="694" spans="1:14" x14ac:dyDescent="0.2">
      <c r="C694" s="46"/>
      <c r="D694" s="90" t="s">
        <v>150</v>
      </c>
      <c r="E694" s="91" t="str">
        <f>D41</f>
        <v>EMBEDDED DISTRIBUTOR SERVICE CLASSIFICATION - HYDRO ONE #1</v>
      </c>
      <c r="F694" s="91"/>
      <c r="G694" s="91"/>
      <c r="H694" s="91"/>
      <c r="I694" s="91"/>
      <c r="J694" s="91"/>
      <c r="K694" s="46" t="str">
        <f>IF(N41="DEMAND - INTERVAL","RTSR - INTERVAL METERED","")</f>
        <v/>
      </c>
    </row>
    <row r="695" spans="1:14" x14ac:dyDescent="0.2">
      <c r="C695" s="46"/>
      <c r="D695" s="90" t="s">
        <v>151</v>
      </c>
      <c r="E695" s="92" t="str">
        <f>H41</f>
        <v>Non-RPP (Other)</v>
      </c>
      <c r="F695" s="92"/>
      <c r="G695" s="92"/>
      <c r="H695" s="93"/>
      <c r="I695" s="93"/>
    </row>
    <row r="696" spans="1:14" ht="15.75" x14ac:dyDescent="0.2">
      <c r="C696" s="46"/>
      <c r="D696" s="90" t="s">
        <v>152</v>
      </c>
      <c r="E696" s="94">
        <f>K41</f>
        <v>1300000</v>
      </c>
      <c r="F696" s="95" t="s">
        <v>153</v>
      </c>
      <c r="J696" s="96"/>
      <c r="K696" s="96"/>
      <c r="L696" s="96"/>
      <c r="M696" s="96"/>
      <c r="N696" s="96"/>
    </row>
    <row r="697" spans="1:14" ht="15.75" x14ac:dyDescent="0.25">
      <c r="C697" s="46"/>
      <c r="D697" s="90" t="s">
        <v>154</v>
      </c>
      <c r="E697" s="94">
        <f>L41</f>
        <v>2340</v>
      </c>
      <c r="F697" s="97" t="s">
        <v>155</v>
      </c>
      <c r="G697" s="98"/>
      <c r="H697" s="99"/>
      <c r="I697" s="99"/>
      <c r="J697" s="99"/>
    </row>
    <row r="698" spans="1:14" x14ac:dyDescent="0.2">
      <c r="C698" s="46"/>
      <c r="D698" s="90" t="s">
        <v>156</v>
      </c>
      <c r="E698" s="100">
        <f>I41</f>
        <v>1.0306999999999999</v>
      </c>
    </row>
    <row r="699" spans="1:14" x14ac:dyDescent="0.2">
      <c r="C699" s="46"/>
      <c r="D699" s="90" t="s">
        <v>157</v>
      </c>
      <c r="E699" s="100">
        <f>J41</f>
        <v>1.0306999999999999</v>
      </c>
    </row>
    <row r="700" spans="1:14" x14ac:dyDescent="0.2">
      <c r="C700" s="46"/>
    </row>
    <row r="701" spans="1:14" x14ac:dyDescent="0.2">
      <c r="C701" s="46"/>
      <c r="E701" s="95"/>
      <c r="F701" s="101" t="s">
        <v>226</v>
      </c>
      <c r="G701" s="102"/>
      <c r="H701" s="103"/>
      <c r="I701" s="101" t="s">
        <v>205</v>
      </c>
      <c r="J701" s="102"/>
      <c r="K701" s="103"/>
      <c r="L701" s="101" t="s">
        <v>158</v>
      </c>
      <c r="M701" s="103"/>
    </row>
    <row r="702" spans="1:14" x14ac:dyDescent="0.2">
      <c r="C702" s="46"/>
      <c r="E702" s="104"/>
      <c r="F702" s="105" t="s">
        <v>159</v>
      </c>
      <c r="G702" s="105" t="s">
        <v>160</v>
      </c>
      <c r="H702" s="106" t="s">
        <v>161</v>
      </c>
      <c r="I702" s="105" t="s">
        <v>159</v>
      </c>
      <c r="J702" s="107" t="s">
        <v>160</v>
      </c>
      <c r="K702" s="106" t="s">
        <v>161</v>
      </c>
      <c r="L702" s="108" t="s">
        <v>162</v>
      </c>
      <c r="M702" s="109" t="s">
        <v>163</v>
      </c>
    </row>
    <row r="703" spans="1:14" x14ac:dyDescent="0.2">
      <c r="C703" s="46"/>
      <c r="E703" s="110"/>
      <c r="F703" s="111" t="s">
        <v>164</v>
      </c>
      <c r="G703" s="111"/>
      <c r="H703" s="112" t="s">
        <v>164</v>
      </c>
      <c r="I703" s="111" t="s">
        <v>164</v>
      </c>
      <c r="J703" s="112"/>
      <c r="K703" s="112" t="s">
        <v>164</v>
      </c>
      <c r="L703" s="113"/>
      <c r="M703" s="114"/>
    </row>
    <row r="704" spans="1:14" x14ac:dyDescent="0.2">
      <c r="A704" s="46" t="str">
        <f>$E694</f>
        <v>EMBEDDED DISTRIBUTOR SERVICE CLASSIFICATION - HYDRO ONE #1</v>
      </c>
      <c r="C704" s="115"/>
      <c r="D704" s="116" t="s">
        <v>165</v>
      </c>
      <c r="E704" s="117"/>
      <c r="F704" s="121">
        <v>77.489999999999995</v>
      </c>
      <c r="G704" s="119">
        <v>1</v>
      </c>
      <c r="H704" s="120">
        <f>G704*F704</f>
        <v>77.489999999999995</v>
      </c>
      <c r="I704" s="121">
        <v>77.489999999999995</v>
      </c>
      <c r="J704" s="122">
        <f>G704</f>
        <v>1</v>
      </c>
      <c r="K704" s="123">
        <f>J704*I704</f>
        <v>77.489999999999995</v>
      </c>
      <c r="L704" s="124">
        <f t="shared" ref="L704:L725" si="100">K704-H704</f>
        <v>0</v>
      </c>
      <c r="M704" s="125">
        <f>IF(ISERROR(L704/H704), "", L704/H704)</f>
        <v>0</v>
      </c>
    </row>
    <row r="705" spans="1:14" x14ac:dyDescent="0.2">
      <c r="A705" s="46" t="str">
        <f>A704</f>
        <v>EMBEDDED DISTRIBUTOR SERVICE CLASSIFICATION - HYDRO ONE #1</v>
      </c>
      <c r="C705" s="115"/>
      <c r="D705" s="116" t="s">
        <v>30</v>
      </c>
      <c r="E705" s="117"/>
      <c r="F705" s="127">
        <v>1.3109999999999999</v>
      </c>
      <c r="G705" s="119">
        <f>IF($E697&gt;0, $E697, $E696)</f>
        <v>2340</v>
      </c>
      <c r="H705" s="120">
        <f t="shared" ref="H705:H717" si="101">G705*F705</f>
        <v>3067.74</v>
      </c>
      <c r="I705" s="127">
        <v>1.3109999999999999</v>
      </c>
      <c r="J705" s="122">
        <f>IF($E697&gt;0, $E697, $E696)</f>
        <v>2340</v>
      </c>
      <c r="K705" s="123">
        <f>J705*I705</f>
        <v>3067.74</v>
      </c>
      <c r="L705" s="124">
        <f t="shared" si="100"/>
        <v>0</v>
      </c>
      <c r="M705" s="125">
        <f t="shared" ref="M705:M715" si="102">IF(ISERROR(L705/H705), "", L705/H705)</f>
        <v>0</v>
      </c>
    </row>
    <row r="706" spans="1:14" hidden="1" x14ac:dyDescent="0.2">
      <c r="A706" s="46" t="str">
        <f t="shared" ref="A706:A747" si="103">A705</f>
        <v>EMBEDDED DISTRIBUTOR SERVICE CLASSIFICATION - HYDRO ONE #1</v>
      </c>
      <c r="C706" s="115"/>
      <c r="D706" s="116" t="s">
        <v>166</v>
      </c>
      <c r="E706" s="117"/>
      <c r="F706" s="127"/>
      <c r="G706" s="119">
        <f>IF($E697&gt;0, $E697, $E696)</f>
        <v>2340</v>
      </c>
      <c r="H706" s="120">
        <v>0</v>
      </c>
      <c r="I706" s="127"/>
      <c r="J706" s="122">
        <f>IF($E697&gt;0, $E697, $E696)</f>
        <v>2340</v>
      </c>
      <c r="K706" s="123">
        <v>0</v>
      </c>
      <c r="L706" s="124"/>
      <c r="M706" s="125"/>
    </row>
    <row r="707" spans="1:14" hidden="1" x14ac:dyDescent="0.2">
      <c r="A707" s="46" t="str">
        <f t="shared" si="103"/>
        <v>EMBEDDED DISTRIBUTOR SERVICE CLASSIFICATION - HYDRO ONE #1</v>
      </c>
      <c r="C707" s="115"/>
      <c r="D707" s="116" t="s">
        <v>167</v>
      </c>
      <c r="E707" s="117"/>
      <c r="F707" s="127"/>
      <c r="G707" s="119">
        <f>IF($E697&gt;0, $E697, $E696)</f>
        <v>2340</v>
      </c>
      <c r="H707" s="120">
        <v>0</v>
      </c>
      <c r="I707" s="127"/>
      <c r="J707" s="128">
        <f>IF($E697&gt;0, $E697, $E696)</f>
        <v>2340</v>
      </c>
      <c r="K707" s="123">
        <v>0</v>
      </c>
      <c r="L707" s="124">
        <f>K707-H707</f>
        <v>0</v>
      </c>
      <c r="M707" s="125" t="str">
        <f>IF(ISERROR(L707/H707), "", L707/H707)</f>
        <v/>
      </c>
    </row>
    <row r="708" spans="1:14" x14ac:dyDescent="0.2">
      <c r="A708" s="46" t="str">
        <f t="shared" si="103"/>
        <v>EMBEDDED DISTRIBUTOR SERVICE CLASSIFICATION - HYDRO ONE #1</v>
      </c>
      <c r="C708" s="115"/>
      <c r="D708" s="116" t="s">
        <v>168</v>
      </c>
      <c r="E708" s="117"/>
      <c r="F708" s="121">
        <v>113.95</v>
      </c>
      <c r="G708" s="119">
        <v>1</v>
      </c>
      <c r="H708" s="120">
        <f t="shared" si="101"/>
        <v>113.95</v>
      </c>
      <c r="I708" s="121">
        <v>113.95</v>
      </c>
      <c r="J708" s="122">
        <f>G708</f>
        <v>1</v>
      </c>
      <c r="K708" s="123">
        <f t="shared" ref="K708:K715" si="104">J708*I708</f>
        <v>113.95</v>
      </c>
      <c r="L708" s="124">
        <f t="shared" si="100"/>
        <v>0</v>
      </c>
      <c r="M708" s="125">
        <f t="shared" si="102"/>
        <v>0</v>
      </c>
    </row>
    <row r="709" spans="1:14" x14ac:dyDescent="0.2">
      <c r="A709" s="46" t="str">
        <f t="shared" si="103"/>
        <v>EMBEDDED DISTRIBUTOR SERVICE CLASSIFICATION - HYDRO ONE #1</v>
      </c>
      <c r="C709" s="115"/>
      <c r="D709" s="116" t="s">
        <v>169</v>
      </c>
      <c r="E709" s="117"/>
      <c r="F709" s="127">
        <v>0</v>
      </c>
      <c r="G709" s="119">
        <f>IF($E697&gt;0, $E697, $E696)</f>
        <v>2340</v>
      </c>
      <c r="H709" s="120">
        <f t="shared" si="101"/>
        <v>0</v>
      </c>
      <c r="I709" s="127">
        <v>0</v>
      </c>
      <c r="J709" s="122">
        <f>IF($E697&gt;0, $E697, $E696)</f>
        <v>2340</v>
      </c>
      <c r="K709" s="123">
        <f t="shared" si="104"/>
        <v>0</v>
      </c>
      <c r="L709" s="124">
        <f t="shared" si="100"/>
        <v>0</v>
      </c>
      <c r="M709" s="125" t="str">
        <f t="shared" si="102"/>
        <v/>
      </c>
    </row>
    <row r="710" spans="1:14" x14ac:dyDescent="0.2">
      <c r="A710" s="46" t="str">
        <f t="shared" si="103"/>
        <v>EMBEDDED DISTRIBUTOR SERVICE CLASSIFICATION - HYDRO ONE #1</v>
      </c>
      <c r="B710" s="46" t="s">
        <v>170</v>
      </c>
      <c r="C710" s="115">
        <f>B41</f>
        <v>12</v>
      </c>
      <c r="D710" s="129" t="s">
        <v>171</v>
      </c>
      <c r="E710" s="130"/>
      <c r="F710" s="134"/>
      <c r="G710" s="132"/>
      <c r="H710" s="133">
        <f>SUM(H704:H709)</f>
        <v>3259.1799999999994</v>
      </c>
      <c r="I710" s="134"/>
      <c r="J710" s="135"/>
      <c r="K710" s="133">
        <f>SUM(K704:K709)</f>
        <v>3259.1799999999994</v>
      </c>
      <c r="L710" s="136">
        <f t="shared" si="100"/>
        <v>0</v>
      </c>
      <c r="M710" s="137">
        <f>IF((H710)=0,"",(L710/H710))</f>
        <v>0</v>
      </c>
    </row>
    <row r="711" spans="1:14" x14ac:dyDescent="0.2">
      <c r="A711" s="46" t="str">
        <f t="shared" si="103"/>
        <v>EMBEDDED DISTRIBUTOR SERVICE CLASSIFICATION - HYDRO ONE #1</v>
      </c>
      <c r="C711" s="115"/>
      <c r="D711" s="138" t="s">
        <v>172</v>
      </c>
      <c r="E711" s="117"/>
      <c r="F711" s="127">
        <f>IF((E696*12&gt;=150000), 0, IF(E695="RPP",(F727*0.64+F728*0.18+F729*0.18),IF(E695="Non-RPP (Retailer)",F730,F731)))</f>
        <v>0</v>
      </c>
      <c r="G711" s="139">
        <f>IF(F711=0, 0, $E696*E698-E696)</f>
        <v>0</v>
      </c>
      <c r="H711" s="120">
        <f>G711*F711</f>
        <v>0</v>
      </c>
      <c r="I711" s="127">
        <f>IF((E696*12&gt;=150000), 0, IF(E695="RPP",(I727*0.64+I728*0.18+I729*0.18),IF(E695="Non-RPP (Retailer)",I730,I731)))</f>
        <v>0</v>
      </c>
      <c r="J711" s="140">
        <f>IF(I711=0, 0, E696*E699-E696)</f>
        <v>0</v>
      </c>
      <c r="K711" s="123">
        <f>J711*I711</f>
        <v>0</v>
      </c>
      <c r="L711" s="124">
        <f>K711-H711</f>
        <v>0</v>
      </c>
      <c r="M711" s="125" t="str">
        <f>IF(ISERROR(L711/H711), "", L711/H711)</f>
        <v/>
      </c>
    </row>
    <row r="712" spans="1:14" ht="25.5" x14ac:dyDescent="0.2">
      <c r="A712" s="46" t="str">
        <f t="shared" si="103"/>
        <v>EMBEDDED DISTRIBUTOR SERVICE CLASSIFICATION - HYDRO ONE #1</v>
      </c>
      <c r="C712" s="115"/>
      <c r="D712" s="138" t="s">
        <v>173</v>
      </c>
      <c r="E712" s="117"/>
      <c r="F712" s="127">
        <v>0.70420000000000005</v>
      </c>
      <c r="G712" s="141">
        <f>IF($E697&gt;0, $E697, $E696)</f>
        <v>2340</v>
      </c>
      <c r="H712" s="120">
        <f t="shared" si="101"/>
        <v>1647.8280000000002</v>
      </c>
      <c r="I712" s="127">
        <f>'Proposed Tariff'!D401+'Proposed Tariff'!D403</f>
        <v>1.1326000000000001</v>
      </c>
      <c r="J712" s="142">
        <f>IF($E697&gt;0, $E697, $E696)</f>
        <v>2340</v>
      </c>
      <c r="K712" s="123">
        <f t="shared" si="104"/>
        <v>2650.2840000000001</v>
      </c>
      <c r="L712" s="124">
        <f t="shared" si="100"/>
        <v>1002.4559999999999</v>
      </c>
      <c r="M712" s="125">
        <f t="shared" si="102"/>
        <v>0.60834990059642136</v>
      </c>
    </row>
    <row r="713" spans="1:14" x14ac:dyDescent="0.2">
      <c r="A713" s="46" t="str">
        <f t="shared" si="103"/>
        <v>EMBEDDED DISTRIBUTOR SERVICE CLASSIFICATION - HYDRO ONE #1</v>
      </c>
      <c r="C713" s="115"/>
      <c r="D713" s="138" t="s">
        <v>174</v>
      </c>
      <c r="E713" s="117"/>
      <c r="F713" s="127">
        <v>0</v>
      </c>
      <c r="G713" s="141">
        <f>IF($E697&gt;0, $E697, $E696)</f>
        <v>2340</v>
      </c>
      <c r="H713" s="120">
        <f>G713*F713</f>
        <v>0</v>
      </c>
      <c r="I713" s="127">
        <f>'Proposed Tariff'!D402</f>
        <v>-5.3100000000000001E-2</v>
      </c>
      <c r="J713" s="142">
        <f>IF($E697&gt;0, $E697, $E696)</f>
        <v>2340</v>
      </c>
      <c r="K713" s="123">
        <f>J713*I713</f>
        <v>-124.254</v>
      </c>
      <c r="L713" s="124">
        <f t="shared" si="100"/>
        <v>-124.254</v>
      </c>
      <c r="M713" s="125" t="str">
        <f t="shared" si="102"/>
        <v/>
      </c>
    </row>
    <row r="714" spans="1:14" x14ac:dyDescent="0.2">
      <c r="A714" s="46" t="str">
        <f t="shared" si="103"/>
        <v>EMBEDDED DISTRIBUTOR SERVICE CLASSIFICATION - HYDRO ONE #1</v>
      </c>
      <c r="C714" s="115"/>
      <c r="D714" s="138" t="s">
        <v>175</v>
      </c>
      <c r="E714" s="117"/>
      <c r="F714" s="127">
        <v>0</v>
      </c>
      <c r="G714" s="141">
        <f>E696</f>
        <v>1300000</v>
      </c>
      <c r="H714" s="120">
        <f>G714*F714</f>
        <v>0</v>
      </c>
      <c r="I714" s="127">
        <f>'Proposed Tariff'!D400</f>
        <v>-4.4999999999999997E-3</v>
      </c>
      <c r="J714" s="142">
        <f>E696</f>
        <v>1300000</v>
      </c>
      <c r="K714" s="123">
        <f t="shared" si="104"/>
        <v>-5850</v>
      </c>
      <c r="L714" s="124">
        <f t="shared" si="100"/>
        <v>-5850</v>
      </c>
      <c r="M714" s="125" t="str">
        <f t="shared" si="102"/>
        <v/>
      </c>
    </row>
    <row r="715" spans="1:14" x14ac:dyDescent="0.2">
      <c r="A715" s="46" t="str">
        <f t="shared" si="103"/>
        <v>EMBEDDED DISTRIBUTOR SERVICE CLASSIFICATION - HYDRO ONE #1</v>
      </c>
      <c r="C715" s="115"/>
      <c r="D715" s="116" t="s">
        <v>176</v>
      </c>
      <c r="E715" s="117"/>
      <c r="F715" s="127"/>
      <c r="G715" s="141">
        <f>IF($E697&gt;0, $E697, $E696)</f>
        <v>2340</v>
      </c>
      <c r="H715" s="120">
        <f t="shared" si="101"/>
        <v>0</v>
      </c>
      <c r="I715" s="127"/>
      <c r="J715" s="142">
        <f>IF($E697&gt;0, $E697, $E696)</f>
        <v>2340</v>
      </c>
      <c r="K715" s="123">
        <f t="shared" si="104"/>
        <v>0</v>
      </c>
      <c r="L715" s="124">
        <f t="shared" si="100"/>
        <v>0</v>
      </c>
      <c r="M715" s="125" t="str">
        <f t="shared" si="102"/>
        <v/>
      </c>
    </row>
    <row r="716" spans="1:14" ht="25.5" x14ac:dyDescent="0.2">
      <c r="A716" s="46" t="str">
        <f t="shared" si="103"/>
        <v>EMBEDDED DISTRIBUTOR SERVICE CLASSIFICATION - HYDRO ONE #1</v>
      </c>
      <c r="C716" s="115"/>
      <c r="D716" s="138" t="s">
        <v>177</v>
      </c>
      <c r="E716" s="117"/>
      <c r="F716" s="144">
        <f>IF(OR(ISNUMBER(SEARCH("RESIDENTIAL", B694))=TRUE, ISNUMBER(SEARCH("GENERAL SERVICE LESS THAN 50", B694))=TRUE), SME, 0)</f>
        <v>0</v>
      </c>
      <c r="G716" s="119">
        <v>1</v>
      </c>
      <c r="H716" s="120">
        <f>G716*F716</f>
        <v>0</v>
      </c>
      <c r="I716" s="144">
        <f>IF(OR(ISNUMBER(SEARCH("RESIDENTIAL", E694))=TRUE, ISNUMBER(SEARCH("GENERAL SERVICE LESS THAN 50", E694))=TRUE), SME, 0)</f>
        <v>0</v>
      </c>
      <c r="J716" s="128">
        <v>1</v>
      </c>
      <c r="K716" s="123">
        <f>J716*I716</f>
        <v>0</v>
      </c>
      <c r="L716" s="124">
        <f t="shared" si="100"/>
        <v>0</v>
      </c>
      <c r="M716" s="125" t="str">
        <f>IF(ISERROR(L716/H716), "", L716/H716)</f>
        <v/>
      </c>
    </row>
    <row r="717" spans="1:14" x14ac:dyDescent="0.2">
      <c r="A717" s="46" t="str">
        <f t="shared" si="103"/>
        <v>EMBEDDED DISTRIBUTOR SERVICE CLASSIFICATION - HYDRO ONE #1</v>
      </c>
      <c r="C717" s="115"/>
      <c r="D717" s="116" t="s">
        <v>178</v>
      </c>
      <c r="E717" s="117"/>
      <c r="F717" s="121">
        <v>0</v>
      </c>
      <c r="G717" s="119">
        <v>1</v>
      </c>
      <c r="H717" s="120">
        <f t="shared" si="101"/>
        <v>0</v>
      </c>
      <c r="I717" s="121">
        <v>0</v>
      </c>
      <c r="J717" s="128">
        <v>1</v>
      </c>
      <c r="K717" s="123">
        <f>J717*I717</f>
        <v>0</v>
      </c>
      <c r="L717" s="124">
        <f>K717-H717</f>
        <v>0</v>
      </c>
      <c r="M717" s="125" t="str">
        <f>IF(ISERROR(L717/H717), "", L717/H717)</f>
        <v/>
      </c>
    </row>
    <row r="718" spans="1:14" x14ac:dyDescent="0.2">
      <c r="A718" s="46" t="str">
        <f t="shared" si="103"/>
        <v>EMBEDDED DISTRIBUTOR SERVICE CLASSIFICATION - HYDRO ONE #1</v>
      </c>
      <c r="C718" s="115"/>
      <c r="D718" s="116" t="s">
        <v>179</v>
      </c>
      <c r="E718" s="117"/>
      <c r="F718" s="127">
        <v>0</v>
      </c>
      <c r="G718" s="141">
        <f>IF($E697&gt;0, $E697, $E696)</f>
        <v>2340</v>
      </c>
      <c r="H718" s="120">
        <f>G718*F718</f>
        <v>0</v>
      </c>
      <c r="I718" s="127">
        <v>0</v>
      </c>
      <c r="J718" s="142">
        <f>IF($E697&gt;0, $E697, $E696)</f>
        <v>2340</v>
      </c>
      <c r="K718" s="123">
        <f>J718*I718</f>
        <v>0</v>
      </c>
      <c r="L718" s="124">
        <f t="shared" si="100"/>
        <v>0</v>
      </c>
      <c r="M718" s="125" t="str">
        <f>IF(ISERROR(L718/H718), "", L718/H718)</f>
        <v/>
      </c>
    </row>
    <row r="719" spans="1:14" ht="25.5" x14ac:dyDescent="0.2">
      <c r="A719" s="46" t="str">
        <f t="shared" si="103"/>
        <v>EMBEDDED DISTRIBUTOR SERVICE CLASSIFICATION - HYDRO ONE #1</v>
      </c>
      <c r="B719" s="46" t="s">
        <v>180</v>
      </c>
      <c r="C719" s="115">
        <f>B41</f>
        <v>12</v>
      </c>
      <c r="D719" s="145" t="s">
        <v>181</v>
      </c>
      <c r="E719" s="146"/>
      <c r="F719" s="150"/>
      <c r="G719" s="148"/>
      <c r="H719" s="149">
        <f>SUM(H710:H718)</f>
        <v>4907.0079999999998</v>
      </c>
      <c r="I719" s="150"/>
      <c r="J719" s="151"/>
      <c r="K719" s="149">
        <f>SUM(K710:K718)</f>
        <v>-64.789999999999964</v>
      </c>
      <c r="L719" s="136">
        <f t="shared" si="100"/>
        <v>-4971.7979999999998</v>
      </c>
      <c r="M719" s="137">
        <f>IF((H719)=0,"",(L719/H719))</f>
        <v>-1.0132035651867697</v>
      </c>
    </row>
    <row r="720" spans="1:14" x14ac:dyDescent="0.2">
      <c r="A720" s="46" t="str">
        <f t="shared" si="103"/>
        <v>EMBEDDED DISTRIBUTOR SERVICE CLASSIFICATION - HYDRO ONE #1</v>
      </c>
      <c r="C720" s="115"/>
      <c r="D720" s="152" t="s">
        <v>182</v>
      </c>
      <c r="E720" s="117"/>
      <c r="F720" s="153">
        <v>3.9849999999999999</v>
      </c>
      <c r="G720" s="139">
        <f>IF($E697&gt;0, $E697, $E696*$E698)</f>
        <v>2340</v>
      </c>
      <c r="H720" s="120">
        <f>G720*F720</f>
        <v>9324.9</v>
      </c>
      <c r="I720" s="153">
        <v>3.9849999999999999</v>
      </c>
      <c r="J720" s="140">
        <f>IF($E697&gt;0, $E697, $E696*$E699)</f>
        <v>2340</v>
      </c>
      <c r="K720" s="123">
        <f>J720*I720</f>
        <v>9324.9</v>
      </c>
      <c r="L720" s="124">
        <f t="shared" si="100"/>
        <v>0</v>
      </c>
      <c r="M720" s="125">
        <f>IF(ISERROR(L720/H720), "", L720/H720)</f>
        <v>0</v>
      </c>
      <c r="N720" s="154" t="str">
        <f>IF(ISERROR(ABS(M720)), "", IF(ABS(M720)&gt;=4%, "In the manager's summary, discuss the reasoning for the change in RTSR rates", ""))</f>
        <v/>
      </c>
    </row>
    <row r="721" spans="1:14" ht="25.5" x14ac:dyDescent="0.2">
      <c r="A721" s="46" t="str">
        <f t="shared" si="103"/>
        <v>EMBEDDED DISTRIBUTOR SERVICE CLASSIFICATION - HYDRO ONE #1</v>
      </c>
      <c r="C721" s="115"/>
      <c r="D721" s="155" t="s">
        <v>183</v>
      </c>
      <c r="E721" s="117"/>
      <c r="F721" s="153">
        <v>1.8190999999999999</v>
      </c>
      <c r="G721" s="139">
        <f>IF($E697&gt;0, $E697, $E696*$E698)</f>
        <v>2340</v>
      </c>
      <c r="H721" s="120">
        <f>G721*F721</f>
        <v>4256.6939999999995</v>
      </c>
      <c r="I721" s="153">
        <v>1.8190999999999999</v>
      </c>
      <c r="J721" s="140">
        <f>IF($E697&gt;0, $E697, $E696*$E699)</f>
        <v>2340</v>
      </c>
      <c r="K721" s="123">
        <f>J721*I721</f>
        <v>4256.6939999999995</v>
      </c>
      <c r="L721" s="124">
        <f t="shared" si="100"/>
        <v>0</v>
      </c>
      <c r="M721" s="125">
        <f>IF(ISERROR(L721/H721), "", L721/H721)</f>
        <v>0</v>
      </c>
      <c r="N721" s="154" t="str">
        <f>IF(ISERROR(ABS(M721)), "", IF(ABS(M721)&gt;=4%, "In the manager's summary, discuss the reasoning for the change in RTSR rates", ""))</f>
        <v/>
      </c>
    </row>
    <row r="722" spans="1:14" ht="25.5" x14ac:dyDescent="0.2">
      <c r="A722" s="46" t="str">
        <f t="shared" si="103"/>
        <v>EMBEDDED DISTRIBUTOR SERVICE CLASSIFICATION - HYDRO ONE #1</v>
      </c>
      <c r="B722" s="46" t="s">
        <v>184</v>
      </c>
      <c r="C722" s="115">
        <f>B41</f>
        <v>12</v>
      </c>
      <c r="D722" s="145" t="s">
        <v>185</v>
      </c>
      <c r="E722" s="130"/>
      <c r="F722" s="150"/>
      <c r="G722" s="148"/>
      <c r="H722" s="149">
        <f>SUM(H719:H721)</f>
        <v>18488.601999999999</v>
      </c>
      <c r="I722" s="150"/>
      <c r="J722" s="135"/>
      <c r="K722" s="149">
        <f>SUM(K719:K721)</f>
        <v>13516.804</v>
      </c>
      <c r="L722" s="136">
        <f t="shared" si="100"/>
        <v>-4971.7979999999989</v>
      </c>
      <c r="M722" s="137">
        <f>IF((H722)=0,"",(L722/H722))</f>
        <v>-0.26891151640345762</v>
      </c>
    </row>
    <row r="723" spans="1:14" ht="25.5" x14ac:dyDescent="0.2">
      <c r="A723" s="46" t="str">
        <f t="shared" si="103"/>
        <v>EMBEDDED DISTRIBUTOR SERVICE CLASSIFICATION - HYDRO ONE #1</v>
      </c>
      <c r="C723" s="115"/>
      <c r="D723" s="156" t="s">
        <v>186</v>
      </c>
      <c r="E723" s="117"/>
      <c r="F723" s="127">
        <f>'[1]17. Regulatory Charges'!$E$15+'[1]17. Regulatory Charges'!$E$16</f>
        <v>3.4000000000000002E-3</v>
      </c>
      <c r="G723" s="139">
        <f>E696*E698</f>
        <v>1339910</v>
      </c>
      <c r="H723" s="157">
        <f t="shared" ref="H723:H729" si="105">G723*F723</f>
        <v>4555.6940000000004</v>
      </c>
      <c r="I723" s="127">
        <f>'[1]17. Regulatory Charges'!$E$15+'[1]17. Regulatory Charges'!$E$16</f>
        <v>3.4000000000000002E-3</v>
      </c>
      <c r="J723" s="140">
        <f>E696*E699</f>
        <v>1339910</v>
      </c>
      <c r="K723" s="123">
        <f t="shared" ref="K723:K729" si="106">J723*I723</f>
        <v>4555.6940000000004</v>
      </c>
      <c r="L723" s="124">
        <f t="shared" si="100"/>
        <v>0</v>
      </c>
      <c r="M723" s="125">
        <f t="shared" ref="M723:M731" si="107">IF(ISERROR(L723/H723), "", L723/H723)</f>
        <v>0</v>
      </c>
    </row>
    <row r="724" spans="1:14" ht="25.5" x14ac:dyDescent="0.2">
      <c r="A724" s="46" t="str">
        <f t="shared" si="103"/>
        <v>EMBEDDED DISTRIBUTOR SERVICE CLASSIFICATION - HYDRO ONE #1</v>
      </c>
      <c r="C724" s="115"/>
      <c r="D724" s="156" t="s">
        <v>187</v>
      </c>
      <c r="E724" s="117"/>
      <c r="F724" s="127">
        <f>'[1]17. Regulatory Charges'!$E$17</f>
        <v>5.0000000000000001E-4</v>
      </c>
      <c r="G724" s="139">
        <f>E696*E698</f>
        <v>1339910</v>
      </c>
      <c r="H724" s="157">
        <f t="shared" si="105"/>
        <v>669.95500000000004</v>
      </c>
      <c r="I724" s="127">
        <f>'[1]17. Regulatory Charges'!$E$17</f>
        <v>5.0000000000000001E-4</v>
      </c>
      <c r="J724" s="140">
        <f>E696*E699</f>
        <v>1339910</v>
      </c>
      <c r="K724" s="123">
        <f t="shared" si="106"/>
        <v>669.95500000000004</v>
      </c>
      <c r="L724" s="124">
        <f t="shared" si="100"/>
        <v>0</v>
      </c>
      <c r="M724" s="125">
        <f t="shared" si="107"/>
        <v>0</v>
      </c>
    </row>
    <row r="725" spans="1:14" x14ac:dyDescent="0.2">
      <c r="A725" s="46" t="str">
        <f t="shared" si="103"/>
        <v>EMBEDDED DISTRIBUTOR SERVICE CLASSIFICATION - HYDRO ONE #1</v>
      </c>
      <c r="C725" s="115"/>
      <c r="D725" s="158" t="s">
        <v>188</v>
      </c>
      <c r="E725" s="117"/>
      <c r="F725" s="144">
        <f>'[1]17. Regulatory Charges'!$E$18</f>
        <v>0.25</v>
      </c>
      <c r="G725" s="119">
        <v>1</v>
      </c>
      <c r="H725" s="157">
        <f t="shared" si="105"/>
        <v>0.25</v>
      </c>
      <c r="I725" s="144">
        <f>'[1]17. Regulatory Charges'!$E$18</f>
        <v>0.25</v>
      </c>
      <c r="J725" s="122">
        <v>1</v>
      </c>
      <c r="K725" s="123">
        <f t="shared" si="106"/>
        <v>0.25</v>
      </c>
      <c r="L725" s="124">
        <f t="shared" si="100"/>
        <v>0</v>
      </c>
      <c r="M725" s="125">
        <f t="shared" si="107"/>
        <v>0</v>
      </c>
    </row>
    <row r="726" spans="1:14" ht="25.5" hidden="1" x14ac:dyDescent="0.2">
      <c r="A726" s="46" t="str">
        <f t="shared" si="103"/>
        <v>EMBEDDED DISTRIBUTOR SERVICE CLASSIFICATION - HYDRO ONE #1</v>
      </c>
      <c r="C726" s="115"/>
      <c r="D726" s="156" t="s">
        <v>189</v>
      </c>
      <c r="E726" s="117"/>
      <c r="F726" s="127"/>
      <c r="G726" s="139"/>
      <c r="H726" s="157"/>
      <c r="I726" s="127"/>
      <c r="J726" s="140"/>
      <c r="K726" s="123"/>
      <c r="L726" s="124"/>
      <c r="M726" s="125"/>
    </row>
    <row r="727" spans="1:14" hidden="1" x14ac:dyDescent="0.2">
      <c r="A727" s="46" t="str">
        <f t="shared" si="103"/>
        <v>EMBEDDED DISTRIBUTOR SERVICE CLASSIFICATION - HYDRO ONE #1</v>
      </c>
      <c r="B727" s="46" t="s">
        <v>139</v>
      </c>
      <c r="C727" s="115"/>
      <c r="D727" s="158" t="s">
        <v>190</v>
      </c>
      <c r="E727" s="117"/>
      <c r="F727" s="161">
        <f>OffPeak</f>
        <v>7.3999999999999996E-2</v>
      </c>
      <c r="G727" s="160">
        <f>IF(AND(E696*12&gt;=150000),0.64*E696*E698,0.64*E696)</f>
        <v>857542.39999999991</v>
      </c>
      <c r="H727" s="157">
        <f t="shared" si="105"/>
        <v>63458.137599999987</v>
      </c>
      <c r="I727" s="161">
        <f>OffPeak</f>
        <v>7.3999999999999996E-2</v>
      </c>
      <c r="J727" s="162">
        <f>IF(AND(E696*12&gt;=150000),0.64*E696*E699,0.64*E696)</f>
        <v>857542.39999999991</v>
      </c>
      <c r="K727" s="123">
        <f t="shared" si="106"/>
        <v>63458.137599999987</v>
      </c>
      <c r="L727" s="124">
        <f>K727-H727</f>
        <v>0</v>
      </c>
      <c r="M727" s="125">
        <f t="shared" si="107"/>
        <v>0</v>
      </c>
    </row>
    <row r="728" spans="1:14" hidden="1" x14ac:dyDescent="0.2">
      <c r="A728" s="46" t="str">
        <f t="shared" si="103"/>
        <v>EMBEDDED DISTRIBUTOR SERVICE CLASSIFICATION - HYDRO ONE #1</v>
      </c>
      <c r="B728" s="46" t="s">
        <v>139</v>
      </c>
      <c r="C728" s="115"/>
      <c r="D728" s="158" t="s">
        <v>191</v>
      </c>
      <c r="E728" s="117"/>
      <c r="F728" s="161">
        <f>MidPeak</f>
        <v>0.10199999999999999</v>
      </c>
      <c r="G728" s="160">
        <f>IF(AND(E696*12&gt;=150000),0.18*E696*E698,0.18*E696)</f>
        <v>241183.8</v>
      </c>
      <c r="H728" s="157">
        <f t="shared" si="105"/>
        <v>24600.747599999999</v>
      </c>
      <c r="I728" s="161">
        <f>MidPeak</f>
        <v>0.10199999999999999</v>
      </c>
      <c r="J728" s="162">
        <f>IF(AND(E696*12&gt;=150000),0.18*E696*E699,0.18*E696)</f>
        <v>241183.8</v>
      </c>
      <c r="K728" s="123">
        <f t="shared" si="106"/>
        <v>24600.747599999999</v>
      </c>
      <c r="L728" s="124">
        <f>K728-H728</f>
        <v>0</v>
      </c>
      <c r="M728" s="125">
        <f t="shared" si="107"/>
        <v>0</v>
      </c>
    </row>
    <row r="729" spans="1:14" hidden="1" x14ac:dyDescent="0.2">
      <c r="A729" s="46" t="str">
        <f t="shared" si="103"/>
        <v>EMBEDDED DISTRIBUTOR SERVICE CLASSIFICATION - HYDRO ONE #1</v>
      </c>
      <c r="B729" s="46" t="s">
        <v>139</v>
      </c>
      <c r="C729" s="115"/>
      <c r="D729" s="46" t="s">
        <v>192</v>
      </c>
      <c r="E729" s="117"/>
      <c r="F729" s="161">
        <f>OnPeak</f>
        <v>0.151</v>
      </c>
      <c r="G729" s="160">
        <f>IF(AND(E696*12&gt;=150000),0.18*E696*E698,0.18*E696)</f>
        <v>241183.8</v>
      </c>
      <c r="H729" s="157">
        <f t="shared" si="105"/>
        <v>36418.753799999999</v>
      </c>
      <c r="I729" s="161">
        <f>OnPeak</f>
        <v>0.151</v>
      </c>
      <c r="J729" s="162">
        <f>IF(AND(E696*12&gt;=150000),0.18*E696*E699,0.18*E696)</f>
        <v>241183.8</v>
      </c>
      <c r="K729" s="123">
        <f t="shared" si="106"/>
        <v>36418.753799999999</v>
      </c>
      <c r="L729" s="124">
        <f>K729-H729</f>
        <v>0</v>
      </c>
      <c r="M729" s="125">
        <f t="shared" si="107"/>
        <v>0</v>
      </c>
    </row>
    <row r="730" spans="1:14" hidden="1" x14ac:dyDescent="0.2">
      <c r="A730" s="46" t="str">
        <f t="shared" si="103"/>
        <v>EMBEDDED DISTRIBUTOR SERVICE CLASSIFICATION - HYDRO ONE #1</v>
      </c>
      <c r="B730" s="46" t="s">
        <v>141</v>
      </c>
      <c r="C730" s="115"/>
      <c r="D730" s="158" t="s">
        <v>193</v>
      </c>
      <c r="E730" s="117"/>
      <c r="F730" s="164">
        <f>C730</f>
        <v>0</v>
      </c>
      <c r="G730" s="160">
        <f>IF(AND(E696*12&gt;=150000),E696*E698,E696)</f>
        <v>1339910</v>
      </c>
      <c r="H730" s="157">
        <f>G730*F730</f>
        <v>0</v>
      </c>
      <c r="I730" s="164">
        <f>F730</f>
        <v>0</v>
      </c>
      <c r="J730" s="162">
        <f>IF(AND(E696*12&gt;=150000),E696*E699,E696)</f>
        <v>1339910</v>
      </c>
      <c r="K730" s="123">
        <f>J730*I730</f>
        <v>0</v>
      </c>
      <c r="L730" s="124">
        <f>K730-H730</f>
        <v>0</v>
      </c>
      <c r="M730" s="125" t="str">
        <f t="shared" si="107"/>
        <v/>
      </c>
    </row>
    <row r="731" spans="1:14" ht="13.5" thickBot="1" x14ac:dyDescent="0.25">
      <c r="A731" s="46" t="str">
        <f t="shared" si="103"/>
        <v>EMBEDDED DISTRIBUTOR SERVICE CLASSIFICATION - HYDRO ONE #1</v>
      </c>
      <c r="B731" s="46" t="s">
        <v>140</v>
      </c>
      <c r="C731" s="115"/>
      <c r="D731" s="158" t="s">
        <v>194</v>
      </c>
      <c r="E731" s="117"/>
      <c r="F731" s="163">
        <v>9.6699999999999994E-2</v>
      </c>
      <c r="G731" s="160">
        <f>IF(AND(E696*12&gt;=150000),E696*E698,E696)</f>
        <v>1339910</v>
      </c>
      <c r="H731" s="157">
        <f>G731*F731</f>
        <v>129569.29699999999</v>
      </c>
      <c r="I731" s="164">
        <f>F731</f>
        <v>9.6699999999999994E-2</v>
      </c>
      <c r="J731" s="162">
        <f>IF(AND(E696*12&gt;=150000),E696*E699,E696)</f>
        <v>1339910</v>
      </c>
      <c r="K731" s="123">
        <f>J731*I731</f>
        <v>129569.29699999999</v>
      </c>
      <c r="L731" s="124">
        <f>K731-H731</f>
        <v>0</v>
      </c>
      <c r="M731" s="125">
        <f t="shared" si="107"/>
        <v>0</v>
      </c>
    </row>
    <row r="732" spans="1:14" ht="13.5" thickBot="1" x14ac:dyDescent="0.25">
      <c r="A732" s="46" t="str">
        <f t="shared" si="103"/>
        <v>EMBEDDED DISTRIBUTOR SERVICE CLASSIFICATION - HYDRO ONE #1</v>
      </c>
      <c r="C732" s="115"/>
      <c r="D732" s="165"/>
      <c r="E732" s="166"/>
      <c r="F732" s="167"/>
      <c r="G732" s="168"/>
      <c r="H732" s="169"/>
      <c r="I732" s="167"/>
      <c r="J732" s="170"/>
      <c r="K732" s="169"/>
      <c r="L732" s="171"/>
      <c r="M732" s="172"/>
    </row>
    <row r="733" spans="1:14" hidden="1" x14ac:dyDescent="0.2">
      <c r="A733" s="46" t="str">
        <f t="shared" si="103"/>
        <v>EMBEDDED DISTRIBUTOR SERVICE CLASSIFICATION - HYDRO ONE #1</v>
      </c>
      <c r="B733" s="46" t="s">
        <v>139</v>
      </c>
      <c r="C733" s="115"/>
      <c r="D733" s="173" t="s">
        <v>195</v>
      </c>
      <c r="E733" s="158"/>
      <c r="F733" s="177"/>
      <c r="G733" s="175"/>
      <c r="H733" s="176">
        <f>SUM(H723:H729,H722)</f>
        <v>148192.14000000001</v>
      </c>
      <c r="I733" s="177"/>
      <c r="J733" s="177"/>
      <c r="K733" s="176">
        <f>SUM(K723:K729,K722)</f>
        <v>143220.342</v>
      </c>
      <c r="L733" s="178">
        <f>K733-H733</f>
        <v>-4971.7980000000098</v>
      </c>
      <c r="M733" s="179">
        <f>IF((H733)=0,"",(L733/H733))</f>
        <v>-3.3549674092026804E-2</v>
      </c>
    </row>
    <row r="734" spans="1:14" hidden="1" x14ac:dyDescent="0.2">
      <c r="A734" s="46" t="str">
        <f t="shared" si="103"/>
        <v>EMBEDDED DISTRIBUTOR SERVICE CLASSIFICATION - HYDRO ONE #1</v>
      </c>
      <c r="B734" s="46" t="s">
        <v>139</v>
      </c>
      <c r="C734" s="115"/>
      <c r="D734" s="180" t="s">
        <v>196</v>
      </c>
      <c r="E734" s="158"/>
      <c r="F734" s="183">
        <v>0.13</v>
      </c>
      <c r="G734" s="181"/>
      <c r="H734" s="182">
        <f>H733*F734</f>
        <v>19264.978200000001</v>
      </c>
      <c r="I734" s="183">
        <v>0.13</v>
      </c>
      <c r="J734" s="119"/>
      <c r="K734" s="182">
        <f>K733*I734</f>
        <v>18618.64446</v>
      </c>
      <c r="L734" s="124">
        <f>K734-H734</f>
        <v>-646.33374000000185</v>
      </c>
      <c r="M734" s="184">
        <f>IF((H734)=0,"",(L734/H734))</f>
        <v>-3.3549674092026839E-2</v>
      </c>
    </row>
    <row r="735" spans="1:14" ht="15" hidden="1" x14ac:dyDescent="0.25">
      <c r="A735" s="46" t="str">
        <f t="shared" si="103"/>
        <v>EMBEDDED DISTRIBUTOR SERVICE CLASSIFICATION - HYDRO ONE #1</v>
      </c>
      <c r="B735" s="46" t="s">
        <v>139</v>
      </c>
      <c r="C735" s="115"/>
      <c r="D735" s="180" t="s">
        <v>197</v>
      </c>
      <c r="E735"/>
      <c r="F735" s="185">
        <v>0.11700000000000001</v>
      </c>
      <c r="G735" s="181"/>
      <c r="H735" s="182">
        <f>IF(OR(ISNUMBER(SEARCH("[DGEN]", E694))=TRUE, ISNUMBER(SEARCH("STREET LIGHT", E694))=TRUE), 0, IF(AND(E696=0, E697=0),0, IF(AND(E697=0, E696*12&gt;250000), 0, IF(AND(E696=0, E697&gt;=50), 0, IF(E696*12&lt;=250000, F735*H733*-1, IF(E697&lt;50, F735*H733*-1, 0))))))</f>
        <v>0</v>
      </c>
      <c r="I735" s="185">
        <v>0.11700000000000001</v>
      </c>
      <c r="J735" s="119"/>
      <c r="K735" s="182">
        <f>IF(OR(ISNUMBER(SEARCH("[DGEN]", E694))=TRUE, ISNUMBER(SEARCH("STREET LIGHT", E694))=TRUE), 0, IF(AND(E696=0, E697=0),0, IF(AND(E697=0, E696*12&gt;250000), 0, IF(AND(E696=0, E697&gt;=50), 0, IF(E696*12&lt;=250000, I735*K733*-1, IF(E697&lt;50, I735*K733*-1, 0))))))</f>
        <v>0</v>
      </c>
      <c r="L735" s="124">
        <f>K735-H735</f>
        <v>0</v>
      </c>
      <c r="M735" s="184"/>
    </row>
    <row r="736" spans="1:14" hidden="1" x14ac:dyDescent="0.2">
      <c r="A736" s="46" t="str">
        <f t="shared" si="103"/>
        <v>EMBEDDED DISTRIBUTOR SERVICE CLASSIFICATION - HYDRO ONE #1</v>
      </c>
      <c r="B736" s="46" t="s">
        <v>198</v>
      </c>
      <c r="C736" s="115"/>
      <c r="D736" s="186" t="s">
        <v>199</v>
      </c>
      <c r="E736" s="186"/>
      <c r="F736" s="190"/>
      <c r="G736" s="188"/>
      <c r="H736" s="189">
        <f>H733+H734+H735</f>
        <v>167457.11820000003</v>
      </c>
      <c r="I736" s="190"/>
      <c r="J736" s="190"/>
      <c r="K736" s="191">
        <f>K733+K734+K735</f>
        <v>161838.98646000001</v>
      </c>
      <c r="L736" s="192">
        <f>K736-H736</f>
        <v>-5618.1317400000116</v>
      </c>
      <c r="M736" s="193">
        <f>IF((H736)=0,"",(L736/H736))</f>
        <v>-3.3549674092026804E-2</v>
      </c>
    </row>
    <row r="737" spans="1:14" ht="13.5" hidden="1" thickBot="1" x14ac:dyDescent="0.25">
      <c r="A737" s="46" t="str">
        <f t="shared" si="103"/>
        <v>EMBEDDED DISTRIBUTOR SERVICE CLASSIFICATION - HYDRO ONE #1</v>
      </c>
      <c r="B737" s="46" t="s">
        <v>139</v>
      </c>
      <c r="C737" s="115"/>
      <c r="D737" s="165"/>
      <c r="E737" s="166"/>
      <c r="F737" s="167"/>
      <c r="G737" s="168"/>
      <c r="H737" s="169"/>
      <c r="I737" s="167"/>
      <c r="J737" s="170"/>
      <c r="K737" s="169"/>
      <c r="L737" s="171"/>
      <c r="M737" s="172"/>
    </row>
    <row r="738" spans="1:14" hidden="1" x14ac:dyDescent="0.2">
      <c r="A738" s="46" t="str">
        <f t="shared" si="103"/>
        <v>EMBEDDED DISTRIBUTOR SERVICE CLASSIFICATION - HYDRO ONE #1</v>
      </c>
      <c r="B738" s="46" t="s">
        <v>141</v>
      </c>
      <c r="C738" s="115"/>
      <c r="D738" s="173" t="s">
        <v>200</v>
      </c>
      <c r="E738" s="158"/>
      <c r="F738" s="177"/>
      <c r="G738" s="175"/>
      <c r="H738" s="176">
        <f>SUM(H730,H723:H726,H722)</f>
        <v>23714.501</v>
      </c>
      <c r="I738" s="177"/>
      <c r="J738" s="177"/>
      <c r="K738" s="176">
        <f>SUM(K730,K723:K726,K722)</f>
        <v>18742.703000000001</v>
      </c>
      <c r="L738" s="178">
        <f>K738-H738</f>
        <v>-4971.7979999999989</v>
      </c>
      <c r="M738" s="179">
        <f>IF((H738)=0,"",(L738/H738))</f>
        <v>-0.2096522292415092</v>
      </c>
    </row>
    <row r="739" spans="1:14" hidden="1" x14ac:dyDescent="0.2">
      <c r="A739" s="46" t="str">
        <f t="shared" si="103"/>
        <v>EMBEDDED DISTRIBUTOR SERVICE CLASSIFICATION - HYDRO ONE #1</v>
      </c>
      <c r="B739" s="46" t="s">
        <v>141</v>
      </c>
      <c r="C739" s="115"/>
      <c r="D739" s="180" t="s">
        <v>196</v>
      </c>
      <c r="E739" s="158"/>
      <c r="F739" s="174">
        <v>0.13</v>
      </c>
      <c r="G739" s="175"/>
      <c r="H739" s="182">
        <f>H738*F739</f>
        <v>3082.8851300000001</v>
      </c>
      <c r="I739" s="174">
        <v>0.13</v>
      </c>
      <c r="J739" s="183"/>
      <c r="K739" s="182">
        <f>K738*I739</f>
        <v>2436.5513900000001</v>
      </c>
      <c r="L739" s="124">
        <f>K739-H739</f>
        <v>-646.33374000000003</v>
      </c>
      <c r="M739" s="184">
        <f>IF((H739)=0,"",(L739/H739))</f>
        <v>-0.20965222924150922</v>
      </c>
    </row>
    <row r="740" spans="1:14" ht="15" hidden="1" x14ac:dyDescent="0.25">
      <c r="A740" s="46" t="str">
        <f t="shared" si="103"/>
        <v>EMBEDDED DISTRIBUTOR SERVICE CLASSIFICATION - HYDRO ONE #1</v>
      </c>
      <c r="B740" s="46" t="s">
        <v>141</v>
      </c>
      <c r="C740" s="115"/>
      <c r="D740" s="180" t="s">
        <v>197</v>
      </c>
      <c r="E740"/>
      <c r="F740" s="185">
        <v>0.11700000000000001</v>
      </c>
      <c r="G740" s="175"/>
      <c r="H740" s="182">
        <f>IF(OR(ISNUMBER(SEARCH("[DGEN]", E694))=TRUE, ISNUMBER(SEARCH("STREET LIGHT", E694))=TRUE), 0, IF(AND(E696=0, E697=0),0, IF(AND(E697=0, E696*12&gt;250000), 0, IF(AND(E696=0, E697&gt;=50), 0, IF(E696*12&lt;=250000, F740*H738*-1, IF(E697&lt;50, F740*H738*-1, 0))))))</f>
        <v>0</v>
      </c>
      <c r="I740" s="185">
        <v>0.11700000000000001</v>
      </c>
      <c r="J740" s="183"/>
      <c r="K740" s="182">
        <f>IF(OR(ISNUMBER(SEARCH("[DGEN]", E694))=TRUE, ISNUMBER(SEARCH("STREET LIGHT", E694))=TRUE), 0, IF(AND(E696=0, E697=0),0, IF(AND(E697=0, E696*12&gt;250000), 0, IF(AND(E696=0, E697&gt;=50), 0, IF(E696*12&lt;=250000, I740*K738*-1, IF(E697&lt;50, I740*K738*-1, 0))))))</f>
        <v>0</v>
      </c>
      <c r="L740" s="124"/>
      <c r="M740" s="184"/>
    </row>
    <row r="741" spans="1:14" hidden="1" x14ac:dyDescent="0.2">
      <c r="A741" s="46" t="str">
        <f t="shared" si="103"/>
        <v>EMBEDDED DISTRIBUTOR SERVICE CLASSIFICATION - HYDRO ONE #1</v>
      </c>
      <c r="B741" s="46" t="s">
        <v>201</v>
      </c>
      <c r="C741" s="115"/>
      <c r="D741" s="186" t="s">
        <v>200</v>
      </c>
      <c r="E741" s="186"/>
      <c r="F741" s="196"/>
      <c r="G741" s="195"/>
      <c r="H741" s="189">
        <f>SUM(H738,H739)</f>
        <v>26797.386129999999</v>
      </c>
      <c r="I741" s="196"/>
      <c r="J741" s="196"/>
      <c r="K741" s="189">
        <f>SUM(K738,K739)</f>
        <v>21179.254390000002</v>
      </c>
      <c r="L741" s="197">
        <f>K741-H741</f>
        <v>-5618.1317399999971</v>
      </c>
      <c r="M741" s="198">
        <f>IF((H741)=0,"",(L741/H741))</f>
        <v>-0.20965222924150914</v>
      </c>
    </row>
    <row r="742" spans="1:14" ht="13.5" hidden="1" thickBot="1" x14ac:dyDescent="0.25">
      <c r="A742" s="46" t="str">
        <f t="shared" si="103"/>
        <v>EMBEDDED DISTRIBUTOR SERVICE CLASSIFICATION - HYDRO ONE #1</v>
      </c>
      <c r="B742" s="46" t="s">
        <v>141</v>
      </c>
      <c r="C742" s="115"/>
      <c r="D742" s="165"/>
      <c r="E742" s="166"/>
      <c r="F742" s="199"/>
      <c r="G742" s="200"/>
      <c r="H742" s="201"/>
      <c r="I742" s="199"/>
      <c r="J742" s="168"/>
      <c r="K742" s="201"/>
      <c r="L742" s="202"/>
      <c r="M742" s="172"/>
    </row>
    <row r="743" spans="1:14" x14ac:dyDescent="0.2">
      <c r="A743" s="46" t="str">
        <f t="shared" si="103"/>
        <v>EMBEDDED DISTRIBUTOR SERVICE CLASSIFICATION - HYDRO ONE #1</v>
      </c>
      <c r="B743" s="46" t="s">
        <v>140</v>
      </c>
      <c r="C743" s="115"/>
      <c r="D743" s="173" t="s">
        <v>202</v>
      </c>
      <c r="E743" s="158"/>
      <c r="F743" s="177"/>
      <c r="G743" s="175"/>
      <c r="H743" s="176">
        <f>SUM(H731,H723:H726,H722)</f>
        <v>153283.79799999995</v>
      </c>
      <c r="I743" s="177"/>
      <c r="J743" s="177"/>
      <c r="K743" s="176">
        <f>SUM(K731,K723:K726,K722)</f>
        <v>148311.99999999997</v>
      </c>
      <c r="L743" s="178">
        <f>K743-H743</f>
        <v>-4971.7979999999807</v>
      </c>
      <c r="M743" s="179">
        <f>IF((H743)=0,"",(L743/H743))</f>
        <v>-3.2435247983612608E-2</v>
      </c>
    </row>
    <row r="744" spans="1:14" x14ac:dyDescent="0.2">
      <c r="A744" s="46" t="str">
        <f t="shared" si="103"/>
        <v>EMBEDDED DISTRIBUTOR SERVICE CLASSIFICATION - HYDRO ONE #1</v>
      </c>
      <c r="B744" s="46" t="s">
        <v>140</v>
      </c>
      <c r="C744" s="115"/>
      <c r="D744" s="180" t="s">
        <v>196</v>
      </c>
      <c r="E744" s="158"/>
      <c r="F744" s="174">
        <v>0.13</v>
      </c>
      <c r="G744" s="175"/>
      <c r="H744" s="182">
        <f>H743*F744</f>
        <v>19926.893739999996</v>
      </c>
      <c r="I744" s="174">
        <v>0.13</v>
      </c>
      <c r="J744" s="183"/>
      <c r="K744" s="182">
        <f>K743*I744</f>
        <v>19280.559999999998</v>
      </c>
      <c r="L744" s="124">
        <f>K744-H744</f>
        <v>-646.33373999999822</v>
      </c>
      <c r="M744" s="184">
        <f>IF((H744)=0,"",(L744/H744))</f>
        <v>-3.2435247983612643E-2</v>
      </c>
    </row>
    <row r="745" spans="1:14" ht="15" x14ac:dyDescent="0.25">
      <c r="A745" s="46" t="str">
        <f t="shared" si="103"/>
        <v>EMBEDDED DISTRIBUTOR SERVICE CLASSIFICATION - HYDRO ONE #1</v>
      </c>
      <c r="B745" s="46" t="s">
        <v>140</v>
      </c>
      <c r="C745" s="115"/>
      <c r="D745" s="180" t="s">
        <v>197</v>
      </c>
      <c r="E745"/>
      <c r="F745" s="185">
        <v>0.11700000000000001</v>
      </c>
      <c r="G745" s="175"/>
      <c r="H745" s="182">
        <f>IF(OR(ISNUMBER(SEARCH("[DGEN]", E694))=TRUE, ISNUMBER(SEARCH("STREET LIGHT", E694))=TRUE), 0, IF(AND(E696=0, E697=0),0, IF(AND(E697=0, E696*12&gt;250000), 0, IF(AND(E696=0, E697&gt;=50), 0, IF(E696*12&lt;=250000, F745*H743*-1, IF(E697&lt;50, F745*H743*-1, 0))))))</f>
        <v>0</v>
      </c>
      <c r="I745" s="185">
        <v>0.11700000000000001</v>
      </c>
      <c r="J745" s="183"/>
      <c r="K745" s="182">
        <f>IF(OR(ISNUMBER(SEARCH("[DGEN]", E694))=TRUE, ISNUMBER(SEARCH("STREET LIGHT", E694))=TRUE), 0, IF(AND(E696=0, E697=0),0, IF(AND(E697=0, E696*12&gt;250000), 0, IF(AND(E696=0, E697&gt;=50), 0, IF(E696*12&lt;=250000, I745*K743*-1, IF(E697&lt;50, I745*K743*-1, 0))))))</f>
        <v>0</v>
      </c>
      <c r="L745" s="124"/>
      <c r="M745" s="184"/>
    </row>
    <row r="746" spans="1:14" ht="13.5" thickBot="1" x14ac:dyDescent="0.25">
      <c r="A746" s="46" t="str">
        <f t="shared" si="103"/>
        <v>EMBEDDED DISTRIBUTOR SERVICE CLASSIFICATION - HYDRO ONE #1</v>
      </c>
      <c r="B746" s="46" t="s">
        <v>203</v>
      </c>
      <c r="C746" s="115">
        <f>B41</f>
        <v>12</v>
      </c>
      <c r="D746" s="186" t="s">
        <v>202</v>
      </c>
      <c r="E746" s="186"/>
      <c r="F746" s="194"/>
      <c r="G746" s="195"/>
      <c r="H746" s="189">
        <f>SUM(H743,H744)</f>
        <v>173210.69173999995</v>
      </c>
      <c r="I746" s="196"/>
      <c r="J746" s="196"/>
      <c r="K746" s="189">
        <f>SUM(K743,K744)</f>
        <v>167592.55999999997</v>
      </c>
      <c r="L746" s="197">
        <f>K746-H746</f>
        <v>-5618.1317399999825</v>
      </c>
      <c r="M746" s="198">
        <f>IF((H746)=0,"",(L746/H746))</f>
        <v>-3.2435247983612629E-2</v>
      </c>
    </row>
    <row r="747" spans="1:14" ht="13.5" thickBot="1" x14ac:dyDescent="0.25">
      <c r="A747" s="46" t="str">
        <f t="shared" si="103"/>
        <v>EMBEDDED DISTRIBUTOR SERVICE CLASSIFICATION - HYDRO ONE #1</v>
      </c>
      <c r="B747" s="46" t="s">
        <v>140</v>
      </c>
      <c r="C747" s="115"/>
      <c r="D747" s="165"/>
      <c r="E747" s="166"/>
      <c r="F747" s="203"/>
      <c r="G747" s="200"/>
      <c r="H747" s="204"/>
      <c r="I747" s="203"/>
      <c r="J747" s="168"/>
      <c r="K747" s="204"/>
      <c r="L747" s="202"/>
      <c r="M747" s="205"/>
    </row>
    <row r="750" spans="1:14" x14ac:dyDescent="0.2">
      <c r="C750" s="46"/>
      <c r="D750" s="90" t="s">
        <v>150</v>
      </c>
      <c r="E750" s="91" t="str">
        <f>D42</f>
        <v>EMBEDDED DISTRIBUTOR SERVICE CLASSIFICATION - HYDRO ONE #2</v>
      </c>
      <c r="F750" s="91"/>
      <c r="G750" s="91"/>
      <c r="H750" s="91"/>
      <c r="I750" s="91"/>
      <c r="J750" s="91"/>
      <c r="K750" s="46" t="str">
        <f>IF(N42="DEMAND - INTERVAL","RTSR - INTERVAL METERED","")</f>
        <v/>
      </c>
    </row>
    <row r="751" spans="1:14" x14ac:dyDescent="0.2">
      <c r="C751" s="46"/>
      <c r="D751" s="90" t="s">
        <v>151</v>
      </c>
      <c r="E751" s="92" t="str">
        <f>H42</f>
        <v>Non-RPP (Other)</v>
      </c>
      <c r="F751" s="92"/>
      <c r="G751" s="92"/>
      <c r="H751" s="93"/>
      <c r="I751" s="93"/>
    </row>
    <row r="752" spans="1:14" ht="15.75" x14ac:dyDescent="0.2">
      <c r="C752" s="46"/>
      <c r="D752" s="90" t="s">
        <v>152</v>
      </c>
      <c r="E752" s="94">
        <f>K42</f>
        <v>1990000</v>
      </c>
      <c r="F752" s="95" t="s">
        <v>153</v>
      </c>
      <c r="J752" s="96"/>
      <c r="K752" s="96"/>
      <c r="L752" s="96"/>
      <c r="M752" s="96"/>
      <c r="N752" s="96"/>
    </row>
    <row r="753" spans="1:13" ht="15.75" x14ac:dyDescent="0.25">
      <c r="C753" s="46"/>
      <c r="D753" s="90" t="s">
        <v>154</v>
      </c>
      <c r="E753" s="94">
        <f>L42</f>
        <v>4050</v>
      </c>
      <c r="F753" s="97" t="s">
        <v>155</v>
      </c>
      <c r="G753" s="98"/>
      <c r="H753" s="99"/>
      <c r="I753" s="99"/>
      <c r="J753" s="99"/>
    </row>
    <row r="754" spans="1:13" x14ac:dyDescent="0.2">
      <c r="C754" s="46"/>
      <c r="D754" s="90" t="s">
        <v>156</v>
      </c>
      <c r="E754" s="100">
        <f>I42</f>
        <v>1.0306999999999999</v>
      </c>
    </row>
    <row r="755" spans="1:13" x14ac:dyDescent="0.2">
      <c r="C755" s="46"/>
      <c r="D755" s="90" t="s">
        <v>157</v>
      </c>
      <c r="E755" s="100">
        <f>J42</f>
        <v>1.0306999999999999</v>
      </c>
    </row>
    <row r="756" spans="1:13" x14ac:dyDescent="0.2">
      <c r="C756" s="46"/>
    </row>
    <row r="757" spans="1:13" x14ac:dyDescent="0.2">
      <c r="C757" s="46"/>
      <c r="E757" s="95"/>
      <c r="F757" s="101" t="s">
        <v>226</v>
      </c>
      <c r="G757" s="102"/>
      <c r="H757" s="103"/>
      <c r="I757" s="101" t="s">
        <v>205</v>
      </c>
      <c r="J757" s="102"/>
      <c r="K757" s="103"/>
      <c r="L757" s="101" t="s">
        <v>158</v>
      </c>
      <c r="M757" s="103"/>
    </row>
    <row r="758" spans="1:13" x14ac:dyDescent="0.2">
      <c r="C758" s="46"/>
      <c r="E758" s="104"/>
      <c r="F758" s="105" t="s">
        <v>159</v>
      </c>
      <c r="G758" s="105" t="s">
        <v>160</v>
      </c>
      <c r="H758" s="106" t="s">
        <v>161</v>
      </c>
      <c r="I758" s="105" t="s">
        <v>159</v>
      </c>
      <c r="J758" s="107" t="s">
        <v>160</v>
      </c>
      <c r="K758" s="106" t="s">
        <v>161</v>
      </c>
      <c r="L758" s="108" t="s">
        <v>162</v>
      </c>
      <c r="M758" s="109" t="s">
        <v>163</v>
      </c>
    </row>
    <row r="759" spans="1:13" x14ac:dyDescent="0.2">
      <c r="C759" s="46"/>
      <c r="E759" s="110"/>
      <c r="F759" s="111" t="s">
        <v>164</v>
      </c>
      <c r="G759" s="111"/>
      <c r="H759" s="112" t="s">
        <v>164</v>
      </c>
      <c r="I759" s="111" t="s">
        <v>164</v>
      </c>
      <c r="J759" s="112"/>
      <c r="K759" s="112" t="s">
        <v>164</v>
      </c>
      <c r="L759" s="113"/>
      <c r="M759" s="114"/>
    </row>
    <row r="760" spans="1:13" x14ac:dyDescent="0.2">
      <c r="A760" s="46" t="str">
        <f>$E750</f>
        <v>EMBEDDED DISTRIBUTOR SERVICE CLASSIFICATION - HYDRO ONE #2</v>
      </c>
      <c r="C760" s="115"/>
      <c r="D760" s="116" t="s">
        <v>165</v>
      </c>
      <c r="E760" s="117"/>
      <c r="F760" s="121">
        <v>77.489999999999995</v>
      </c>
      <c r="G760" s="119">
        <v>1</v>
      </c>
      <c r="H760" s="120">
        <f>G760*F760</f>
        <v>77.489999999999995</v>
      </c>
      <c r="I760" s="121">
        <v>77.489999999999995</v>
      </c>
      <c r="J760" s="122">
        <f>G760</f>
        <v>1</v>
      </c>
      <c r="K760" s="123">
        <f>J760*I760</f>
        <v>77.489999999999995</v>
      </c>
      <c r="L760" s="124">
        <f t="shared" ref="L760:L781" si="108">K760-H760</f>
        <v>0</v>
      </c>
      <c r="M760" s="125">
        <f>IF(ISERROR(L760/H760), "", L760/H760)</f>
        <v>0</v>
      </c>
    </row>
    <row r="761" spans="1:13" x14ac:dyDescent="0.2">
      <c r="A761" s="46" t="str">
        <f>A760</f>
        <v>EMBEDDED DISTRIBUTOR SERVICE CLASSIFICATION - HYDRO ONE #2</v>
      </c>
      <c r="C761" s="115"/>
      <c r="D761" s="116" t="s">
        <v>30</v>
      </c>
      <c r="E761" s="117"/>
      <c r="F761" s="127">
        <v>0</v>
      </c>
      <c r="G761" s="119">
        <f>IF($E753&gt;0, $E753, $E752)</f>
        <v>4050</v>
      </c>
      <c r="H761" s="120">
        <f t="shared" ref="H761:H773" si="109">G761*F761</f>
        <v>0</v>
      </c>
      <c r="I761" s="127">
        <v>0</v>
      </c>
      <c r="J761" s="122">
        <f>IF($E753&gt;0, $E753, $E752)</f>
        <v>4050</v>
      </c>
      <c r="K761" s="123">
        <f>J761*I761</f>
        <v>0</v>
      </c>
      <c r="L761" s="124">
        <f t="shared" si="108"/>
        <v>0</v>
      </c>
      <c r="M761" s="125" t="str">
        <f t="shared" ref="M761:M771" si="110">IF(ISERROR(L761/H761), "", L761/H761)</f>
        <v/>
      </c>
    </row>
    <row r="762" spans="1:13" hidden="1" x14ac:dyDescent="0.2">
      <c r="A762" s="46" t="str">
        <f t="shared" ref="A762:A803" si="111">A761</f>
        <v>EMBEDDED DISTRIBUTOR SERVICE CLASSIFICATION - HYDRO ONE #2</v>
      </c>
      <c r="C762" s="115"/>
      <c r="D762" s="116" t="s">
        <v>166</v>
      </c>
      <c r="E762" s="117"/>
      <c r="F762" s="127"/>
      <c r="G762" s="119">
        <f>IF($E753&gt;0, $E753, $E752)</f>
        <v>4050</v>
      </c>
      <c r="H762" s="120">
        <v>0</v>
      </c>
      <c r="I762" s="127"/>
      <c r="J762" s="122">
        <f>IF($E753&gt;0, $E753, $E752)</f>
        <v>4050</v>
      </c>
      <c r="K762" s="123">
        <v>0</v>
      </c>
      <c r="L762" s="124"/>
      <c r="M762" s="125"/>
    </row>
    <row r="763" spans="1:13" hidden="1" x14ac:dyDescent="0.2">
      <c r="A763" s="46" t="str">
        <f t="shared" si="111"/>
        <v>EMBEDDED DISTRIBUTOR SERVICE CLASSIFICATION - HYDRO ONE #2</v>
      </c>
      <c r="C763" s="115"/>
      <c r="D763" s="116" t="s">
        <v>167</v>
      </c>
      <c r="E763" s="117"/>
      <c r="F763" s="127"/>
      <c r="G763" s="119">
        <f>IF($E753&gt;0, $E753, $E752)</f>
        <v>4050</v>
      </c>
      <c r="H763" s="120">
        <v>0</v>
      </c>
      <c r="I763" s="127"/>
      <c r="J763" s="128">
        <f>IF($E753&gt;0, $E753, $E752)</f>
        <v>4050</v>
      </c>
      <c r="K763" s="123">
        <v>0</v>
      </c>
      <c r="L763" s="124">
        <f>K763-H763</f>
        <v>0</v>
      </c>
      <c r="M763" s="125" t="str">
        <f>IF(ISERROR(L763/H763), "", L763/H763)</f>
        <v/>
      </c>
    </row>
    <row r="764" spans="1:13" x14ac:dyDescent="0.2">
      <c r="A764" s="46" t="str">
        <f t="shared" si="111"/>
        <v>EMBEDDED DISTRIBUTOR SERVICE CLASSIFICATION - HYDRO ONE #2</v>
      </c>
      <c r="C764" s="115"/>
      <c r="D764" s="116" t="s">
        <v>168</v>
      </c>
      <c r="E764" s="117"/>
      <c r="F764" s="121">
        <v>113.95</v>
      </c>
      <c r="G764" s="119">
        <v>1</v>
      </c>
      <c r="H764" s="120">
        <f t="shared" si="109"/>
        <v>113.95</v>
      </c>
      <c r="I764" s="121">
        <v>113.95</v>
      </c>
      <c r="J764" s="122">
        <f>G764</f>
        <v>1</v>
      </c>
      <c r="K764" s="123">
        <f t="shared" ref="K764:K771" si="112">J764*I764</f>
        <v>113.95</v>
      </c>
      <c r="L764" s="124">
        <f t="shared" si="108"/>
        <v>0</v>
      </c>
      <c r="M764" s="125">
        <f t="shared" si="110"/>
        <v>0</v>
      </c>
    </row>
    <row r="765" spans="1:13" x14ac:dyDescent="0.2">
      <c r="A765" s="46" t="str">
        <f t="shared" si="111"/>
        <v>EMBEDDED DISTRIBUTOR SERVICE CLASSIFICATION - HYDRO ONE #2</v>
      </c>
      <c r="C765" s="115"/>
      <c r="D765" s="116" t="s">
        <v>169</v>
      </c>
      <c r="E765" s="117"/>
      <c r="F765" s="127">
        <v>0</v>
      </c>
      <c r="G765" s="119">
        <f>IF($E753&gt;0, $E753, $E752)</f>
        <v>4050</v>
      </c>
      <c r="H765" s="120">
        <f t="shared" si="109"/>
        <v>0</v>
      </c>
      <c r="I765" s="127">
        <v>0</v>
      </c>
      <c r="J765" s="122">
        <f>IF($E753&gt;0, $E753, $E752)</f>
        <v>4050</v>
      </c>
      <c r="K765" s="123">
        <f t="shared" si="112"/>
        <v>0</v>
      </c>
      <c r="L765" s="124">
        <f t="shared" si="108"/>
        <v>0</v>
      </c>
      <c r="M765" s="125" t="str">
        <f t="shared" si="110"/>
        <v/>
      </c>
    </row>
    <row r="766" spans="1:13" x14ac:dyDescent="0.2">
      <c r="A766" s="46" t="str">
        <f t="shared" si="111"/>
        <v>EMBEDDED DISTRIBUTOR SERVICE CLASSIFICATION - HYDRO ONE #2</v>
      </c>
      <c r="B766" s="46" t="s">
        <v>170</v>
      </c>
      <c r="C766" s="115">
        <f>B42</f>
        <v>13</v>
      </c>
      <c r="D766" s="129" t="s">
        <v>171</v>
      </c>
      <c r="E766" s="130"/>
      <c r="F766" s="134"/>
      <c r="G766" s="132"/>
      <c r="H766" s="133">
        <f>SUM(H760:H765)</f>
        <v>191.44</v>
      </c>
      <c r="I766" s="134"/>
      <c r="J766" s="135"/>
      <c r="K766" s="133">
        <f>SUM(K760:K765)</f>
        <v>191.44</v>
      </c>
      <c r="L766" s="136">
        <f t="shared" si="108"/>
        <v>0</v>
      </c>
      <c r="M766" s="137">
        <f>IF((H766)=0,"",(L766/H766))</f>
        <v>0</v>
      </c>
    </row>
    <row r="767" spans="1:13" x14ac:dyDescent="0.2">
      <c r="A767" s="46" t="str">
        <f t="shared" si="111"/>
        <v>EMBEDDED DISTRIBUTOR SERVICE CLASSIFICATION - HYDRO ONE #2</v>
      </c>
      <c r="C767" s="115"/>
      <c r="D767" s="138" t="s">
        <v>172</v>
      </c>
      <c r="E767" s="117"/>
      <c r="F767" s="127">
        <f>IF((E752*12&gt;=150000), 0, IF(E751="RPP",(F783*0.64+F784*0.18+F785*0.18),IF(E751="Non-RPP (Retailer)",F786,F787)))</f>
        <v>0</v>
      </c>
      <c r="G767" s="139">
        <f>IF(F767=0, 0, $E752*E754-E752)</f>
        <v>0</v>
      </c>
      <c r="H767" s="120">
        <f>G767*F767</f>
        <v>0</v>
      </c>
      <c r="I767" s="127">
        <f>IF((E752*12&gt;=150000), 0, IF(E751="RPP",(I783*0.64+I784*0.18+I785*0.18),IF(E751="Non-RPP (Retailer)",I786,I787)))</f>
        <v>0</v>
      </c>
      <c r="J767" s="140">
        <f>IF(I767=0, 0, E752*E755-E752)</f>
        <v>0</v>
      </c>
      <c r="K767" s="123">
        <f>J767*I767</f>
        <v>0</v>
      </c>
      <c r="L767" s="124">
        <f>K767-H767</f>
        <v>0</v>
      </c>
      <c r="M767" s="125" t="str">
        <f>IF(ISERROR(L767/H767), "", L767/H767)</f>
        <v/>
      </c>
    </row>
    <row r="768" spans="1:13" ht="25.5" x14ac:dyDescent="0.2">
      <c r="A768" s="46" t="str">
        <f t="shared" si="111"/>
        <v>EMBEDDED DISTRIBUTOR SERVICE CLASSIFICATION - HYDRO ONE #2</v>
      </c>
      <c r="C768" s="115"/>
      <c r="D768" s="138" t="s">
        <v>173</v>
      </c>
      <c r="E768" s="117"/>
      <c r="F768" s="127">
        <v>0.54610000000000003</v>
      </c>
      <c r="G768" s="141">
        <f>IF($E753&gt;0, $E753, $E752)</f>
        <v>4050</v>
      </c>
      <c r="H768" s="120">
        <f t="shared" si="109"/>
        <v>2211.7049999999999</v>
      </c>
      <c r="I768" s="127">
        <f>'Proposed Tariff'!D434+'Proposed Tariff'!D432</f>
        <v>0.84760000000000002</v>
      </c>
      <c r="J768" s="142">
        <f>IF($E753&gt;0, $E753, $E752)</f>
        <v>4050</v>
      </c>
      <c r="K768" s="123">
        <f t="shared" si="112"/>
        <v>3432.78</v>
      </c>
      <c r="L768" s="124">
        <f t="shared" si="108"/>
        <v>1221.0750000000003</v>
      </c>
      <c r="M768" s="125">
        <f t="shared" si="110"/>
        <v>0.55209668558872016</v>
      </c>
    </row>
    <row r="769" spans="1:14" x14ac:dyDescent="0.2">
      <c r="A769" s="46" t="str">
        <f t="shared" si="111"/>
        <v>EMBEDDED DISTRIBUTOR SERVICE CLASSIFICATION - HYDRO ONE #2</v>
      </c>
      <c r="C769" s="115"/>
      <c r="D769" s="138" t="s">
        <v>174</v>
      </c>
      <c r="E769" s="117"/>
      <c r="F769" s="127">
        <v>0</v>
      </c>
      <c r="G769" s="141">
        <f>IF($E753&gt;0, $E753, $E752)</f>
        <v>4050</v>
      </c>
      <c r="H769" s="120">
        <f>G769*F769</f>
        <v>0</v>
      </c>
      <c r="I769" s="127">
        <f>'Proposed Tariff'!D433</f>
        <v>-4.1200000000000001E-2</v>
      </c>
      <c r="J769" s="142">
        <f>IF($E753&gt;0, $E753, $E752)</f>
        <v>4050</v>
      </c>
      <c r="K769" s="123">
        <f>J769*I769</f>
        <v>-166.86</v>
      </c>
      <c r="L769" s="124">
        <f t="shared" si="108"/>
        <v>-166.86</v>
      </c>
      <c r="M769" s="125" t="str">
        <f t="shared" si="110"/>
        <v/>
      </c>
    </row>
    <row r="770" spans="1:14" x14ac:dyDescent="0.2">
      <c r="A770" s="46" t="str">
        <f t="shared" si="111"/>
        <v>EMBEDDED DISTRIBUTOR SERVICE CLASSIFICATION - HYDRO ONE #2</v>
      </c>
      <c r="C770" s="115"/>
      <c r="D770" s="138" t="s">
        <v>175</v>
      </c>
      <c r="E770" s="117"/>
      <c r="F770" s="127">
        <v>0</v>
      </c>
      <c r="G770" s="141">
        <f>E752</f>
        <v>1990000</v>
      </c>
      <c r="H770" s="120">
        <f>G770*F770</f>
        <v>0</v>
      </c>
      <c r="I770" s="127">
        <f>'Proposed Tariff'!D431</f>
        <v>-4.4999999999999997E-3</v>
      </c>
      <c r="J770" s="142">
        <f>E752</f>
        <v>1990000</v>
      </c>
      <c r="K770" s="123">
        <f t="shared" si="112"/>
        <v>-8955</v>
      </c>
      <c r="L770" s="124">
        <f t="shared" si="108"/>
        <v>-8955</v>
      </c>
      <c r="M770" s="125" t="str">
        <f t="shared" si="110"/>
        <v/>
      </c>
    </row>
    <row r="771" spans="1:14" x14ac:dyDescent="0.2">
      <c r="A771" s="46" t="str">
        <f t="shared" si="111"/>
        <v>EMBEDDED DISTRIBUTOR SERVICE CLASSIFICATION - HYDRO ONE #2</v>
      </c>
      <c r="C771" s="115"/>
      <c r="D771" s="116" t="s">
        <v>176</v>
      </c>
      <c r="E771" s="117"/>
      <c r="F771" s="127"/>
      <c r="G771" s="141">
        <f>IF($E753&gt;0, $E753, $E752)</f>
        <v>4050</v>
      </c>
      <c r="H771" s="120">
        <f t="shared" si="109"/>
        <v>0</v>
      </c>
      <c r="I771" s="127"/>
      <c r="J771" s="142">
        <f>IF($E753&gt;0, $E753, $E752)</f>
        <v>4050</v>
      </c>
      <c r="K771" s="123">
        <f t="shared" si="112"/>
        <v>0</v>
      </c>
      <c r="L771" s="124">
        <f t="shared" si="108"/>
        <v>0</v>
      </c>
      <c r="M771" s="125" t="str">
        <f t="shared" si="110"/>
        <v/>
      </c>
    </row>
    <row r="772" spans="1:14" ht="25.5" x14ac:dyDescent="0.2">
      <c r="A772" s="46" t="str">
        <f t="shared" si="111"/>
        <v>EMBEDDED DISTRIBUTOR SERVICE CLASSIFICATION - HYDRO ONE #2</v>
      </c>
      <c r="C772" s="115"/>
      <c r="D772" s="138" t="s">
        <v>177</v>
      </c>
      <c r="E772" s="117"/>
      <c r="F772" s="144">
        <f>IF(OR(ISNUMBER(SEARCH("RESIDENTIAL", B750))=TRUE, ISNUMBER(SEARCH("GENERAL SERVICE LESS THAN 50", B750))=TRUE), SME, 0)</f>
        <v>0</v>
      </c>
      <c r="G772" s="119">
        <v>1</v>
      </c>
      <c r="H772" s="120">
        <f>G772*F772</f>
        <v>0</v>
      </c>
      <c r="I772" s="144">
        <f>IF(OR(ISNUMBER(SEARCH("RESIDENTIAL", E750))=TRUE, ISNUMBER(SEARCH("GENERAL SERVICE LESS THAN 50", E750))=TRUE), SME, 0)</f>
        <v>0</v>
      </c>
      <c r="J772" s="128">
        <v>1</v>
      </c>
      <c r="K772" s="123">
        <f>J772*I772</f>
        <v>0</v>
      </c>
      <c r="L772" s="124">
        <f t="shared" si="108"/>
        <v>0</v>
      </c>
      <c r="M772" s="125" t="str">
        <f>IF(ISERROR(L772/H772), "", L772/H772)</f>
        <v/>
      </c>
    </row>
    <row r="773" spans="1:14" x14ac:dyDescent="0.2">
      <c r="A773" s="46" t="str">
        <f t="shared" si="111"/>
        <v>EMBEDDED DISTRIBUTOR SERVICE CLASSIFICATION - HYDRO ONE #2</v>
      </c>
      <c r="C773" s="115"/>
      <c r="D773" s="116" t="s">
        <v>178</v>
      </c>
      <c r="E773" s="117"/>
      <c r="F773" s="121">
        <v>0</v>
      </c>
      <c r="G773" s="119">
        <v>1</v>
      </c>
      <c r="H773" s="120">
        <f t="shared" si="109"/>
        <v>0</v>
      </c>
      <c r="I773" s="121">
        <v>0</v>
      </c>
      <c r="J773" s="128">
        <v>1</v>
      </c>
      <c r="K773" s="123">
        <f>J773*I773</f>
        <v>0</v>
      </c>
      <c r="L773" s="124">
        <f>K773-H773</f>
        <v>0</v>
      </c>
      <c r="M773" s="125" t="str">
        <f>IF(ISERROR(L773/H773), "", L773/H773)</f>
        <v/>
      </c>
    </row>
    <row r="774" spans="1:14" x14ac:dyDescent="0.2">
      <c r="A774" s="46" t="str">
        <f t="shared" si="111"/>
        <v>EMBEDDED DISTRIBUTOR SERVICE CLASSIFICATION - HYDRO ONE #2</v>
      </c>
      <c r="C774" s="115"/>
      <c r="D774" s="116" t="s">
        <v>179</v>
      </c>
      <c r="E774" s="117"/>
      <c r="F774" s="127">
        <v>0</v>
      </c>
      <c r="G774" s="141">
        <f>IF($E753&gt;0, $E753, $E752)</f>
        <v>4050</v>
      </c>
      <c r="H774" s="120">
        <f>G774*F774</f>
        <v>0</v>
      </c>
      <c r="I774" s="127">
        <v>0</v>
      </c>
      <c r="J774" s="142">
        <f>IF($E753&gt;0, $E753, $E752)</f>
        <v>4050</v>
      </c>
      <c r="K774" s="123">
        <f>J774*I774</f>
        <v>0</v>
      </c>
      <c r="L774" s="124">
        <f t="shared" si="108"/>
        <v>0</v>
      </c>
      <c r="M774" s="125" t="str">
        <f>IF(ISERROR(L774/H774), "", L774/H774)</f>
        <v/>
      </c>
    </row>
    <row r="775" spans="1:14" ht="25.5" x14ac:dyDescent="0.2">
      <c r="A775" s="46" t="str">
        <f t="shared" si="111"/>
        <v>EMBEDDED DISTRIBUTOR SERVICE CLASSIFICATION - HYDRO ONE #2</v>
      </c>
      <c r="B775" s="46" t="s">
        <v>180</v>
      </c>
      <c r="C775" s="115">
        <f>B42</f>
        <v>13</v>
      </c>
      <c r="D775" s="145" t="s">
        <v>181</v>
      </c>
      <c r="E775" s="146"/>
      <c r="F775" s="150"/>
      <c r="G775" s="148"/>
      <c r="H775" s="149">
        <f>SUM(H766:H774)</f>
        <v>2403.145</v>
      </c>
      <c r="I775" s="150"/>
      <c r="J775" s="151"/>
      <c r="K775" s="149">
        <f>SUM(K766:K774)</f>
        <v>-5497.6399999999994</v>
      </c>
      <c r="L775" s="136">
        <f t="shared" si="108"/>
        <v>-7900.7849999999999</v>
      </c>
      <c r="M775" s="137">
        <f>IF((H775)=0,"",(L775/H775))</f>
        <v>-3.2876855121101722</v>
      </c>
    </row>
    <row r="776" spans="1:14" x14ac:dyDescent="0.2">
      <c r="A776" s="46" t="str">
        <f t="shared" si="111"/>
        <v>EMBEDDED DISTRIBUTOR SERVICE CLASSIFICATION - HYDRO ONE #2</v>
      </c>
      <c r="C776" s="115"/>
      <c r="D776" s="152" t="s">
        <v>182</v>
      </c>
      <c r="E776" s="117"/>
      <c r="F776" s="153">
        <v>0</v>
      </c>
      <c r="G776" s="139">
        <f>IF($E753&gt;0, $E753, $E752*$E754)</f>
        <v>4050</v>
      </c>
      <c r="H776" s="120">
        <f>G776*F776</f>
        <v>0</v>
      </c>
      <c r="I776" s="153">
        <v>0</v>
      </c>
      <c r="J776" s="140">
        <f>IF($E753&gt;0, $E753, $E752*$E755)</f>
        <v>4050</v>
      </c>
      <c r="K776" s="123">
        <f>J776*I776</f>
        <v>0</v>
      </c>
      <c r="L776" s="124">
        <f t="shared" si="108"/>
        <v>0</v>
      </c>
      <c r="M776" s="125" t="str">
        <f>IF(ISERROR(L776/H776), "", L776/H776)</f>
        <v/>
      </c>
      <c r="N776" s="154" t="str">
        <f>IF(ISERROR(ABS(M776)), "", IF(ABS(M776)&gt;=4%, "In the manager's summary, discuss the reasoning for the change in RTSR rates", ""))</f>
        <v/>
      </c>
    </row>
    <row r="777" spans="1:14" ht="25.5" x14ac:dyDescent="0.2">
      <c r="A777" s="46" t="str">
        <f t="shared" si="111"/>
        <v>EMBEDDED DISTRIBUTOR SERVICE CLASSIFICATION - HYDRO ONE #2</v>
      </c>
      <c r="C777" s="115"/>
      <c r="D777" s="155" t="s">
        <v>183</v>
      </c>
      <c r="E777" s="117"/>
      <c r="F777" s="153">
        <v>0</v>
      </c>
      <c r="G777" s="139">
        <f>IF($E753&gt;0, $E753, $E752*$E754)</f>
        <v>4050</v>
      </c>
      <c r="H777" s="120">
        <f>G777*F777</f>
        <v>0</v>
      </c>
      <c r="I777" s="153">
        <v>0</v>
      </c>
      <c r="J777" s="140">
        <f>IF($E753&gt;0, $E753, $E752*$E755)</f>
        <v>4050</v>
      </c>
      <c r="K777" s="123">
        <f>J777*I777</f>
        <v>0</v>
      </c>
      <c r="L777" s="124">
        <f t="shared" si="108"/>
        <v>0</v>
      </c>
      <c r="M777" s="125" t="str">
        <f>IF(ISERROR(L777/H777), "", L777/H777)</f>
        <v/>
      </c>
      <c r="N777" s="154" t="str">
        <f>IF(ISERROR(ABS(M777)), "", IF(ABS(M777)&gt;=4%, "In the manager's summary, discuss the reasoning for the change in RTSR rates", ""))</f>
        <v/>
      </c>
    </row>
    <row r="778" spans="1:14" ht="25.5" x14ac:dyDescent="0.2">
      <c r="A778" s="46" t="str">
        <f t="shared" si="111"/>
        <v>EMBEDDED DISTRIBUTOR SERVICE CLASSIFICATION - HYDRO ONE #2</v>
      </c>
      <c r="B778" s="46" t="s">
        <v>184</v>
      </c>
      <c r="C778" s="115">
        <f>B42</f>
        <v>13</v>
      </c>
      <c r="D778" s="145" t="s">
        <v>185</v>
      </c>
      <c r="E778" s="130"/>
      <c r="F778" s="150"/>
      <c r="G778" s="148"/>
      <c r="H778" s="149">
        <f>SUM(H775:H777)</f>
        <v>2403.145</v>
      </c>
      <c r="I778" s="150"/>
      <c r="J778" s="135"/>
      <c r="K778" s="149">
        <f>SUM(K775:K777)</f>
        <v>-5497.6399999999994</v>
      </c>
      <c r="L778" s="136">
        <f t="shared" si="108"/>
        <v>-7900.7849999999999</v>
      </c>
      <c r="M778" s="137">
        <f>IF((H778)=0,"",(L778/H778))</f>
        <v>-3.2876855121101722</v>
      </c>
    </row>
    <row r="779" spans="1:14" ht="25.5" x14ac:dyDescent="0.2">
      <c r="A779" s="46" t="str">
        <f t="shared" si="111"/>
        <v>EMBEDDED DISTRIBUTOR SERVICE CLASSIFICATION - HYDRO ONE #2</v>
      </c>
      <c r="C779" s="115"/>
      <c r="D779" s="156" t="s">
        <v>186</v>
      </c>
      <c r="E779" s="117"/>
      <c r="F779" s="127">
        <f>'[1]17. Regulatory Charges'!$E$15+'[1]17. Regulatory Charges'!$E$16</f>
        <v>3.4000000000000002E-3</v>
      </c>
      <c r="G779" s="139">
        <f>E752*E754</f>
        <v>2051093</v>
      </c>
      <c r="H779" s="157">
        <f t="shared" ref="H779:H785" si="113">G779*F779</f>
        <v>6973.7162000000008</v>
      </c>
      <c r="I779" s="127">
        <f>'[1]17. Regulatory Charges'!$E$15+'[1]17. Regulatory Charges'!$E$16</f>
        <v>3.4000000000000002E-3</v>
      </c>
      <c r="J779" s="140">
        <f>E752*E755</f>
        <v>2051093</v>
      </c>
      <c r="K779" s="123">
        <f t="shared" ref="K779:K785" si="114">J779*I779</f>
        <v>6973.7162000000008</v>
      </c>
      <c r="L779" s="124">
        <f t="shared" si="108"/>
        <v>0</v>
      </c>
      <c r="M779" s="125">
        <f t="shared" ref="M779:M787" si="115">IF(ISERROR(L779/H779), "", L779/H779)</f>
        <v>0</v>
      </c>
    </row>
    <row r="780" spans="1:14" ht="25.5" x14ac:dyDescent="0.2">
      <c r="A780" s="46" t="str">
        <f t="shared" si="111"/>
        <v>EMBEDDED DISTRIBUTOR SERVICE CLASSIFICATION - HYDRO ONE #2</v>
      </c>
      <c r="C780" s="115"/>
      <c r="D780" s="156" t="s">
        <v>187</v>
      </c>
      <c r="E780" s="117"/>
      <c r="F780" s="127">
        <f>'[1]17. Regulatory Charges'!$E$17</f>
        <v>5.0000000000000001E-4</v>
      </c>
      <c r="G780" s="139">
        <f>E752*E754</f>
        <v>2051093</v>
      </c>
      <c r="H780" s="157">
        <f t="shared" si="113"/>
        <v>1025.5464999999999</v>
      </c>
      <c r="I780" s="127">
        <f>'[1]17. Regulatory Charges'!$E$17</f>
        <v>5.0000000000000001E-4</v>
      </c>
      <c r="J780" s="140">
        <f>E752*E755</f>
        <v>2051093</v>
      </c>
      <c r="K780" s="123">
        <f t="shared" si="114"/>
        <v>1025.5464999999999</v>
      </c>
      <c r="L780" s="124">
        <f t="shared" si="108"/>
        <v>0</v>
      </c>
      <c r="M780" s="125">
        <f t="shared" si="115"/>
        <v>0</v>
      </c>
    </row>
    <row r="781" spans="1:14" x14ac:dyDescent="0.2">
      <c r="A781" s="46" t="str">
        <f t="shared" si="111"/>
        <v>EMBEDDED DISTRIBUTOR SERVICE CLASSIFICATION - HYDRO ONE #2</v>
      </c>
      <c r="C781" s="115"/>
      <c r="D781" s="158" t="s">
        <v>188</v>
      </c>
      <c r="E781" s="117"/>
      <c r="F781" s="144">
        <f>'[1]17. Regulatory Charges'!$E$18</f>
        <v>0.25</v>
      </c>
      <c r="G781" s="119">
        <v>1</v>
      </c>
      <c r="H781" s="157">
        <f t="shared" si="113"/>
        <v>0.25</v>
      </c>
      <c r="I781" s="144">
        <f>'[1]17. Regulatory Charges'!$E$18</f>
        <v>0.25</v>
      </c>
      <c r="J781" s="122">
        <v>1</v>
      </c>
      <c r="K781" s="123">
        <f t="shared" si="114"/>
        <v>0.25</v>
      </c>
      <c r="L781" s="124">
        <f t="shared" si="108"/>
        <v>0</v>
      </c>
      <c r="M781" s="125">
        <f t="shared" si="115"/>
        <v>0</v>
      </c>
    </row>
    <row r="782" spans="1:14" ht="25.5" hidden="1" x14ac:dyDescent="0.2">
      <c r="A782" s="46" t="str">
        <f t="shared" si="111"/>
        <v>EMBEDDED DISTRIBUTOR SERVICE CLASSIFICATION - HYDRO ONE #2</v>
      </c>
      <c r="C782" s="115"/>
      <c r="D782" s="156" t="s">
        <v>189</v>
      </c>
      <c r="E782" s="117"/>
      <c r="F782" s="127"/>
      <c r="G782" s="139"/>
      <c r="H782" s="157"/>
      <c r="I782" s="127"/>
      <c r="J782" s="140"/>
      <c r="K782" s="123"/>
      <c r="L782" s="124"/>
      <c r="M782" s="125"/>
    </row>
    <row r="783" spans="1:14" hidden="1" x14ac:dyDescent="0.2">
      <c r="A783" s="46" t="str">
        <f t="shared" si="111"/>
        <v>EMBEDDED DISTRIBUTOR SERVICE CLASSIFICATION - HYDRO ONE #2</v>
      </c>
      <c r="B783" s="46" t="s">
        <v>139</v>
      </c>
      <c r="C783" s="115"/>
      <c r="D783" s="158" t="s">
        <v>190</v>
      </c>
      <c r="E783" s="117"/>
      <c r="F783" s="161">
        <f>OffPeak</f>
        <v>7.3999999999999996E-2</v>
      </c>
      <c r="G783" s="160">
        <f>IF(AND(E752*12&gt;=150000),0.64*E752*E754,0.64*E752)</f>
        <v>1312699.52</v>
      </c>
      <c r="H783" s="157">
        <f t="shared" si="113"/>
        <v>97139.764479999998</v>
      </c>
      <c r="I783" s="161">
        <f>OffPeak</f>
        <v>7.3999999999999996E-2</v>
      </c>
      <c r="J783" s="162">
        <f>IF(AND(E752*12&gt;=150000),0.64*E752*E755,0.64*E752)</f>
        <v>1312699.52</v>
      </c>
      <c r="K783" s="123">
        <f t="shared" si="114"/>
        <v>97139.764479999998</v>
      </c>
      <c r="L783" s="124">
        <f>K783-H783</f>
        <v>0</v>
      </c>
      <c r="M783" s="125">
        <f t="shared" si="115"/>
        <v>0</v>
      </c>
    </row>
    <row r="784" spans="1:14" hidden="1" x14ac:dyDescent="0.2">
      <c r="A784" s="46" t="str">
        <f t="shared" si="111"/>
        <v>EMBEDDED DISTRIBUTOR SERVICE CLASSIFICATION - HYDRO ONE #2</v>
      </c>
      <c r="B784" s="46" t="s">
        <v>139</v>
      </c>
      <c r="C784" s="115"/>
      <c r="D784" s="158" t="s">
        <v>191</v>
      </c>
      <c r="E784" s="117"/>
      <c r="F784" s="161">
        <f>MidPeak</f>
        <v>0.10199999999999999</v>
      </c>
      <c r="G784" s="160">
        <f>IF(AND(E752*12&gt;=150000),0.18*E752*E754,0.18*E752)</f>
        <v>369196.74</v>
      </c>
      <c r="H784" s="157">
        <f t="shared" si="113"/>
        <v>37658.067479999998</v>
      </c>
      <c r="I784" s="161">
        <f>MidPeak</f>
        <v>0.10199999999999999</v>
      </c>
      <c r="J784" s="162">
        <f>IF(AND(E752*12&gt;=150000),0.18*E752*E755,0.18*E752)</f>
        <v>369196.74</v>
      </c>
      <c r="K784" s="123">
        <f t="shared" si="114"/>
        <v>37658.067479999998</v>
      </c>
      <c r="L784" s="124">
        <f>K784-H784</f>
        <v>0</v>
      </c>
      <c r="M784" s="125">
        <f t="shared" si="115"/>
        <v>0</v>
      </c>
    </row>
    <row r="785" spans="1:13" hidden="1" x14ac:dyDescent="0.2">
      <c r="A785" s="46" t="str">
        <f t="shared" si="111"/>
        <v>EMBEDDED DISTRIBUTOR SERVICE CLASSIFICATION - HYDRO ONE #2</v>
      </c>
      <c r="B785" s="46" t="s">
        <v>139</v>
      </c>
      <c r="C785" s="115"/>
      <c r="D785" s="46" t="s">
        <v>192</v>
      </c>
      <c r="E785" s="117"/>
      <c r="F785" s="161">
        <f>OnPeak</f>
        <v>0.151</v>
      </c>
      <c r="G785" s="160">
        <f>IF(AND(E752*12&gt;=150000),0.18*E752*E754,0.18*E752)</f>
        <v>369196.74</v>
      </c>
      <c r="H785" s="157">
        <f t="shared" si="113"/>
        <v>55748.707739999998</v>
      </c>
      <c r="I785" s="161">
        <f>OnPeak</f>
        <v>0.151</v>
      </c>
      <c r="J785" s="162">
        <f>IF(AND(E752*12&gt;=150000),0.18*E752*E755,0.18*E752)</f>
        <v>369196.74</v>
      </c>
      <c r="K785" s="123">
        <f t="shared" si="114"/>
        <v>55748.707739999998</v>
      </c>
      <c r="L785" s="124">
        <f>K785-H785</f>
        <v>0</v>
      </c>
      <c r="M785" s="125">
        <f t="shared" si="115"/>
        <v>0</v>
      </c>
    </row>
    <row r="786" spans="1:13" hidden="1" x14ac:dyDescent="0.2">
      <c r="A786" s="46" t="str">
        <f t="shared" si="111"/>
        <v>EMBEDDED DISTRIBUTOR SERVICE CLASSIFICATION - HYDRO ONE #2</v>
      </c>
      <c r="B786" s="46" t="s">
        <v>141</v>
      </c>
      <c r="C786" s="115"/>
      <c r="D786" s="158" t="s">
        <v>193</v>
      </c>
      <c r="E786" s="117"/>
      <c r="F786" s="164">
        <f>C786</f>
        <v>0</v>
      </c>
      <c r="G786" s="160">
        <f>IF(AND(E752*12&gt;=150000),E752*E754,E752)</f>
        <v>2051093</v>
      </c>
      <c r="H786" s="157">
        <f>G786*F786</f>
        <v>0</v>
      </c>
      <c r="I786" s="164">
        <f>F786</f>
        <v>0</v>
      </c>
      <c r="J786" s="162">
        <f>IF(AND(E752*12&gt;=150000),E752*E755,E752)</f>
        <v>2051093</v>
      </c>
      <c r="K786" s="123">
        <f>J786*I786</f>
        <v>0</v>
      </c>
      <c r="L786" s="124">
        <f>K786-H786</f>
        <v>0</v>
      </c>
      <c r="M786" s="125" t="str">
        <f t="shared" si="115"/>
        <v/>
      </c>
    </row>
    <row r="787" spans="1:13" ht="13.5" thickBot="1" x14ac:dyDescent="0.25">
      <c r="A787" s="46" t="str">
        <f t="shared" si="111"/>
        <v>EMBEDDED DISTRIBUTOR SERVICE CLASSIFICATION - HYDRO ONE #2</v>
      </c>
      <c r="B787" s="46" t="s">
        <v>140</v>
      </c>
      <c r="C787" s="115"/>
      <c r="D787" s="158" t="s">
        <v>194</v>
      </c>
      <c r="E787" s="117"/>
      <c r="F787" s="163">
        <v>9.6699999999999994E-2</v>
      </c>
      <c r="G787" s="160">
        <f>IF(AND(E752*12&gt;=150000),E752*E754,E752)</f>
        <v>2051093</v>
      </c>
      <c r="H787" s="157">
        <f>G787*F787</f>
        <v>198340.69309999997</v>
      </c>
      <c r="I787" s="164">
        <f>F787</f>
        <v>9.6699999999999994E-2</v>
      </c>
      <c r="J787" s="162">
        <f>IF(AND(E752*12&gt;=150000),E752*E755,E752)</f>
        <v>2051093</v>
      </c>
      <c r="K787" s="123">
        <f>J787*I787</f>
        <v>198340.69309999997</v>
      </c>
      <c r="L787" s="124">
        <f>K787-H787</f>
        <v>0</v>
      </c>
      <c r="M787" s="125">
        <f t="shared" si="115"/>
        <v>0</v>
      </c>
    </row>
    <row r="788" spans="1:13" ht="13.5" thickBot="1" x14ac:dyDescent="0.25">
      <c r="A788" s="46" t="str">
        <f t="shared" si="111"/>
        <v>EMBEDDED DISTRIBUTOR SERVICE CLASSIFICATION - HYDRO ONE #2</v>
      </c>
      <c r="C788" s="115"/>
      <c r="D788" s="165"/>
      <c r="E788" s="166"/>
      <c r="F788" s="167"/>
      <c r="G788" s="168"/>
      <c r="H788" s="169"/>
      <c r="I788" s="167"/>
      <c r="J788" s="170"/>
      <c r="K788" s="169"/>
      <c r="L788" s="171"/>
      <c r="M788" s="172"/>
    </row>
    <row r="789" spans="1:13" hidden="1" x14ac:dyDescent="0.2">
      <c r="A789" s="46" t="str">
        <f t="shared" si="111"/>
        <v>EMBEDDED DISTRIBUTOR SERVICE CLASSIFICATION - HYDRO ONE #2</v>
      </c>
      <c r="B789" s="46" t="s">
        <v>139</v>
      </c>
      <c r="C789" s="115"/>
      <c r="D789" s="173" t="s">
        <v>195</v>
      </c>
      <c r="E789" s="158"/>
      <c r="F789" s="177"/>
      <c r="G789" s="175"/>
      <c r="H789" s="176">
        <f>SUM(H779:H785,H778)</f>
        <v>200949.19739999998</v>
      </c>
      <c r="I789" s="177"/>
      <c r="J789" s="177"/>
      <c r="K789" s="176">
        <f>SUM(K779:K785,K778)</f>
        <v>193048.41239999997</v>
      </c>
      <c r="L789" s="178">
        <f>K789-H789</f>
        <v>-7900.7850000000035</v>
      </c>
      <c r="M789" s="179">
        <f>IF((H789)=0,"",(L789/H789))</f>
        <v>-3.93173254843764E-2</v>
      </c>
    </row>
    <row r="790" spans="1:13" hidden="1" x14ac:dyDescent="0.2">
      <c r="A790" s="46" t="str">
        <f t="shared" si="111"/>
        <v>EMBEDDED DISTRIBUTOR SERVICE CLASSIFICATION - HYDRO ONE #2</v>
      </c>
      <c r="B790" s="46" t="s">
        <v>139</v>
      </c>
      <c r="C790" s="115"/>
      <c r="D790" s="180" t="s">
        <v>196</v>
      </c>
      <c r="E790" s="158"/>
      <c r="F790" s="183">
        <v>0.13</v>
      </c>
      <c r="G790" s="181"/>
      <c r="H790" s="182">
        <f>H789*F790</f>
        <v>26123.395661999999</v>
      </c>
      <c r="I790" s="183">
        <v>0.13</v>
      </c>
      <c r="J790" s="119"/>
      <c r="K790" s="182">
        <f>K789*I790</f>
        <v>25096.293611999998</v>
      </c>
      <c r="L790" s="124">
        <f>K790-H790</f>
        <v>-1027.1020500000013</v>
      </c>
      <c r="M790" s="184">
        <f>IF((H790)=0,"",(L790/H790))</f>
        <v>-3.9317325484376435E-2</v>
      </c>
    </row>
    <row r="791" spans="1:13" ht="15" hidden="1" x14ac:dyDescent="0.25">
      <c r="A791" s="46" t="str">
        <f t="shared" si="111"/>
        <v>EMBEDDED DISTRIBUTOR SERVICE CLASSIFICATION - HYDRO ONE #2</v>
      </c>
      <c r="B791" s="46" t="s">
        <v>139</v>
      </c>
      <c r="C791" s="115"/>
      <c r="D791" s="180" t="s">
        <v>197</v>
      </c>
      <c r="E791"/>
      <c r="F791" s="185">
        <v>0.11700000000000001</v>
      </c>
      <c r="G791" s="181"/>
      <c r="H791" s="182">
        <f>IF(OR(ISNUMBER(SEARCH("[DGEN]", E750))=TRUE, ISNUMBER(SEARCH("STREET LIGHT", E750))=TRUE), 0, IF(AND(E752=0, E753=0),0, IF(AND(E753=0, E752*12&gt;250000), 0, IF(AND(E752=0, E753&gt;=50), 0, IF(E752*12&lt;=250000, F791*H789*-1, IF(E753&lt;50, F791*H789*-1, 0))))))</f>
        <v>0</v>
      </c>
      <c r="I791" s="185">
        <v>0.11700000000000001</v>
      </c>
      <c r="J791" s="119"/>
      <c r="K791" s="182">
        <f>IF(OR(ISNUMBER(SEARCH("[DGEN]", E750))=TRUE, ISNUMBER(SEARCH("STREET LIGHT", E750))=TRUE), 0, IF(AND(E752=0, E753=0),0, IF(AND(E753=0, E752*12&gt;250000), 0, IF(AND(E752=0, E753&gt;=50), 0, IF(E752*12&lt;=250000, I791*K789*-1, IF(E753&lt;50, I791*K789*-1, 0))))))</f>
        <v>0</v>
      </c>
      <c r="L791" s="124">
        <f>K791-H791</f>
        <v>0</v>
      </c>
      <c r="M791" s="184"/>
    </row>
    <row r="792" spans="1:13" hidden="1" x14ac:dyDescent="0.2">
      <c r="A792" s="46" t="str">
        <f t="shared" si="111"/>
        <v>EMBEDDED DISTRIBUTOR SERVICE CLASSIFICATION - HYDRO ONE #2</v>
      </c>
      <c r="B792" s="46" t="s">
        <v>198</v>
      </c>
      <c r="C792" s="115"/>
      <c r="D792" s="186" t="s">
        <v>199</v>
      </c>
      <c r="E792" s="186"/>
      <c r="F792" s="190"/>
      <c r="G792" s="188"/>
      <c r="H792" s="189">
        <f>H789+H790+H791</f>
        <v>227072.59306199997</v>
      </c>
      <c r="I792" s="190"/>
      <c r="J792" s="190"/>
      <c r="K792" s="191">
        <f>K789+K790+K791</f>
        <v>218144.70601199998</v>
      </c>
      <c r="L792" s="192">
        <f>K792-H792</f>
        <v>-8927.8870499999903</v>
      </c>
      <c r="M792" s="193">
        <f>IF((H792)=0,"",(L792/H792))</f>
        <v>-3.9317325484376345E-2</v>
      </c>
    </row>
    <row r="793" spans="1:13" ht="13.5" hidden="1" thickBot="1" x14ac:dyDescent="0.25">
      <c r="A793" s="46" t="str">
        <f t="shared" si="111"/>
        <v>EMBEDDED DISTRIBUTOR SERVICE CLASSIFICATION - HYDRO ONE #2</v>
      </c>
      <c r="B793" s="46" t="s">
        <v>139</v>
      </c>
      <c r="C793" s="115"/>
      <c r="D793" s="165"/>
      <c r="E793" s="166"/>
      <c r="F793" s="167"/>
      <c r="G793" s="168"/>
      <c r="H793" s="169"/>
      <c r="I793" s="167"/>
      <c r="J793" s="170"/>
      <c r="K793" s="169"/>
      <c r="L793" s="171"/>
      <c r="M793" s="172"/>
    </row>
    <row r="794" spans="1:13" hidden="1" x14ac:dyDescent="0.2">
      <c r="A794" s="46" t="str">
        <f t="shared" si="111"/>
        <v>EMBEDDED DISTRIBUTOR SERVICE CLASSIFICATION - HYDRO ONE #2</v>
      </c>
      <c r="B794" s="46" t="s">
        <v>141</v>
      </c>
      <c r="C794" s="115"/>
      <c r="D794" s="173" t="s">
        <v>200</v>
      </c>
      <c r="E794" s="158"/>
      <c r="F794" s="177"/>
      <c r="G794" s="175"/>
      <c r="H794" s="176">
        <f>SUM(H786,H779:H782,H778)</f>
        <v>10402.657700000002</v>
      </c>
      <c r="I794" s="177"/>
      <c r="J794" s="177"/>
      <c r="K794" s="176">
        <f>SUM(K786,K779:K782,K778)</f>
        <v>2501.8727000000017</v>
      </c>
      <c r="L794" s="178">
        <f>K794-H794</f>
        <v>-7900.7849999999999</v>
      </c>
      <c r="M794" s="179">
        <f>IF((H794)=0,"",(L794/H794))</f>
        <v>-0.75949677744371025</v>
      </c>
    </row>
    <row r="795" spans="1:13" hidden="1" x14ac:dyDescent="0.2">
      <c r="A795" s="46" t="str">
        <f t="shared" si="111"/>
        <v>EMBEDDED DISTRIBUTOR SERVICE CLASSIFICATION - HYDRO ONE #2</v>
      </c>
      <c r="B795" s="46" t="s">
        <v>141</v>
      </c>
      <c r="C795" s="115"/>
      <c r="D795" s="180" t="s">
        <v>196</v>
      </c>
      <c r="E795" s="158"/>
      <c r="F795" s="174">
        <v>0.13</v>
      </c>
      <c r="G795" s="175"/>
      <c r="H795" s="182">
        <f>H794*F795</f>
        <v>1352.3455010000002</v>
      </c>
      <c r="I795" s="174">
        <v>0.13</v>
      </c>
      <c r="J795" s="183"/>
      <c r="K795" s="182">
        <f>K794*I795</f>
        <v>325.24345100000022</v>
      </c>
      <c r="L795" s="124">
        <f>K795-H795</f>
        <v>-1027.10205</v>
      </c>
      <c r="M795" s="184">
        <f>IF((H795)=0,"",(L795/H795))</f>
        <v>-0.75949677744371025</v>
      </c>
    </row>
    <row r="796" spans="1:13" ht="15" hidden="1" x14ac:dyDescent="0.25">
      <c r="A796" s="46" t="str">
        <f t="shared" si="111"/>
        <v>EMBEDDED DISTRIBUTOR SERVICE CLASSIFICATION - HYDRO ONE #2</v>
      </c>
      <c r="B796" s="46" t="s">
        <v>141</v>
      </c>
      <c r="C796" s="115"/>
      <c r="D796" s="180" t="s">
        <v>197</v>
      </c>
      <c r="E796"/>
      <c r="F796" s="185">
        <v>0.11700000000000001</v>
      </c>
      <c r="G796" s="175"/>
      <c r="H796" s="182">
        <f>IF(OR(ISNUMBER(SEARCH("[DGEN]", E750))=TRUE, ISNUMBER(SEARCH("STREET LIGHT", E750))=TRUE), 0, IF(AND(E752=0, E753=0),0, IF(AND(E753=0, E752*12&gt;250000), 0, IF(AND(E752=0, E753&gt;=50), 0, IF(E752*12&lt;=250000, F796*H794*-1, IF(E753&lt;50, F796*H794*-1, 0))))))</f>
        <v>0</v>
      </c>
      <c r="I796" s="185">
        <v>0.11700000000000001</v>
      </c>
      <c r="J796" s="183"/>
      <c r="K796" s="182">
        <f>IF(OR(ISNUMBER(SEARCH("[DGEN]", E750))=TRUE, ISNUMBER(SEARCH("STREET LIGHT", E750))=TRUE), 0, IF(AND(E752=0, E753=0),0, IF(AND(E753=0, E752*12&gt;250000), 0, IF(AND(E752=0, E753&gt;=50), 0, IF(E752*12&lt;=250000, I796*K794*-1, IF(E753&lt;50, I796*K794*-1, 0))))))</f>
        <v>0</v>
      </c>
      <c r="L796" s="124"/>
      <c r="M796" s="184"/>
    </row>
    <row r="797" spans="1:13" hidden="1" x14ac:dyDescent="0.2">
      <c r="A797" s="46" t="str">
        <f t="shared" si="111"/>
        <v>EMBEDDED DISTRIBUTOR SERVICE CLASSIFICATION - HYDRO ONE #2</v>
      </c>
      <c r="B797" s="46" t="s">
        <v>201</v>
      </c>
      <c r="C797" s="115"/>
      <c r="D797" s="186" t="s">
        <v>200</v>
      </c>
      <c r="E797" s="186"/>
      <c r="F797" s="196"/>
      <c r="G797" s="195"/>
      <c r="H797" s="189">
        <f>SUM(H794,H795)</f>
        <v>11755.003201000001</v>
      </c>
      <c r="I797" s="196"/>
      <c r="J797" s="196"/>
      <c r="K797" s="189">
        <f>SUM(K794,K795)</f>
        <v>2827.116151000002</v>
      </c>
      <c r="L797" s="197">
        <f>K797-H797</f>
        <v>-8927.8870499999994</v>
      </c>
      <c r="M797" s="198">
        <f>IF((H797)=0,"",(L797/H797))</f>
        <v>-0.75949677744371025</v>
      </c>
    </row>
    <row r="798" spans="1:13" ht="13.5" hidden="1" thickBot="1" x14ac:dyDescent="0.25">
      <c r="A798" s="46" t="str">
        <f t="shared" si="111"/>
        <v>EMBEDDED DISTRIBUTOR SERVICE CLASSIFICATION - HYDRO ONE #2</v>
      </c>
      <c r="B798" s="46" t="s">
        <v>141</v>
      </c>
      <c r="C798" s="115"/>
      <c r="D798" s="165"/>
      <c r="E798" s="166"/>
      <c r="F798" s="199"/>
      <c r="G798" s="200"/>
      <c r="H798" s="201"/>
      <c r="I798" s="199"/>
      <c r="J798" s="168"/>
      <c r="K798" s="201"/>
      <c r="L798" s="202"/>
      <c r="M798" s="172"/>
    </row>
    <row r="799" spans="1:13" x14ac:dyDescent="0.2">
      <c r="A799" s="46" t="str">
        <f t="shared" si="111"/>
        <v>EMBEDDED DISTRIBUTOR SERVICE CLASSIFICATION - HYDRO ONE #2</v>
      </c>
      <c r="B799" s="46" t="s">
        <v>140</v>
      </c>
      <c r="C799" s="115"/>
      <c r="D799" s="173" t="s">
        <v>202</v>
      </c>
      <c r="E799" s="158"/>
      <c r="F799" s="177"/>
      <c r="G799" s="175"/>
      <c r="H799" s="176">
        <f>SUM(H787,H779:H782,H778)</f>
        <v>208743.35079999996</v>
      </c>
      <c r="I799" s="177"/>
      <c r="J799" s="177"/>
      <c r="K799" s="176">
        <f>SUM(K787,K779:K782,K778)</f>
        <v>200842.56579999998</v>
      </c>
      <c r="L799" s="178">
        <f>K799-H799</f>
        <v>-7900.7849999999744</v>
      </c>
      <c r="M799" s="179">
        <f>IF((H799)=0,"",(L799/H799))</f>
        <v>-3.7849277448697427E-2</v>
      </c>
    </row>
    <row r="800" spans="1:13" x14ac:dyDescent="0.2">
      <c r="A800" s="46" t="str">
        <f t="shared" si="111"/>
        <v>EMBEDDED DISTRIBUTOR SERVICE CLASSIFICATION - HYDRO ONE #2</v>
      </c>
      <c r="B800" s="46" t="s">
        <v>140</v>
      </c>
      <c r="C800" s="115"/>
      <c r="D800" s="180" t="s">
        <v>196</v>
      </c>
      <c r="E800" s="158"/>
      <c r="F800" s="174">
        <v>0.13</v>
      </c>
      <c r="G800" s="175"/>
      <c r="H800" s="182">
        <f>H799*F800</f>
        <v>27136.635603999996</v>
      </c>
      <c r="I800" s="174">
        <v>0.13</v>
      </c>
      <c r="J800" s="183"/>
      <c r="K800" s="182">
        <f>K799*I800</f>
        <v>26109.533553999998</v>
      </c>
      <c r="L800" s="124">
        <f>K800-H800</f>
        <v>-1027.1020499999977</v>
      </c>
      <c r="M800" s="184">
        <f>IF((H800)=0,"",(L800/H800))</f>
        <v>-3.7849277448697462E-2</v>
      </c>
    </row>
    <row r="801" spans="1:14" ht="15" x14ac:dyDescent="0.25">
      <c r="A801" s="46" t="str">
        <f t="shared" si="111"/>
        <v>EMBEDDED DISTRIBUTOR SERVICE CLASSIFICATION - HYDRO ONE #2</v>
      </c>
      <c r="B801" s="46" t="s">
        <v>140</v>
      </c>
      <c r="C801" s="115"/>
      <c r="D801" s="180" t="s">
        <v>197</v>
      </c>
      <c r="E801"/>
      <c r="F801" s="185">
        <v>0.11700000000000001</v>
      </c>
      <c r="G801" s="175"/>
      <c r="H801" s="182">
        <f>IF(OR(ISNUMBER(SEARCH("[DGEN]", E750))=TRUE, ISNUMBER(SEARCH("STREET LIGHT", E750))=TRUE), 0, IF(AND(E752=0, E753=0),0, IF(AND(E753=0, E752*12&gt;250000), 0, IF(AND(E752=0, E753&gt;=50), 0, IF(E752*12&lt;=250000, F801*H799*-1, IF(E753&lt;50, F801*H799*-1, 0))))))</f>
        <v>0</v>
      </c>
      <c r="I801" s="185">
        <v>0.11700000000000001</v>
      </c>
      <c r="J801" s="183"/>
      <c r="K801" s="182">
        <f>IF(OR(ISNUMBER(SEARCH("[DGEN]", E750))=TRUE, ISNUMBER(SEARCH("STREET LIGHT", E750))=TRUE), 0, IF(AND(E752=0, E753=0),0, IF(AND(E753=0, E752*12&gt;250000), 0, IF(AND(E752=0, E753&gt;=50), 0, IF(E752*12&lt;=250000, I801*K799*-1, IF(E753&lt;50, I801*K799*-1, 0))))))</f>
        <v>0</v>
      </c>
      <c r="L801" s="124"/>
      <c r="M801" s="184"/>
    </row>
    <row r="802" spans="1:14" ht="13.5" thickBot="1" x14ac:dyDescent="0.25">
      <c r="A802" s="46" t="str">
        <f t="shared" si="111"/>
        <v>EMBEDDED DISTRIBUTOR SERVICE CLASSIFICATION - HYDRO ONE #2</v>
      </c>
      <c r="B802" s="46" t="s">
        <v>203</v>
      </c>
      <c r="C802" s="115">
        <f>B42</f>
        <v>13</v>
      </c>
      <c r="D802" s="186" t="s">
        <v>202</v>
      </c>
      <c r="E802" s="186"/>
      <c r="F802" s="194"/>
      <c r="G802" s="195"/>
      <c r="H802" s="189">
        <f>SUM(H799,H800)</f>
        <v>235879.98640399997</v>
      </c>
      <c r="I802" s="196"/>
      <c r="J802" s="196"/>
      <c r="K802" s="189">
        <f>SUM(K799,K800)</f>
        <v>226952.09935399998</v>
      </c>
      <c r="L802" s="197">
        <f>K802-H802</f>
        <v>-8927.8870499999903</v>
      </c>
      <c r="M802" s="198">
        <f>IF((H802)=0,"",(L802/H802))</f>
        <v>-3.7849277448697503E-2</v>
      </c>
    </row>
    <row r="803" spans="1:14" ht="13.5" thickBot="1" x14ac:dyDescent="0.25">
      <c r="A803" s="46" t="str">
        <f t="shared" si="111"/>
        <v>EMBEDDED DISTRIBUTOR SERVICE CLASSIFICATION - HYDRO ONE #2</v>
      </c>
      <c r="B803" s="46" t="s">
        <v>140</v>
      </c>
      <c r="C803" s="115"/>
      <c r="D803" s="165"/>
      <c r="E803" s="166"/>
      <c r="F803" s="203"/>
      <c r="G803" s="200"/>
      <c r="H803" s="204"/>
      <c r="I803" s="203"/>
      <c r="J803" s="168"/>
      <c r="K803" s="204"/>
      <c r="L803" s="202"/>
      <c r="M803" s="205"/>
    </row>
    <row r="806" spans="1:14" x14ac:dyDescent="0.2">
      <c r="C806" s="46"/>
      <c r="D806" s="90" t="s">
        <v>150</v>
      </c>
      <c r="E806" s="91" t="str">
        <f>D43</f>
        <v>RESIDENTIAL SERVICE CLASSIFICATION</v>
      </c>
      <c r="F806" s="91"/>
      <c r="G806" s="91"/>
      <c r="H806" s="91"/>
      <c r="I806" s="91"/>
      <c r="J806" s="91"/>
      <c r="K806" s="46" t="str">
        <f>IF(N43="DEMAND - INTERVAL","RTSR - INTERVAL METERED","")</f>
        <v/>
      </c>
    </row>
    <row r="807" spans="1:14" x14ac:dyDescent="0.2">
      <c r="C807" s="46"/>
      <c r="D807" s="90" t="s">
        <v>151</v>
      </c>
      <c r="E807" s="92" t="str">
        <f>H43</f>
        <v>RPP</v>
      </c>
      <c r="F807" s="92"/>
      <c r="G807" s="92"/>
      <c r="H807" s="93"/>
      <c r="I807" s="93"/>
    </row>
    <row r="808" spans="1:14" ht="15.75" x14ac:dyDescent="0.2">
      <c r="C808" s="46"/>
      <c r="D808" s="90" t="s">
        <v>152</v>
      </c>
      <c r="E808" s="94">
        <f>K43</f>
        <v>328</v>
      </c>
      <c r="F808" s="95" t="s">
        <v>153</v>
      </c>
      <c r="J808" s="96"/>
      <c r="K808" s="96"/>
      <c r="L808" s="96"/>
      <c r="M808" s="96"/>
      <c r="N808" s="96"/>
    </row>
    <row r="809" spans="1:14" ht="15.75" x14ac:dyDescent="0.25">
      <c r="C809" s="46"/>
      <c r="D809" s="90" t="s">
        <v>154</v>
      </c>
      <c r="E809" s="94">
        <f>L43</f>
        <v>0</v>
      </c>
      <c r="F809" s="97" t="s">
        <v>155</v>
      </c>
      <c r="G809" s="98"/>
      <c r="H809" s="99"/>
      <c r="I809" s="99"/>
      <c r="J809" s="99"/>
    </row>
    <row r="810" spans="1:14" x14ac:dyDescent="0.2">
      <c r="C810" s="46"/>
      <c r="D810" s="90" t="s">
        <v>156</v>
      </c>
      <c r="E810" s="100">
        <f>I43</f>
        <v>1.0306999999999999</v>
      </c>
    </row>
    <row r="811" spans="1:14" x14ac:dyDescent="0.2">
      <c r="C811" s="46"/>
      <c r="D811" s="90" t="s">
        <v>157</v>
      </c>
      <c r="E811" s="100">
        <f>J43</f>
        <v>1.0306999999999999</v>
      </c>
    </row>
    <row r="812" spans="1:14" x14ac:dyDescent="0.2">
      <c r="C812" s="46"/>
    </row>
    <row r="813" spans="1:14" x14ac:dyDescent="0.2">
      <c r="C813" s="46"/>
      <c r="E813" s="95"/>
      <c r="F813" s="101" t="s">
        <v>226</v>
      </c>
      <c r="G813" s="102"/>
      <c r="H813" s="103"/>
      <c r="I813" s="101" t="s">
        <v>205</v>
      </c>
      <c r="J813" s="102"/>
      <c r="K813" s="103"/>
      <c r="L813" s="101" t="s">
        <v>158</v>
      </c>
      <c r="M813" s="103"/>
    </row>
    <row r="814" spans="1:14" x14ac:dyDescent="0.2">
      <c r="C814" s="46"/>
      <c r="E814" s="104"/>
      <c r="F814" s="105" t="s">
        <v>159</v>
      </c>
      <c r="G814" s="105" t="s">
        <v>160</v>
      </c>
      <c r="H814" s="106" t="s">
        <v>161</v>
      </c>
      <c r="I814" s="105" t="s">
        <v>159</v>
      </c>
      <c r="J814" s="107" t="s">
        <v>160</v>
      </c>
      <c r="K814" s="106" t="s">
        <v>161</v>
      </c>
      <c r="L814" s="108" t="s">
        <v>162</v>
      </c>
      <c r="M814" s="109" t="s">
        <v>163</v>
      </c>
    </row>
    <row r="815" spans="1:14" x14ac:dyDescent="0.2">
      <c r="C815" s="46"/>
      <c r="E815" s="110"/>
      <c r="F815" s="111" t="s">
        <v>164</v>
      </c>
      <c r="G815" s="111"/>
      <c r="H815" s="112" t="s">
        <v>164</v>
      </c>
      <c r="I815" s="111" t="s">
        <v>164</v>
      </c>
      <c r="J815" s="112"/>
      <c r="K815" s="112" t="s">
        <v>164</v>
      </c>
      <c r="L815" s="113"/>
      <c r="M815" s="114"/>
    </row>
    <row r="816" spans="1:14" x14ac:dyDescent="0.2">
      <c r="A816" s="46" t="str">
        <f>$E806</f>
        <v>RESIDENTIAL SERVICE CLASSIFICATION</v>
      </c>
      <c r="C816" s="115"/>
      <c r="D816" s="116" t="s">
        <v>165</v>
      </c>
      <c r="E816" s="117"/>
      <c r="F816" s="121">
        <v>30.84</v>
      </c>
      <c r="G816" s="119">
        <v>1</v>
      </c>
      <c r="H816" s="120">
        <f>G816*F816</f>
        <v>30.84</v>
      </c>
      <c r="I816" s="121">
        <v>30.84</v>
      </c>
      <c r="J816" s="122">
        <f>G816</f>
        <v>1</v>
      </c>
      <c r="K816" s="123">
        <f>J816*I816</f>
        <v>30.84</v>
      </c>
      <c r="L816" s="124">
        <f t="shared" ref="L816:L837" si="116">K816-H816</f>
        <v>0</v>
      </c>
      <c r="M816" s="125">
        <f>IF(ISERROR(L816/H816), "", L816/H816)</f>
        <v>0</v>
      </c>
    </row>
    <row r="817" spans="1:14" x14ac:dyDescent="0.2">
      <c r="A817" s="46" t="str">
        <f>A816</f>
        <v>RESIDENTIAL SERVICE CLASSIFICATION</v>
      </c>
      <c r="C817" s="115"/>
      <c r="D817" s="116" t="s">
        <v>30</v>
      </c>
      <c r="E817" s="117"/>
      <c r="F817" s="127">
        <v>0</v>
      </c>
      <c r="G817" s="119">
        <f>IF($E809&gt;0, $E809, $E808)</f>
        <v>328</v>
      </c>
      <c r="H817" s="120">
        <f t="shared" ref="H817:H829" si="117">G817*F817</f>
        <v>0</v>
      </c>
      <c r="I817" s="127">
        <v>0</v>
      </c>
      <c r="J817" s="122">
        <f>IF($E809&gt;0, $E809, $E808)</f>
        <v>328</v>
      </c>
      <c r="K817" s="123">
        <f>J817*I817</f>
        <v>0</v>
      </c>
      <c r="L817" s="124">
        <f t="shared" si="116"/>
        <v>0</v>
      </c>
      <c r="M817" s="125" t="str">
        <f t="shared" ref="M817:M827" si="118">IF(ISERROR(L817/H817), "", L817/H817)</f>
        <v/>
      </c>
    </row>
    <row r="818" spans="1:14" hidden="1" x14ac:dyDescent="0.2">
      <c r="A818" s="46" t="str">
        <f t="shared" ref="A818:A859" si="119">A817</f>
        <v>RESIDENTIAL SERVICE CLASSIFICATION</v>
      </c>
      <c r="C818" s="115"/>
      <c r="D818" s="116" t="s">
        <v>166</v>
      </c>
      <c r="E818" s="117"/>
      <c r="F818" s="127"/>
      <c r="G818" s="119">
        <f>IF($E809&gt;0, $E809, $E808)</f>
        <v>328</v>
      </c>
      <c r="H818" s="120">
        <v>0</v>
      </c>
      <c r="I818" s="127"/>
      <c r="J818" s="122">
        <f>IF($E809&gt;0, $E809, $E808)</f>
        <v>328</v>
      </c>
      <c r="K818" s="123">
        <v>0</v>
      </c>
      <c r="L818" s="124"/>
      <c r="M818" s="125"/>
    </row>
    <row r="819" spans="1:14" hidden="1" x14ac:dyDescent="0.2">
      <c r="A819" s="46" t="str">
        <f t="shared" si="119"/>
        <v>RESIDENTIAL SERVICE CLASSIFICATION</v>
      </c>
      <c r="C819" s="115"/>
      <c r="D819" s="116" t="s">
        <v>167</v>
      </c>
      <c r="E819" s="117"/>
      <c r="F819" s="127"/>
      <c r="G819" s="119">
        <f>IF($E809&gt;0, $E809, $E808)</f>
        <v>328</v>
      </c>
      <c r="H819" s="120">
        <v>0</v>
      </c>
      <c r="I819" s="127"/>
      <c r="J819" s="128">
        <f>IF($E809&gt;0, $E809, $E808)</f>
        <v>328</v>
      </c>
      <c r="K819" s="123">
        <v>0</v>
      </c>
      <c r="L819" s="124">
        <f>K819-H819</f>
        <v>0</v>
      </c>
      <c r="M819" s="125" t="str">
        <f>IF(ISERROR(L819/H819), "", L819/H819)</f>
        <v/>
      </c>
    </row>
    <row r="820" spans="1:14" x14ac:dyDescent="0.2">
      <c r="A820" s="46" t="str">
        <f t="shared" si="119"/>
        <v>RESIDENTIAL SERVICE CLASSIFICATION</v>
      </c>
      <c r="C820" s="115"/>
      <c r="D820" s="116" t="s">
        <v>168</v>
      </c>
      <c r="E820" s="117"/>
      <c r="F820" s="121">
        <v>0.85000000000000009</v>
      </c>
      <c r="G820" s="119">
        <v>1</v>
      </c>
      <c r="H820" s="120">
        <f t="shared" si="117"/>
        <v>0.85000000000000009</v>
      </c>
      <c r="I820" s="121">
        <v>0.85000000000000009</v>
      </c>
      <c r="J820" s="122">
        <f>G820</f>
        <v>1</v>
      </c>
      <c r="K820" s="123">
        <f t="shared" ref="K820:K827" si="120">J820*I820</f>
        <v>0.85000000000000009</v>
      </c>
      <c r="L820" s="124">
        <f t="shared" si="116"/>
        <v>0</v>
      </c>
      <c r="M820" s="125">
        <f t="shared" si="118"/>
        <v>0</v>
      </c>
    </row>
    <row r="821" spans="1:14" x14ac:dyDescent="0.2">
      <c r="A821" s="46" t="str">
        <f t="shared" si="119"/>
        <v>RESIDENTIAL SERVICE CLASSIFICATION</v>
      </c>
      <c r="C821" s="115"/>
      <c r="D821" s="116" t="s">
        <v>169</v>
      </c>
      <c r="E821" s="117"/>
      <c r="F821" s="127">
        <v>0</v>
      </c>
      <c r="G821" s="119">
        <f>IF($E809&gt;0, $E809, $E808)</f>
        <v>328</v>
      </c>
      <c r="H821" s="120">
        <f t="shared" si="117"/>
        <v>0</v>
      </c>
      <c r="I821" s="127">
        <v>0</v>
      </c>
      <c r="J821" s="122">
        <f>IF($E809&gt;0, $E809, $E808)</f>
        <v>328</v>
      </c>
      <c r="K821" s="123">
        <f t="shared" si="120"/>
        <v>0</v>
      </c>
      <c r="L821" s="124">
        <f t="shared" si="116"/>
        <v>0</v>
      </c>
      <c r="M821" s="125" t="str">
        <f t="shared" si="118"/>
        <v/>
      </c>
    </row>
    <row r="822" spans="1:14" x14ac:dyDescent="0.2">
      <c r="A822" s="46" t="str">
        <f t="shared" si="119"/>
        <v>RESIDENTIAL SERVICE CLASSIFICATION</v>
      </c>
      <c r="B822" s="46" t="s">
        <v>170</v>
      </c>
      <c r="C822" s="115">
        <f>B43</f>
        <v>14</v>
      </c>
      <c r="D822" s="129" t="s">
        <v>171</v>
      </c>
      <c r="E822" s="130"/>
      <c r="F822" s="134"/>
      <c r="G822" s="132"/>
      <c r="H822" s="133">
        <f>SUM(H816:H821)</f>
        <v>31.69</v>
      </c>
      <c r="I822" s="134"/>
      <c r="J822" s="135"/>
      <c r="K822" s="133">
        <f>SUM(K816:K821)</f>
        <v>31.69</v>
      </c>
      <c r="L822" s="136">
        <f t="shared" si="116"/>
        <v>0</v>
      </c>
      <c r="M822" s="137">
        <f>IF((H822)=0,"",(L822/H822))</f>
        <v>0</v>
      </c>
    </row>
    <row r="823" spans="1:14" x14ac:dyDescent="0.2">
      <c r="A823" s="46" t="str">
        <f t="shared" si="119"/>
        <v>RESIDENTIAL SERVICE CLASSIFICATION</v>
      </c>
      <c r="C823" s="115"/>
      <c r="D823" s="138" t="s">
        <v>172</v>
      </c>
      <c r="E823" s="117"/>
      <c r="F823" s="127">
        <f>IF((E808*12&gt;=150000), 0, IF(E807="RPP",(F839*0.64+F840*0.18+F841*0.18),IF(E807="Non-RPP (Retailer)",F842,F843)))</f>
        <v>9.2899999999999996E-2</v>
      </c>
      <c r="G823" s="139">
        <f>IF(F823=0, 0, $E808*E810-E808)</f>
        <v>10.06959999999998</v>
      </c>
      <c r="H823" s="120">
        <f>G823*F823</f>
        <v>0.93546583999999811</v>
      </c>
      <c r="I823" s="127">
        <f>IF((E808*12&gt;=150000), 0, IF(E807="RPP",(I839*0.64+I840*0.18+I841*0.18),IF(E807="Non-RPP (Retailer)",I842,I843)))</f>
        <v>9.2899999999999996E-2</v>
      </c>
      <c r="J823" s="140">
        <f>IF(I823=0, 0, E808*E811-E808)</f>
        <v>10.06959999999998</v>
      </c>
      <c r="K823" s="123">
        <f>J823*I823</f>
        <v>0.93546583999999811</v>
      </c>
      <c r="L823" s="124">
        <f>K823-H823</f>
        <v>0</v>
      </c>
      <c r="M823" s="125">
        <f>IF(ISERROR(L823/H823), "", L823/H823)</f>
        <v>0</v>
      </c>
    </row>
    <row r="824" spans="1:14" ht="25.5" x14ac:dyDescent="0.2">
      <c r="A824" s="46" t="str">
        <f t="shared" si="119"/>
        <v>RESIDENTIAL SERVICE CLASSIFICATION</v>
      </c>
      <c r="C824" s="115"/>
      <c r="D824" s="138" t="s">
        <v>173</v>
      </c>
      <c r="E824" s="117"/>
      <c r="F824" s="127">
        <v>1.4E-3</v>
      </c>
      <c r="G824" s="141">
        <f>IF($E809&gt;0, $E809, $E808)</f>
        <v>328</v>
      </c>
      <c r="H824" s="120">
        <f t="shared" si="117"/>
        <v>0.4592</v>
      </c>
      <c r="I824" s="127">
        <f>'Proposed Tariff'!D31+'Proposed Tariff'!D29</f>
        <v>3.4000000000000002E-3</v>
      </c>
      <c r="J824" s="142">
        <f>IF($E809&gt;0, $E809, $E808)</f>
        <v>328</v>
      </c>
      <c r="K824" s="123">
        <f t="shared" si="120"/>
        <v>1.1152000000000002</v>
      </c>
      <c r="L824" s="124">
        <f t="shared" si="116"/>
        <v>0.65600000000000014</v>
      </c>
      <c r="M824" s="125">
        <f t="shared" si="118"/>
        <v>1.4285714285714288</v>
      </c>
    </row>
    <row r="825" spans="1:14" x14ac:dyDescent="0.2">
      <c r="A825" s="46" t="str">
        <f t="shared" si="119"/>
        <v>RESIDENTIAL SERVICE CLASSIFICATION</v>
      </c>
      <c r="C825" s="115"/>
      <c r="D825" s="138" t="s">
        <v>174</v>
      </c>
      <c r="E825" s="117"/>
      <c r="F825" s="127">
        <v>0</v>
      </c>
      <c r="G825" s="141">
        <f>IF($E809&gt;0, $E809, $E808)</f>
        <v>328</v>
      </c>
      <c r="H825" s="120">
        <f>G825*F825</f>
        <v>0</v>
      </c>
      <c r="I825" s="127">
        <v>0</v>
      </c>
      <c r="J825" s="142">
        <f>IF($E809&gt;0, $E809, $E808)</f>
        <v>328</v>
      </c>
      <c r="K825" s="123">
        <f>J825*I825</f>
        <v>0</v>
      </c>
      <c r="L825" s="124">
        <f t="shared" si="116"/>
        <v>0</v>
      </c>
      <c r="M825" s="125" t="str">
        <f t="shared" si="118"/>
        <v/>
      </c>
    </row>
    <row r="826" spans="1:14" x14ac:dyDescent="0.2">
      <c r="A826" s="46" t="str">
        <f t="shared" si="119"/>
        <v>RESIDENTIAL SERVICE CLASSIFICATION</v>
      </c>
      <c r="C826" s="115"/>
      <c r="D826" s="138" t="s">
        <v>175</v>
      </c>
      <c r="E826" s="117"/>
      <c r="F826" s="127">
        <v>0</v>
      </c>
      <c r="G826" s="141">
        <f>E808</f>
        <v>328</v>
      </c>
      <c r="H826" s="120">
        <f>G826*F826</f>
        <v>0</v>
      </c>
      <c r="I826" s="127">
        <v>0</v>
      </c>
      <c r="J826" s="142">
        <f>E808</f>
        <v>328</v>
      </c>
      <c r="K826" s="123">
        <f t="shared" si="120"/>
        <v>0</v>
      </c>
      <c r="L826" s="124">
        <f t="shared" si="116"/>
        <v>0</v>
      </c>
      <c r="M826" s="125" t="str">
        <f t="shared" si="118"/>
        <v/>
      </c>
    </row>
    <row r="827" spans="1:14" x14ac:dyDescent="0.2">
      <c r="A827" s="46" t="str">
        <f t="shared" si="119"/>
        <v>RESIDENTIAL SERVICE CLASSIFICATION</v>
      </c>
      <c r="C827" s="115"/>
      <c r="D827" s="116" t="s">
        <v>176</v>
      </c>
      <c r="E827" s="117"/>
      <c r="F827" s="127">
        <v>2.9999999999999997E-4</v>
      </c>
      <c r="G827" s="141">
        <f>IF($E809&gt;0, $E809, $E808)</f>
        <v>328</v>
      </c>
      <c r="H827" s="120">
        <f t="shared" si="117"/>
        <v>9.8399999999999987E-2</v>
      </c>
      <c r="I827" s="127">
        <v>2.9999999999999997E-4</v>
      </c>
      <c r="J827" s="142">
        <f>IF($E809&gt;0, $E809, $E808)</f>
        <v>328</v>
      </c>
      <c r="K827" s="123">
        <f t="shared" si="120"/>
        <v>9.8399999999999987E-2</v>
      </c>
      <c r="L827" s="124">
        <f t="shared" si="116"/>
        <v>0</v>
      </c>
      <c r="M827" s="125">
        <f t="shared" si="118"/>
        <v>0</v>
      </c>
    </row>
    <row r="828" spans="1:14" ht="25.5" x14ac:dyDescent="0.2">
      <c r="A828" s="46" t="str">
        <f t="shared" si="119"/>
        <v>RESIDENTIAL SERVICE CLASSIFICATION</v>
      </c>
      <c r="C828" s="115"/>
      <c r="D828" s="138" t="s">
        <v>177</v>
      </c>
      <c r="E828" s="117"/>
      <c r="F828" s="144">
        <f>IF(OR(ISNUMBER(SEARCH("RESIDENTIAL", E806))=TRUE, ISNUMBER(SEARCH("GENERAL SERVICE LESS THAN 50", E806))=TRUE), SME, 0)</f>
        <v>0.42</v>
      </c>
      <c r="G828" s="119">
        <v>1</v>
      </c>
      <c r="H828" s="120">
        <f>G828*F828</f>
        <v>0.42</v>
      </c>
      <c r="I828" s="144">
        <f>IF(OR(ISNUMBER(SEARCH("RESIDENTIAL", E806))=TRUE, ISNUMBER(SEARCH("GENERAL SERVICE LESS THAN 50", E806))=TRUE), SME, 0)</f>
        <v>0.42</v>
      </c>
      <c r="J828" s="128">
        <v>1</v>
      </c>
      <c r="K828" s="123">
        <f>J828*I828</f>
        <v>0.42</v>
      </c>
      <c r="L828" s="124">
        <f t="shared" si="116"/>
        <v>0</v>
      </c>
      <c r="M828" s="125">
        <f>IF(ISERROR(L828/H828), "", L828/H828)</f>
        <v>0</v>
      </c>
    </row>
    <row r="829" spans="1:14" x14ac:dyDescent="0.2">
      <c r="A829" s="46" t="str">
        <f t="shared" si="119"/>
        <v>RESIDENTIAL SERVICE CLASSIFICATION</v>
      </c>
      <c r="C829" s="115"/>
      <c r="D829" s="116" t="s">
        <v>178</v>
      </c>
      <c r="E829" s="117"/>
      <c r="F829" s="121">
        <v>0</v>
      </c>
      <c r="G829" s="119">
        <v>1</v>
      </c>
      <c r="H829" s="120">
        <f t="shared" si="117"/>
        <v>0</v>
      </c>
      <c r="I829" s="121">
        <v>0</v>
      </c>
      <c r="J829" s="128">
        <v>1</v>
      </c>
      <c r="K829" s="123">
        <f>J829*I829</f>
        <v>0</v>
      </c>
      <c r="L829" s="124">
        <f>K829-H829</f>
        <v>0</v>
      </c>
      <c r="M829" s="125" t="str">
        <f>IF(ISERROR(L829/H829), "", L829/H829)</f>
        <v/>
      </c>
    </row>
    <row r="830" spans="1:14" x14ac:dyDescent="0.2">
      <c r="A830" s="46" t="str">
        <f t="shared" si="119"/>
        <v>RESIDENTIAL SERVICE CLASSIFICATION</v>
      </c>
      <c r="C830" s="115"/>
      <c r="D830" s="116" t="s">
        <v>179</v>
      </c>
      <c r="E830" s="117"/>
      <c r="F830" s="127">
        <v>0</v>
      </c>
      <c r="G830" s="141">
        <f>IF($E809&gt;0, $E809, $E808)</f>
        <v>328</v>
      </c>
      <c r="H830" s="120">
        <f>G830*F830</f>
        <v>0</v>
      </c>
      <c r="I830" s="127">
        <v>0</v>
      </c>
      <c r="J830" s="142">
        <f>IF($E809&gt;0, $E809, $E808)</f>
        <v>328</v>
      </c>
      <c r="K830" s="123">
        <f>J830*I830</f>
        <v>0</v>
      </c>
      <c r="L830" s="124">
        <f t="shared" si="116"/>
        <v>0</v>
      </c>
      <c r="M830" s="125" t="str">
        <f>IF(ISERROR(L830/H830), "", L830/H830)</f>
        <v/>
      </c>
    </row>
    <row r="831" spans="1:14" ht="25.5" x14ac:dyDescent="0.2">
      <c r="A831" s="46" t="str">
        <f t="shared" si="119"/>
        <v>RESIDENTIAL SERVICE CLASSIFICATION</v>
      </c>
      <c r="B831" s="46" t="s">
        <v>180</v>
      </c>
      <c r="C831" s="115">
        <f>B43</f>
        <v>14</v>
      </c>
      <c r="D831" s="145" t="s">
        <v>181</v>
      </c>
      <c r="E831" s="146"/>
      <c r="F831" s="150"/>
      <c r="G831" s="148"/>
      <c r="H831" s="149">
        <f>SUM(H822:H830)</f>
        <v>33.603065839999999</v>
      </c>
      <c r="I831" s="150"/>
      <c r="J831" s="151"/>
      <c r="K831" s="149">
        <f>SUM(K822:K830)</f>
        <v>34.259065839999998</v>
      </c>
      <c r="L831" s="136">
        <f t="shared" si="116"/>
        <v>0.65599999999999881</v>
      </c>
      <c r="M831" s="137">
        <f>IF((H831)=0,"",(L831/H831))</f>
        <v>1.9522028231695385E-2</v>
      </c>
    </row>
    <row r="832" spans="1:14" x14ac:dyDescent="0.2">
      <c r="A832" s="46" t="str">
        <f t="shared" si="119"/>
        <v>RESIDENTIAL SERVICE CLASSIFICATION</v>
      </c>
      <c r="C832" s="115"/>
      <c r="D832" s="152" t="s">
        <v>182</v>
      </c>
      <c r="E832" s="117"/>
      <c r="F832" s="153">
        <v>8.9999999999999993E-3</v>
      </c>
      <c r="G832" s="139">
        <f>IF($E809&gt;0, $E809, $E808*$E810)</f>
        <v>338.06959999999998</v>
      </c>
      <c r="H832" s="120">
        <f>G832*F832</f>
        <v>3.0426263999999996</v>
      </c>
      <c r="I832" s="153">
        <v>8.9999999999999993E-3</v>
      </c>
      <c r="J832" s="140">
        <f>IF($E809&gt;0, $E809, $E808*$E811)</f>
        <v>338.06959999999998</v>
      </c>
      <c r="K832" s="123">
        <f>J832*I832</f>
        <v>3.0426263999999996</v>
      </c>
      <c r="L832" s="124">
        <f t="shared" si="116"/>
        <v>0</v>
      </c>
      <c r="M832" s="125">
        <f>IF(ISERROR(L832/H832), "", L832/H832)</f>
        <v>0</v>
      </c>
      <c r="N832" s="154" t="str">
        <f>IF(ISERROR(ABS(M832)), "", IF(ABS(M832)&gt;=4%, "In the manager's summary, discuss the reasoning for the change in RTSR rates", ""))</f>
        <v/>
      </c>
    </row>
    <row r="833" spans="1:14" ht="25.5" x14ac:dyDescent="0.2">
      <c r="A833" s="46" t="str">
        <f t="shared" si="119"/>
        <v>RESIDENTIAL SERVICE CLASSIFICATION</v>
      </c>
      <c r="C833" s="115"/>
      <c r="D833" s="155" t="s">
        <v>183</v>
      </c>
      <c r="E833" s="117"/>
      <c r="F833" s="153">
        <v>5.0000000000000001E-3</v>
      </c>
      <c r="G833" s="139">
        <f>IF($E809&gt;0, $E809, $E808*$E810)</f>
        <v>338.06959999999998</v>
      </c>
      <c r="H833" s="120">
        <f>G833*F833</f>
        <v>1.690348</v>
      </c>
      <c r="I833" s="153">
        <v>5.0000000000000001E-3</v>
      </c>
      <c r="J833" s="140">
        <f>IF($E809&gt;0, $E809, $E808*$E811)</f>
        <v>338.06959999999998</v>
      </c>
      <c r="K833" s="123">
        <f>J833*I833</f>
        <v>1.690348</v>
      </c>
      <c r="L833" s="124">
        <f t="shared" si="116"/>
        <v>0</v>
      </c>
      <c r="M833" s="125">
        <f>IF(ISERROR(L833/H833), "", L833/H833)</f>
        <v>0</v>
      </c>
      <c r="N833" s="154" t="str">
        <f>IF(ISERROR(ABS(M833)), "", IF(ABS(M833)&gt;=4%, "In the manager's summary, discuss the reasoning for the change in RTSR rates", ""))</f>
        <v/>
      </c>
    </row>
    <row r="834" spans="1:14" ht="25.5" x14ac:dyDescent="0.2">
      <c r="A834" s="46" t="str">
        <f t="shared" si="119"/>
        <v>RESIDENTIAL SERVICE CLASSIFICATION</v>
      </c>
      <c r="B834" s="46" t="s">
        <v>184</v>
      </c>
      <c r="C834" s="115">
        <f>B43</f>
        <v>14</v>
      </c>
      <c r="D834" s="145" t="s">
        <v>185</v>
      </c>
      <c r="E834" s="130"/>
      <c r="F834" s="150"/>
      <c r="G834" s="148"/>
      <c r="H834" s="149">
        <f>SUM(H831:H833)</f>
        <v>38.336040240000003</v>
      </c>
      <c r="I834" s="150"/>
      <c r="J834" s="135"/>
      <c r="K834" s="149">
        <f>SUM(K831:K833)</f>
        <v>38.992040239999994</v>
      </c>
      <c r="L834" s="136">
        <f t="shared" si="116"/>
        <v>0.6559999999999917</v>
      </c>
      <c r="M834" s="137">
        <f>IF((H834)=0,"",(L834/H834))</f>
        <v>1.7111835126767169E-2</v>
      </c>
    </row>
    <row r="835" spans="1:14" ht="25.5" x14ac:dyDescent="0.2">
      <c r="A835" s="46" t="str">
        <f t="shared" si="119"/>
        <v>RESIDENTIAL SERVICE CLASSIFICATION</v>
      </c>
      <c r="C835" s="115"/>
      <c r="D835" s="156" t="s">
        <v>186</v>
      </c>
      <c r="E835" s="117"/>
      <c r="F835" s="127">
        <f>'[1]17. Regulatory Charges'!$E$15+'[1]17. Regulatory Charges'!$E$16</f>
        <v>3.4000000000000002E-3</v>
      </c>
      <c r="G835" s="139">
        <f>E808*E810</f>
        <v>338.06959999999998</v>
      </c>
      <c r="H835" s="157">
        <f t="shared" ref="H835:H841" si="121">G835*F835</f>
        <v>1.14943664</v>
      </c>
      <c r="I835" s="127">
        <f>'[1]17. Regulatory Charges'!$E$15+'[1]17. Regulatory Charges'!$E$16</f>
        <v>3.4000000000000002E-3</v>
      </c>
      <c r="J835" s="140">
        <f>E808*E811</f>
        <v>338.06959999999998</v>
      </c>
      <c r="K835" s="123">
        <f t="shared" ref="K835:K841" si="122">J835*I835</f>
        <v>1.14943664</v>
      </c>
      <c r="L835" s="124">
        <f t="shared" si="116"/>
        <v>0</v>
      </c>
      <c r="M835" s="125">
        <f t="shared" ref="M835:M843" si="123">IF(ISERROR(L835/H835), "", L835/H835)</f>
        <v>0</v>
      </c>
    </row>
    <row r="836" spans="1:14" ht="25.5" x14ac:dyDescent="0.2">
      <c r="A836" s="46" t="str">
        <f t="shared" si="119"/>
        <v>RESIDENTIAL SERVICE CLASSIFICATION</v>
      </c>
      <c r="C836" s="115"/>
      <c r="D836" s="156" t="s">
        <v>187</v>
      </c>
      <c r="E836" s="117"/>
      <c r="F836" s="127">
        <f>'[1]17. Regulatory Charges'!$E$17</f>
        <v>5.0000000000000001E-4</v>
      </c>
      <c r="G836" s="139">
        <f>E808*E810</f>
        <v>338.06959999999998</v>
      </c>
      <c r="H836" s="157">
        <f t="shared" si="121"/>
        <v>0.16903479999999999</v>
      </c>
      <c r="I836" s="127">
        <f>'[1]17. Regulatory Charges'!$E$17</f>
        <v>5.0000000000000001E-4</v>
      </c>
      <c r="J836" s="140">
        <f>E808*E811</f>
        <v>338.06959999999998</v>
      </c>
      <c r="K836" s="123">
        <f t="shared" si="122"/>
        <v>0.16903479999999999</v>
      </c>
      <c r="L836" s="124">
        <f t="shared" si="116"/>
        <v>0</v>
      </c>
      <c r="M836" s="125">
        <f t="shared" si="123"/>
        <v>0</v>
      </c>
    </row>
    <row r="837" spans="1:14" x14ac:dyDescent="0.2">
      <c r="A837" s="46" t="str">
        <f t="shared" si="119"/>
        <v>RESIDENTIAL SERVICE CLASSIFICATION</v>
      </c>
      <c r="C837" s="115"/>
      <c r="D837" s="158" t="s">
        <v>188</v>
      </c>
      <c r="E837" s="117"/>
      <c r="F837" s="144">
        <f>'[1]17. Regulatory Charges'!$E$18</f>
        <v>0.25</v>
      </c>
      <c r="G837" s="119">
        <v>1</v>
      </c>
      <c r="H837" s="157">
        <f t="shared" si="121"/>
        <v>0.25</v>
      </c>
      <c r="I837" s="144">
        <f>'[1]17. Regulatory Charges'!$E$18</f>
        <v>0.25</v>
      </c>
      <c r="J837" s="122">
        <v>1</v>
      </c>
      <c r="K837" s="123">
        <f t="shared" si="122"/>
        <v>0.25</v>
      </c>
      <c r="L837" s="124">
        <f t="shared" si="116"/>
        <v>0</v>
      </c>
      <c r="M837" s="125">
        <f t="shared" si="123"/>
        <v>0</v>
      </c>
    </row>
    <row r="838" spans="1:14" ht="25.5" hidden="1" x14ac:dyDescent="0.2">
      <c r="A838" s="46" t="str">
        <f t="shared" si="119"/>
        <v>RESIDENTIAL SERVICE CLASSIFICATION</v>
      </c>
      <c r="C838" s="115"/>
      <c r="D838" s="156" t="s">
        <v>189</v>
      </c>
      <c r="E838" s="117"/>
      <c r="F838" s="127"/>
      <c r="G838" s="139"/>
      <c r="H838" s="157"/>
      <c r="I838" s="127"/>
      <c r="J838" s="140"/>
      <c r="K838" s="123"/>
      <c r="L838" s="124"/>
      <c r="M838" s="125"/>
    </row>
    <row r="839" spans="1:14" x14ac:dyDescent="0.2">
      <c r="A839" s="46" t="str">
        <f t="shared" si="119"/>
        <v>RESIDENTIAL SERVICE CLASSIFICATION</v>
      </c>
      <c r="B839" s="46" t="s">
        <v>139</v>
      </c>
      <c r="C839" s="115"/>
      <c r="D839" s="158" t="s">
        <v>190</v>
      </c>
      <c r="E839" s="117"/>
      <c r="F839" s="161">
        <f>OffPeak</f>
        <v>7.3999999999999996E-2</v>
      </c>
      <c r="G839" s="160">
        <f>IF(AND(E808*12&gt;=150000),0.64*E808*E810,0.64*E808)</f>
        <v>209.92000000000002</v>
      </c>
      <c r="H839" s="157">
        <f t="shared" si="121"/>
        <v>15.534080000000001</v>
      </c>
      <c r="I839" s="161">
        <f>OffPeak</f>
        <v>7.3999999999999996E-2</v>
      </c>
      <c r="J839" s="162">
        <f>IF(AND(E808*12&gt;=150000),0.64*E808*E811,0.64*E808)</f>
        <v>209.92000000000002</v>
      </c>
      <c r="K839" s="123">
        <f t="shared" si="122"/>
        <v>15.534080000000001</v>
      </c>
      <c r="L839" s="124">
        <f>K839-H839</f>
        <v>0</v>
      </c>
      <c r="M839" s="125">
        <f t="shared" si="123"/>
        <v>0</v>
      </c>
    </row>
    <row r="840" spans="1:14" x14ac:dyDescent="0.2">
      <c r="A840" s="46" t="str">
        <f t="shared" si="119"/>
        <v>RESIDENTIAL SERVICE CLASSIFICATION</v>
      </c>
      <c r="B840" s="46" t="s">
        <v>139</v>
      </c>
      <c r="C840" s="115"/>
      <c r="D840" s="158" t="s">
        <v>191</v>
      </c>
      <c r="E840" s="117"/>
      <c r="F840" s="161">
        <f>MidPeak</f>
        <v>0.10199999999999999</v>
      </c>
      <c r="G840" s="160">
        <f>IF(AND(E808*12&gt;=150000),0.18*E808*E810,0.18*E808)</f>
        <v>59.04</v>
      </c>
      <c r="H840" s="157">
        <f t="shared" si="121"/>
        <v>6.0220799999999999</v>
      </c>
      <c r="I840" s="161">
        <f>MidPeak</f>
        <v>0.10199999999999999</v>
      </c>
      <c r="J840" s="162">
        <f>IF(AND(E808*12&gt;=150000),0.18*E808*E811,0.18*E808)</f>
        <v>59.04</v>
      </c>
      <c r="K840" s="123">
        <f t="shared" si="122"/>
        <v>6.0220799999999999</v>
      </c>
      <c r="L840" s="124">
        <f>K840-H840</f>
        <v>0</v>
      </c>
      <c r="M840" s="125">
        <f t="shared" si="123"/>
        <v>0</v>
      </c>
    </row>
    <row r="841" spans="1:14" ht="13.5" thickBot="1" x14ac:dyDescent="0.25">
      <c r="A841" s="46" t="str">
        <f t="shared" si="119"/>
        <v>RESIDENTIAL SERVICE CLASSIFICATION</v>
      </c>
      <c r="B841" s="46" t="s">
        <v>139</v>
      </c>
      <c r="C841" s="115"/>
      <c r="D841" s="46" t="s">
        <v>192</v>
      </c>
      <c r="E841" s="117"/>
      <c r="F841" s="161">
        <f>OnPeak</f>
        <v>0.151</v>
      </c>
      <c r="G841" s="160">
        <f>IF(AND(E808*12&gt;=150000),0.18*E808*E810,0.18*E808)</f>
        <v>59.04</v>
      </c>
      <c r="H841" s="157">
        <f t="shared" si="121"/>
        <v>8.9150399999999994</v>
      </c>
      <c r="I841" s="161">
        <f>OnPeak</f>
        <v>0.151</v>
      </c>
      <c r="J841" s="162">
        <f>IF(AND(E808*12&gt;=150000),0.18*E808*E811,0.18*E808)</f>
        <v>59.04</v>
      </c>
      <c r="K841" s="123">
        <f t="shared" si="122"/>
        <v>8.9150399999999994</v>
      </c>
      <c r="L841" s="124">
        <f>K841-H841</f>
        <v>0</v>
      </c>
      <c r="M841" s="125">
        <f t="shared" si="123"/>
        <v>0</v>
      </c>
    </row>
    <row r="842" spans="1:14" ht="13.5" hidden="1" thickBot="1" x14ac:dyDescent="0.25">
      <c r="A842" s="46" t="str">
        <f t="shared" si="119"/>
        <v>RESIDENTIAL SERVICE CLASSIFICATION</v>
      </c>
      <c r="B842" s="46" t="s">
        <v>141</v>
      </c>
      <c r="C842" s="115"/>
      <c r="D842" s="158" t="s">
        <v>193</v>
      </c>
      <c r="E842" s="117"/>
      <c r="F842" s="164">
        <f>C842</f>
        <v>0</v>
      </c>
      <c r="G842" s="160">
        <f>IF(AND(E808*12&gt;=150000),E808*E810,E808)</f>
        <v>328</v>
      </c>
      <c r="H842" s="157">
        <f>G842*F842</f>
        <v>0</v>
      </c>
      <c r="I842" s="164">
        <f>F842</f>
        <v>0</v>
      </c>
      <c r="J842" s="162">
        <f>IF(AND(E808*12&gt;=150000),E808*E811,E808)</f>
        <v>328</v>
      </c>
      <c r="K842" s="123">
        <f>J842*I842</f>
        <v>0</v>
      </c>
      <c r="L842" s="124">
        <f>K842-H842</f>
        <v>0</v>
      </c>
      <c r="M842" s="125" t="str">
        <f t="shared" si="123"/>
        <v/>
      </c>
    </row>
    <row r="843" spans="1:14" ht="13.5" hidden="1" thickBot="1" x14ac:dyDescent="0.25">
      <c r="A843" s="46" t="str">
        <f t="shared" si="119"/>
        <v>RESIDENTIAL SERVICE CLASSIFICATION</v>
      </c>
      <c r="B843" s="46" t="s">
        <v>140</v>
      </c>
      <c r="C843" s="115"/>
      <c r="D843" s="158" t="s">
        <v>194</v>
      </c>
      <c r="E843" s="117"/>
      <c r="F843" s="164">
        <f>C843</f>
        <v>0</v>
      </c>
      <c r="G843" s="160">
        <f>IF(AND(E808*12&gt;=150000),E808*E810,E808)</f>
        <v>328</v>
      </c>
      <c r="H843" s="157">
        <f>G843*F843</f>
        <v>0</v>
      </c>
      <c r="I843" s="164">
        <f>F843</f>
        <v>0</v>
      </c>
      <c r="J843" s="162">
        <f>IF(AND(E808*12&gt;=150000),E808*E811,E808)</f>
        <v>328</v>
      </c>
      <c r="K843" s="123">
        <f>J843*I843</f>
        <v>0</v>
      </c>
      <c r="L843" s="124">
        <f>K843-H843</f>
        <v>0</v>
      </c>
      <c r="M843" s="125" t="str">
        <f t="shared" si="123"/>
        <v/>
      </c>
    </row>
    <row r="844" spans="1:14" ht="13.5" thickBot="1" x14ac:dyDescent="0.25">
      <c r="A844" s="46" t="str">
        <f t="shared" si="119"/>
        <v>RESIDENTIAL SERVICE CLASSIFICATION</v>
      </c>
      <c r="C844" s="115"/>
      <c r="D844" s="165"/>
      <c r="E844" s="166"/>
      <c r="F844" s="167"/>
      <c r="G844" s="168"/>
      <c r="H844" s="169"/>
      <c r="I844" s="167"/>
      <c r="J844" s="170"/>
      <c r="K844" s="169"/>
      <c r="L844" s="171"/>
      <c r="M844" s="172"/>
    </row>
    <row r="845" spans="1:14" x14ac:dyDescent="0.2">
      <c r="A845" s="46" t="str">
        <f t="shared" si="119"/>
        <v>RESIDENTIAL SERVICE CLASSIFICATION</v>
      </c>
      <c r="B845" s="46" t="s">
        <v>139</v>
      </c>
      <c r="C845" s="115"/>
      <c r="D845" s="173" t="s">
        <v>195</v>
      </c>
      <c r="E845" s="158"/>
      <c r="F845" s="177"/>
      <c r="G845" s="175"/>
      <c r="H845" s="176">
        <f>SUM(H835:H841,H834)</f>
        <v>70.375711679999995</v>
      </c>
      <c r="I845" s="177"/>
      <c r="J845" s="177"/>
      <c r="K845" s="176">
        <f>SUM(K835:K841,K834)</f>
        <v>71.031711680000001</v>
      </c>
      <c r="L845" s="178">
        <f>K845-H845</f>
        <v>0.65600000000000591</v>
      </c>
      <c r="M845" s="179">
        <f>IF((H845)=0,"",(L845/H845))</f>
        <v>9.3213977427731489E-3</v>
      </c>
    </row>
    <row r="846" spans="1:14" x14ac:dyDescent="0.2">
      <c r="A846" s="46" t="str">
        <f t="shared" si="119"/>
        <v>RESIDENTIAL SERVICE CLASSIFICATION</v>
      </c>
      <c r="B846" s="46" t="s">
        <v>139</v>
      </c>
      <c r="C846" s="115"/>
      <c r="D846" s="180" t="s">
        <v>196</v>
      </c>
      <c r="E846" s="158"/>
      <c r="F846" s="183">
        <v>0.13</v>
      </c>
      <c r="G846" s="181"/>
      <c r="H846" s="182">
        <f>H845*F846</f>
        <v>9.1488425184000004</v>
      </c>
      <c r="I846" s="183">
        <v>0.13</v>
      </c>
      <c r="J846" s="119"/>
      <c r="K846" s="182">
        <f>K845*I846</f>
        <v>9.2341225183999995</v>
      </c>
      <c r="L846" s="124">
        <f>K846-H846</f>
        <v>8.5279999999999134E-2</v>
      </c>
      <c r="M846" s="184">
        <f>IF((H846)=0,"",(L846/H846))</f>
        <v>9.3213977427729702E-3</v>
      </c>
    </row>
    <row r="847" spans="1:14" ht="15" x14ac:dyDescent="0.25">
      <c r="A847" s="46" t="str">
        <f t="shared" si="119"/>
        <v>RESIDENTIAL SERVICE CLASSIFICATION</v>
      </c>
      <c r="B847" s="46" t="s">
        <v>139</v>
      </c>
      <c r="C847" s="115"/>
      <c r="D847" s="180" t="s">
        <v>197</v>
      </c>
      <c r="E847"/>
      <c r="F847" s="185">
        <v>0.11700000000000001</v>
      </c>
      <c r="G847" s="181"/>
      <c r="H847" s="182">
        <f>IF(OR(ISNUMBER(SEARCH("[DGEN]", E806))=TRUE, ISNUMBER(SEARCH("STREET LIGHT", E806))=TRUE), 0, IF(AND(E808=0, E809=0),0, IF(AND(E809=0, E808*12&gt;250000), 0, IF(AND(E808=0, E809&gt;=50), 0, IF(E808*12&lt;=250000, F847*H845*-1, IF(E809&lt;50, F847*H845*-1, 0))))))</f>
        <v>-8.2339582665600002</v>
      </c>
      <c r="I847" s="185">
        <v>0.11700000000000001</v>
      </c>
      <c r="J847" s="119"/>
      <c r="K847" s="182">
        <f>IF(OR(ISNUMBER(SEARCH("[DGEN]", E806))=TRUE, ISNUMBER(SEARCH("STREET LIGHT", E806))=TRUE), 0, IF(AND(E808=0, E809=0),0, IF(AND(E809=0, E808*12&gt;250000), 0, IF(AND(E808=0, E809&gt;=50), 0, IF(E808*12&lt;=250000, I847*K845*-1, IF(E809&lt;50, I847*K845*-1, 0))))))</f>
        <v>-8.310710266560001</v>
      </c>
      <c r="L847" s="124">
        <f>K847-H847</f>
        <v>-7.675200000000082E-2</v>
      </c>
      <c r="M847" s="184"/>
    </row>
    <row r="848" spans="1:14" ht="13.5" thickBot="1" x14ac:dyDescent="0.25">
      <c r="A848" s="46" t="str">
        <f t="shared" si="119"/>
        <v>RESIDENTIAL SERVICE CLASSIFICATION</v>
      </c>
      <c r="B848" s="46" t="s">
        <v>198</v>
      </c>
      <c r="C848" s="115">
        <f>B43</f>
        <v>14</v>
      </c>
      <c r="D848" s="186" t="s">
        <v>199</v>
      </c>
      <c r="E848" s="186"/>
      <c r="F848" s="187"/>
      <c r="G848" s="188"/>
      <c r="H848" s="189">
        <f>H845+H846+H847</f>
        <v>71.290595931840002</v>
      </c>
      <c r="I848" s="190"/>
      <c r="J848" s="190"/>
      <c r="K848" s="191">
        <f>K845+K846+K847</f>
        <v>71.955123931840006</v>
      </c>
      <c r="L848" s="192">
        <f>K848-H848</f>
        <v>0.66452800000000423</v>
      </c>
      <c r="M848" s="193">
        <f>IF((H848)=0,"",(L848/H848))</f>
        <v>9.3213977427731229E-3</v>
      </c>
    </row>
    <row r="849" spans="1:14" ht="13.5" thickBot="1" x14ac:dyDescent="0.25">
      <c r="A849" s="46" t="str">
        <f t="shared" si="119"/>
        <v>RESIDENTIAL SERVICE CLASSIFICATION</v>
      </c>
      <c r="B849" s="46" t="s">
        <v>139</v>
      </c>
      <c r="C849" s="115"/>
      <c r="D849" s="165"/>
      <c r="E849" s="166"/>
      <c r="F849" s="167"/>
      <c r="G849" s="168"/>
      <c r="H849" s="169"/>
      <c r="I849" s="167"/>
      <c r="J849" s="170"/>
      <c r="K849" s="169"/>
      <c r="L849" s="171"/>
      <c r="M849" s="172"/>
    </row>
    <row r="850" spans="1:14" hidden="1" x14ac:dyDescent="0.2">
      <c r="A850" s="46" t="str">
        <f t="shared" si="119"/>
        <v>RESIDENTIAL SERVICE CLASSIFICATION</v>
      </c>
      <c r="B850" s="46" t="s">
        <v>141</v>
      </c>
      <c r="C850" s="115"/>
      <c r="D850" s="173" t="s">
        <v>200</v>
      </c>
      <c r="E850" s="158"/>
      <c r="F850" s="174"/>
      <c r="G850" s="175"/>
      <c r="H850" s="176">
        <f>SUM(H842,H835:H838,H834)</f>
        <v>39.904511680000006</v>
      </c>
      <c r="I850" s="177"/>
      <c r="J850" s="177"/>
      <c r="K850" s="176">
        <f>SUM(K842,K835:K838,K834)</f>
        <v>40.560511679999998</v>
      </c>
      <c r="L850" s="178">
        <f>K850-H850</f>
        <v>0.6559999999999917</v>
      </c>
      <c r="M850" s="179">
        <f>IF((H850)=0,"",(L850/H850))</f>
        <v>1.6439243894538783E-2</v>
      </c>
    </row>
    <row r="851" spans="1:14" hidden="1" x14ac:dyDescent="0.2">
      <c r="A851" s="46" t="str">
        <f t="shared" si="119"/>
        <v>RESIDENTIAL SERVICE CLASSIFICATION</v>
      </c>
      <c r="B851" s="46" t="s">
        <v>141</v>
      </c>
      <c r="C851" s="115"/>
      <c r="D851" s="180" t="s">
        <v>196</v>
      </c>
      <c r="E851" s="158"/>
      <c r="F851" s="174">
        <v>0.13</v>
      </c>
      <c r="G851" s="175"/>
      <c r="H851" s="182">
        <f>H850*F851</f>
        <v>5.1875865184000007</v>
      </c>
      <c r="I851" s="174">
        <v>0.13</v>
      </c>
      <c r="J851" s="183"/>
      <c r="K851" s="182">
        <f>K850*I851</f>
        <v>5.2728665183999999</v>
      </c>
      <c r="L851" s="124">
        <f>K851-H851</f>
        <v>8.5279999999999134E-2</v>
      </c>
      <c r="M851" s="184">
        <f>IF((H851)=0,"",(L851/H851))</f>
        <v>1.6439243894538824E-2</v>
      </c>
    </row>
    <row r="852" spans="1:14" ht="15" hidden="1" x14ac:dyDescent="0.25">
      <c r="A852" s="46" t="str">
        <f t="shared" si="119"/>
        <v>RESIDENTIAL SERVICE CLASSIFICATION</v>
      </c>
      <c r="B852" s="46" t="s">
        <v>141</v>
      </c>
      <c r="C852" s="115"/>
      <c r="D852" s="180" t="s">
        <v>197</v>
      </c>
      <c r="E852"/>
      <c r="F852" s="185">
        <v>0.11700000000000001</v>
      </c>
      <c r="G852" s="175"/>
      <c r="H852" s="182">
        <f>IF(OR(ISNUMBER(SEARCH("[DGEN]", E806))=TRUE, ISNUMBER(SEARCH("STREET LIGHT", E806))=TRUE), 0, IF(AND(E808=0, E809=0),0, IF(AND(E809=0, E808*12&gt;250000), 0, IF(AND(E808=0, E809&gt;=50), 0, IF(E808*12&lt;=250000, F852*H850*-1, IF(E809&lt;50, F852*H850*-1, 0))))))</f>
        <v>-4.6688278665600009</v>
      </c>
      <c r="I852" s="185">
        <v>0.11700000000000001</v>
      </c>
      <c r="J852" s="183"/>
      <c r="K852" s="182">
        <f>IF(OR(ISNUMBER(SEARCH("[DGEN]", E806))=TRUE, ISNUMBER(SEARCH("STREET LIGHT", E806))=TRUE), 0, IF(AND(E808=0, E809=0),0, IF(AND(E809=0, E808*12&gt;250000), 0, IF(AND(E808=0, E809&gt;=50), 0, IF(E808*12&lt;=250000, I852*K850*-1, IF(E809&lt;50, I852*K850*-1, 0))))))</f>
        <v>-4.74557986656</v>
      </c>
      <c r="L852" s="124"/>
      <c r="M852" s="184"/>
    </row>
    <row r="853" spans="1:14" hidden="1" x14ac:dyDescent="0.2">
      <c r="A853" s="46" t="str">
        <f t="shared" si="119"/>
        <v>RESIDENTIAL SERVICE CLASSIFICATION</v>
      </c>
      <c r="B853" s="46" t="s">
        <v>201</v>
      </c>
      <c r="C853" s="115"/>
      <c r="D853" s="186" t="s">
        <v>200</v>
      </c>
      <c r="E853" s="186"/>
      <c r="F853" s="194"/>
      <c r="G853" s="195"/>
      <c r="H853" s="189">
        <f>SUM(H850,H851)</f>
        <v>45.092098198400009</v>
      </c>
      <c r="I853" s="196"/>
      <c r="J853" s="196"/>
      <c r="K853" s="189">
        <f>SUM(K850,K851)</f>
        <v>45.833378198399998</v>
      </c>
      <c r="L853" s="197">
        <f>K853-H853</f>
        <v>0.74127999999998906</v>
      </c>
      <c r="M853" s="198">
        <f>IF((H853)=0,"",(L853/H853))</f>
        <v>1.6439243894538748E-2</v>
      </c>
    </row>
    <row r="854" spans="1:14" ht="13.5" hidden="1" thickBot="1" x14ac:dyDescent="0.25">
      <c r="A854" s="46" t="str">
        <f t="shared" si="119"/>
        <v>RESIDENTIAL SERVICE CLASSIFICATION</v>
      </c>
      <c r="B854" s="46" t="s">
        <v>141</v>
      </c>
      <c r="C854" s="115"/>
      <c r="D854" s="165"/>
      <c r="E854" s="166"/>
      <c r="F854" s="199"/>
      <c r="G854" s="200"/>
      <c r="H854" s="201"/>
      <c r="I854" s="199"/>
      <c r="J854" s="168"/>
      <c r="K854" s="201"/>
      <c r="L854" s="202"/>
      <c r="M854" s="172"/>
    </row>
    <row r="855" spans="1:14" hidden="1" x14ac:dyDescent="0.2">
      <c r="A855" s="46" t="str">
        <f t="shared" si="119"/>
        <v>RESIDENTIAL SERVICE CLASSIFICATION</v>
      </c>
      <c r="B855" s="46" t="s">
        <v>140</v>
      </c>
      <c r="C855" s="115"/>
      <c r="D855" s="173" t="s">
        <v>202</v>
      </c>
      <c r="E855" s="158"/>
      <c r="F855" s="174"/>
      <c r="G855" s="175"/>
      <c r="H855" s="176">
        <f>SUM(H843,H835:H838,H834)</f>
        <v>39.904511680000006</v>
      </c>
      <c r="I855" s="177"/>
      <c r="J855" s="177"/>
      <c r="K855" s="176">
        <f>SUM(K843,K835:K838,K834)</f>
        <v>40.560511679999998</v>
      </c>
      <c r="L855" s="178">
        <f>K855-H855</f>
        <v>0.6559999999999917</v>
      </c>
      <c r="M855" s="179">
        <f>IF((H855)=0,"",(L855/H855))</f>
        <v>1.6439243894538783E-2</v>
      </c>
    </row>
    <row r="856" spans="1:14" hidden="1" x14ac:dyDescent="0.2">
      <c r="A856" s="46" t="str">
        <f t="shared" si="119"/>
        <v>RESIDENTIAL SERVICE CLASSIFICATION</v>
      </c>
      <c r="B856" s="46" t="s">
        <v>140</v>
      </c>
      <c r="C856" s="115"/>
      <c r="D856" s="180" t="s">
        <v>196</v>
      </c>
      <c r="E856" s="158"/>
      <c r="F856" s="174">
        <v>0.13</v>
      </c>
      <c r="G856" s="175"/>
      <c r="H856" s="182">
        <f>H855*F856</f>
        <v>5.1875865184000007</v>
      </c>
      <c r="I856" s="174">
        <v>0.13</v>
      </c>
      <c r="J856" s="183"/>
      <c r="K856" s="182">
        <f>K855*I856</f>
        <v>5.2728665183999999</v>
      </c>
      <c r="L856" s="124">
        <f>K856-H856</f>
        <v>8.5279999999999134E-2</v>
      </c>
      <c r="M856" s="184">
        <f>IF((H856)=0,"",(L856/H856))</f>
        <v>1.6439243894538824E-2</v>
      </c>
    </row>
    <row r="857" spans="1:14" ht="15" hidden="1" x14ac:dyDescent="0.25">
      <c r="A857" s="46" t="str">
        <f t="shared" si="119"/>
        <v>RESIDENTIAL SERVICE CLASSIFICATION</v>
      </c>
      <c r="B857" s="46" t="s">
        <v>140</v>
      </c>
      <c r="C857" s="115"/>
      <c r="D857" s="180" t="s">
        <v>197</v>
      </c>
      <c r="E857"/>
      <c r="F857" s="185">
        <v>0.11700000000000001</v>
      </c>
      <c r="G857" s="175"/>
      <c r="H857" s="182">
        <f>IF(OR(ISNUMBER(SEARCH("[DGEN]", E806))=TRUE, ISNUMBER(SEARCH("STREET LIGHT", E806))=TRUE), 0, IF(AND(E808=0, E809=0),0, IF(AND(E809=0, E808*12&gt;250000), 0, IF(AND(E808=0, E809&gt;=50), 0, IF(E808*12&lt;=250000, F857*H855*-1, IF(E809&lt;50, F857*H855*-1, 0))))))</f>
        <v>-4.6688278665600009</v>
      </c>
      <c r="I857" s="185">
        <v>0.11700000000000001</v>
      </c>
      <c r="J857" s="183"/>
      <c r="K857" s="182">
        <f>IF(OR(ISNUMBER(SEARCH("[DGEN]", E806))=TRUE, ISNUMBER(SEARCH("STREET LIGHT", E806))=TRUE), 0, IF(AND(E808=0, E809=0),0, IF(AND(E809=0, E808*12&gt;250000), 0, IF(AND(E808=0, E809&gt;=50), 0, IF(E808*12&lt;=250000, I857*K855*-1, IF(E809&lt;50, I857*K855*-1, 0))))))</f>
        <v>-4.74557986656</v>
      </c>
      <c r="L857" s="124"/>
      <c r="M857" s="184"/>
    </row>
    <row r="858" spans="1:14" hidden="1" x14ac:dyDescent="0.2">
      <c r="A858" s="46" t="str">
        <f t="shared" si="119"/>
        <v>RESIDENTIAL SERVICE CLASSIFICATION</v>
      </c>
      <c r="B858" s="46" t="s">
        <v>203</v>
      </c>
      <c r="C858" s="115"/>
      <c r="D858" s="186" t="s">
        <v>202</v>
      </c>
      <c r="E858" s="186"/>
      <c r="F858" s="194"/>
      <c r="G858" s="195"/>
      <c r="H858" s="189">
        <f>SUM(H855,H856)</f>
        <v>45.092098198400009</v>
      </c>
      <c r="I858" s="196"/>
      <c r="J858" s="196"/>
      <c r="K858" s="189">
        <f>SUM(K855,K856)</f>
        <v>45.833378198399998</v>
      </c>
      <c r="L858" s="197">
        <f>K858-H858</f>
        <v>0.74127999999998906</v>
      </c>
      <c r="M858" s="198">
        <f>IF((H858)=0,"",(L858/H858))</f>
        <v>1.6439243894538748E-2</v>
      </c>
    </row>
    <row r="859" spans="1:14" ht="13.5" hidden="1" thickBot="1" x14ac:dyDescent="0.25">
      <c r="A859" s="46" t="str">
        <f t="shared" si="119"/>
        <v>RESIDENTIAL SERVICE CLASSIFICATION</v>
      </c>
      <c r="B859" s="46" t="s">
        <v>140</v>
      </c>
      <c r="C859" s="115"/>
      <c r="D859" s="165"/>
      <c r="E859" s="166"/>
      <c r="F859" s="203"/>
      <c r="G859" s="200"/>
      <c r="H859" s="204"/>
      <c r="I859" s="203"/>
      <c r="J859" s="168"/>
      <c r="K859" s="204"/>
      <c r="L859" s="202"/>
      <c r="M859" s="205"/>
    </row>
    <row r="862" spans="1:14" x14ac:dyDescent="0.2">
      <c r="C862" s="46"/>
      <c r="D862" s="90" t="s">
        <v>150</v>
      </c>
      <c r="E862" s="91" t="str">
        <f>D44</f>
        <v>GENERAL SERVICE LESS THAN 50 KW SERVICE CLASSIFICATION</v>
      </c>
      <c r="F862" s="91"/>
      <c r="G862" s="91"/>
      <c r="H862" s="91"/>
      <c r="I862" s="91"/>
      <c r="J862" s="91"/>
      <c r="K862" s="46" t="str">
        <f>IF(N44="DEMAND - INTERVAL","RTSR - INTERVAL METERED","")</f>
        <v/>
      </c>
    </row>
    <row r="863" spans="1:14" x14ac:dyDescent="0.2">
      <c r="C863" s="46"/>
      <c r="D863" s="90" t="s">
        <v>151</v>
      </c>
      <c r="E863" s="92" t="str">
        <f>H44</f>
        <v>Non-RPP (Retailer)</v>
      </c>
      <c r="F863" s="92"/>
      <c r="G863" s="92"/>
      <c r="H863" s="93"/>
      <c r="I863" s="93"/>
    </row>
    <row r="864" spans="1:14" ht="15.75" x14ac:dyDescent="0.2">
      <c r="C864" s="46"/>
      <c r="D864" s="90" t="s">
        <v>152</v>
      </c>
      <c r="E864" s="94">
        <f>K44</f>
        <v>20000</v>
      </c>
      <c r="F864" s="95" t="s">
        <v>153</v>
      </c>
      <c r="J864" s="96"/>
      <c r="K864" s="96"/>
      <c r="L864" s="96"/>
      <c r="M864" s="96"/>
      <c r="N864" s="96"/>
    </row>
    <row r="865" spans="1:13" ht="15.75" x14ac:dyDescent="0.25">
      <c r="C865" s="46"/>
      <c r="D865" s="90" t="s">
        <v>154</v>
      </c>
      <c r="E865" s="94">
        <f>L44</f>
        <v>0</v>
      </c>
      <c r="F865" s="97" t="s">
        <v>155</v>
      </c>
      <c r="G865" s="98"/>
      <c r="H865" s="99"/>
      <c r="I865" s="99"/>
      <c r="J865" s="99"/>
    </row>
    <row r="866" spans="1:13" x14ac:dyDescent="0.2">
      <c r="C866" s="46"/>
      <c r="D866" s="90" t="s">
        <v>156</v>
      </c>
      <c r="E866" s="100">
        <f>I44</f>
        <v>1.0306999999999999</v>
      </c>
    </row>
    <row r="867" spans="1:13" x14ac:dyDescent="0.2">
      <c r="C867" s="46"/>
      <c r="D867" s="90" t="s">
        <v>157</v>
      </c>
      <c r="E867" s="100">
        <f>J44</f>
        <v>1.0306999999999999</v>
      </c>
    </row>
    <row r="868" spans="1:13" x14ac:dyDescent="0.2">
      <c r="C868" s="46"/>
    </row>
    <row r="869" spans="1:13" x14ac:dyDescent="0.2">
      <c r="C869" s="46"/>
      <c r="E869" s="95"/>
      <c r="F869" s="101" t="s">
        <v>226</v>
      </c>
      <c r="G869" s="102"/>
      <c r="H869" s="103"/>
      <c r="I869" s="101" t="s">
        <v>205</v>
      </c>
      <c r="J869" s="102"/>
      <c r="K869" s="103"/>
      <c r="L869" s="101" t="s">
        <v>158</v>
      </c>
      <c r="M869" s="103"/>
    </row>
    <row r="870" spans="1:13" x14ac:dyDescent="0.2">
      <c r="C870" s="46"/>
      <c r="E870" s="104"/>
      <c r="F870" s="105" t="s">
        <v>159</v>
      </c>
      <c r="G870" s="105" t="s">
        <v>160</v>
      </c>
      <c r="H870" s="106" t="s">
        <v>161</v>
      </c>
      <c r="I870" s="105" t="s">
        <v>159</v>
      </c>
      <c r="J870" s="107" t="s">
        <v>160</v>
      </c>
      <c r="K870" s="106" t="s">
        <v>161</v>
      </c>
      <c r="L870" s="108" t="s">
        <v>162</v>
      </c>
      <c r="M870" s="109" t="s">
        <v>163</v>
      </c>
    </row>
    <row r="871" spans="1:13" x14ac:dyDescent="0.2">
      <c r="C871" s="46"/>
      <c r="E871" s="110"/>
      <c r="F871" s="111" t="s">
        <v>164</v>
      </c>
      <c r="G871" s="111"/>
      <c r="H871" s="112" t="s">
        <v>164</v>
      </c>
      <c r="I871" s="111" t="s">
        <v>164</v>
      </c>
      <c r="J871" s="112"/>
      <c r="K871" s="112" t="s">
        <v>164</v>
      </c>
      <c r="L871" s="113"/>
      <c r="M871" s="114"/>
    </row>
    <row r="872" spans="1:13" x14ac:dyDescent="0.2">
      <c r="A872" s="46" t="str">
        <f>$E862</f>
        <v>GENERAL SERVICE LESS THAN 50 KW SERVICE CLASSIFICATION</v>
      </c>
      <c r="C872" s="115"/>
      <c r="D872" s="116" t="s">
        <v>165</v>
      </c>
      <c r="E872" s="117"/>
      <c r="F872" s="121">
        <v>16.61</v>
      </c>
      <c r="G872" s="119">
        <v>1</v>
      </c>
      <c r="H872" s="120">
        <f>G872*F872</f>
        <v>16.61</v>
      </c>
      <c r="I872" s="121">
        <v>16.61</v>
      </c>
      <c r="J872" s="122">
        <f>G872</f>
        <v>1</v>
      </c>
      <c r="K872" s="123">
        <f>J872*I872</f>
        <v>16.61</v>
      </c>
      <c r="L872" s="124">
        <f t="shared" ref="L872:L892" si="124">K872-H872</f>
        <v>0</v>
      </c>
      <c r="M872" s="125">
        <f>IF(ISERROR(L872/H872), "", L872/H872)</f>
        <v>0</v>
      </c>
    </row>
    <row r="873" spans="1:13" x14ac:dyDescent="0.2">
      <c r="A873" s="46" t="str">
        <f>A872</f>
        <v>GENERAL SERVICE LESS THAN 50 KW SERVICE CLASSIFICATION</v>
      </c>
      <c r="C873" s="115"/>
      <c r="D873" s="116" t="s">
        <v>30</v>
      </c>
      <c r="E873" s="117"/>
      <c r="F873" s="127">
        <v>1.77E-2</v>
      </c>
      <c r="G873" s="119">
        <f>IF($E865&gt;0, $E865, $E864)</f>
        <v>20000</v>
      </c>
      <c r="H873" s="120">
        <f t="shared" ref="H873:H885" si="125">G873*F873</f>
        <v>354</v>
      </c>
      <c r="I873" s="127">
        <v>1.77E-2</v>
      </c>
      <c r="J873" s="122">
        <f>IF($E865&gt;0, $E865, $E864)</f>
        <v>20000</v>
      </c>
      <c r="K873" s="123">
        <f>J873*I873</f>
        <v>354</v>
      </c>
      <c r="L873" s="124">
        <f t="shared" si="124"/>
        <v>0</v>
      </c>
      <c r="M873" s="125">
        <f t="shared" ref="M873:M883" si="126">IF(ISERROR(L873/H873), "", L873/H873)</f>
        <v>0</v>
      </c>
    </row>
    <row r="874" spans="1:13" hidden="1" x14ac:dyDescent="0.2">
      <c r="A874" s="46" t="str">
        <f t="shared" ref="A874:A915" si="127">A873</f>
        <v>GENERAL SERVICE LESS THAN 50 KW SERVICE CLASSIFICATION</v>
      </c>
      <c r="C874" s="115"/>
      <c r="D874" s="116" t="s">
        <v>166</v>
      </c>
      <c r="E874" s="117"/>
      <c r="F874" s="127"/>
      <c r="G874" s="119">
        <f>IF($E865&gt;0, $E865, $E864)</f>
        <v>20000</v>
      </c>
      <c r="H874" s="120">
        <v>0</v>
      </c>
      <c r="I874" s="127"/>
      <c r="J874" s="122">
        <f>IF($E865&gt;0, $E865, $E864)</f>
        <v>20000</v>
      </c>
      <c r="K874" s="123">
        <v>0</v>
      </c>
      <c r="L874" s="124"/>
      <c r="M874" s="125"/>
    </row>
    <row r="875" spans="1:13" hidden="1" x14ac:dyDescent="0.2">
      <c r="A875" s="46" t="str">
        <f t="shared" si="127"/>
        <v>GENERAL SERVICE LESS THAN 50 KW SERVICE CLASSIFICATION</v>
      </c>
      <c r="C875" s="115"/>
      <c r="D875" s="116" t="s">
        <v>167</v>
      </c>
      <c r="E875" s="117"/>
      <c r="F875" s="127"/>
      <c r="G875" s="119">
        <f>IF($E865&gt;0, $E865, $E864)</f>
        <v>20000</v>
      </c>
      <c r="H875" s="120">
        <v>0</v>
      </c>
      <c r="I875" s="127"/>
      <c r="J875" s="128">
        <f>IF($E865&gt;0, $E865, $E864)</f>
        <v>20000</v>
      </c>
      <c r="K875" s="123">
        <v>0</v>
      </c>
      <c r="L875" s="124">
        <f>K875-H875</f>
        <v>0</v>
      </c>
      <c r="M875" s="125" t="str">
        <f>IF(ISERROR(L875/H875), "", L875/H875)</f>
        <v/>
      </c>
    </row>
    <row r="876" spans="1:13" x14ac:dyDescent="0.2">
      <c r="A876" s="46" t="str">
        <f t="shared" si="127"/>
        <v>GENERAL SERVICE LESS THAN 50 KW SERVICE CLASSIFICATION</v>
      </c>
      <c r="C876" s="115"/>
      <c r="D876" s="116" t="s">
        <v>168</v>
      </c>
      <c r="E876" s="117"/>
      <c r="F876" s="121">
        <v>1.7000000000000002</v>
      </c>
      <c r="G876" s="119">
        <v>1</v>
      </c>
      <c r="H876" s="120">
        <f t="shared" si="125"/>
        <v>1.7000000000000002</v>
      </c>
      <c r="I876" s="121">
        <v>1.7000000000000002</v>
      </c>
      <c r="J876" s="122">
        <f>G876</f>
        <v>1</v>
      </c>
      <c r="K876" s="123">
        <f t="shared" ref="K876:K883" si="128">J876*I876</f>
        <v>1.7000000000000002</v>
      </c>
      <c r="L876" s="124">
        <f t="shared" si="124"/>
        <v>0</v>
      </c>
      <c r="M876" s="125">
        <f t="shared" si="126"/>
        <v>0</v>
      </c>
    </row>
    <row r="877" spans="1:13" x14ac:dyDescent="0.2">
      <c r="A877" s="46" t="str">
        <f t="shared" si="127"/>
        <v>GENERAL SERVICE LESS THAN 50 KW SERVICE CLASSIFICATION</v>
      </c>
      <c r="C877" s="115"/>
      <c r="D877" s="116" t="s">
        <v>169</v>
      </c>
      <c r="E877" s="117"/>
      <c r="F877" s="127">
        <v>0</v>
      </c>
      <c r="G877" s="119">
        <f>IF($E865&gt;0, $E865, $E864)</f>
        <v>20000</v>
      </c>
      <c r="H877" s="120">
        <f t="shared" si="125"/>
        <v>0</v>
      </c>
      <c r="I877" s="127">
        <v>0</v>
      </c>
      <c r="J877" s="122">
        <f>IF($E865&gt;0, $E865, $E864)</f>
        <v>20000</v>
      </c>
      <c r="K877" s="123">
        <f t="shared" si="128"/>
        <v>0</v>
      </c>
      <c r="L877" s="124">
        <f t="shared" si="124"/>
        <v>0</v>
      </c>
      <c r="M877" s="125" t="str">
        <f t="shared" si="126"/>
        <v/>
      </c>
    </row>
    <row r="878" spans="1:13" x14ac:dyDescent="0.2">
      <c r="A878" s="46" t="str">
        <f t="shared" si="127"/>
        <v>GENERAL SERVICE LESS THAN 50 KW SERVICE CLASSIFICATION</v>
      </c>
      <c r="B878" s="46" t="s">
        <v>170</v>
      </c>
      <c r="C878" s="115">
        <f>B44</f>
        <v>15</v>
      </c>
      <c r="D878" s="129" t="s">
        <v>171</v>
      </c>
      <c r="E878" s="130"/>
      <c r="F878" s="134"/>
      <c r="G878" s="132"/>
      <c r="H878" s="133">
        <f>SUM(H872:H877)</f>
        <v>372.31</v>
      </c>
      <c r="I878" s="134"/>
      <c r="J878" s="135"/>
      <c r="K878" s="133">
        <f>SUM(K872:K877)</f>
        <v>372.31</v>
      </c>
      <c r="L878" s="136">
        <f t="shared" si="124"/>
        <v>0</v>
      </c>
      <c r="M878" s="137">
        <f>IF((H878)=0,"",(L878/H878))</f>
        <v>0</v>
      </c>
    </row>
    <row r="879" spans="1:13" x14ac:dyDescent="0.2">
      <c r="A879" s="46" t="str">
        <f t="shared" si="127"/>
        <v>GENERAL SERVICE LESS THAN 50 KW SERVICE CLASSIFICATION</v>
      </c>
      <c r="C879" s="115"/>
      <c r="D879" s="138" t="s">
        <v>172</v>
      </c>
      <c r="E879" s="117"/>
      <c r="F879" s="127">
        <f>IF((E864*12&gt;=150000), 0, IF(E863="RPP",(F895*0.64+F896*0.18+F897*0.18),IF(E863="Non-RPP (Retailer)",F898,F899)))</f>
        <v>0</v>
      </c>
      <c r="G879" s="139">
        <f>IF(F879=0, 0, $E864*E866-E864)</f>
        <v>0</v>
      </c>
      <c r="H879" s="120">
        <f>G879*F879</f>
        <v>0</v>
      </c>
      <c r="I879" s="127">
        <f>IF((E864*12&gt;=150000), 0, IF(E863="RPP",(I895*0.64+I896*0.18+I897*0.18),IF(E863="Non-RPP (Retailer)",I898,I899)))</f>
        <v>0</v>
      </c>
      <c r="J879" s="140">
        <f>IF(I879=0, 0, E864*E867-E864)</f>
        <v>0</v>
      </c>
      <c r="K879" s="123">
        <f>J879*I879</f>
        <v>0</v>
      </c>
      <c r="L879" s="124">
        <f>K879-H879</f>
        <v>0</v>
      </c>
      <c r="M879" s="125" t="str">
        <f>IF(ISERROR(L879/H879), "", L879/H879)</f>
        <v/>
      </c>
    </row>
    <row r="880" spans="1:13" ht="25.5" x14ac:dyDescent="0.2">
      <c r="A880" s="46" t="str">
        <f t="shared" si="127"/>
        <v>GENERAL SERVICE LESS THAN 50 KW SERVICE CLASSIFICATION</v>
      </c>
      <c r="C880" s="115"/>
      <c r="D880" s="138" t="s">
        <v>173</v>
      </c>
      <c r="E880" s="117"/>
      <c r="F880" s="127">
        <v>1.5E-3</v>
      </c>
      <c r="G880" s="141">
        <f>IF($E865&gt;0, $E865, $E864)</f>
        <v>20000</v>
      </c>
      <c r="H880" s="120">
        <f t="shared" si="125"/>
        <v>30</v>
      </c>
      <c r="I880" s="127">
        <f>-'Proposed Tariff'!D65+'Proposed Tariff'!D62</f>
        <v>-6.0000000000000001E-3</v>
      </c>
      <c r="J880" s="142">
        <f>IF($E865&gt;0, $E865, $E864)</f>
        <v>20000</v>
      </c>
      <c r="K880" s="123">
        <f t="shared" si="128"/>
        <v>-120</v>
      </c>
      <c r="L880" s="124">
        <f t="shared" si="124"/>
        <v>-150</v>
      </c>
      <c r="M880" s="125">
        <f t="shared" si="126"/>
        <v>-5</v>
      </c>
    </row>
    <row r="881" spans="1:14" x14ac:dyDescent="0.2">
      <c r="A881" s="46" t="str">
        <f t="shared" si="127"/>
        <v>GENERAL SERVICE LESS THAN 50 KW SERVICE CLASSIFICATION</v>
      </c>
      <c r="C881" s="115"/>
      <c r="D881" s="138" t="s">
        <v>174</v>
      </c>
      <c r="E881" s="117"/>
      <c r="F881" s="127">
        <v>0</v>
      </c>
      <c r="G881" s="141">
        <f>IF($E865&gt;0, $E865, $E864)</f>
        <v>20000</v>
      </c>
      <c r="H881" s="120">
        <f>G881*F881</f>
        <v>0</v>
      </c>
      <c r="I881" s="127">
        <f>'Proposed Tariff'!D64</f>
        <v>-1E-4</v>
      </c>
      <c r="J881" s="142">
        <f>IF($E865&gt;0, $E865, $E864)</f>
        <v>20000</v>
      </c>
      <c r="K881" s="123">
        <f>J881*I881</f>
        <v>-2</v>
      </c>
      <c r="L881" s="124">
        <f t="shared" si="124"/>
        <v>-2</v>
      </c>
      <c r="M881" s="125" t="str">
        <f t="shared" si="126"/>
        <v/>
      </c>
    </row>
    <row r="882" spans="1:14" x14ac:dyDescent="0.2">
      <c r="A882" s="46" t="str">
        <f t="shared" si="127"/>
        <v>GENERAL SERVICE LESS THAN 50 KW SERVICE CLASSIFICATION</v>
      </c>
      <c r="C882" s="115"/>
      <c r="D882" s="138" t="s">
        <v>175</v>
      </c>
      <c r="E882" s="117"/>
      <c r="F882" s="127">
        <v>0</v>
      </c>
      <c r="G882" s="141">
        <f>E864</f>
        <v>20000</v>
      </c>
      <c r="H882" s="120">
        <f>G882*F882</f>
        <v>0</v>
      </c>
      <c r="I882" s="127">
        <f>'Proposed Tariff'!D62</f>
        <v>-4.4999999999999997E-3</v>
      </c>
      <c r="J882" s="142">
        <f>E864</f>
        <v>20000</v>
      </c>
      <c r="K882" s="123">
        <f t="shared" si="128"/>
        <v>-90</v>
      </c>
      <c r="L882" s="124">
        <f t="shared" si="124"/>
        <v>-90</v>
      </c>
      <c r="M882" s="125" t="str">
        <f t="shared" si="126"/>
        <v/>
      </c>
    </row>
    <row r="883" spans="1:14" x14ac:dyDescent="0.2">
      <c r="A883" s="46" t="str">
        <f t="shared" si="127"/>
        <v>GENERAL SERVICE LESS THAN 50 KW SERVICE CLASSIFICATION</v>
      </c>
      <c r="C883" s="115"/>
      <c r="D883" s="116" t="s">
        <v>176</v>
      </c>
      <c r="E883" s="117"/>
      <c r="F883" s="127">
        <v>2.0000000000000001E-4</v>
      </c>
      <c r="G883" s="141">
        <f>IF($E865&gt;0, $E865, $E864)</f>
        <v>20000</v>
      </c>
      <c r="H883" s="120">
        <f t="shared" si="125"/>
        <v>4</v>
      </c>
      <c r="I883" s="127">
        <v>2.0000000000000001E-4</v>
      </c>
      <c r="J883" s="142">
        <f>IF($E865&gt;0, $E865, $E864)</f>
        <v>20000</v>
      </c>
      <c r="K883" s="123">
        <f t="shared" si="128"/>
        <v>4</v>
      </c>
      <c r="L883" s="124">
        <f t="shared" si="124"/>
        <v>0</v>
      </c>
      <c r="M883" s="125">
        <f t="shared" si="126"/>
        <v>0</v>
      </c>
    </row>
    <row r="884" spans="1:14" ht="25.5" x14ac:dyDescent="0.2">
      <c r="A884" s="46" t="str">
        <f t="shared" si="127"/>
        <v>GENERAL SERVICE LESS THAN 50 KW SERVICE CLASSIFICATION</v>
      </c>
      <c r="C884" s="115"/>
      <c r="D884" s="138" t="s">
        <v>177</v>
      </c>
      <c r="E884" s="117"/>
      <c r="F884" s="144">
        <f>IF(OR(ISNUMBER(SEARCH("RESIDENTIAL", E862))=TRUE, ISNUMBER(SEARCH("GENERAL SERVICE LESS THAN 50",E862))=TRUE), SME, 0)</f>
        <v>0.42</v>
      </c>
      <c r="G884" s="119">
        <v>1</v>
      </c>
      <c r="H884" s="120">
        <f>G884*F884</f>
        <v>0.42</v>
      </c>
      <c r="I884" s="144">
        <f>IF(OR(ISNUMBER(SEARCH("RESIDENTIAL", E862))=TRUE, ISNUMBER(SEARCH("GENERAL SERVICE LESS THAN 50", E862))=TRUE), SME, 0)</f>
        <v>0.42</v>
      </c>
      <c r="J884" s="128">
        <v>1</v>
      </c>
      <c r="K884" s="123">
        <f>J884*I884</f>
        <v>0.42</v>
      </c>
      <c r="L884" s="124">
        <f t="shared" si="124"/>
        <v>0</v>
      </c>
      <c r="M884" s="125">
        <f>IF(ISERROR(L884/H884), "", L884/H884)</f>
        <v>0</v>
      </c>
    </row>
    <row r="885" spans="1:14" x14ac:dyDescent="0.2">
      <c r="A885" s="46" t="str">
        <f t="shared" si="127"/>
        <v>GENERAL SERVICE LESS THAN 50 KW SERVICE CLASSIFICATION</v>
      </c>
      <c r="C885" s="115"/>
      <c r="D885" s="116" t="s">
        <v>178</v>
      </c>
      <c r="E885" s="117"/>
      <c r="F885" s="121">
        <v>0</v>
      </c>
      <c r="G885" s="119">
        <v>1</v>
      </c>
      <c r="H885" s="120">
        <f t="shared" si="125"/>
        <v>0</v>
      </c>
      <c r="I885" s="121">
        <v>0</v>
      </c>
      <c r="J885" s="128">
        <v>1</v>
      </c>
      <c r="K885" s="123">
        <f>J885*I885</f>
        <v>0</v>
      </c>
      <c r="L885" s="124">
        <f>K885-H885</f>
        <v>0</v>
      </c>
      <c r="M885" s="125" t="str">
        <f>IF(ISERROR(L885/H885), "", L885/H885)</f>
        <v/>
      </c>
    </row>
    <row r="886" spans="1:14" x14ac:dyDescent="0.2">
      <c r="A886" s="46" t="str">
        <f t="shared" si="127"/>
        <v>GENERAL SERVICE LESS THAN 50 KW SERVICE CLASSIFICATION</v>
      </c>
      <c r="C886" s="115"/>
      <c r="D886" s="116" t="s">
        <v>179</v>
      </c>
      <c r="E886" s="117"/>
      <c r="F886" s="127">
        <v>0</v>
      </c>
      <c r="G886" s="141">
        <f>IF($E865&gt;0, $E865, $E864)</f>
        <v>20000</v>
      </c>
      <c r="H886" s="120">
        <f>G886*F886</f>
        <v>0</v>
      </c>
      <c r="I886" s="127">
        <v>0</v>
      </c>
      <c r="J886" s="142">
        <f>IF($E865&gt;0, $E865, $E864)</f>
        <v>20000</v>
      </c>
      <c r="K886" s="123">
        <f>J886*I886</f>
        <v>0</v>
      </c>
      <c r="L886" s="124">
        <f t="shared" si="124"/>
        <v>0</v>
      </c>
      <c r="M886" s="125" t="str">
        <f>IF(ISERROR(L886/H886), "", L886/H886)</f>
        <v/>
      </c>
    </row>
    <row r="887" spans="1:14" ht="25.5" x14ac:dyDescent="0.2">
      <c r="A887" s="46" t="str">
        <f t="shared" si="127"/>
        <v>GENERAL SERVICE LESS THAN 50 KW SERVICE CLASSIFICATION</v>
      </c>
      <c r="B887" s="46" t="s">
        <v>180</v>
      </c>
      <c r="C887" s="115">
        <f>B44</f>
        <v>15</v>
      </c>
      <c r="D887" s="145" t="s">
        <v>181</v>
      </c>
      <c r="E887" s="146"/>
      <c r="F887" s="150"/>
      <c r="G887" s="148"/>
      <c r="H887" s="149">
        <f>SUM(H878:H886)</f>
        <v>406.73</v>
      </c>
      <c r="I887" s="150"/>
      <c r="J887" s="151"/>
      <c r="K887" s="149">
        <f>SUM(K878:K886)</f>
        <v>164.73</v>
      </c>
      <c r="L887" s="136">
        <f t="shared" si="124"/>
        <v>-242.00000000000003</v>
      </c>
      <c r="M887" s="137">
        <f>IF((H887)=0,"",(L887/H887))</f>
        <v>-0.59498930494431201</v>
      </c>
    </row>
    <row r="888" spans="1:14" x14ac:dyDescent="0.2">
      <c r="A888" s="46" t="str">
        <f t="shared" si="127"/>
        <v>GENERAL SERVICE LESS THAN 50 KW SERVICE CLASSIFICATION</v>
      </c>
      <c r="C888" s="115"/>
      <c r="D888" s="152" t="s">
        <v>182</v>
      </c>
      <c r="E888" s="117"/>
      <c r="F888" s="153">
        <v>8.0999999999999996E-3</v>
      </c>
      <c r="G888" s="139">
        <f>IF($E865&gt;0, $E865, $E864*$E866)</f>
        <v>20614</v>
      </c>
      <c r="H888" s="120">
        <f>G888*F888</f>
        <v>166.9734</v>
      </c>
      <c r="I888" s="153">
        <v>8.0999999999999996E-3</v>
      </c>
      <c r="J888" s="140">
        <f>IF($E865&gt;0, $E865, $E864*$E867)</f>
        <v>20614</v>
      </c>
      <c r="K888" s="123">
        <f>J888*I888</f>
        <v>166.9734</v>
      </c>
      <c r="L888" s="124">
        <f t="shared" si="124"/>
        <v>0</v>
      </c>
      <c r="M888" s="125">
        <f>IF(ISERROR(L888/H888), "", L888/H888)</f>
        <v>0</v>
      </c>
      <c r="N888" s="154" t="str">
        <f>IF(ISERROR(ABS(M888)), "", IF(ABS(M888)&gt;=4%, "In the manager's summary, discuss the reasoning for the change in RTSR rates", ""))</f>
        <v/>
      </c>
    </row>
    <row r="889" spans="1:14" ht="25.5" x14ac:dyDescent="0.2">
      <c r="A889" s="46" t="str">
        <f t="shared" si="127"/>
        <v>GENERAL SERVICE LESS THAN 50 KW SERVICE CLASSIFICATION</v>
      </c>
      <c r="C889" s="115"/>
      <c r="D889" s="155" t="s">
        <v>183</v>
      </c>
      <c r="E889" s="117"/>
      <c r="F889" s="153">
        <v>4.4000000000000003E-3</v>
      </c>
      <c r="G889" s="139">
        <f>IF($E865&gt;0, $E865, $E864*$E866)</f>
        <v>20614</v>
      </c>
      <c r="H889" s="120">
        <f>G889*F889</f>
        <v>90.701599999999999</v>
      </c>
      <c r="I889" s="153">
        <v>4.4000000000000003E-3</v>
      </c>
      <c r="J889" s="140">
        <f>IF($E865&gt;0, $E865, $E864*$E867)</f>
        <v>20614</v>
      </c>
      <c r="K889" s="123">
        <f>J889*I889</f>
        <v>90.701599999999999</v>
      </c>
      <c r="L889" s="124">
        <f t="shared" si="124"/>
        <v>0</v>
      </c>
      <c r="M889" s="125">
        <f>IF(ISERROR(L889/H889), "", L889/H889)</f>
        <v>0</v>
      </c>
      <c r="N889" s="154" t="str">
        <f>IF(ISERROR(ABS(M889)), "", IF(ABS(M889)&gt;=4%, "In the manager's summary, discuss the reasoning for the change in RTSR rates", ""))</f>
        <v/>
      </c>
    </row>
    <row r="890" spans="1:14" ht="25.5" x14ac:dyDescent="0.2">
      <c r="A890" s="46" t="str">
        <f t="shared" si="127"/>
        <v>GENERAL SERVICE LESS THAN 50 KW SERVICE CLASSIFICATION</v>
      </c>
      <c r="B890" s="46" t="s">
        <v>184</v>
      </c>
      <c r="C890" s="115">
        <f>B44</f>
        <v>15</v>
      </c>
      <c r="D890" s="145" t="s">
        <v>185</v>
      </c>
      <c r="E890" s="130"/>
      <c r="F890" s="150"/>
      <c r="G890" s="148"/>
      <c r="H890" s="149">
        <f>SUM(H887:H889)</f>
        <v>664.40499999999997</v>
      </c>
      <c r="I890" s="150"/>
      <c r="J890" s="135"/>
      <c r="K890" s="149">
        <f>SUM(K887:K889)</f>
        <v>422.40499999999997</v>
      </c>
      <c r="L890" s="136">
        <f t="shared" si="124"/>
        <v>-242</v>
      </c>
      <c r="M890" s="137">
        <f>IF((H890)=0,"",(L890/H890))</f>
        <v>-0.36423566950880865</v>
      </c>
    </row>
    <row r="891" spans="1:14" ht="25.5" x14ac:dyDescent="0.2">
      <c r="A891" s="46" t="str">
        <f t="shared" si="127"/>
        <v>GENERAL SERVICE LESS THAN 50 KW SERVICE CLASSIFICATION</v>
      </c>
      <c r="C891" s="115"/>
      <c r="D891" s="156" t="s">
        <v>186</v>
      </c>
      <c r="E891" s="117"/>
      <c r="F891" s="127">
        <f>'[1]17. Regulatory Charges'!$E$15+'[1]17. Regulatory Charges'!$E$16</f>
        <v>3.4000000000000002E-3</v>
      </c>
      <c r="G891" s="139">
        <f>E864*E866</f>
        <v>20614</v>
      </c>
      <c r="H891" s="157">
        <f t="shared" ref="H891:H897" si="129">G891*F891</f>
        <v>70.087600000000009</v>
      </c>
      <c r="I891" s="127">
        <f>'[1]17. Regulatory Charges'!$E$15+'[1]17. Regulatory Charges'!$E$16</f>
        <v>3.4000000000000002E-3</v>
      </c>
      <c r="J891" s="140">
        <f>E864*E867</f>
        <v>20614</v>
      </c>
      <c r="K891" s="123">
        <f t="shared" ref="K891:K897" si="130">J891*I891</f>
        <v>70.087600000000009</v>
      </c>
      <c r="L891" s="124">
        <f t="shared" si="124"/>
        <v>0</v>
      </c>
      <c r="M891" s="125">
        <f t="shared" ref="M891:M899" si="131">IF(ISERROR(L891/H891), "", L891/H891)</f>
        <v>0</v>
      </c>
    </row>
    <row r="892" spans="1:14" ht="25.5" x14ac:dyDescent="0.2">
      <c r="A892" s="46" t="str">
        <f t="shared" si="127"/>
        <v>GENERAL SERVICE LESS THAN 50 KW SERVICE CLASSIFICATION</v>
      </c>
      <c r="C892" s="115"/>
      <c r="D892" s="156" t="s">
        <v>187</v>
      </c>
      <c r="E892" s="117"/>
      <c r="F892" s="127">
        <f>'[1]17. Regulatory Charges'!$E$17</f>
        <v>5.0000000000000001E-4</v>
      </c>
      <c r="G892" s="139">
        <f>E864*E866</f>
        <v>20614</v>
      </c>
      <c r="H892" s="157">
        <f t="shared" si="129"/>
        <v>10.307</v>
      </c>
      <c r="I892" s="127">
        <f>'[1]17. Regulatory Charges'!$E$17</f>
        <v>5.0000000000000001E-4</v>
      </c>
      <c r="J892" s="140">
        <f>E864*E867</f>
        <v>20614</v>
      </c>
      <c r="K892" s="123">
        <f t="shared" si="130"/>
        <v>10.307</v>
      </c>
      <c r="L892" s="124">
        <f t="shared" si="124"/>
        <v>0</v>
      </c>
      <c r="M892" s="125">
        <f t="shared" si="131"/>
        <v>0</v>
      </c>
    </row>
    <row r="893" spans="1:14" x14ac:dyDescent="0.2">
      <c r="A893" s="46" t="str">
        <f t="shared" si="127"/>
        <v>GENERAL SERVICE LESS THAN 50 KW SERVICE CLASSIFICATION</v>
      </c>
      <c r="C893" s="115"/>
      <c r="D893" s="158" t="s">
        <v>188</v>
      </c>
      <c r="E893" s="117"/>
      <c r="F893" s="209"/>
      <c r="G893" s="207"/>
      <c r="H893" s="208"/>
      <c r="I893" s="209"/>
      <c r="J893" s="210"/>
      <c r="K893" s="211"/>
      <c r="L893" s="212"/>
      <c r="M893" s="213"/>
    </row>
    <row r="894" spans="1:14" ht="25.5" hidden="1" x14ac:dyDescent="0.2">
      <c r="A894" s="46" t="str">
        <f t="shared" si="127"/>
        <v>GENERAL SERVICE LESS THAN 50 KW SERVICE CLASSIFICATION</v>
      </c>
      <c r="C894" s="115"/>
      <c r="D894" s="156" t="s">
        <v>189</v>
      </c>
      <c r="E894" s="117"/>
      <c r="F894" s="127"/>
      <c r="G894" s="139"/>
      <c r="H894" s="157"/>
      <c r="I894" s="127"/>
      <c r="J894" s="140"/>
      <c r="K894" s="123"/>
      <c r="L894" s="124"/>
      <c r="M894" s="125"/>
    </row>
    <row r="895" spans="1:14" hidden="1" x14ac:dyDescent="0.2">
      <c r="A895" s="46" t="str">
        <f t="shared" si="127"/>
        <v>GENERAL SERVICE LESS THAN 50 KW SERVICE CLASSIFICATION</v>
      </c>
      <c r="B895" s="46" t="s">
        <v>139</v>
      </c>
      <c r="C895" s="115"/>
      <c r="D895" s="158" t="s">
        <v>190</v>
      </c>
      <c r="E895" s="117"/>
      <c r="F895" s="161">
        <f>OffPeak</f>
        <v>7.3999999999999996E-2</v>
      </c>
      <c r="G895" s="160">
        <f>IF(AND(E864*12&gt;=150000),0.64*E864*E866,0.64*E864)</f>
        <v>13192.96</v>
      </c>
      <c r="H895" s="157">
        <f t="shared" si="129"/>
        <v>976.2790399999999</v>
      </c>
      <c r="I895" s="161">
        <f>OffPeak</f>
        <v>7.3999999999999996E-2</v>
      </c>
      <c r="J895" s="162">
        <f>IF(AND(E864*12&gt;=150000),0.64*E864*E867,0.64*E864)</f>
        <v>13192.96</v>
      </c>
      <c r="K895" s="123">
        <f t="shared" si="130"/>
        <v>976.2790399999999</v>
      </c>
      <c r="L895" s="124">
        <f>K895-H895</f>
        <v>0</v>
      </c>
      <c r="M895" s="125">
        <f t="shared" si="131"/>
        <v>0</v>
      </c>
    </row>
    <row r="896" spans="1:14" hidden="1" x14ac:dyDescent="0.2">
      <c r="A896" s="46" t="str">
        <f t="shared" si="127"/>
        <v>GENERAL SERVICE LESS THAN 50 KW SERVICE CLASSIFICATION</v>
      </c>
      <c r="B896" s="46" t="s">
        <v>139</v>
      </c>
      <c r="C896" s="115"/>
      <c r="D896" s="158" t="s">
        <v>191</v>
      </c>
      <c r="E896" s="117"/>
      <c r="F896" s="161">
        <f>MidPeak</f>
        <v>0.10199999999999999</v>
      </c>
      <c r="G896" s="160">
        <f>IF(AND(E864*12&gt;=150000),0.18*E864*E866,0.18*E864)</f>
        <v>3710.52</v>
      </c>
      <c r="H896" s="157">
        <f t="shared" si="129"/>
        <v>378.47303999999997</v>
      </c>
      <c r="I896" s="161">
        <f>MidPeak</f>
        <v>0.10199999999999999</v>
      </c>
      <c r="J896" s="162">
        <f>IF(AND(E864*12&gt;=150000),0.18*E864*E867,0.18*E864)</f>
        <v>3710.52</v>
      </c>
      <c r="K896" s="123">
        <f t="shared" si="130"/>
        <v>378.47303999999997</v>
      </c>
      <c r="L896" s="124">
        <f>K896-H896</f>
        <v>0</v>
      </c>
      <c r="M896" s="125">
        <f t="shared" si="131"/>
        <v>0</v>
      </c>
    </row>
    <row r="897" spans="1:13" hidden="1" x14ac:dyDescent="0.2">
      <c r="A897" s="46" t="str">
        <f t="shared" si="127"/>
        <v>GENERAL SERVICE LESS THAN 50 KW SERVICE CLASSIFICATION</v>
      </c>
      <c r="B897" s="46" t="s">
        <v>139</v>
      </c>
      <c r="C897" s="115"/>
      <c r="D897" s="46" t="s">
        <v>192</v>
      </c>
      <c r="E897" s="117"/>
      <c r="F897" s="161">
        <f>OnPeak</f>
        <v>0.151</v>
      </c>
      <c r="G897" s="160">
        <f>IF(AND(E864*12&gt;=150000),0.18*E864*E866,0.18*E864)</f>
        <v>3710.52</v>
      </c>
      <c r="H897" s="157">
        <f t="shared" si="129"/>
        <v>560.28851999999995</v>
      </c>
      <c r="I897" s="161">
        <f>OnPeak</f>
        <v>0.151</v>
      </c>
      <c r="J897" s="162">
        <f>IF(AND(E864*12&gt;=150000),0.18*E864*E867,0.18*E864)</f>
        <v>3710.52</v>
      </c>
      <c r="K897" s="123">
        <f t="shared" si="130"/>
        <v>560.28851999999995</v>
      </c>
      <c r="L897" s="124">
        <f>K897-H897</f>
        <v>0</v>
      </c>
      <c r="M897" s="125">
        <f t="shared" si="131"/>
        <v>0</v>
      </c>
    </row>
    <row r="898" spans="1:13" ht="13.5" thickBot="1" x14ac:dyDescent="0.25">
      <c r="A898" s="46" t="str">
        <f t="shared" si="127"/>
        <v>GENERAL SERVICE LESS THAN 50 KW SERVICE CLASSIFICATION</v>
      </c>
      <c r="B898" s="46" t="s">
        <v>141</v>
      </c>
      <c r="C898" s="115"/>
      <c r="D898" s="158" t="s">
        <v>193</v>
      </c>
      <c r="E898" s="117"/>
      <c r="F898" s="163">
        <v>9.6699999999999994E-2</v>
      </c>
      <c r="G898" s="160">
        <f>IF(AND(E864*12&gt;=150000),E864*E866,E864)</f>
        <v>20614</v>
      </c>
      <c r="H898" s="157">
        <f>G898*F898</f>
        <v>1993.3737999999998</v>
      </c>
      <c r="I898" s="164">
        <f>F898</f>
        <v>9.6699999999999994E-2</v>
      </c>
      <c r="J898" s="162">
        <f>IF(AND(E864*12&gt;=150000),E864*E867,E864)</f>
        <v>20614</v>
      </c>
      <c r="K898" s="123">
        <f>J898*I898</f>
        <v>1993.3737999999998</v>
      </c>
      <c r="L898" s="124">
        <f>K898-H898</f>
        <v>0</v>
      </c>
      <c r="M898" s="125">
        <f t="shared" si="131"/>
        <v>0</v>
      </c>
    </row>
    <row r="899" spans="1:13" ht="13.5" hidden="1" thickBot="1" x14ac:dyDescent="0.25">
      <c r="A899" s="46" t="str">
        <f t="shared" si="127"/>
        <v>GENERAL SERVICE LESS THAN 50 KW SERVICE CLASSIFICATION</v>
      </c>
      <c r="B899" s="46" t="s">
        <v>140</v>
      </c>
      <c r="C899" s="115"/>
      <c r="D899" s="158" t="s">
        <v>194</v>
      </c>
      <c r="E899" s="117"/>
      <c r="F899" s="164">
        <f>C899</f>
        <v>0</v>
      </c>
      <c r="G899" s="160">
        <f>IF(AND(E864*12&gt;=150000),E864*E866,E864)</f>
        <v>20614</v>
      </c>
      <c r="H899" s="157">
        <f>G899*F899</f>
        <v>0</v>
      </c>
      <c r="I899" s="164">
        <f>F899</f>
        <v>0</v>
      </c>
      <c r="J899" s="162">
        <f>IF(AND(E864*12&gt;=150000),E864*E867,E864)</f>
        <v>20614</v>
      </c>
      <c r="K899" s="123">
        <f>J899*I899</f>
        <v>0</v>
      </c>
      <c r="L899" s="124">
        <f>K899-H899</f>
        <v>0</v>
      </c>
      <c r="M899" s="125" t="str">
        <f t="shared" si="131"/>
        <v/>
      </c>
    </row>
    <row r="900" spans="1:13" ht="13.5" thickBot="1" x14ac:dyDescent="0.25">
      <c r="A900" s="46" t="str">
        <f t="shared" si="127"/>
        <v>GENERAL SERVICE LESS THAN 50 KW SERVICE CLASSIFICATION</v>
      </c>
      <c r="C900" s="115"/>
      <c r="D900" s="165"/>
      <c r="E900" s="166"/>
      <c r="F900" s="167"/>
      <c r="G900" s="168"/>
      <c r="H900" s="169"/>
      <c r="I900" s="167"/>
      <c r="J900" s="170"/>
      <c r="K900" s="169"/>
      <c r="L900" s="171"/>
      <c r="M900" s="172"/>
    </row>
    <row r="901" spans="1:13" hidden="1" x14ac:dyDescent="0.2">
      <c r="A901" s="46" t="str">
        <f t="shared" si="127"/>
        <v>GENERAL SERVICE LESS THAN 50 KW SERVICE CLASSIFICATION</v>
      </c>
      <c r="B901" s="46" t="s">
        <v>139</v>
      </c>
      <c r="C901" s="115"/>
      <c r="D901" s="173" t="s">
        <v>195</v>
      </c>
      <c r="E901" s="158"/>
      <c r="F901" s="177"/>
      <c r="G901" s="175"/>
      <c r="H901" s="176">
        <f>SUM(H891:H897,H890)</f>
        <v>2659.8401999999996</v>
      </c>
      <c r="I901" s="177"/>
      <c r="J901" s="177"/>
      <c r="K901" s="176">
        <f>SUM(K891:K897,K890)</f>
        <v>2417.8401999999996</v>
      </c>
      <c r="L901" s="178">
        <f>K901-H901</f>
        <v>-242</v>
      </c>
      <c r="M901" s="179">
        <f>IF((H901)=0,"",(L901/H901))</f>
        <v>-9.0982909424408287E-2</v>
      </c>
    </row>
    <row r="902" spans="1:13" hidden="1" x14ac:dyDescent="0.2">
      <c r="A902" s="46" t="str">
        <f t="shared" si="127"/>
        <v>GENERAL SERVICE LESS THAN 50 KW SERVICE CLASSIFICATION</v>
      </c>
      <c r="B902" s="46" t="s">
        <v>139</v>
      </c>
      <c r="C902" s="115"/>
      <c r="D902" s="180" t="s">
        <v>196</v>
      </c>
      <c r="E902" s="158"/>
      <c r="F902" s="183">
        <v>0.13</v>
      </c>
      <c r="G902" s="181"/>
      <c r="H902" s="182">
        <f>H901*F902</f>
        <v>345.77922599999994</v>
      </c>
      <c r="I902" s="183">
        <v>0.13</v>
      </c>
      <c r="J902" s="119"/>
      <c r="K902" s="182">
        <f>K901*I902</f>
        <v>314.31922599999996</v>
      </c>
      <c r="L902" s="124">
        <f>K902-H902</f>
        <v>-31.45999999999998</v>
      </c>
      <c r="M902" s="184">
        <f>IF((H902)=0,"",(L902/H902))</f>
        <v>-9.0982909424408231E-2</v>
      </c>
    </row>
    <row r="903" spans="1:13" ht="15" hidden="1" x14ac:dyDescent="0.25">
      <c r="A903" s="46" t="str">
        <f t="shared" si="127"/>
        <v>GENERAL SERVICE LESS THAN 50 KW SERVICE CLASSIFICATION</v>
      </c>
      <c r="B903" s="46" t="s">
        <v>139</v>
      </c>
      <c r="C903" s="115"/>
      <c r="D903" s="180" t="s">
        <v>197</v>
      </c>
      <c r="E903"/>
      <c r="F903" s="185">
        <v>0.11700000000000001</v>
      </c>
      <c r="G903" s="181"/>
      <c r="H903" s="182">
        <f>IF(OR(ISNUMBER(SEARCH("[DGEN]", E862))=TRUE, ISNUMBER(SEARCH("STREET LIGHT", E862))=TRUE), 0, IF(AND(E864=0, E865=0),0, IF(AND(E865=0, E864*12&gt;250000), 0, IF(AND(E864=0, E865&gt;=50), 0, IF(E864*12&lt;=250000, F903*H901*-1, IF(E865&lt;50, F903*H901*-1, 0))))))</f>
        <v>-311.20130339999997</v>
      </c>
      <c r="I903" s="185">
        <v>0.11700000000000001</v>
      </c>
      <c r="J903" s="119"/>
      <c r="K903" s="182">
        <f>IF(OR(ISNUMBER(SEARCH("[DGEN]", E862))=TRUE, ISNUMBER(SEARCH("STREET LIGHT", E862))=TRUE), 0, IF(AND(E864=0, E865=0),0, IF(AND(E865=0, E864*12&gt;250000), 0, IF(AND(E864=0, E865&gt;=50), 0, IF(E864*12&lt;=250000, I903*K901*-1, IF(E865&lt;50, I903*K901*-1, 0))))))</f>
        <v>-282.88730339999995</v>
      </c>
      <c r="L903" s="124">
        <f>K903-H903</f>
        <v>28.314000000000021</v>
      </c>
      <c r="M903" s="184"/>
    </row>
    <row r="904" spans="1:13" hidden="1" x14ac:dyDescent="0.2">
      <c r="A904" s="46" t="str">
        <f t="shared" si="127"/>
        <v>GENERAL SERVICE LESS THAN 50 KW SERVICE CLASSIFICATION</v>
      </c>
      <c r="B904" s="46" t="s">
        <v>198</v>
      </c>
      <c r="C904" s="115"/>
      <c r="D904" s="186" t="s">
        <v>199</v>
      </c>
      <c r="E904" s="186"/>
      <c r="F904" s="190"/>
      <c r="G904" s="188"/>
      <c r="H904" s="189">
        <f>H901+H902+H903</f>
        <v>2694.4181225999996</v>
      </c>
      <c r="I904" s="190"/>
      <c r="J904" s="190"/>
      <c r="K904" s="191">
        <f>K901+K902+K903</f>
        <v>2449.2721225999999</v>
      </c>
      <c r="L904" s="192">
        <f>K904-H904</f>
        <v>-245.14599999999973</v>
      </c>
      <c r="M904" s="193">
        <f>IF((H904)=0,"",(L904/H904))</f>
        <v>-9.098290942440819E-2</v>
      </c>
    </row>
    <row r="905" spans="1:13" ht="13.5" hidden="1" thickBot="1" x14ac:dyDescent="0.25">
      <c r="A905" s="46" t="str">
        <f t="shared" si="127"/>
        <v>GENERAL SERVICE LESS THAN 50 KW SERVICE CLASSIFICATION</v>
      </c>
      <c r="B905" s="46" t="s">
        <v>139</v>
      </c>
      <c r="C905" s="115"/>
      <c r="D905" s="165"/>
      <c r="E905" s="166"/>
      <c r="F905" s="167"/>
      <c r="G905" s="168"/>
      <c r="H905" s="169"/>
      <c r="I905" s="167"/>
      <c r="J905" s="170"/>
      <c r="K905" s="169"/>
      <c r="L905" s="171"/>
      <c r="M905" s="172"/>
    </row>
    <row r="906" spans="1:13" x14ac:dyDescent="0.2">
      <c r="A906" s="46" t="str">
        <f t="shared" si="127"/>
        <v>GENERAL SERVICE LESS THAN 50 KW SERVICE CLASSIFICATION</v>
      </c>
      <c r="B906" s="46" t="s">
        <v>141</v>
      </c>
      <c r="C906" s="115"/>
      <c r="D906" s="173" t="s">
        <v>200</v>
      </c>
      <c r="E906" s="158"/>
      <c r="F906" s="177"/>
      <c r="G906" s="175"/>
      <c r="H906" s="176">
        <f>SUM(H898,H891:H894,H890)</f>
        <v>2738.1733999999997</v>
      </c>
      <c r="I906" s="177"/>
      <c r="J906" s="177"/>
      <c r="K906" s="176">
        <f>SUM(K898,K891:K894,K890)</f>
        <v>2496.1733999999997</v>
      </c>
      <c r="L906" s="178">
        <f>K906-H906</f>
        <v>-242</v>
      </c>
      <c r="M906" s="179">
        <f>IF((H906)=0,"",(L906/H906))</f>
        <v>-8.838008579003799E-2</v>
      </c>
    </row>
    <row r="907" spans="1:13" x14ac:dyDescent="0.2">
      <c r="A907" s="46" t="str">
        <f t="shared" si="127"/>
        <v>GENERAL SERVICE LESS THAN 50 KW SERVICE CLASSIFICATION</v>
      </c>
      <c r="B907" s="46" t="s">
        <v>141</v>
      </c>
      <c r="C907" s="115"/>
      <c r="D907" s="180" t="s">
        <v>196</v>
      </c>
      <c r="E907" s="158"/>
      <c r="F907" s="174">
        <v>0.13</v>
      </c>
      <c r="G907" s="175"/>
      <c r="H907" s="182">
        <f>H906*F907</f>
        <v>355.96254199999998</v>
      </c>
      <c r="I907" s="174">
        <v>0.13</v>
      </c>
      <c r="J907" s="183"/>
      <c r="K907" s="182">
        <f>K906*I907</f>
        <v>324.50254199999995</v>
      </c>
      <c r="L907" s="124">
        <f>K907-H907</f>
        <v>-31.460000000000036</v>
      </c>
      <c r="M907" s="184">
        <f>IF((H907)=0,"",(L907/H907))</f>
        <v>-8.8380085790038088E-2</v>
      </c>
    </row>
    <row r="908" spans="1:13" ht="15" x14ac:dyDescent="0.25">
      <c r="A908" s="46" t="str">
        <f t="shared" si="127"/>
        <v>GENERAL SERVICE LESS THAN 50 KW SERVICE CLASSIFICATION</v>
      </c>
      <c r="B908" s="46" t="s">
        <v>141</v>
      </c>
      <c r="C908" s="115"/>
      <c r="D908" s="180" t="s">
        <v>197</v>
      </c>
      <c r="E908"/>
      <c r="F908" s="185">
        <v>0.11700000000000001</v>
      </c>
      <c r="G908" s="175"/>
      <c r="H908" s="182">
        <f>IF(OR(ISNUMBER(SEARCH("[DGEN]", E862))=TRUE, ISNUMBER(SEARCH("STREET LIGHT", E862))=TRUE), 0, IF(AND(E864=0, E865=0),0, IF(AND(E865=0, E864*12&gt;250000), 0, IF(AND(E864=0, E865&gt;=50), 0, IF(E864*12&lt;=250000, F908*H906*-1, IF(E865&lt;50, F908*H906*-1, 0))))))</f>
        <v>-320.36628779999995</v>
      </c>
      <c r="I908" s="185">
        <v>0.11700000000000001</v>
      </c>
      <c r="J908" s="183"/>
      <c r="K908" s="182">
        <f>IF(OR(ISNUMBER(SEARCH("[DGEN]", E862))=TRUE, ISNUMBER(SEARCH("STREET LIGHT", E862))=TRUE), 0, IF(AND(E864=0, E865=0),0, IF(AND(E865=0, E864*12&gt;250000), 0, IF(AND(E864=0, E865&gt;=50), 0, IF(E864*12&lt;=250000, I908*K906*-1, IF(E865&lt;50, I908*K906*-1, 0))))))</f>
        <v>-292.05228779999999</v>
      </c>
      <c r="L908" s="124"/>
      <c r="M908" s="184"/>
    </row>
    <row r="909" spans="1:13" ht="13.5" thickBot="1" x14ac:dyDescent="0.25">
      <c r="A909" s="46" t="str">
        <f t="shared" si="127"/>
        <v>GENERAL SERVICE LESS THAN 50 KW SERVICE CLASSIFICATION</v>
      </c>
      <c r="B909" s="46" t="s">
        <v>201</v>
      </c>
      <c r="C909" s="115">
        <f>B44</f>
        <v>15</v>
      </c>
      <c r="D909" s="186" t="s">
        <v>200</v>
      </c>
      <c r="E909" s="186"/>
      <c r="F909" s="194"/>
      <c r="G909" s="195"/>
      <c r="H909" s="189">
        <f>SUM(H906,H907)</f>
        <v>3094.1359419999999</v>
      </c>
      <c r="I909" s="196"/>
      <c r="J909" s="196"/>
      <c r="K909" s="189">
        <f>SUM(K906,K907)</f>
        <v>2820.6759419999998</v>
      </c>
      <c r="L909" s="197">
        <f>K909-H909</f>
        <v>-273.46000000000004</v>
      </c>
      <c r="M909" s="198">
        <f>IF((H909)=0,"",(L909/H909))</f>
        <v>-8.8380085790038004E-2</v>
      </c>
    </row>
    <row r="910" spans="1:13" ht="13.5" thickBot="1" x14ac:dyDescent="0.25">
      <c r="A910" s="46" t="str">
        <f t="shared" si="127"/>
        <v>GENERAL SERVICE LESS THAN 50 KW SERVICE CLASSIFICATION</v>
      </c>
      <c r="B910" s="46" t="s">
        <v>141</v>
      </c>
      <c r="C910" s="115"/>
      <c r="D910" s="165"/>
      <c r="E910" s="166"/>
      <c r="F910" s="199"/>
      <c r="G910" s="200"/>
      <c r="H910" s="201"/>
      <c r="I910" s="199"/>
      <c r="J910" s="168"/>
      <c r="K910" s="201"/>
      <c r="L910" s="202"/>
      <c r="M910" s="172"/>
    </row>
    <row r="911" spans="1:13" hidden="1" x14ac:dyDescent="0.2">
      <c r="A911" s="46" t="str">
        <f t="shared" si="127"/>
        <v>GENERAL SERVICE LESS THAN 50 KW SERVICE CLASSIFICATION</v>
      </c>
      <c r="B911" s="46" t="s">
        <v>140</v>
      </c>
      <c r="C911" s="115"/>
      <c r="D911" s="173" t="s">
        <v>202</v>
      </c>
      <c r="E911" s="158"/>
      <c r="F911" s="174"/>
      <c r="G911" s="175"/>
      <c r="H911" s="176">
        <f>SUM(H899,H891:H894,H890)</f>
        <v>744.79959999999994</v>
      </c>
      <c r="I911" s="177"/>
      <c r="J911" s="177"/>
      <c r="K911" s="176">
        <f>SUM(K899,K891:K894,K890)</f>
        <v>502.7996</v>
      </c>
      <c r="L911" s="178">
        <f>K911-H911</f>
        <v>-241.99999999999994</v>
      </c>
      <c r="M911" s="179">
        <f>IF((H911)=0,"",(L911/H911))</f>
        <v>-0.32491961596112562</v>
      </c>
    </row>
    <row r="912" spans="1:13" hidden="1" x14ac:dyDescent="0.2">
      <c r="A912" s="46" t="str">
        <f t="shared" si="127"/>
        <v>GENERAL SERVICE LESS THAN 50 KW SERVICE CLASSIFICATION</v>
      </c>
      <c r="B912" s="46" t="s">
        <v>140</v>
      </c>
      <c r="C912" s="115"/>
      <c r="D912" s="180" t="s">
        <v>196</v>
      </c>
      <c r="E912" s="158"/>
      <c r="F912" s="174">
        <v>0.13</v>
      </c>
      <c r="G912" s="175"/>
      <c r="H912" s="182">
        <f>H911*F912</f>
        <v>96.823948000000001</v>
      </c>
      <c r="I912" s="174">
        <v>0.13</v>
      </c>
      <c r="J912" s="183"/>
      <c r="K912" s="182">
        <f>K911*I912</f>
        <v>65.363948000000008</v>
      </c>
      <c r="L912" s="124">
        <f>K912-H912</f>
        <v>-31.459999999999994</v>
      </c>
      <c r="M912" s="184">
        <f>IF((H912)=0,"",(L912/H912))</f>
        <v>-0.32491961596112556</v>
      </c>
    </row>
    <row r="913" spans="1:14" ht="15" hidden="1" x14ac:dyDescent="0.25">
      <c r="A913" s="46" t="str">
        <f t="shared" si="127"/>
        <v>GENERAL SERVICE LESS THAN 50 KW SERVICE CLASSIFICATION</v>
      </c>
      <c r="B913" s="46" t="s">
        <v>140</v>
      </c>
      <c r="C913" s="115"/>
      <c r="D913" s="180" t="s">
        <v>197</v>
      </c>
      <c r="E913"/>
      <c r="F913" s="185">
        <v>0.11700000000000001</v>
      </c>
      <c r="G913" s="175"/>
      <c r="H913" s="182">
        <f>IF(OR(ISNUMBER(SEARCH("[DGEN]", E862))=TRUE, ISNUMBER(SEARCH("STREET LIGHT", E862))=TRUE), 0, IF(AND(E864=0, E865=0),0, IF(AND(E865=0, E864*12&gt;250000), 0, IF(AND(E864=0, E865&gt;=50), 0, IF(E864*12&lt;=250000, F913*H911*-1, IF(E865&lt;50, F913*H911*-1, 0))))))</f>
        <v>-87.141553200000004</v>
      </c>
      <c r="I913" s="185">
        <v>0.11700000000000001</v>
      </c>
      <c r="J913" s="183"/>
      <c r="K913" s="182">
        <f>IF(OR(ISNUMBER(SEARCH("[DGEN]", E862))=TRUE, ISNUMBER(SEARCH("STREET LIGHT", E862))=TRUE), 0, IF(AND(E864=0, E865=0),0, IF(AND(E865=0, E864*12&gt;250000), 0, IF(AND(E864=0, E865&gt;=50), 0, IF(E864*12&lt;=250000, I913*K911*-1, IF(E865&lt;50, I913*K911*-1, 0))))))</f>
        <v>-58.827553200000004</v>
      </c>
      <c r="L913" s="124"/>
      <c r="M913" s="184"/>
    </row>
    <row r="914" spans="1:14" hidden="1" x14ac:dyDescent="0.2">
      <c r="A914" s="46" t="str">
        <f t="shared" si="127"/>
        <v>GENERAL SERVICE LESS THAN 50 KW SERVICE CLASSIFICATION</v>
      </c>
      <c r="B914" s="46" t="s">
        <v>203</v>
      </c>
      <c r="C914" s="115"/>
      <c r="D914" s="186" t="s">
        <v>202</v>
      </c>
      <c r="E914" s="186"/>
      <c r="F914" s="194"/>
      <c r="G914" s="195"/>
      <c r="H914" s="189">
        <f>SUM(H911,H912)</f>
        <v>841.62354799999991</v>
      </c>
      <c r="I914" s="196"/>
      <c r="J914" s="196"/>
      <c r="K914" s="189">
        <f>SUM(K911,K912)</f>
        <v>568.16354799999999</v>
      </c>
      <c r="L914" s="197">
        <f>K914-H914</f>
        <v>-273.45999999999992</v>
      </c>
      <c r="M914" s="198">
        <f>IF((H914)=0,"",(L914/H914))</f>
        <v>-0.32491961596112562</v>
      </c>
    </row>
    <row r="915" spans="1:14" ht="13.5" hidden="1" thickBot="1" x14ac:dyDescent="0.25">
      <c r="A915" s="46" t="str">
        <f t="shared" si="127"/>
        <v>GENERAL SERVICE LESS THAN 50 KW SERVICE CLASSIFICATION</v>
      </c>
      <c r="B915" s="46" t="s">
        <v>140</v>
      </c>
      <c r="C915" s="115"/>
      <c r="D915" s="165"/>
      <c r="E915" s="166"/>
      <c r="F915" s="203"/>
      <c r="G915" s="200"/>
      <c r="H915" s="204"/>
      <c r="I915" s="203"/>
      <c r="J915" s="168"/>
      <c r="K915" s="204"/>
      <c r="L915" s="202"/>
      <c r="M915" s="205"/>
    </row>
    <row r="918" spans="1:14" x14ac:dyDescent="0.2">
      <c r="C918" s="46"/>
      <c r="D918" s="90" t="s">
        <v>150</v>
      </c>
      <c r="E918" s="91" t="str">
        <f>D45</f>
        <v>EMBEDDED DISTRIBUTOR SERVICE CLASSIFICATION - WATERLOO</v>
      </c>
      <c r="F918" s="91"/>
      <c r="G918" s="91"/>
      <c r="H918" s="91"/>
      <c r="I918" s="91"/>
      <c r="J918" s="91"/>
      <c r="K918" s="46" t="str">
        <f>IF(N45="DEMAND - INTERVAL","RTSR - INTERVAL METERED","")</f>
        <v/>
      </c>
    </row>
    <row r="919" spans="1:14" x14ac:dyDescent="0.2">
      <c r="C919" s="46"/>
      <c r="D919" s="90" t="s">
        <v>151</v>
      </c>
      <c r="E919" s="92" t="str">
        <f>H45</f>
        <v>Non-RPP (Other)</v>
      </c>
      <c r="F919" s="92"/>
      <c r="G919" s="92"/>
      <c r="H919" s="93"/>
      <c r="I919" s="93"/>
    </row>
    <row r="920" spans="1:14" ht="15.75" x14ac:dyDescent="0.2">
      <c r="C920" s="46"/>
      <c r="D920" s="90" t="s">
        <v>152</v>
      </c>
      <c r="E920" s="94">
        <f>K45</f>
        <v>5253646</v>
      </c>
      <c r="F920" s="95" t="s">
        <v>153</v>
      </c>
      <c r="J920" s="96"/>
      <c r="K920" s="96"/>
      <c r="L920" s="96"/>
      <c r="M920" s="96"/>
      <c r="N920" s="96"/>
    </row>
    <row r="921" spans="1:14" ht="15.75" x14ac:dyDescent="0.25">
      <c r="C921" s="46"/>
      <c r="D921" s="90" t="s">
        <v>154</v>
      </c>
      <c r="E921" s="94">
        <f>L45</f>
        <v>8280</v>
      </c>
      <c r="F921" s="97" t="s">
        <v>155</v>
      </c>
      <c r="G921" s="98"/>
      <c r="H921" s="99"/>
      <c r="I921" s="99"/>
      <c r="J921" s="99"/>
    </row>
    <row r="922" spans="1:14" x14ac:dyDescent="0.2">
      <c r="C922" s="46"/>
      <c r="D922" s="90" t="s">
        <v>156</v>
      </c>
      <c r="E922" s="100">
        <f>I45</f>
        <v>1.0306999999999999</v>
      </c>
    </row>
    <row r="923" spans="1:14" x14ac:dyDescent="0.2">
      <c r="C923" s="46"/>
      <c r="D923" s="90" t="s">
        <v>157</v>
      </c>
      <c r="E923" s="100">
        <f>J45</f>
        <v>1.0306999999999999</v>
      </c>
    </row>
    <row r="924" spans="1:14" x14ac:dyDescent="0.2">
      <c r="C924" s="46"/>
    </row>
    <row r="925" spans="1:14" x14ac:dyDescent="0.2">
      <c r="C925" s="46"/>
      <c r="E925" s="95"/>
      <c r="F925" s="101" t="s">
        <v>226</v>
      </c>
      <c r="G925" s="102"/>
      <c r="H925" s="103"/>
      <c r="I925" s="101" t="s">
        <v>205</v>
      </c>
      <c r="J925" s="102"/>
      <c r="K925" s="103"/>
      <c r="L925" s="101" t="s">
        <v>158</v>
      </c>
      <c r="M925" s="103"/>
    </row>
    <row r="926" spans="1:14" x14ac:dyDescent="0.2">
      <c r="C926" s="46"/>
      <c r="E926" s="104"/>
      <c r="F926" s="105" t="s">
        <v>159</v>
      </c>
      <c r="G926" s="105" t="s">
        <v>160</v>
      </c>
      <c r="H926" s="106" t="s">
        <v>161</v>
      </c>
      <c r="I926" s="105" t="s">
        <v>159</v>
      </c>
      <c r="J926" s="107" t="s">
        <v>160</v>
      </c>
      <c r="K926" s="106" t="s">
        <v>161</v>
      </c>
      <c r="L926" s="108" t="s">
        <v>162</v>
      </c>
      <c r="M926" s="109" t="s">
        <v>163</v>
      </c>
    </row>
    <row r="927" spans="1:14" x14ac:dyDescent="0.2">
      <c r="C927" s="46"/>
      <c r="E927" s="110"/>
      <c r="F927" s="111" t="s">
        <v>164</v>
      </c>
      <c r="G927" s="111"/>
      <c r="H927" s="112" t="s">
        <v>164</v>
      </c>
      <c r="I927" s="111" t="s">
        <v>164</v>
      </c>
      <c r="J927" s="112"/>
      <c r="K927" s="112" t="s">
        <v>164</v>
      </c>
      <c r="L927" s="113"/>
      <c r="M927" s="114"/>
    </row>
    <row r="928" spans="1:14" x14ac:dyDescent="0.2">
      <c r="A928" s="46" t="str">
        <f>$E918</f>
        <v>EMBEDDED DISTRIBUTOR SERVICE CLASSIFICATION - WATERLOO</v>
      </c>
      <c r="C928" s="115"/>
      <c r="D928" s="116" t="s">
        <v>165</v>
      </c>
      <c r="E928" s="117"/>
      <c r="F928" s="121">
        <v>0</v>
      </c>
      <c r="G928" s="119">
        <v>1</v>
      </c>
      <c r="H928" s="120">
        <f>G928*F928</f>
        <v>0</v>
      </c>
      <c r="I928" s="121">
        <v>0</v>
      </c>
      <c r="J928" s="122">
        <f>G928</f>
        <v>1</v>
      </c>
      <c r="K928" s="123">
        <f>J928*I928</f>
        <v>0</v>
      </c>
      <c r="L928" s="124">
        <f t="shared" ref="L928:L949" si="132">K928-H928</f>
        <v>0</v>
      </c>
      <c r="M928" s="125" t="str">
        <f>IF(ISERROR(L928/H928), "", L928/H928)</f>
        <v/>
      </c>
    </row>
    <row r="929" spans="1:14" x14ac:dyDescent="0.2">
      <c r="A929" s="46" t="str">
        <f>A928</f>
        <v>EMBEDDED DISTRIBUTOR SERVICE CLASSIFICATION - WATERLOO</v>
      </c>
      <c r="C929" s="115"/>
      <c r="D929" s="116" t="s">
        <v>30</v>
      </c>
      <c r="E929" s="117"/>
      <c r="F929" s="127">
        <v>1.8185</v>
      </c>
      <c r="G929" s="119">
        <f>IF($E921&gt;0, $E921, $E920)</f>
        <v>8280</v>
      </c>
      <c r="H929" s="120">
        <f t="shared" ref="H929:H941" si="133">G929*F929</f>
        <v>15057.18</v>
      </c>
      <c r="I929" s="127">
        <v>1.8185</v>
      </c>
      <c r="J929" s="122">
        <f>IF($E921&gt;0, $E921, $E920)</f>
        <v>8280</v>
      </c>
      <c r="K929" s="123">
        <f>J929*I929</f>
        <v>15057.18</v>
      </c>
      <c r="L929" s="124">
        <f t="shared" si="132"/>
        <v>0</v>
      </c>
      <c r="M929" s="125">
        <f t="shared" ref="M929:M939" si="134">IF(ISERROR(L929/H929), "", L929/H929)</f>
        <v>0</v>
      </c>
    </row>
    <row r="930" spans="1:14" hidden="1" x14ac:dyDescent="0.2">
      <c r="A930" s="46" t="str">
        <f t="shared" ref="A930:A971" si="135">A929</f>
        <v>EMBEDDED DISTRIBUTOR SERVICE CLASSIFICATION - WATERLOO</v>
      </c>
      <c r="C930" s="115"/>
      <c r="D930" s="116" t="s">
        <v>166</v>
      </c>
      <c r="E930" s="117"/>
      <c r="F930" s="127"/>
      <c r="G930" s="119">
        <f>IF($E921&gt;0, $E921, $E920)</f>
        <v>8280</v>
      </c>
      <c r="H930" s="120">
        <v>0</v>
      </c>
      <c r="I930" s="127"/>
      <c r="J930" s="122">
        <f>IF($E921&gt;0, $E921, $E920)</f>
        <v>8280</v>
      </c>
      <c r="K930" s="123">
        <v>0</v>
      </c>
      <c r="L930" s="124"/>
      <c r="M930" s="125"/>
    </row>
    <row r="931" spans="1:14" hidden="1" x14ac:dyDescent="0.2">
      <c r="A931" s="46" t="str">
        <f t="shared" si="135"/>
        <v>EMBEDDED DISTRIBUTOR SERVICE CLASSIFICATION - WATERLOO</v>
      </c>
      <c r="C931" s="115"/>
      <c r="D931" s="116" t="s">
        <v>167</v>
      </c>
      <c r="E931" s="117"/>
      <c r="F931" s="127"/>
      <c r="G931" s="119">
        <f>IF($E921&gt;0, $E921, $E920)</f>
        <v>8280</v>
      </c>
      <c r="H931" s="120">
        <v>0</v>
      </c>
      <c r="I931" s="127"/>
      <c r="J931" s="128">
        <f>IF($E921&gt;0, $E921, $E920)</f>
        <v>8280</v>
      </c>
      <c r="K931" s="123">
        <v>0</v>
      </c>
      <c r="L931" s="124">
        <f>K931-H931</f>
        <v>0</v>
      </c>
      <c r="M931" s="125" t="str">
        <f>IF(ISERROR(L931/H931), "", L931/H931)</f>
        <v/>
      </c>
    </row>
    <row r="932" spans="1:14" x14ac:dyDescent="0.2">
      <c r="A932" s="46" t="str">
        <f t="shared" si="135"/>
        <v>EMBEDDED DISTRIBUTOR SERVICE CLASSIFICATION - WATERLOO</v>
      </c>
      <c r="C932" s="115"/>
      <c r="D932" s="116" t="s">
        <v>168</v>
      </c>
      <c r="E932" s="117"/>
      <c r="F932" s="121">
        <v>113.95</v>
      </c>
      <c r="G932" s="119">
        <v>1</v>
      </c>
      <c r="H932" s="120">
        <f t="shared" si="133"/>
        <v>113.95</v>
      </c>
      <c r="I932" s="121">
        <v>113.95</v>
      </c>
      <c r="J932" s="122">
        <f>G932</f>
        <v>1</v>
      </c>
      <c r="K932" s="123">
        <f t="shared" ref="K932:K939" si="136">J932*I932</f>
        <v>113.95</v>
      </c>
      <c r="L932" s="124">
        <f t="shared" si="132"/>
        <v>0</v>
      </c>
      <c r="M932" s="125">
        <f t="shared" si="134"/>
        <v>0</v>
      </c>
    </row>
    <row r="933" spans="1:14" x14ac:dyDescent="0.2">
      <c r="A933" s="46" t="str">
        <f t="shared" si="135"/>
        <v>EMBEDDED DISTRIBUTOR SERVICE CLASSIFICATION - WATERLOO</v>
      </c>
      <c r="C933" s="115"/>
      <c r="D933" s="116" t="s">
        <v>169</v>
      </c>
      <c r="E933" s="117"/>
      <c r="F933" s="127">
        <v>0</v>
      </c>
      <c r="G933" s="119">
        <f>IF($E921&gt;0, $E921, $E920)</f>
        <v>8280</v>
      </c>
      <c r="H933" s="120">
        <f t="shared" si="133"/>
        <v>0</v>
      </c>
      <c r="I933" s="127">
        <v>0</v>
      </c>
      <c r="J933" s="122">
        <f>IF($E921&gt;0, $E921, $E920)</f>
        <v>8280</v>
      </c>
      <c r="K933" s="123">
        <f t="shared" si="136"/>
        <v>0</v>
      </c>
      <c r="L933" s="124">
        <f t="shared" si="132"/>
        <v>0</v>
      </c>
      <c r="M933" s="125" t="str">
        <f t="shared" si="134"/>
        <v/>
      </c>
    </row>
    <row r="934" spans="1:14" x14ac:dyDescent="0.2">
      <c r="A934" s="46" t="str">
        <f t="shared" si="135"/>
        <v>EMBEDDED DISTRIBUTOR SERVICE CLASSIFICATION - WATERLOO</v>
      </c>
      <c r="B934" s="46" t="s">
        <v>170</v>
      </c>
      <c r="C934" s="115">
        <f>B45</f>
        <v>16</v>
      </c>
      <c r="D934" s="129" t="s">
        <v>171</v>
      </c>
      <c r="E934" s="130"/>
      <c r="F934" s="134"/>
      <c r="G934" s="132"/>
      <c r="H934" s="133">
        <f>SUM(H928:H933)</f>
        <v>15171.130000000001</v>
      </c>
      <c r="I934" s="134"/>
      <c r="J934" s="135"/>
      <c r="K934" s="133">
        <f>SUM(K928:K933)</f>
        <v>15171.130000000001</v>
      </c>
      <c r="L934" s="136">
        <f t="shared" si="132"/>
        <v>0</v>
      </c>
      <c r="M934" s="137">
        <f>IF((H934)=0,"",(L934/H934))</f>
        <v>0</v>
      </c>
    </row>
    <row r="935" spans="1:14" x14ac:dyDescent="0.2">
      <c r="A935" s="46" t="str">
        <f t="shared" si="135"/>
        <v>EMBEDDED DISTRIBUTOR SERVICE CLASSIFICATION - WATERLOO</v>
      </c>
      <c r="C935" s="115"/>
      <c r="D935" s="138" t="s">
        <v>172</v>
      </c>
      <c r="E935" s="117"/>
      <c r="F935" s="127">
        <f>IF((E920*12&gt;=150000), 0, IF(E919="RPP",(F951*0.64+F952*0.18+F953*0.18),IF(E919="Non-RPP (Retailer)",F954,F955)))</f>
        <v>0</v>
      </c>
      <c r="G935" s="139">
        <f>IF(F935=0, 0, $E920*E922-E920)</f>
        <v>0</v>
      </c>
      <c r="H935" s="120">
        <f>G935*F935</f>
        <v>0</v>
      </c>
      <c r="I935" s="127">
        <f>IF((E920*12&gt;=150000), 0, IF(E919="RPP",(I951*0.64+I952*0.18+I953*0.18),IF(E919="Non-RPP (Retailer)",I954,I955)))</f>
        <v>0</v>
      </c>
      <c r="J935" s="140">
        <f>IF(I935=0, 0, E920*E923-E920)</f>
        <v>0</v>
      </c>
      <c r="K935" s="123">
        <f>J935*I935</f>
        <v>0</v>
      </c>
      <c r="L935" s="124">
        <f>K935-H935</f>
        <v>0</v>
      </c>
      <c r="M935" s="125" t="str">
        <f>IF(ISERROR(L935/H935), "", L935/H935)</f>
        <v/>
      </c>
    </row>
    <row r="936" spans="1:14" ht="25.5" x14ac:dyDescent="0.2">
      <c r="A936" s="46" t="str">
        <f t="shared" si="135"/>
        <v>EMBEDDED DISTRIBUTOR SERVICE CLASSIFICATION - WATERLOO</v>
      </c>
      <c r="C936" s="115"/>
      <c r="D936" s="138" t="s">
        <v>173</v>
      </c>
      <c r="E936" s="117"/>
      <c r="F936" s="127">
        <v>0.68959999999999999</v>
      </c>
      <c r="G936" s="141">
        <f>IF($E921&gt;0, $E921, $E920)</f>
        <v>8280</v>
      </c>
      <c r="H936" s="120">
        <f t="shared" si="133"/>
        <v>5709.8879999999999</v>
      </c>
      <c r="I936" s="127">
        <f>'Proposed Tariff'!D339+'Proposed Tariff'!D338</f>
        <v>0.70069999999999999</v>
      </c>
      <c r="J936" s="142">
        <f>IF($E921&gt;0, $E921, $E920)</f>
        <v>8280</v>
      </c>
      <c r="K936" s="123">
        <f t="shared" si="136"/>
        <v>5801.7960000000003</v>
      </c>
      <c r="L936" s="124">
        <f t="shared" si="132"/>
        <v>91.908000000000357</v>
      </c>
      <c r="M936" s="125">
        <f t="shared" si="134"/>
        <v>1.6096287703016306E-2</v>
      </c>
    </row>
    <row r="937" spans="1:14" x14ac:dyDescent="0.2">
      <c r="A937" s="46" t="str">
        <f t="shared" si="135"/>
        <v>EMBEDDED DISTRIBUTOR SERVICE CLASSIFICATION - WATERLOO</v>
      </c>
      <c r="C937" s="115"/>
      <c r="D937" s="138" t="s">
        <v>174</v>
      </c>
      <c r="E937" s="117"/>
      <c r="F937" s="127">
        <v>0</v>
      </c>
      <c r="G937" s="141">
        <f>IF($E921&gt;0, $E921, $E920)</f>
        <v>8280</v>
      </c>
      <c r="H937" s="120">
        <f>G937*F937</f>
        <v>0</v>
      </c>
      <c r="I937" s="127">
        <v>0</v>
      </c>
      <c r="J937" s="142">
        <f>IF($E921&gt;0, $E921, $E920)</f>
        <v>8280</v>
      </c>
      <c r="K937" s="123">
        <f>J937*I937</f>
        <v>0</v>
      </c>
      <c r="L937" s="124">
        <f t="shared" si="132"/>
        <v>0</v>
      </c>
      <c r="M937" s="125" t="str">
        <f t="shared" si="134"/>
        <v/>
      </c>
    </row>
    <row r="938" spans="1:14" x14ac:dyDescent="0.2">
      <c r="A938" s="46" t="str">
        <f t="shared" si="135"/>
        <v>EMBEDDED DISTRIBUTOR SERVICE CLASSIFICATION - WATERLOO</v>
      </c>
      <c r="C938" s="115"/>
      <c r="D938" s="138" t="s">
        <v>175</v>
      </c>
      <c r="E938" s="117"/>
      <c r="F938" s="127">
        <v>0</v>
      </c>
      <c r="G938" s="141">
        <f>E920</f>
        <v>5253646</v>
      </c>
      <c r="H938" s="120">
        <f>G938*F938</f>
        <v>0</v>
      </c>
      <c r="I938" s="127">
        <v>0</v>
      </c>
      <c r="J938" s="142">
        <f>E920</f>
        <v>5253646</v>
      </c>
      <c r="K938" s="123">
        <f t="shared" si="136"/>
        <v>0</v>
      </c>
      <c r="L938" s="124">
        <f t="shared" si="132"/>
        <v>0</v>
      </c>
      <c r="M938" s="125" t="str">
        <f t="shared" si="134"/>
        <v/>
      </c>
    </row>
    <row r="939" spans="1:14" x14ac:dyDescent="0.2">
      <c r="A939" s="46" t="str">
        <f t="shared" si="135"/>
        <v>EMBEDDED DISTRIBUTOR SERVICE CLASSIFICATION - WATERLOO</v>
      </c>
      <c r="C939" s="115"/>
      <c r="D939" s="116" t="s">
        <v>176</v>
      </c>
      <c r="E939" s="117"/>
      <c r="F939" s="127">
        <v>0.12479999999999999</v>
      </c>
      <c r="G939" s="141">
        <f>IF($E921&gt;0, $E921, $E920)</f>
        <v>8280</v>
      </c>
      <c r="H939" s="120">
        <f t="shared" si="133"/>
        <v>1033.3440000000001</v>
      </c>
      <c r="I939" s="127">
        <v>0.12479999999999999</v>
      </c>
      <c r="J939" s="142">
        <f>IF($E921&gt;0, $E921, $E920)</f>
        <v>8280</v>
      </c>
      <c r="K939" s="123">
        <f t="shared" si="136"/>
        <v>1033.3440000000001</v>
      </c>
      <c r="L939" s="124">
        <f t="shared" si="132"/>
        <v>0</v>
      </c>
      <c r="M939" s="125">
        <f t="shared" si="134"/>
        <v>0</v>
      </c>
    </row>
    <row r="940" spans="1:14" ht="25.5" x14ac:dyDescent="0.2">
      <c r="A940" s="46" t="str">
        <f t="shared" si="135"/>
        <v>EMBEDDED DISTRIBUTOR SERVICE CLASSIFICATION - WATERLOO</v>
      </c>
      <c r="C940" s="115"/>
      <c r="D940" s="138" t="s">
        <v>177</v>
      </c>
      <c r="E940" s="117"/>
      <c r="F940" s="144">
        <f>IF(OR(ISNUMBER(SEARCH("RESIDENTIAL", B918))=TRUE, ISNUMBER(SEARCH("GENERAL SERVICE LESS THAN 50", B918))=TRUE), SME, 0)</f>
        <v>0</v>
      </c>
      <c r="G940" s="119">
        <v>1</v>
      </c>
      <c r="H940" s="120">
        <f>G940*F940</f>
        <v>0</v>
      </c>
      <c r="I940" s="144">
        <f>IF(OR(ISNUMBER(SEARCH("RESIDENTIAL", E918))=TRUE, ISNUMBER(SEARCH("GENERAL SERVICE LESS THAN 50", E918))=TRUE), SME, 0)</f>
        <v>0</v>
      </c>
      <c r="J940" s="128">
        <v>1</v>
      </c>
      <c r="K940" s="123">
        <f>J940*I940</f>
        <v>0</v>
      </c>
      <c r="L940" s="124">
        <f t="shared" si="132"/>
        <v>0</v>
      </c>
      <c r="M940" s="125" t="str">
        <f>IF(ISERROR(L940/H940), "", L940/H940)</f>
        <v/>
      </c>
    </row>
    <row r="941" spans="1:14" x14ac:dyDescent="0.2">
      <c r="A941" s="46" t="str">
        <f t="shared" si="135"/>
        <v>EMBEDDED DISTRIBUTOR SERVICE CLASSIFICATION - WATERLOO</v>
      </c>
      <c r="C941" s="115"/>
      <c r="D941" s="116" t="s">
        <v>178</v>
      </c>
      <c r="E941" s="117"/>
      <c r="F941" s="121">
        <v>0</v>
      </c>
      <c r="G941" s="119">
        <v>1</v>
      </c>
      <c r="H941" s="120">
        <f t="shared" si="133"/>
        <v>0</v>
      </c>
      <c r="I941" s="121">
        <v>0</v>
      </c>
      <c r="J941" s="128">
        <v>1</v>
      </c>
      <c r="K941" s="123">
        <f>J941*I941</f>
        <v>0</v>
      </c>
      <c r="L941" s="124">
        <f>K941-H941</f>
        <v>0</v>
      </c>
      <c r="M941" s="125" t="str">
        <f>IF(ISERROR(L941/H941), "", L941/H941)</f>
        <v/>
      </c>
    </row>
    <row r="942" spans="1:14" x14ac:dyDescent="0.2">
      <c r="A942" s="46" t="str">
        <f t="shared" si="135"/>
        <v>EMBEDDED DISTRIBUTOR SERVICE CLASSIFICATION - WATERLOO</v>
      </c>
      <c r="C942" s="115"/>
      <c r="D942" s="116" t="s">
        <v>179</v>
      </c>
      <c r="E942" s="117"/>
      <c r="F942" s="127">
        <v>0</v>
      </c>
      <c r="G942" s="141">
        <f>IF($E921&gt;0, $E921, $E920)</f>
        <v>8280</v>
      </c>
      <c r="H942" s="120">
        <f>G942*F942</f>
        <v>0</v>
      </c>
      <c r="I942" s="127">
        <v>0</v>
      </c>
      <c r="J942" s="142">
        <f>IF($E921&gt;0, $E921, $E920)</f>
        <v>8280</v>
      </c>
      <c r="K942" s="123">
        <f>J942*I942</f>
        <v>0</v>
      </c>
      <c r="L942" s="124">
        <f t="shared" si="132"/>
        <v>0</v>
      </c>
      <c r="M942" s="125" t="str">
        <f>IF(ISERROR(L942/H942), "", L942/H942)</f>
        <v/>
      </c>
    </row>
    <row r="943" spans="1:14" ht="25.5" x14ac:dyDescent="0.2">
      <c r="A943" s="46" t="str">
        <f t="shared" si="135"/>
        <v>EMBEDDED DISTRIBUTOR SERVICE CLASSIFICATION - WATERLOO</v>
      </c>
      <c r="B943" s="46" t="s">
        <v>180</v>
      </c>
      <c r="C943" s="115">
        <f>B45</f>
        <v>16</v>
      </c>
      <c r="D943" s="145" t="s">
        <v>181</v>
      </c>
      <c r="E943" s="146"/>
      <c r="F943" s="150"/>
      <c r="G943" s="148"/>
      <c r="H943" s="149">
        <f>SUM(H934:H942)</f>
        <v>21914.362000000001</v>
      </c>
      <c r="I943" s="150"/>
      <c r="J943" s="151"/>
      <c r="K943" s="149">
        <f>SUM(K934:K942)</f>
        <v>22006.27</v>
      </c>
      <c r="L943" s="136">
        <f t="shared" si="132"/>
        <v>91.907999999999447</v>
      </c>
      <c r="M943" s="137">
        <f>IF((H943)=0,"",(L943/H943))</f>
        <v>4.1939619323619571E-3</v>
      </c>
    </row>
    <row r="944" spans="1:14" x14ac:dyDescent="0.2">
      <c r="A944" s="46" t="str">
        <f t="shared" si="135"/>
        <v>EMBEDDED DISTRIBUTOR SERVICE CLASSIFICATION - WATERLOO</v>
      </c>
      <c r="C944" s="115"/>
      <c r="D944" s="152" t="s">
        <v>182</v>
      </c>
      <c r="E944" s="117"/>
      <c r="F944" s="153">
        <v>3.5680000000000001</v>
      </c>
      <c r="G944" s="139">
        <f>IF($E921&gt;0, $E921, $E920*$E922)</f>
        <v>8280</v>
      </c>
      <c r="H944" s="120">
        <f>G944*F944</f>
        <v>29543.040000000001</v>
      </c>
      <c r="I944" s="153">
        <v>3.5680000000000001</v>
      </c>
      <c r="J944" s="140">
        <f>IF($E921&gt;0, $E921, $E920*$E923)</f>
        <v>8280</v>
      </c>
      <c r="K944" s="123">
        <f>J944*I944</f>
        <v>29543.040000000001</v>
      </c>
      <c r="L944" s="124">
        <f t="shared" si="132"/>
        <v>0</v>
      </c>
      <c r="M944" s="125">
        <f>IF(ISERROR(L944/H944), "", L944/H944)</f>
        <v>0</v>
      </c>
      <c r="N944" s="154" t="str">
        <f>IF(ISERROR(ABS(M944)), "", IF(ABS(M944)&gt;=4%, "In the manager's summary, discuss the reasoning for the change in RTSR rates", ""))</f>
        <v/>
      </c>
    </row>
    <row r="945" spans="1:14" ht="25.5" x14ac:dyDescent="0.2">
      <c r="A945" s="46" t="str">
        <f t="shared" si="135"/>
        <v>EMBEDDED DISTRIBUTOR SERVICE CLASSIFICATION - WATERLOO</v>
      </c>
      <c r="C945" s="115"/>
      <c r="D945" s="155" t="s">
        <v>183</v>
      </c>
      <c r="E945" s="117"/>
      <c r="F945" s="153">
        <v>2.2039</v>
      </c>
      <c r="G945" s="139">
        <f>IF($E921&gt;0, $E921, $E920*$E922)</f>
        <v>8280</v>
      </c>
      <c r="H945" s="120">
        <f>G945*F945</f>
        <v>18248.292000000001</v>
      </c>
      <c r="I945" s="153">
        <v>2.2039</v>
      </c>
      <c r="J945" s="140">
        <f>IF($E921&gt;0, $E921, $E920*$E923)</f>
        <v>8280</v>
      </c>
      <c r="K945" s="123">
        <f>J945*I945</f>
        <v>18248.292000000001</v>
      </c>
      <c r="L945" s="124">
        <f t="shared" si="132"/>
        <v>0</v>
      </c>
      <c r="M945" s="125">
        <f>IF(ISERROR(L945/H945), "", L945/H945)</f>
        <v>0</v>
      </c>
      <c r="N945" s="154" t="str">
        <f>IF(ISERROR(ABS(M945)), "", IF(ABS(M945)&gt;=4%, "In the manager's summary, discuss the reasoning for the change in RTSR rates", ""))</f>
        <v/>
      </c>
    </row>
    <row r="946" spans="1:14" ht="25.5" x14ac:dyDescent="0.2">
      <c r="A946" s="46" t="str">
        <f t="shared" si="135"/>
        <v>EMBEDDED DISTRIBUTOR SERVICE CLASSIFICATION - WATERLOO</v>
      </c>
      <c r="B946" s="46" t="s">
        <v>184</v>
      </c>
      <c r="C946" s="115">
        <f>B45</f>
        <v>16</v>
      </c>
      <c r="D946" s="145" t="s">
        <v>185</v>
      </c>
      <c r="E946" s="130"/>
      <c r="F946" s="150"/>
      <c r="G946" s="148"/>
      <c r="H946" s="149">
        <f>SUM(H943:H945)</f>
        <v>69705.694000000003</v>
      </c>
      <c r="I946" s="150"/>
      <c r="J946" s="135"/>
      <c r="K946" s="149">
        <f>SUM(K943:K945)</f>
        <v>69797.601999999999</v>
      </c>
      <c r="L946" s="136">
        <f t="shared" si="132"/>
        <v>91.907999999995809</v>
      </c>
      <c r="M946" s="137">
        <f>IF((H946)=0,"",(L946/H946))</f>
        <v>1.3185149551770592E-3</v>
      </c>
    </row>
    <row r="947" spans="1:14" ht="25.5" x14ac:dyDescent="0.2">
      <c r="A947" s="46" t="str">
        <f t="shared" si="135"/>
        <v>EMBEDDED DISTRIBUTOR SERVICE CLASSIFICATION - WATERLOO</v>
      </c>
      <c r="C947" s="115"/>
      <c r="D947" s="156" t="s">
        <v>186</v>
      </c>
      <c r="E947" s="117"/>
      <c r="F947" s="127">
        <f>'[1]17. Regulatory Charges'!$E$15+'[1]17. Regulatory Charges'!$E$16</f>
        <v>3.4000000000000002E-3</v>
      </c>
      <c r="G947" s="139">
        <f>E920*E922</f>
        <v>5414932.9321999997</v>
      </c>
      <c r="H947" s="157">
        <f t="shared" ref="H947:H953" si="137">G947*F947</f>
        <v>18410.77196948</v>
      </c>
      <c r="I947" s="127">
        <f>'[1]17. Regulatory Charges'!$E$15+'[1]17. Regulatory Charges'!$E$16</f>
        <v>3.4000000000000002E-3</v>
      </c>
      <c r="J947" s="140">
        <f>E920*E923</f>
        <v>5414932.9321999997</v>
      </c>
      <c r="K947" s="123">
        <f t="shared" ref="K947:K953" si="138">J947*I947</f>
        <v>18410.77196948</v>
      </c>
      <c r="L947" s="124">
        <f t="shared" si="132"/>
        <v>0</v>
      </c>
      <c r="M947" s="125">
        <f t="shared" ref="M947:M955" si="139">IF(ISERROR(L947/H947), "", L947/H947)</f>
        <v>0</v>
      </c>
    </row>
    <row r="948" spans="1:14" ht="25.5" x14ac:dyDescent="0.2">
      <c r="A948" s="46" t="str">
        <f t="shared" si="135"/>
        <v>EMBEDDED DISTRIBUTOR SERVICE CLASSIFICATION - WATERLOO</v>
      </c>
      <c r="C948" s="115"/>
      <c r="D948" s="156" t="s">
        <v>187</v>
      </c>
      <c r="E948" s="117"/>
      <c r="F948" s="127">
        <f>'[1]17. Regulatory Charges'!$E$17</f>
        <v>5.0000000000000001E-4</v>
      </c>
      <c r="G948" s="139">
        <f>E920*E922</f>
        <v>5414932.9321999997</v>
      </c>
      <c r="H948" s="157">
        <f t="shared" si="137"/>
        <v>2707.4664660999997</v>
      </c>
      <c r="I948" s="127">
        <f>'[1]17. Regulatory Charges'!$E$17</f>
        <v>5.0000000000000001E-4</v>
      </c>
      <c r="J948" s="140">
        <f>E920*E923</f>
        <v>5414932.9321999997</v>
      </c>
      <c r="K948" s="123">
        <f t="shared" si="138"/>
        <v>2707.4664660999997</v>
      </c>
      <c r="L948" s="124">
        <f t="shared" si="132"/>
        <v>0</v>
      </c>
      <c r="M948" s="125">
        <f t="shared" si="139"/>
        <v>0</v>
      </c>
    </row>
    <row r="949" spans="1:14" x14ac:dyDescent="0.2">
      <c r="A949" s="46" t="str">
        <f t="shared" si="135"/>
        <v>EMBEDDED DISTRIBUTOR SERVICE CLASSIFICATION - WATERLOO</v>
      </c>
      <c r="C949" s="115"/>
      <c r="D949" s="158" t="s">
        <v>188</v>
      </c>
      <c r="E949" s="117"/>
      <c r="F949" s="144">
        <f>'[1]17. Regulatory Charges'!$E$18</f>
        <v>0.25</v>
      </c>
      <c r="G949" s="119">
        <v>1</v>
      </c>
      <c r="H949" s="157">
        <f t="shared" si="137"/>
        <v>0.25</v>
      </c>
      <c r="I949" s="144">
        <f>'[1]17. Regulatory Charges'!$E$18</f>
        <v>0.25</v>
      </c>
      <c r="J949" s="122">
        <v>1</v>
      </c>
      <c r="K949" s="123">
        <f t="shared" si="138"/>
        <v>0.25</v>
      </c>
      <c r="L949" s="124">
        <f t="shared" si="132"/>
        <v>0</v>
      </c>
      <c r="M949" s="125">
        <f t="shared" si="139"/>
        <v>0</v>
      </c>
    </row>
    <row r="950" spans="1:14" ht="25.5" hidden="1" x14ac:dyDescent="0.2">
      <c r="A950" s="46" t="str">
        <f t="shared" si="135"/>
        <v>EMBEDDED DISTRIBUTOR SERVICE CLASSIFICATION - WATERLOO</v>
      </c>
      <c r="C950" s="115"/>
      <c r="D950" s="156" t="s">
        <v>189</v>
      </c>
      <c r="E950" s="117"/>
      <c r="F950" s="127"/>
      <c r="G950" s="139"/>
      <c r="H950" s="157"/>
      <c r="I950" s="127"/>
      <c r="J950" s="140"/>
      <c r="K950" s="123"/>
      <c r="L950" s="124"/>
      <c r="M950" s="125"/>
    </row>
    <row r="951" spans="1:14" hidden="1" x14ac:dyDescent="0.2">
      <c r="A951" s="46" t="str">
        <f t="shared" si="135"/>
        <v>EMBEDDED DISTRIBUTOR SERVICE CLASSIFICATION - WATERLOO</v>
      </c>
      <c r="B951" s="46" t="s">
        <v>139</v>
      </c>
      <c r="C951" s="115"/>
      <c r="D951" s="158" t="s">
        <v>190</v>
      </c>
      <c r="E951" s="117"/>
      <c r="F951" s="161">
        <f>OffPeak</f>
        <v>7.3999999999999996E-2</v>
      </c>
      <c r="G951" s="160">
        <f>IF(AND(E920*12&gt;=150000),0.64*E920*E922,0.64*E920)</f>
        <v>3465557.0766079999</v>
      </c>
      <c r="H951" s="157">
        <f t="shared" si="137"/>
        <v>256451.22366899197</v>
      </c>
      <c r="I951" s="161">
        <f>OffPeak</f>
        <v>7.3999999999999996E-2</v>
      </c>
      <c r="J951" s="162">
        <f>IF(AND(E920*12&gt;=150000),0.64*E920*E923,0.64*E920)</f>
        <v>3465557.0766079999</v>
      </c>
      <c r="K951" s="123">
        <f t="shared" si="138"/>
        <v>256451.22366899197</v>
      </c>
      <c r="L951" s="124">
        <f>K951-H951</f>
        <v>0</v>
      </c>
      <c r="M951" s="125">
        <f t="shared" si="139"/>
        <v>0</v>
      </c>
    </row>
    <row r="952" spans="1:14" hidden="1" x14ac:dyDescent="0.2">
      <c r="A952" s="46" t="str">
        <f t="shared" si="135"/>
        <v>EMBEDDED DISTRIBUTOR SERVICE CLASSIFICATION - WATERLOO</v>
      </c>
      <c r="B952" s="46" t="s">
        <v>139</v>
      </c>
      <c r="C952" s="115"/>
      <c r="D952" s="158" t="s">
        <v>191</v>
      </c>
      <c r="E952" s="117"/>
      <c r="F952" s="161">
        <f>MidPeak</f>
        <v>0.10199999999999999</v>
      </c>
      <c r="G952" s="160">
        <f>IF(AND(E920*12&gt;=150000),0.18*E920*E922,0.18*E920)</f>
        <v>974687.92779599992</v>
      </c>
      <c r="H952" s="157">
        <f t="shared" si="137"/>
        <v>99418.168635191978</v>
      </c>
      <c r="I952" s="161">
        <f>MidPeak</f>
        <v>0.10199999999999999</v>
      </c>
      <c r="J952" s="162">
        <f>IF(AND(E920*12&gt;=150000),0.18*E920*E923,0.18*E920)</f>
        <v>974687.92779599992</v>
      </c>
      <c r="K952" s="123">
        <f t="shared" si="138"/>
        <v>99418.168635191978</v>
      </c>
      <c r="L952" s="124">
        <f>K952-H952</f>
        <v>0</v>
      </c>
      <c r="M952" s="125">
        <f t="shared" si="139"/>
        <v>0</v>
      </c>
    </row>
    <row r="953" spans="1:14" hidden="1" x14ac:dyDescent="0.2">
      <c r="A953" s="46" t="str">
        <f t="shared" si="135"/>
        <v>EMBEDDED DISTRIBUTOR SERVICE CLASSIFICATION - WATERLOO</v>
      </c>
      <c r="B953" s="46" t="s">
        <v>139</v>
      </c>
      <c r="C953" s="115"/>
      <c r="D953" s="46" t="s">
        <v>192</v>
      </c>
      <c r="E953" s="117"/>
      <c r="F953" s="161">
        <f>OnPeak</f>
        <v>0.151</v>
      </c>
      <c r="G953" s="160">
        <f>IF(AND(E920*12&gt;=150000),0.18*E920*E922,0.18*E920)</f>
        <v>974687.92779599992</v>
      </c>
      <c r="H953" s="157">
        <f t="shared" si="137"/>
        <v>147177.87709719597</v>
      </c>
      <c r="I953" s="161">
        <f>OnPeak</f>
        <v>0.151</v>
      </c>
      <c r="J953" s="162">
        <f>IF(AND(E920*12&gt;=150000),0.18*E920*E923,0.18*E920)</f>
        <v>974687.92779599992</v>
      </c>
      <c r="K953" s="123">
        <f t="shared" si="138"/>
        <v>147177.87709719597</v>
      </c>
      <c r="L953" s="124">
        <f>K953-H953</f>
        <v>0</v>
      </c>
      <c r="M953" s="125">
        <f t="shared" si="139"/>
        <v>0</v>
      </c>
    </row>
    <row r="954" spans="1:14" hidden="1" x14ac:dyDescent="0.2">
      <c r="A954" s="46" t="str">
        <f t="shared" si="135"/>
        <v>EMBEDDED DISTRIBUTOR SERVICE CLASSIFICATION - WATERLOO</v>
      </c>
      <c r="B954" s="46" t="s">
        <v>141</v>
      </c>
      <c r="C954" s="115"/>
      <c r="D954" s="158" t="s">
        <v>193</v>
      </c>
      <c r="E954" s="117"/>
      <c r="F954" s="164">
        <f>C954</f>
        <v>0</v>
      </c>
      <c r="G954" s="160">
        <f>IF(AND(E920*12&gt;=150000),E920*E922,E920)</f>
        <v>5414932.9321999997</v>
      </c>
      <c r="H954" s="157">
        <f>G954*F954</f>
        <v>0</v>
      </c>
      <c r="I954" s="164">
        <f>F954</f>
        <v>0</v>
      </c>
      <c r="J954" s="162">
        <f>IF(AND(E920*12&gt;=150000),E920*E923,E920)</f>
        <v>5414932.9321999997</v>
      </c>
      <c r="K954" s="123">
        <f>J954*I954</f>
        <v>0</v>
      </c>
      <c r="L954" s="124">
        <f>K954-H954</f>
        <v>0</v>
      </c>
      <c r="M954" s="125" t="str">
        <f t="shared" si="139"/>
        <v/>
      </c>
    </row>
    <row r="955" spans="1:14" ht="13.5" thickBot="1" x14ac:dyDescent="0.25">
      <c r="A955" s="46" t="str">
        <f t="shared" si="135"/>
        <v>EMBEDDED DISTRIBUTOR SERVICE CLASSIFICATION - WATERLOO</v>
      </c>
      <c r="B955" s="46" t="s">
        <v>140</v>
      </c>
      <c r="C955" s="115"/>
      <c r="D955" s="158" t="s">
        <v>194</v>
      </c>
      <c r="E955" s="117"/>
      <c r="F955" s="163">
        <v>9.6699999999999994E-2</v>
      </c>
      <c r="G955" s="160">
        <f>IF(AND(E920*12&gt;=150000),E920*E922,E920)</f>
        <v>5414932.9321999997</v>
      </c>
      <c r="H955" s="157">
        <f>G955*F955</f>
        <v>523624.01454373996</v>
      </c>
      <c r="I955" s="164">
        <f>F955</f>
        <v>9.6699999999999994E-2</v>
      </c>
      <c r="J955" s="162">
        <f>IF(AND(E920*12&gt;=150000),E920*E923,E920)</f>
        <v>5414932.9321999997</v>
      </c>
      <c r="K955" s="123">
        <f>J955*I955</f>
        <v>523624.01454373996</v>
      </c>
      <c r="L955" s="124">
        <f>K955-H955</f>
        <v>0</v>
      </c>
      <c r="M955" s="125">
        <f t="shared" si="139"/>
        <v>0</v>
      </c>
    </row>
    <row r="956" spans="1:14" ht="13.5" thickBot="1" x14ac:dyDescent="0.25">
      <c r="A956" s="46" t="str">
        <f t="shared" si="135"/>
        <v>EMBEDDED DISTRIBUTOR SERVICE CLASSIFICATION - WATERLOO</v>
      </c>
      <c r="C956" s="115"/>
      <c r="D956" s="165"/>
      <c r="E956" s="166"/>
      <c r="F956" s="167"/>
      <c r="G956" s="168"/>
      <c r="H956" s="169"/>
      <c r="I956" s="167"/>
      <c r="J956" s="170"/>
      <c r="K956" s="169"/>
      <c r="L956" s="171"/>
      <c r="M956" s="172"/>
    </row>
    <row r="957" spans="1:14" hidden="1" x14ac:dyDescent="0.2">
      <c r="A957" s="46" t="str">
        <f t="shared" si="135"/>
        <v>EMBEDDED DISTRIBUTOR SERVICE CLASSIFICATION - WATERLOO</v>
      </c>
      <c r="B957" s="46" t="s">
        <v>139</v>
      </c>
      <c r="C957" s="115"/>
      <c r="D957" s="173" t="s">
        <v>195</v>
      </c>
      <c r="E957" s="158"/>
      <c r="F957" s="177"/>
      <c r="G957" s="175"/>
      <c r="H957" s="176">
        <f>SUM(H947:H953,H946)</f>
        <v>593871.45183695992</v>
      </c>
      <c r="I957" s="177"/>
      <c r="J957" s="177"/>
      <c r="K957" s="176">
        <f>SUM(K947:K953,K946)</f>
        <v>593963.35983695986</v>
      </c>
      <c r="L957" s="178">
        <f>K957-H957</f>
        <v>91.907999999937601</v>
      </c>
      <c r="M957" s="179">
        <f>IF((H957)=0,"",(L957/H957))</f>
        <v>1.5476076466657603E-4</v>
      </c>
    </row>
    <row r="958" spans="1:14" hidden="1" x14ac:dyDescent="0.2">
      <c r="A958" s="46" t="str">
        <f t="shared" si="135"/>
        <v>EMBEDDED DISTRIBUTOR SERVICE CLASSIFICATION - WATERLOO</v>
      </c>
      <c r="B958" s="46" t="s">
        <v>139</v>
      </c>
      <c r="C958" s="115"/>
      <c r="D958" s="180" t="s">
        <v>196</v>
      </c>
      <c r="E958" s="158"/>
      <c r="F958" s="183">
        <v>0.13</v>
      </c>
      <c r="G958" s="181"/>
      <c r="H958" s="182">
        <f>H957*F958</f>
        <v>77203.288738804797</v>
      </c>
      <c r="I958" s="183">
        <v>0.13</v>
      </c>
      <c r="J958" s="119"/>
      <c r="K958" s="182">
        <f>K957*I958</f>
        <v>77215.236778804785</v>
      </c>
      <c r="L958" s="124">
        <f>K958-H958</f>
        <v>11.948039999988396</v>
      </c>
      <c r="M958" s="184">
        <f>IF((H958)=0,"",(L958/H958))</f>
        <v>1.5476076466653079E-4</v>
      </c>
    </row>
    <row r="959" spans="1:14" ht="15" hidden="1" x14ac:dyDescent="0.25">
      <c r="A959" s="46" t="str">
        <f t="shared" si="135"/>
        <v>EMBEDDED DISTRIBUTOR SERVICE CLASSIFICATION - WATERLOO</v>
      </c>
      <c r="B959" s="46" t="s">
        <v>139</v>
      </c>
      <c r="C959" s="115"/>
      <c r="D959" s="180" t="s">
        <v>197</v>
      </c>
      <c r="E959"/>
      <c r="F959" s="185">
        <v>0.11700000000000001</v>
      </c>
      <c r="G959" s="181"/>
      <c r="H959" s="182">
        <f>IF(OR(ISNUMBER(SEARCH("[DGEN]", E918))=TRUE, ISNUMBER(SEARCH("STREET LIGHT", E918))=TRUE), 0, IF(AND(E920=0, E921=0),0, IF(AND(E921=0, E920*12&gt;250000), 0, IF(AND(E920=0, E921&gt;=50), 0, IF(E920*12&lt;=250000, F959*H957*-1, IF(E921&lt;50, F959*H957*-1, 0))))))</f>
        <v>0</v>
      </c>
      <c r="I959" s="185">
        <v>0.11700000000000001</v>
      </c>
      <c r="J959" s="119"/>
      <c r="K959" s="182">
        <f>IF(OR(ISNUMBER(SEARCH("[DGEN]", E918))=TRUE, ISNUMBER(SEARCH("STREET LIGHT", E918))=TRUE), 0, IF(AND(E920=0, E921=0),0, IF(AND(E921=0, E920*12&gt;250000), 0, IF(AND(E920=0, E921&gt;=50), 0, IF(E920*12&lt;=250000, I959*K957*-1, IF(E921&lt;50, I959*K957*-1, 0))))))</f>
        <v>0</v>
      </c>
      <c r="L959" s="124">
        <f>K959-H959</f>
        <v>0</v>
      </c>
      <c r="M959" s="184"/>
    </row>
    <row r="960" spans="1:14" hidden="1" x14ac:dyDescent="0.2">
      <c r="A960" s="46" t="str">
        <f t="shared" si="135"/>
        <v>EMBEDDED DISTRIBUTOR SERVICE CLASSIFICATION - WATERLOO</v>
      </c>
      <c r="B960" s="46" t="s">
        <v>198</v>
      </c>
      <c r="C960" s="115"/>
      <c r="D960" s="186" t="s">
        <v>199</v>
      </c>
      <c r="E960" s="186"/>
      <c r="F960" s="190"/>
      <c r="G960" s="188"/>
      <c r="H960" s="189">
        <f>H957+H958+H959</f>
        <v>671074.74057576468</v>
      </c>
      <c r="I960" s="190"/>
      <c r="J960" s="190"/>
      <c r="K960" s="191">
        <f>K957+K958+K959</f>
        <v>671178.59661576466</v>
      </c>
      <c r="L960" s="192">
        <f>K960-H960</f>
        <v>103.8560399999842</v>
      </c>
      <c r="M960" s="193">
        <f>IF((H960)=0,"",(L960/H960))</f>
        <v>1.5476076466665759E-4</v>
      </c>
    </row>
    <row r="961" spans="1:13" ht="13.5" hidden="1" thickBot="1" x14ac:dyDescent="0.25">
      <c r="A961" s="46" t="str">
        <f t="shared" si="135"/>
        <v>EMBEDDED DISTRIBUTOR SERVICE CLASSIFICATION - WATERLOO</v>
      </c>
      <c r="B961" s="46" t="s">
        <v>139</v>
      </c>
      <c r="C961" s="115"/>
      <c r="D961" s="165"/>
      <c r="E961" s="166"/>
      <c r="F961" s="167"/>
      <c r="G961" s="168"/>
      <c r="H961" s="169"/>
      <c r="I961" s="167"/>
      <c r="J961" s="170"/>
      <c r="K961" s="169"/>
      <c r="L961" s="171"/>
      <c r="M961" s="172"/>
    </row>
    <row r="962" spans="1:13" hidden="1" x14ac:dyDescent="0.2">
      <c r="A962" s="46" t="str">
        <f t="shared" si="135"/>
        <v>EMBEDDED DISTRIBUTOR SERVICE CLASSIFICATION - WATERLOO</v>
      </c>
      <c r="B962" s="46" t="s">
        <v>141</v>
      </c>
      <c r="C962" s="115"/>
      <c r="D962" s="173" t="s">
        <v>200</v>
      </c>
      <c r="E962" s="158"/>
      <c r="F962" s="177"/>
      <c r="G962" s="175"/>
      <c r="H962" s="176">
        <f>SUM(H954,H947:H950,H946)</f>
        <v>90824.182435580005</v>
      </c>
      <c r="I962" s="177"/>
      <c r="J962" s="177"/>
      <c r="K962" s="176">
        <f>SUM(K954,K947:K950,K946)</f>
        <v>90916.090435580001</v>
      </c>
      <c r="L962" s="178">
        <f>K962-H962</f>
        <v>91.907999999995809</v>
      </c>
      <c r="M962" s="179">
        <f>IF((H962)=0,"",(L962/H962))</f>
        <v>1.0119331386790576E-3</v>
      </c>
    </row>
    <row r="963" spans="1:13" hidden="1" x14ac:dyDescent="0.2">
      <c r="A963" s="46" t="str">
        <f t="shared" si="135"/>
        <v>EMBEDDED DISTRIBUTOR SERVICE CLASSIFICATION - WATERLOO</v>
      </c>
      <c r="B963" s="46" t="s">
        <v>141</v>
      </c>
      <c r="C963" s="115"/>
      <c r="D963" s="180" t="s">
        <v>196</v>
      </c>
      <c r="E963" s="158"/>
      <c r="F963" s="174">
        <v>0.13</v>
      </c>
      <c r="G963" s="175"/>
      <c r="H963" s="182">
        <f>H962*F963</f>
        <v>11807.143716625402</v>
      </c>
      <c r="I963" s="174">
        <v>0.13</v>
      </c>
      <c r="J963" s="183"/>
      <c r="K963" s="182">
        <f>K962*I963</f>
        <v>11819.091756625401</v>
      </c>
      <c r="L963" s="124">
        <f>K963-H963</f>
        <v>11.94803999999931</v>
      </c>
      <c r="M963" s="184">
        <f>IF((H963)=0,"",(L963/H963))</f>
        <v>1.0119331386790453E-3</v>
      </c>
    </row>
    <row r="964" spans="1:13" ht="15" hidden="1" x14ac:dyDescent="0.25">
      <c r="A964" s="46" t="str">
        <f t="shared" si="135"/>
        <v>EMBEDDED DISTRIBUTOR SERVICE CLASSIFICATION - WATERLOO</v>
      </c>
      <c r="B964" s="46" t="s">
        <v>141</v>
      </c>
      <c r="C964" s="115"/>
      <c r="D964" s="180" t="s">
        <v>197</v>
      </c>
      <c r="E964"/>
      <c r="F964" s="185">
        <v>0.11700000000000001</v>
      </c>
      <c r="G964" s="175"/>
      <c r="H964" s="182">
        <f>IF(OR(ISNUMBER(SEARCH("[DGEN]", E918))=TRUE, ISNUMBER(SEARCH("STREET LIGHT", E918))=TRUE), 0, IF(AND(E920=0, E921=0),0, IF(AND(E921=0, E920*12&gt;250000), 0, IF(AND(E920=0, E921&gt;=50), 0, IF(E920*12&lt;=250000, F964*H962*-1, IF(E921&lt;50, F964*H962*-1, 0))))))</f>
        <v>0</v>
      </c>
      <c r="I964" s="185">
        <v>0.11700000000000001</v>
      </c>
      <c r="J964" s="183"/>
      <c r="K964" s="182">
        <f>IF(OR(ISNUMBER(SEARCH("[DGEN]", E918))=TRUE, ISNUMBER(SEARCH("STREET LIGHT", E918))=TRUE), 0, IF(AND(E920=0, E921=0),0, IF(AND(E921=0, E920*12&gt;250000), 0, IF(AND(E920=0, E921&gt;=50), 0, IF(E920*12&lt;=250000, I964*K962*-1, IF(E921&lt;50, I964*K962*-1, 0))))))</f>
        <v>0</v>
      </c>
      <c r="L964" s="124"/>
      <c r="M964" s="184"/>
    </row>
    <row r="965" spans="1:13" hidden="1" x14ac:dyDescent="0.2">
      <c r="A965" s="46" t="str">
        <f t="shared" si="135"/>
        <v>EMBEDDED DISTRIBUTOR SERVICE CLASSIFICATION - WATERLOO</v>
      </c>
      <c r="B965" s="46" t="s">
        <v>201</v>
      </c>
      <c r="C965" s="115"/>
      <c r="D965" s="186" t="s">
        <v>200</v>
      </c>
      <c r="E965" s="186"/>
      <c r="F965" s="196"/>
      <c r="G965" s="195"/>
      <c r="H965" s="189">
        <f>SUM(H962,H963)</f>
        <v>102631.32615220541</v>
      </c>
      <c r="I965" s="196"/>
      <c r="J965" s="196"/>
      <c r="K965" s="189">
        <f>SUM(K962,K963)</f>
        <v>102735.18219220541</v>
      </c>
      <c r="L965" s="197">
        <f>K965-H965</f>
        <v>103.85603999999876</v>
      </c>
      <c r="M965" s="198">
        <f>IF((H965)=0,"",(L965/H965))</f>
        <v>1.0119331386790917E-3</v>
      </c>
    </row>
    <row r="966" spans="1:13" ht="13.5" hidden="1" thickBot="1" x14ac:dyDescent="0.25">
      <c r="A966" s="46" t="str">
        <f t="shared" si="135"/>
        <v>EMBEDDED DISTRIBUTOR SERVICE CLASSIFICATION - WATERLOO</v>
      </c>
      <c r="B966" s="46" t="s">
        <v>141</v>
      </c>
      <c r="C966" s="115"/>
      <c r="D966" s="165"/>
      <c r="E966" s="166"/>
      <c r="F966" s="199"/>
      <c r="G966" s="200"/>
      <c r="H966" s="201"/>
      <c r="I966" s="199"/>
      <c r="J966" s="168"/>
      <c r="K966" s="201"/>
      <c r="L966" s="202"/>
      <c r="M966" s="172"/>
    </row>
    <row r="967" spans="1:13" x14ac:dyDescent="0.2">
      <c r="A967" s="46" t="str">
        <f t="shared" si="135"/>
        <v>EMBEDDED DISTRIBUTOR SERVICE CLASSIFICATION - WATERLOO</v>
      </c>
      <c r="B967" s="46" t="s">
        <v>140</v>
      </c>
      <c r="C967" s="115"/>
      <c r="D967" s="173" t="s">
        <v>202</v>
      </c>
      <c r="E967" s="158"/>
      <c r="F967" s="177"/>
      <c r="G967" s="175"/>
      <c r="H967" s="176">
        <f>SUM(H955,H947:H950,H946)</f>
        <v>614448.19697931991</v>
      </c>
      <c r="I967" s="177"/>
      <c r="J967" s="177"/>
      <c r="K967" s="176">
        <f>SUM(K955,K947:K950,K946)</f>
        <v>614540.10497931985</v>
      </c>
      <c r="L967" s="178">
        <f>K967-H967</f>
        <v>91.907999999937601</v>
      </c>
      <c r="M967" s="179">
        <f>IF((H967)=0,"",(L967/H967))</f>
        <v>1.4957811000465982E-4</v>
      </c>
    </row>
    <row r="968" spans="1:13" x14ac:dyDescent="0.2">
      <c r="A968" s="46" t="str">
        <f t="shared" si="135"/>
        <v>EMBEDDED DISTRIBUTOR SERVICE CLASSIFICATION - WATERLOO</v>
      </c>
      <c r="B968" s="46" t="s">
        <v>140</v>
      </c>
      <c r="C968" s="115"/>
      <c r="D968" s="180" t="s">
        <v>196</v>
      </c>
      <c r="E968" s="158"/>
      <c r="F968" s="174">
        <v>0.13</v>
      </c>
      <c r="G968" s="175"/>
      <c r="H968" s="182">
        <f>H967*F968</f>
        <v>79878.265607311594</v>
      </c>
      <c r="I968" s="174">
        <v>0.13</v>
      </c>
      <c r="J968" s="183"/>
      <c r="K968" s="182">
        <f>K967*I968</f>
        <v>79890.213647311582</v>
      </c>
      <c r="L968" s="124">
        <f>K968-H968</f>
        <v>11.948039999988396</v>
      </c>
      <c r="M968" s="184">
        <f>IF((H968)=0,"",(L968/H968))</f>
        <v>1.495781100046161E-4</v>
      </c>
    </row>
    <row r="969" spans="1:13" ht="15" x14ac:dyDescent="0.25">
      <c r="A969" s="46" t="str">
        <f t="shared" si="135"/>
        <v>EMBEDDED DISTRIBUTOR SERVICE CLASSIFICATION - WATERLOO</v>
      </c>
      <c r="B969" s="46" t="s">
        <v>140</v>
      </c>
      <c r="C969" s="115"/>
      <c r="D969" s="180" t="s">
        <v>197</v>
      </c>
      <c r="E969"/>
      <c r="F969" s="185">
        <v>0.11700000000000001</v>
      </c>
      <c r="G969" s="175"/>
      <c r="H969" s="182">
        <f>IF(OR(ISNUMBER(SEARCH("[DGEN]", E918))=TRUE, ISNUMBER(SEARCH("STREET LIGHT", E918))=TRUE), 0, IF(AND(E920=0, E921=0),0, IF(AND(E921=0, E920*12&gt;250000), 0, IF(AND(E920=0, E921&gt;=50), 0, IF(E920*12&lt;=250000, F969*H967*-1, IF(E921&lt;50, F969*H967*-1, 0))))))</f>
        <v>0</v>
      </c>
      <c r="I969" s="185">
        <v>0.11700000000000001</v>
      </c>
      <c r="J969" s="183"/>
      <c r="K969" s="182">
        <f>IF(OR(ISNUMBER(SEARCH("[DGEN]", E918))=TRUE, ISNUMBER(SEARCH("STREET LIGHT", E918))=TRUE), 0, IF(AND(E920=0, E921=0),0, IF(AND(E921=0, E920*12&gt;250000), 0, IF(AND(E920=0, E921&gt;=50), 0, IF(E920*12&lt;=250000, I969*K967*-1, IF(E921&lt;50, I969*K967*-1, 0))))))</f>
        <v>0</v>
      </c>
      <c r="L969" s="124"/>
      <c r="M969" s="184"/>
    </row>
    <row r="970" spans="1:13" ht="13.5" thickBot="1" x14ac:dyDescent="0.25">
      <c r="A970" s="46" t="str">
        <f t="shared" si="135"/>
        <v>EMBEDDED DISTRIBUTOR SERVICE CLASSIFICATION - WATERLOO</v>
      </c>
      <c r="B970" s="46" t="s">
        <v>203</v>
      </c>
      <c r="C970" s="115">
        <f>B45</f>
        <v>16</v>
      </c>
      <c r="D970" s="186" t="s">
        <v>202</v>
      </c>
      <c r="E970" s="186"/>
      <c r="F970" s="196"/>
      <c r="G970" s="195"/>
      <c r="H970" s="189">
        <f>SUM(H967,H968)</f>
        <v>694326.46258663153</v>
      </c>
      <c r="I970" s="196"/>
      <c r="J970" s="196"/>
      <c r="K970" s="189">
        <f>SUM(K967,K968)</f>
        <v>694430.3186266314</v>
      </c>
      <c r="L970" s="197">
        <f>K970-H970</f>
        <v>103.85603999986779</v>
      </c>
      <c r="M970" s="198">
        <f>IF((H970)=0,"",(L970/H970))</f>
        <v>1.4957811000457095E-4</v>
      </c>
    </row>
    <row r="971" spans="1:13" ht="13.5" thickBot="1" x14ac:dyDescent="0.25">
      <c r="A971" s="46" t="str">
        <f t="shared" si="135"/>
        <v>EMBEDDED DISTRIBUTOR SERVICE CLASSIFICATION - WATERLOO</v>
      </c>
      <c r="B971" s="46" t="s">
        <v>140</v>
      </c>
      <c r="C971" s="115"/>
      <c r="D971" s="165"/>
      <c r="E971" s="166"/>
      <c r="F971" s="203"/>
      <c r="G971" s="200"/>
      <c r="H971" s="204"/>
      <c r="I971" s="203"/>
      <c r="J971" s="168"/>
      <c r="K971" s="204"/>
      <c r="L971" s="202"/>
      <c r="M971" s="205"/>
    </row>
  </sheetData>
  <mergeCells count="210">
    <mergeCell ref="D970:E970"/>
    <mergeCell ref="L925:M925"/>
    <mergeCell ref="E926:E927"/>
    <mergeCell ref="L926:L927"/>
    <mergeCell ref="M926:M927"/>
    <mergeCell ref="D960:E960"/>
    <mergeCell ref="D965:E965"/>
    <mergeCell ref="D904:E904"/>
    <mergeCell ref="D909:E909"/>
    <mergeCell ref="D914:E914"/>
    <mergeCell ref="E918:J918"/>
    <mergeCell ref="E919:G919"/>
    <mergeCell ref="F925:H925"/>
    <mergeCell ref="I925:K925"/>
    <mergeCell ref="E862:J862"/>
    <mergeCell ref="E863:G863"/>
    <mergeCell ref="F869:H869"/>
    <mergeCell ref="I869:K869"/>
    <mergeCell ref="L869:M869"/>
    <mergeCell ref="E870:E871"/>
    <mergeCell ref="L870:L871"/>
    <mergeCell ref="M870:M871"/>
    <mergeCell ref="E814:E815"/>
    <mergeCell ref="L814:L815"/>
    <mergeCell ref="M814:M815"/>
    <mergeCell ref="D848:E848"/>
    <mergeCell ref="D853:E853"/>
    <mergeCell ref="D858:E858"/>
    <mergeCell ref="D802:E802"/>
    <mergeCell ref="E806:J806"/>
    <mergeCell ref="E807:G807"/>
    <mergeCell ref="F813:H813"/>
    <mergeCell ref="I813:K813"/>
    <mergeCell ref="L813:M813"/>
    <mergeCell ref="L757:M757"/>
    <mergeCell ref="E758:E759"/>
    <mergeCell ref="L758:L759"/>
    <mergeCell ref="M758:M759"/>
    <mergeCell ref="D792:E792"/>
    <mergeCell ref="D797:E797"/>
    <mergeCell ref="D736:E736"/>
    <mergeCell ref="D741:E741"/>
    <mergeCell ref="D746:E746"/>
    <mergeCell ref="E750:J750"/>
    <mergeCell ref="E751:G751"/>
    <mergeCell ref="F757:H757"/>
    <mergeCell ref="I757:K757"/>
    <mergeCell ref="E694:J694"/>
    <mergeCell ref="E695:G695"/>
    <mergeCell ref="F701:H701"/>
    <mergeCell ref="I701:K701"/>
    <mergeCell ref="L701:M701"/>
    <mergeCell ref="E702:E703"/>
    <mergeCell ref="L702:L703"/>
    <mergeCell ref="M702:M703"/>
    <mergeCell ref="E646:E647"/>
    <mergeCell ref="L646:L647"/>
    <mergeCell ref="M646:M647"/>
    <mergeCell ref="D680:E680"/>
    <mergeCell ref="D685:E685"/>
    <mergeCell ref="D690:E690"/>
    <mergeCell ref="D634:E634"/>
    <mergeCell ref="E638:J638"/>
    <mergeCell ref="E639:G639"/>
    <mergeCell ref="F645:H645"/>
    <mergeCell ref="I645:K645"/>
    <mergeCell ref="L645:M645"/>
    <mergeCell ref="L589:M589"/>
    <mergeCell ref="E590:E591"/>
    <mergeCell ref="L590:L591"/>
    <mergeCell ref="M590:M591"/>
    <mergeCell ref="D624:E624"/>
    <mergeCell ref="D629:E629"/>
    <mergeCell ref="D568:E568"/>
    <mergeCell ref="D573:E573"/>
    <mergeCell ref="D578:E578"/>
    <mergeCell ref="E582:J582"/>
    <mergeCell ref="E583:G583"/>
    <mergeCell ref="F589:H589"/>
    <mergeCell ref="I589:K589"/>
    <mergeCell ref="E526:J526"/>
    <mergeCell ref="E527:G527"/>
    <mergeCell ref="F533:H533"/>
    <mergeCell ref="I533:K533"/>
    <mergeCell ref="L533:M533"/>
    <mergeCell ref="E534:E535"/>
    <mergeCell ref="L534:L535"/>
    <mergeCell ref="M534:M535"/>
    <mergeCell ref="E478:E479"/>
    <mergeCell ref="L478:L479"/>
    <mergeCell ref="M478:M479"/>
    <mergeCell ref="D512:E512"/>
    <mergeCell ref="D517:E517"/>
    <mergeCell ref="D522:E522"/>
    <mergeCell ref="D466:E466"/>
    <mergeCell ref="E470:J470"/>
    <mergeCell ref="E471:G471"/>
    <mergeCell ref="F477:H477"/>
    <mergeCell ref="I477:K477"/>
    <mergeCell ref="L477:M477"/>
    <mergeCell ref="L421:M421"/>
    <mergeCell ref="E422:E423"/>
    <mergeCell ref="L422:L423"/>
    <mergeCell ref="M422:M423"/>
    <mergeCell ref="D456:E456"/>
    <mergeCell ref="D461:E461"/>
    <mergeCell ref="D400:E400"/>
    <mergeCell ref="D405:E405"/>
    <mergeCell ref="D410:E410"/>
    <mergeCell ref="E414:J414"/>
    <mergeCell ref="E415:G415"/>
    <mergeCell ref="F421:H421"/>
    <mergeCell ref="I421:K421"/>
    <mergeCell ref="E358:J358"/>
    <mergeCell ref="E359:G359"/>
    <mergeCell ref="F365:H365"/>
    <mergeCell ref="I365:K365"/>
    <mergeCell ref="L365:M365"/>
    <mergeCell ref="E366:E367"/>
    <mergeCell ref="L366:L367"/>
    <mergeCell ref="M366:M367"/>
    <mergeCell ref="E310:E311"/>
    <mergeCell ref="L310:L311"/>
    <mergeCell ref="M310:M311"/>
    <mergeCell ref="D344:E344"/>
    <mergeCell ref="D349:E349"/>
    <mergeCell ref="D354:E354"/>
    <mergeCell ref="D298:E298"/>
    <mergeCell ref="E302:J302"/>
    <mergeCell ref="E303:G303"/>
    <mergeCell ref="F309:H309"/>
    <mergeCell ref="I309:K309"/>
    <mergeCell ref="L309:M309"/>
    <mergeCell ref="L253:M253"/>
    <mergeCell ref="E254:E255"/>
    <mergeCell ref="L254:L255"/>
    <mergeCell ref="M254:M255"/>
    <mergeCell ref="D288:E288"/>
    <mergeCell ref="D293:E293"/>
    <mergeCell ref="D232:E232"/>
    <mergeCell ref="D237:E237"/>
    <mergeCell ref="D242:E242"/>
    <mergeCell ref="E246:J246"/>
    <mergeCell ref="E247:G247"/>
    <mergeCell ref="F253:H253"/>
    <mergeCell ref="I253:K253"/>
    <mergeCell ref="E190:J190"/>
    <mergeCell ref="E191:G191"/>
    <mergeCell ref="F197:H197"/>
    <mergeCell ref="I197:K197"/>
    <mergeCell ref="L197:M197"/>
    <mergeCell ref="E198:E199"/>
    <mergeCell ref="L198:L199"/>
    <mergeCell ref="M198:M199"/>
    <mergeCell ref="E142:E143"/>
    <mergeCell ref="L142:L143"/>
    <mergeCell ref="M142:M143"/>
    <mergeCell ref="D176:E176"/>
    <mergeCell ref="D181:E181"/>
    <mergeCell ref="D186:E186"/>
    <mergeCell ref="D130:E130"/>
    <mergeCell ref="E134:J134"/>
    <mergeCell ref="E135:G135"/>
    <mergeCell ref="F141:H141"/>
    <mergeCell ref="I141:K141"/>
    <mergeCell ref="L141:M141"/>
    <mergeCell ref="L85:M85"/>
    <mergeCell ref="E86:E87"/>
    <mergeCell ref="L86:L87"/>
    <mergeCell ref="M86:M87"/>
    <mergeCell ref="D120:E120"/>
    <mergeCell ref="D125:E125"/>
    <mergeCell ref="D73:F73"/>
    <mergeCell ref="D74:F74"/>
    <mergeCell ref="E78:J78"/>
    <mergeCell ref="E79:G79"/>
    <mergeCell ref="F85:H85"/>
    <mergeCell ref="I85:K85"/>
    <mergeCell ref="D67:F67"/>
    <mergeCell ref="D68:F68"/>
    <mergeCell ref="D69:F69"/>
    <mergeCell ref="D70:F70"/>
    <mergeCell ref="D71:F71"/>
    <mergeCell ref="D72:F72"/>
    <mergeCell ref="D61:F61"/>
    <mergeCell ref="D62:F62"/>
    <mergeCell ref="D63:F63"/>
    <mergeCell ref="D64:F64"/>
    <mergeCell ref="D65:F65"/>
    <mergeCell ref="D66:F66"/>
    <mergeCell ref="D55:F55"/>
    <mergeCell ref="D56:F56"/>
    <mergeCell ref="D57:F57"/>
    <mergeCell ref="D58:F58"/>
    <mergeCell ref="D59:F59"/>
    <mergeCell ref="D60:F60"/>
    <mergeCell ref="D52:F54"/>
    <mergeCell ref="G52:G54"/>
    <mergeCell ref="H52:M52"/>
    <mergeCell ref="N52:O52"/>
    <mergeCell ref="H53:I53"/>
    <mergeCell ref="J53:K53"/>
    <mergeCell ref="L53:M53"/>
    <mergeCell ref="N53:O53"/>
    <mergeCell ref="C3:K3"/>
    <mergeCell ref="D10:M10"/>
    <mergeCell ref="D11:M11"/>
    <mergeCell ref="N11:O11"/>
    <mergeCell ref="D12:N12"/>
    <mergeCell ref="D29:F29"/>
  </mergeCells>
  <conditionalFormatting sqref="L39:L49">
    <cfRule type="expression" dxfId="7" priority="8">
      <formula>$G39="kW"</formula>
    </cfRule>
  </conditionalFormatting>
  <conditionalFormatting sqref="K39:K49">
    <cfRule type="expression" dxfId="6" priority="5">
      <formula>$G39="kW"</formula>
    </cfRule>
    <cfRule type="expression" dxfId="5" priority="6">
      <formula>$G39="kVa"</formula>
    </cfRule>
    <cfRule type="expression" dxfId="4" priority="7">
      <formula>$G39="kWh"</formula>
    </cfRule>
  </conditionalFormatting>
  <conditionalFormatting sqref="L30:L38">
    <cfRule type="expression" dxfId="3" priority="4">
      <formula>$G30="kW"</formula>
    </cfRule>
  </conditionalFormatting>
  <conditionalFormatting sqref="K30:K38">
    <cfRule type="expression" dxfId="2" priority="1">
      <formula>$G30="kW"</formula>
    </cfRule>
    <cfRule type="expression" dxfId="1" priority="2">
      <formula>$G30="kVa"</formula>
    </cfRule>
    <cfRule type="expression" dxfId="0" priority="3">
      <formula>$G30="kWh"</formula>
    </cfRule>
  </conditionalFormatting>
  <dataValidations count="4">
    <dataValidation type="list" allowBlank="1" showInputMessage="1" showErrorMessage="1" sqref="H30:H49" xr:uid="{2BB8286D-4E66-4C09-A7DC-2AC002E27A83}">
      <formula1>"RPP, Non-RPP (Retailer), Non-RPP (Other)"</formula1>
    </dataValidation>
    <dataValidation type="list" allowBlank="1" showInputMessage="1" showErrorMessage="1" sqref="M30:M49" xr:uid="{DE1E7704-1D96-4463-A90E-9A56F2F5E4B9}">
      <formula1>"CONSUMPTION, DEMAND, DEMAND - INTERVAL"</formula1>
    </dataValidation>
    <dataValidation allowBlank="1" showInputMessage="1" showErrorMessage="1" sqref="D30:D42" xr:uid="{B909D20C-FD5E-46B6-8CAF-2978B2392979}"/>
    <dataValidation type="list" allowBlank="1" showInputMessage="1" showErrorMessage="1" prompt="Select Charge Unit - monthly, per kWh, per kW" sqref="E121 E126 E131 E116 E177 E182 E187 E172 E233 E238 E243 E228 E289 E294 E299 E284 E345 E350 E355 E340 E401 E406 E411 E396 E457 E462 E467 E452 E513 E518 E523 E508 E569 E574 E579 E564 E625 E630 E635 E620 E681 E686 E691 E676 E737 E742 E747 E732 E793 E798 E803 E788 E849 E854 E859 E844 E905 E910 E915 E900 E961 E966 E971 E956" xr:uid="{8E008F49-4C64-45A3-8DAD-11770A8848B2}">
      <formula1>"Monthly, per kWh, per kW"</formula1>
    </dataValidation>
  </dataValidations>
  <pageMargins left="0.7" right="0.7" top="0.75" bottom="0.75" header="0.3" footer="0.3"/>
  <pageSetup scale="56" fitToHeight="0" orientation="landscape" r:id="rId1"/>
  <rowBreaks count="17" manualBreakCount="17">
    <brk id="49" max="14" man="1"/>
    <brk id="76" max="14" man="1"/>
    <brk id="121" max="14" man="1"/>
    <brk id="177" max="14" man="1"/>
    <brk id="243" max="14" man="1"/>
    <brk id="299" max="14" man="1"/>
    <brk id="355" max="14" man="1"/>
    <brk id="411" max="14" man="1"/>
    <brk id="467" max="14" man="1"/>
    <brk id="513" max="14" man="1"/>
    <brk id="579" max="14" man="1"/>
    <brk id="635" max="14" man="1"/>
    <brk id="691" max="14" man="1"/>
    <brk id="747" max="14" man="1"/>
    <brk id="803" max="14" man="1"/>
    <brk id="849" max="14" man="1"/>
    <brk id="915"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002F9-7D0D-4F86-A1E3-E2B0E678D1D8}">
  <dimension ref="B4:S36"/>
  <sheetViews>
    <sheetView showGridLines="0" zoomScale="85" zoomScaleNormal="85" workbookViewId="0"/>
  </sheetViews>
  <sheetFormatPr defaultColWidth="8.85546875" defaultRowHeight="14.25" x14ac:dyDescent="0.2"/>
  <cols>
    <col min="1" max="1" width="8.85546875" style="214"/>
    <col min="2" max="2" width="40.28515625" style="214" customWidth="1"/>
    <col min="3" max="3" width="11.140625" style="214" bestFit="1" customWidth="1"/>
    <col min="4" max="4" width="10.28515625" style="214" customWidth="1"/>
    <col min="5" max="6" width="16.140625" style="214" customWidth="1"/>
    <col min="7" max="7" width="13.140625" style="214" customWidth="1"/>
    <col min="8" max="8" width="11.5703125" style="214" customWidth="1"/>
    <col min="9" max="16384" width="8.85546875" style="214"/>
  </cols>
  <sheetData>
    <row r="4" spans="2:8" x14ac:dyDescent="0.2">
      <c r="B4" s="215" t="s">
        <v>206</v>
      </c>
      <c r="C4" s="216" t="s">
        <v>153</v>
      </c>
      <c r="D4" s="217" t="s">
        <v>155</v>
      </c>
      <c r="E4" s="218" t="s">
        <v>149</v>
      </c>
      <c r="F4" s="218"/>
      <c r="G4" s="218"/>
      <c r="H4" s="218"/>
    </row>
    <row r="5" spans="2:8" ht="25.5" x14ac:dyDescent="0.2">
      <c r="B5" s="215"/>
      <c r="C5" s="219"/>
      <c r="D5" s="217"/>
      <c r="E5" s="220" t="s">
        <v>207</v>
      </c>
      <c r="F5" s="221" t="s">
        <v>223</v>
      </c>
      <c r="G5" s="222" t="s">
        <v>162</v>
      </c>
      <c r="H5" s="222" t="s">
        <v>208</v>
      </c>
    </row>
    <row r="6" spans="2:8" x14ac:dyDescent="0.2">
      <c r="B6" s="223" t="s">
        <v>209</v>
      </c>
      <c r="C6" s="224">
        <v>750</v>
      </c>
      <c r="D6" s="224"/>
      <c r="E6" s="225">
        <f>'Bill Impacts vs 2022'!H120</f>
        <v>119.69493277749999</v>
      </c>
      <c r="F6" s="225">
        <f>'Bill Impacts vs 2022'!K120</f>
        <v>122.28041521</v>
      </c>
      <c r="G6" s="226">
        <f>F6-E6</f>
        <v>2.5854824325000152</v>
      </c>
      <c r="H6" s="227">
        <f t="shared" ref="H6:H18" si="0">G6/E6</f>
        <v>2.1600600564320872E-2</v>
      </c>
    </row>
    <row r="7" spans="2:8" x14ac:dyDescent="0.2">
      <c r="B7" s="223" t="s">
        <v>210</v>
      </c>
      <c r="C7" s="224">
        <v>2000</v>
      </c>
      <c r="D7" s="224"/>
      <c r="E7" s="225">
        <f>'Bill Impacts vs 2022'!H176</f>
        <v>284.57690344000002</v>
      </c>
      <c r="F7" s="225">
        <f>'Bill Impacts vs 2022'!K176</f>
        <v>290.62060326</v>
      </c>
      <c r="G7" s="226">
        <f t="shared" ref="G7:G18" si="1">F7-E7</f>
        <v>6.0436998199999721</v>
      </c>
      <c r="H7" s="227">
        <f t="shared" si="0"/>
        <v>2.123749238586476E-2</v>
      </c>
    </row>
    <row r="8" spans="2:8" x14ac:dyDescent="0.2">
      <c r="B8" s="223" t="s">
        <v>211</v>
      </c>
      <c r="C8" s="224">
        <v>20000</v>
      </c>
      <c r="D8" s="224">
        <v>60</v>
      </c>
      <c r="E8" s="225">
        <f>'Bill Impacts vs 2022'!H242</f>
        <v>3335.6203319999995</v>
      </c>
      <c r="F8" s="225">
        <f>'Bill Impacts vs 2022'!K242</f>
        <v>3235.9656319999995</v>
      </c>
      <c r="G8" s="226">
        <f t="shared" si="1"/>
        <v>-99.654700000000048</v>
      </c>
      <c r="H8" s="227">
        <f t="shared" si="0"/>
        <v>-2.987591214862521E-2</v>
      </c>
    </row>
    <row r="9" spans="2:8" x14ac:dyDescent="0.2">
      <c r="B9" s="223" t="s">
        <v>212</v>
      </c>
      <c r="C9" s="224">
        <v>800000</v>
      </c>
      <c r="D9" s="224">
        <v>2000</v>
      </c>
      <c r="E9" s="225">
        <f>'Bill Impacts vs 2022'!H298</f>
        <v>119100.46997999999</v>
      </c>
      <c r="F9" s="225">
        <f>'Bill Impacts vs 2022'!K298</f>
        <v>115080.04297999998</v>
      </c>
      <c r="G9" s="226">
        <f t="shared" si="1"/>
        <v>-4020.4270000000106</v>
      </c>
      <c r="H9" s="227">
        <f t="shared" si="0"/>
        <v>-3.3756600630334567E-2</v>
      </c>
    </row>
    <row r="10" spans="2:8" x14ac:dyDescent="0.2">
      <c r="B10" s="223" t="s">
        <v>213</v>
      </c>
      <c r="C10" s="224">
        <v>6600000</v>
      </c>
      <c r="D10" s="224">
        <v>16000</v>
      </c>
      <c r="E10" s="225">
        <f>'Bill Impacts vs 2022'!H354</f>
        <v>926178.15066000004</v>
      </c>
      <c r="F10" s="225">
        <f>'Bill Impacts vs 2022'!K354</f>
        <v>945976.68856000016</v>
      </c>
      <c r="G10" s="226">
        <f t="shared" si="1"/>
        <v>19798.537900000112</v>
      </c>
      <c r="H10" s="227">
        <f t="shared" si="0"/>
        <v>2.137659788874479E-2</v>
      </c>
    </row>
    <row r="11" spans="2:8" x14ac:dyDescent="0.2">
      <c r="B11" s="223" t="s">
        <v>214</v>
      </c>
      <c r="C11" s="224">
        <v>100</v>
      </c>
      <c r="D11" s="224"/>
      <c r="E11" s="225">
        <f>'Bill Impacts vs 2022'!H400</f>
        <v>20.011129198999999</v>
      </c>
      <c r="F11" s="225">
        <f>'Bill Impacts vs 2022'!K400</f>
        <v>20.041830189999999</v>
      </c>
      <c r="G11" s="226">
        <f t="shared" si="1"/>
        <v>3.0700990999999789E-2</v>
      </c>
      <c r="H11" s="227">
        <f t="shared" si="0"/>
        <v>1.5341958314643227E-3</v>
      </c>
    </row>
    <row r="12" spans="2:8" x14ac:dyDescent="0.2">
      <c r="B12" s="223" t="s">
        <v>215</v>
      </c>
      <c r="C12" s="224">
        <v>400000</v>
      </c>
      <c r="D12" s="224">
        <v>700</v>
      </c>
      <c r="E12" s="225">
        <f>'Bill Impacts vs 2022'!H466</f>
        <v>65569.558539999998</v>
      </c>
      <c r="F12" s="225">
        <f>'Bill Impacts vs 2022'!K466</f>
        <v>63686.334439999999</v>
      </c>
      <c r="G12" s="226">
        <f t="shared" si="1"/>
        <v>-1883.2240999999995</v>
      </c>
      <c r="H12" s="227">
        <f t="shared" si="0"/>
        <v>-2.8721012340675728E-2</v>
      </c>
    </row>
    <row r="13" spans="2:8" x14ac:dyDescent="0.2">
      <c r="B13" s="223" t="s">
        <v>216</v>
      </c>
      <c r="C13" s="224">
        <v>10000</v>
      </c>
      <c r="D13" s="224">
        <v>29</v>
      </c>
      <c r="E13" s="225">
        <f>'Bill Impacts vs 2022'!H512</f>
        <v>2464.1089258000002</v>
      </c>
      <c r="F13" s="225">
        <f>'Bill Impacts vs 2022'!K512</f>
        <v>2529.5489284</v>
      </c>
      <c r="G13" s="226">
        <f t="shared" si="1"/>
        <v>65.440002599999843</v>
      </c>
      <c r="H13" s="227">
        <f t="shared" si="0"/>
        <v>2.6557268599136308E-2</v>
      </c>
    </row>
    <row r="14" spans="2:8" x14ac:dyDescent="0.2">
      <c r="B14" s="223" t="s">
        <v>217</v>
      </c>
      <c r="C14" s="224">
        <v>1382000</v>
      </c>
      <c r="D14" s="224">
        <v>2574</v>
      </c>
      <c r="E14" s="225">
        <f>'Bill Impacts vs 2022'!H578</f>
        <v>189874.75138719997</v>
      </c>
      <c r="F14" s="225">
        <f>'Bill Impacts vs 2022'!K578</f>
        <v>181876.81433519998</v>
      </c>
      <c r="G14" s="226">
        <f t="shared" si="1"/>
        <v>-7997.9370519999939</v>
      </c>
      <c r="H14" s="227">
        <f t="shared" si="0"/>
        <v>-4.2122172608880945E-2</v>
      </c>
    </row>
    <row r="15" spans="2:8" x14ac:dyDescent="0.2">
      <c r="B15" s="223" t="s">
        <v>218</v>
      </c>
      <c r="C15" s="224"/>
      <c r="D15" s="224">
        <v>8280</v>
      </c>
      <c r="E15" s="225">
        <f>'Bill Impacts vs 2022'!H634</f>
        <v>76692.467199999985</v>
      </c>
      <c r="F15" s="225">
        <f>'Bill Impacts vs 2022'!K634</f>
        <v>78871.572759999995</v>
      </c>
      <c r="G15" s="226">
        <f t="shared" si="1"/>
        <v>2179.1055600000109</v>
      </c>
      <c r="H15" s="227">
        <f t="shared" si="0"/>
        <v>2.8413554023725699E-2</v>
      </c>
    </row>
    <row r="16" spans="2:8" x14ac:dyDescent="0.2">
      <c r="B16" s="223" t="s">
        <v>219</v>
      </c>
      <c r="C16" s="224">
        <v>50000</v>
      </c>
      <c r="D16" s="224">
        <v>27</v>
      </c>
      <c r="E16" s="225">
        <f>'Bill Impacts vs 2022'!H690</f>
        <v>6576.1829169999992</v>
      </c>
      <c r="F16" s="225">
        <f>'Bill Impacts vs 2022'!K690</f>
        <v>6306.8407499999994</v>
      </c>
      <c r="G16" s="226">
        <f t="shared" si="1"/>
        <v>-269.34216699999979</v>
      </c>
      <c r="H16" s="227">
        <f t="shared" si="0"/>
        <v>-4.0957219469021623E-2</v>
      </c>
    </row>
    <row r="17" spans="2:8" x14ac:dyDescent="0.2">
      <c r="B17" s="223" t="s">
        <v>220</v>
      </c>
      <c r="C17" s="224">
        <v>1300000</v>
      </c>
      <c r="D17" s="224">
        <v>2340</v>
      </c>
      <c r="E17" s="225">
        <f>'Bill Impacts vs 2022'!H746</f>
        <v>175208.78711999996</v>
      </c>
      <c r="F17" s="225">
        <f>'Bill Impacts vs 2022'!K746</f>
        <v>167592.55999999997</v>
      </c>
      <c r="G17" s="226">
        <f t="shared" si="1"/>
        <v>-7616.2271199999959</v>
      </c>
      <c r="H17" s="227">
        <f t="shared" si="0"/>
        <v>-4.3469435781115617E-2</v>
      </c>
    </row>
    <row r="18" spans="2:8" x14ac:dyDescent="0.2">
      <c r="B18" s="223" t="s">
        <v>221</v>
      </c>
      <c r="C18" s="224">
        <v>1990000</v>
      </c>
      <c r="D18" s="224">
        <v>4050</v>
      </c>
      <c r="E18" s="225">
        <f>'Bill Impacts vs 2022'!H802</f>
        <v>239501.44430399998</v>
      </c>
      <c r="F18" s="225">
        <f>'Bill Impacts vs 2022'!K802</f>
        <v>226952.09935399998</v>
      </c>
      <c r="G18" s="226">
        <f t="shared" si="1"/>
        <v>-12549.344949999999</v>
      </c>
      <c r="H18" s="227">
        <f t="shared" si="0"/>
        <v>-5.2397784015327582E-2</v>
      </c>
    </row>
    <row r="22" spans="2:8" x14ac:dyDescent="0.2">
      <c r="B22" s="215" t="s">
        <v>206</v>
      </c>
      <c r="C22" s="216" t="s">
        <v>153</v>
      </c>
      <c r="D22" s="217" t="s">
        <v>155</v>
      </c>
      <c r="E22" s="218" t="s">
        <v>149</v>
      </c>
      <c r="F22" s="218"/>
      <c r="G22" s="218"/>
      <c r="H22" s="218"/>
    </row>
    <row r="23" spans="2:8" ht="25.5" x14ac:dyDescent="0.2">
      <c r="B23" s="215"/>
      <c r="C23" s="219"/>
      <c r="D23" s="217"/>
      <c r="E23" s="221" t="s">
        <v>222</v>
      </c>
      <c r="F23" s="221" t="s">
        <v>223</v>
      </c>
      <c r="G23" s="222" t="s">
        <v>162</v>
      </c>
      <c r="H23" s="222" t="s">
        <v>208</v>
      </c>
    </row>
    <row r="24" spans="2:8" x14ac:dyDescent="0.2">
      <c r="B24" s="223" t="s">
        <v>209</v>
      </c>
      <c r="C24" s="224">
        <v>750</v>
      </c>
      <c r="D24" s="224"/>
      <c r="E24" s="225">
        <f>'Bill Impacts vs 2023 Phase 1'!H120</f>
        <v>120.83689020999999</v>
      </c>
      <c r="F24" s="225">
        <f>'Bill Impacts vs 2023 Phase 1'!K120</f>
        <v>122.28041521</v>
      </c>
      <c r="G24" s="226">
        <f>F24-E24</f>
        <v>1.4435250000000082</v>
      </c>
      <c r="H24" s="227">
        <f t="shared" ref="H24:H36" si="2">G24/E24</f>
        <v>1.1946062146181808E-2</v>
      </c>
    </row>
    <row r="25" spans="2:8" x14ac:dyDescent="0.2">
      <c r="B25" s="223" t="s">
        <v>210</v>
      </c>
      <c r="C25" s="224">
        <v>2000</v>
      </c>
      <c r="D25" s="224"/>
      <c r="E25" s="225">
        <f>'Bill Impacts vs 2023 Phase 1'!H176</f>
        <v>286.77120326000005</v>
      </c>
      <c r="F25" s="225">
        <f>'Bill Impacts vs 2023 Phase 1'!K176</f>
        <v>290.62060326</v>
      </c>
      <c r="G25" s="226">
        <f t="shared" ref="G25:G36" si="3">F25-E25</f>
        <v>3.849399999999946</v>
      </c>
      <c r="H25" s="227">
        <f t="shared" si="2"/>
        <v>1.3423244580488445E-2</v>
      </c>
    </row>
    <row r="26" spans="2:8" x14ac:dyDescent="0.2">
      <c r="B26" s="223" t="s">
        <v>211</v>
      </c>
      <c r="C26" s="224">
        <v>20000</v>
      </c>
      <c r="D26" s="224">
        <v>60</v>
      </c>
      <c r="E26" s="225">
        <f>'Bill Impacts vs 2023 Phase 1'!H242</f>
        <v>3318.8240119999996</v>
      </c>
      <c r="F26" s="225">
        <f>'Bill Impacts vs 2023 Phase 1'!K242</f>
        <v>3235.9656319999995</v>
      </c>
      <c r="G26" s="226">
        <f t="shared" si="3"/>
        <v>-82.858380000000125</v>
      </c>
      <c r="H26" s="227">
        <f t="shared" si="2"/>
        <v>-2.4966186727710143E-2</v>
      </c>
    </row>
    <row r="27" spans="2:8" x14ac:dyDescent="0.2">
      <c r="B27" s="223" t="s">
        <v>212</v>
      </c>
      <c r="C27" s="224">
        <v>800000</v>
      </c>
      <c r="D27" s="224">
        <v>2000</v>
      </c>
      <c r="E27" s="225">
        <f>'Bill Impacts vs 2023 Phase 1'!H298</f>
        <v>118180.76297999998</v>
      </c>
      <c r="F27" s="225">
        <f>'Bill Impacts vs 2023 Phase 1'!K298</f>
        <v>115080.04297999998</v>
      </c>
      <c r="G27" s="226">
        <f t="shared" si="3"/>
        <v>-3100.7200000000012</v>
      </c>
      <c r="H27" s="227">
        <f t="shared" si="2"/>
        <v>-2.6237095799802403E-2</v>
      </c>
    </row>
    <row r="28" spans="2:8" x14ac:dyDescent="0.2">
      <c r="B28" s="223" t="s">
        <v>213</v>
      </c>
      <c r="C28" s="224">
        <v>6600000</v>
      </c>
      <c r="D28" s="224">
        <v>16000</v>
      </c>
      <c r="E28" s="225">
        <f>'Bill Impacts vs 2023 Phase 1'!H354</f>
        <v>929012.22456000012</v>
      </c>
      <c r="F28" s="225">
        <f>'Bill Impacts vs 2023 Phase 1'!K354</f>
        <v>945976.68856000016</v>
      </c>
      <c r="G28" s="226">
        <f t="shared" si="3"/>
        <v>16964.464000000036</v>
      </c>
      <c r="H28" s="227">
        <f t="shared" si="2"/>
        <v>1.8260754327570627E-2</v>
      </c>
    </row>
    <row r="29" spans="2:8" x14ac:dyDescent="0.2">
      <c r="B29" s="223" t="s">
        <v>214</v>
      </c>
      <c r="C29" s="224">
        <v>100</v>
      </c>
      <c r="D29" s="224"/>
      <c r="E29" s="225">
        <f>'Bill Impacts vs 2023 Phase 1'!H400</f>
        <v>20.305210189999997</v>
      </c>
      <c r="F29" s="225">
        <f>'Bill Impacts vs 2023 Phase 1'!K400</f>
        <v>20.041830189999999</v>
      </c>
      <c r="G29" s="226">
        <f t="shared" si="3"/>
        <v>-0.26337999999999795</v>
      </c>
      <c r="H29" s="227">
        <f t="shared" si="2"/>
        <v>-1.2971055090565304E-2</v>
      </c>
    </row>
    <row r="30" spans="2:8" x14ac:dyDescent="0.2">
      <c r="B30" s="223" t="s">
        <v>215</v>
      </c>
      <c r="C30" s="224">
        <v>400000</v>
      </c>
      <c r="D30" s="224">
        <v>700</v>
      </c>
      <c r="E30" s="225">
        <f>'Bill Impacts vs 2023 Phase 1'!H466</f>
        <v>66729.725019999998</v>
      </c>
      <c r="F30" s="225">
        <f>'Bill Impacts vs 2023 Phase 1'!K466</f>
        <v>63686.334439999999</v>
      </c>
      <c r="G30" s="226">
        <f t="shared" si="3"/>
        <v>-3043.3905799999993</v>
      </c>
      <c r="H30" s="227">
        <f t="shared" si="2"/>
        <v>-4.560771948465013E-2</v>
      </c>
    </row>
    <row r="31" spans="2:8" x14ac:dyDescent="0.2">
      <c r="B31" s="223" t="s">
        <v>216</v>
      </c>
      <c r="C31" s="224">
        <v>10000</v>
      </c>
      <c r="D31" s="224">
        <v>29</v>
      </c>
      <c r="E31" s="225">
        <f>'Bill Impacts vs 2023 Phase 1'!H512</f>
        <v>2512.3075671000006</v>
      </c>
      <c r="F31" s="225">
        <f>'Bill Impacts vs 2023 Phase 1'!K512</f>
        <v>2529.5489284</v>
      </c>
      <c r="G31" s="226">
        <f t="shared" si="3"/>
        <v>17.241361299999426</v>
      </c>
      <c r="H31" s="227">
        <f t="shared" si="2"/>
        <v>6.8627589733773814E-3</v>
      </c>
    </row>
    <row r="32" spans="2:8" x14ac:dyDescent="0.2">
      <c r="B32" s="223" t="s">
        <v>217</v>
      </c>
      <c r="C32" s="224">
        <v>1382000</v>
      </c>
      <c r="D32" s="224">
        <v>2574</v>
      </c>
      <c r="E32" s="225">
        <f>'Bill Impacts vs 2023 Phase 1'!H578</f>
        <v>187773.70374119998</v>
      </c>
      <c r="F32" s="225">
        <f>'Bill Impacts vs 2023 Phase 1'!K578</f>
        <v>181876.81433519998</v>
      </c>
      <c r="G32" s="226">
        <f t="shared" si="3"/>
        <v>-5896.8894060000021</v>
      </c>
      <c r="H32" s="227">
        <f t="shared" si="2"/>
        <v>-3.1404234397631195E-2</v>
      </c>
    </row>
    <row r="33" spans="2:8" x14ac:dyDescent="0.2">
      <c r="B33" s="223" t="s">
        <v>218</v>
      </c>
      <c r="C33" s="224"/>
      <c r="D33" s="224">
        <v>8280</v>
      </c>
      <c r="E33" s="225">
        <f>'Bill Impacts vs 2023 Phase 1'!H634</f>
        <v>78767.716719999997</v>
      </c>
      <c r="F33" s="225">
        <f>'Bill Impacts vs 2023 Phase 1'!K634</f>
        <v>78871.572759999995</v>
      </c>
      <c r="G33" s="226">
        <f t="shared" si="3"/>
        <v>103.85603999999876</v>
      </c>
      <c r="H33" s="227">
        <f t="shared" si="2"/>
        <v>1.3185102263301807E-3</v>
      </c>
    </row>
    <row r="34" spans="2:8" x14ac:dyDescent="0.2">
      <c r="B34" s="223" t="s">
        <v>219</v>
      </c>
      <c r="C34" s="224">
        <v>50000</v>
      </c>
      <c r="D34" s="224">
        <v>27</v>
      </c>
      <c r="E34" s="225">
        <f>'Bill Impacts vs 2023 Phase 1'!H690</f>
        <v>6500.1897389999986</v>
      </c>
      <c r="F34" s="225">
        <f>'Bill Impacts vs 2023 Phase 1'!K690</f>
        <v>6306.8407499999994</v>
      </c>
      <c r="G34" s="226">
        <f t="shared" si="3"/>
        <v>-193.34898899999916</v>
      </c>
      <c r="H34" s="227">
        <f t="shared" si="2"/>
        <v>-2.9745130029041944E-2</v>
      </c>
    </row>
    <row r="35" spans="2:8" x14ac:dyDescent="0.2">
      <c r="B35" s="223" t="s">
        <v>220</v>
      </c>
      <c r="C35" s="224">
        <v>1300000</v>
      </c>
      <c r="D35" s="224">
        <v>2340</v>
      </c>
      <c r="E35" s="225">
        <f>'Bill Impacts vs 2023 Phase 1'!H746</f>
        <v>173210.69173999995</v>
      </c>
      <c r="F35" s="225">
        <f>'Bill Impacts vs 2023 Phase 1'!K746</f>
        <v>167592.55999999997</v>
      </c>
      <c r="G35" s="226">
        <f t="shared" si="3"/>
        <v>-5618.1317399999825</v>
      </c>
      <c r="H35" s="227">
        <f t="shared" si="2"/>
        <v>-3.2435247983612629E-2</v>
      </c>
    </row>
    <row r="36" spans="2:8" x14ac:dyDescent="0.2">
      <c r="B36" s="223" t="s">
        <v>221</v>
      </c>
      <c r="C36" s="224">
        <v>1990000</v>
      </c>
      <c r="D36" s="224">
        <v>4050</v>
      </c>
      <c r="E36" s="225">
        <f>'Bill Impacts vs 2023 Phase 1'!H802</f>
        <v>235879.98640399997</v>
      </c>
      <c r="F36" s="225">
        <f>'Bill Impacts vs 2023 Phase 1'!K802</f>
        <v>226952.09935399998</v>
      </c>
      <c r="G36" s="226">
        <f t="shared" si="3"/>
        <v>-8927.8870499999903</v>
      </c>
      <c r="H36" s="227">
        <f t="shared" si="2"/>
        <v>-3.7849277448697503E-2</v>
      </c>
    </row>
  </sheetData>
  <mergeCells count="8">
    <mergeCell ref="B22:B23"/>
    <mergeCell ref="C22:C23"/>
    <mergeCell ref="D22:D23"/>
    <mergeCell ref="E22:H22"/>
    <mergeCell ref="B4:B5"/>
    <mergeCell ref="C4:C5"/>
    <mergeCell ref="D4:D5"/>
    <mergeCell ref="E4:H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Proposed Tariff</vt:lpstr>
      <vt:lpstr>Current Tariff</vt:lpstr>
      <vt:lpstr>Bill Impacts vs 2022</vt:lpstr>
      <vt:lpstr>Bill Impacts vs 2023 Phase 1</vt:lpstr>
      <vt:lpstr>Bill Impacts Summary</vt:lpstr>
      <vt:lpstr>'Bill Impacts vs 2022'!Print_Area</vt:lpstr>
      <vt:lpstr>'Bill Impacts vs 2023 Phase 1'!Print_Area</vt:lpstr>
      <vt:lpstr>'Current Tariff'!Print_Titles</vt:lpstr>
      <vt:lpstr>'Proposed Tariff'!Print_Titles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Molon</dc:creator>
  <cp:lastModifiedBy>Dan Molon</cp:lastModifiedBy>
  <cp:lastPrinted>2023-06-22T21:54:50Z</cp:lastPrinted>
  <dcterms:created xsi:type="dcterms:W3CDTF">2023-06-22T17:38:29Z</dcterms:created>
  <dcterms:modified xsi:type="dcterms:W3CDTF">2023-06-22T21:55:39Z</dcterms:modified>
</cp:coreProperties>
</file>