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avlov\AppData\Roaming\iManage\Work\Recent\Wataynikaney 37866-2031 2024 Transmission Rate Application\"/>
    </mc:Choice>
  </mc:AlternateContent>
  <xr:revisionPtr revIDLastSave="0" documentId="13_ncr:1_{BE5E0395-BD51-49DE-BCC3-1C05158B0227}" xr6:coauthVersionLast="47" xr6:coauthVersionMax="47" xr10:uidLastSave="{00000000-0000-0000-0000-000000000000}"/>
  <bookViews>
    <workbookView xWindow="-108" yWindow="-108" windowWidth="23256" windowHeight="14016" tabRatio="887" activeTab="2" xr2:uid="{90D19F55-0C95-4AD6-A6C0-BBAE2F9F57DB}"/>
  </bookViews>
  <sheets>
    <sheet name="CWIP - Summary" sheetId="1" r:id="rId1"/>
    <sheet name="COVID 2020 Deferral - Summary" sheetId="7" r:id="rId2"/>
    <sheet name="COVID 2021-2023 Def Summary" sheetId="12" r:id="rId3"/>
    <sheet name="Distribution Deferral - Summary" sheetId="2" r:id="rId4"/>
    <sheet name="CPICVA - Summary" sheetId="14" r:id="rId5"/>
    <sheet name="DCDA - Summary" sheetId="16" r:id="rId6"/>
    <sheet name="ISDVA - Summary" sheetId="18" r:id="rId7"/>
    <sheet name="ISDVA - 2022" sheetId="19" state="hidden" r:id="rId8"/>
    <sheet name="DCDA - 2022" sheetId="17" state="hidden" r:id="rId9"/>
    <sheet name="CPICVA - 2022" sheetId="15" state="hidden" r:id="rId10"/>
    <sheet name="COVID Deferral - 2022" sheetId="11" state="hidden" r:id="rId11"/>
    <sheet name="COVID Deferral - 2021" sheetId="8" state="hidden" r:id="rId12"/>
    <sheet name="Distribution Deferral - 2022" sheetId="13" state="hidden" r:id="rId13"/>
    <sheet name="Distribution Deferral - 2021" sheetId="6" state="hidden" r:id="rId14"/>
    <sheet name="Distribution Deferral - 2020" sheetId="3" state="hidden" r:id="rId15"/>
    <sheet name="Distribution Deferral - 2019" sheetId="4" state="hidden" r:id="rId16"/>
    <sheet name="Distribution Deferral - 2018" sheetId="5" state="hidden" r:id="rId17"/>
  </sheets>
  <externalReferences>
    <externalReference r:id="rId18"/>
  </externalReferences>
  <definedNames>
    <definedName name="_xlnm.Print_Area" localSheetId="10">'COVID Deferral - 2022'!$A$1:$Q$39</definedName>
    <definedName name="_xlnm.Print_Area" localSheetId="0">'CWIP - Summary'!$A$1:$H$73</definedName>
    <definedName name="_xlnm.Print_Titles" localSheetId="11">'COVID Deferral - 2021'!$A:$C</definedName>
    <definedName name="_xlnm.Print_Titles" localSheetId="10">'COVID Deferral - 2022'!$A:$C</definedName>
    <definedName name="_xlnm.Print_Titles" localSheetId="13">'Distribution Deferral - 2021'!$A:$C</definedName>
    <definedName name="_xlnm.Print_Titles" localSheetId="12">'Distribution Deferral - 2022'!$A:$C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8" l="1"/>
  <c r="D16" i="18"/>
  <c r="D15" i="18"/>
  <c r="D14" i="18"/>
  <c r="D13" i="18"/>
  <c r="D12" i="18"/>
  <c r="D11" i="18"/>
  <c r="D10" i="18"/>
  <c r="D9" i="18"/>
  <c r="D8" i="18"/>
  <c r="D7" i="18"/>
  <c r="D6" i="18"/>
  <c r="D5" i="18"/>
  <c r="C15" i="18"/>
  <c r="C14" i="18"/>
  <c r="C13" i="18"/>
  <c r="C12" i="18"/>
  <c r="C11" i="18"/>
  <c r="C10" i="18"/>
  <c r="C9" i="18"/>
  <c r="C8" i="18"/>
  <c r="C7" i="18"/>
  <c r="C6" i="18"/>
  <c r="C5" i="18"/>
  <c r="D38" i="19"/>
  <c r="P21" i="19"/>
  <c r="P26" i="19" s="1"/>
  <c r="C16" i="18" s="1"/>
  <c r="D21" i="18" s="1"/>
  <c r="O21" i="19"/>
  <c r="O26" i="19" s="1"/>
  <c r="N21" i="19"/>
  <c r="N26" i="19" s="1"/>
  <c r="M21" i="19"/>
  <c r="M26" i="19" s="1"/>
  <c r="L21" i="19"/>
  <c r="L26" i="19" s="1"/>
  <c r="I21" i="19"/>
  <c r="I26" i="19" s="1"/>
  <c r="H21" i="19"/>
  <c r="H26" i="19" s="1"/>
  <c r="G21" i="19"/>
  <c r="G26" i="19" s="1"/>
  <c r="F21" i="19"/>
  <c r="F26" i="19" s="1"/>
  <c r="E21" i="19"/>
  <c r="E26" i="19" s="1"/>
  <c r="D21" i="19"/>
  <c r="D26" i="19" s="1"/>
  <c r="Q9" i="19"/>
  <c r="H8" i="19" s="1"/>
  <c r="H28" i="19" s="1"/>
  <c r="H32" i="19" s="1"/>
  <c r="O7" i="19"/>
  <c r="O8" i="19" s="1"/>
  <c r="O28" i="19" s="1"/>
  <c r="O31" i="19" s="1"/>
  <c r="L7" i="19"/>
  <c r="L8" i="19" s="1"/>
  <c r="L28" i="19" s="1"/>
  <c r="J7" i="19"/>
  <c r="J8" i="19" s="1"/>
  <c r="J28" i="19" s="1"/>
  <c r="J32" i="19" s="1"/>
  <c r="I7" i="19"/>
  <c r="G7" i="19"/>
  <c r="G8" i="19" s="1"/>
  <c r="G28" i="19" s="1"/>
  <c r="G31" i="19" s="1"/>
  <c r="F7" i="19"/>
  <c r="N6" i="19"/>
  <c r="K6" i="19"/>
  <c r="H6" i="19"/>
  <c r="E6" i="19"/>
  <c r="D6" i="19"/>
  <c r="D10" i="19" s="1"/>
  <c r="E5" i="18"/>
  <c r="D16" i="16"/>
  <c r="D15" i="16"/>
  <c r="D10" i="16"/>
  <c r="D9" i="16"/>
  <c r="D8" i="16"/>
  <c r="D7" i="16"/>
  <c r="D6" i="16"/>
  <c r="D5" i="16"/>
  <c r="C15" i="16"/>
  <c r="C14" i="16"/>
  <c r="C13" i="16"/>
  <c r="C9" i="16"/>
  <c r="C8" i="16"/>
  <c r="C7" i="16"/>
  <c r="C6" i="16"/>
  <c r="C5" i="16"/>
  <c r="D38" i="17"/>
  <c r="P21" i="17"/>
  <c r="P26" i="17" s="1"/>
  <c r="C16" i="16" s="1"/>
  <c r="D21" i="16" s="1"/>
  <c r="L32" i="17"/>
  <c r="K32" i="17"/>
  <c r="O21" i="17"/>
  <c r="O26" i="17" s="1"/>
  <c r="N21" i="17"/>
  <c r="N26" i="17" s="1"/>
  <c r="M21" i="17"/>
  <c r="M26" i="17" s="1"/>
  <c r="L21" i="17"/>
  <c r="L26" i="17" s="1"/>
  <c r="K21" i="17"/>
  <c r="K26" i="17" s="1"/>
  <c r="H21" i="17"/>
  <c r="H26" i="17" s="1"/>
  <c r="G21" i="17"/>
  <c r="G26" i="17" s="1"/>
  <c r="F21" i="17"/>
  <c r="F26" i="17" s="1"/>
  <c r="E21" i="17"/>
  <c r="E26" i="17" s="1"/>
  <c r="D21" i="17"/>
  <c r="D26" i="17" s="1"/>
  <c r="Q9" i="17"/>
  <c r="K8" i="17" s="1"/>
  <c r="K28" i="17" s="1"/>
  <c r="N8" i="17"/>
  <c r="N28" i="17" s="1"/>
  <c r="I8" i="17"/>
  <c r="I28" i="17" s="1"/>
  <c r="H8" i="17"/>
  <c r="H28" i="17" s="1"/>
  <c r="F8" i="17"/>
  <c r="F28" i="17" s="1"/>
  <c r="E8" i="17"/>
  <c r="E28" i="17" s="1"/>
  <c r="E32" i="17" s="1"/>
  <c r="O7" i="17"/>
  <c r="O8" i="17" s="1"/>
  <c r="O28" i="17" s="1"/>
  <c r="O32" i="17" s="1"/>
  <c r="L7" i="17"/>
  <c r="L8" i="17" s="1"/>
  <c r="L28" i="17" s="1"/>
  <c r="L31" i="17" s="1"/>
  <c r="J7" i="17"/>
  <c r="J8" i="17" s="1"/>
  <c r="J28" i="17" s="1"/>
  <c r="I7" i="17"/>
  <c r="G7" i="17"/>
  <c r="G8" i="17" s="1"/>
  <c r="G28" i="17" s="1"/>
  <c r="G32" i="17" s="1"/>
  <c r="F7" i="17"/>
  <c r="N6" i="17"/>
  <c r="K6" i="17"/>
  <c r="H6" i="17"/>
  <c r="E6" i="17"/>
  <c r="D6" i="17"/>
  <c r="D10" i="17" s="1"/>
  <c r="E5" i="16"/>
  <c r="E6" i="16" s="1"/>
  <c r="E7" i="16" s="1"/>
  <c r="E8" i="16" s="1"/>
  <c r="E9" i="16" s="1"/>
  <c r="E10" i="16" s="1"/>
  <c r="D16" i="14"/>
  <c r="D15" i="14"/>
  <c r="D14" i="14"/>
  <c r="D13" i="14"/>
  <c r="D12" i="14"/>
  <c r="D11" i="14"/>
  <c r="D10" i="14"/>
  <c r="D9" i="14"/>
  <c r="D8" i="14"/>
  <c r="D7" i="14"/>
  <c r="D6" i="14"/>
  <c r="D5" i="14"/>
  <c r="E5" i="14" s="1"/>
  <c r="C16" i="14"/>
  <c r="D21" i="14" s="1"/>
  <c r="C15" i="14"/>
  <c r="C14" i="14"/>
  <c r="C13" i="14"/>
  <c r="C12" i="14"/>
  <c r="C11" i="14"/>
  <c r="C10" i="14"/>
  <c r="C9" i="14"/>
  <c r="C8" i="14"/>
  <c r="C7" i="14"/>
  <c r="C5" i="14"/>
  <c r="C6" i="14"/>
  <c r="D38" i="15"/>
  <c r="P21" i="15"/>
  <c r="P26" i="15" s="1"/>
  <c r="K32" i="15"/>
  <c r="O21" i="15"/>
  <c r="O26" i="15" s="1"/>
  <c r="N21" i="15"/>
  <c r="N26" i="15" s="1"/>
  <c r="M21" i="15"/>
  <c r="M26" i="15" s="1"/>
  <c r="L21" i="15"/>
  <c r="L26" i="15" s="1"/>
  <c r="I21" i="15"/>
  <c r="I26" i="15" s="1"/>
  <c r="H21" i="15"/>
  <c r="H26" i="15" s="1"/>
  <c r="G21" i="15"/>
  <c r="G26" i="15" s="1"/>
  <c r="F21" i="15"/>
  <c r="F26" i="15" s="1"/>
  <c r="E21" i="15"/>
  <c r="E26" i="15" s="1"/>
  <c r="D21" i="15"/>
  <c r="D26" i="15" s="1"/>
  <c r="Q9" i="15"/>
  <c r="H8" i="15" s="1"/>
  <c r="H28" i="15" s="1"/>
  <c r="O8" i="15"/>
  <c r="O28" i="15" s="1"/>
  <c r="L8" i="15"/>
  <c r="L28" i="15" s="1"/>
  <c r="K8" i="15"/>
  <c r="K28" i="15" s="1"/>
  <c r="E8" i="15"/>
  <c r="E28" i="15" s="1"/>
  <c r="P7" i="15"/>
  <c r="P8" i="15" s="1"/>
  <c r="P28" i="15" s="1"/>
  <c r="O7" i="15"/>
  <c r="L7" i="15"/>
  <c r="M7" i="15" s="1"/>
  <c r="M8" i="15" s="1"/>
  <c r="M28" i="15" s="1"/>
  <c r="I7" i="15"/>
  <c r="J7" i="15" s="1"/>
  <c r="J8" i="15" s="1"/>
  <c r="J28" i="15" s="1"/>
  <c r="F7" i="15"/>
  <c r="F8" i="15" s="1"/>
  <c r="F28" i="15" s="1"/>
  <c r="N6" i="15"/>
  <c r="K6" i="15"/>
  <c r="H6" i="15"/>
  <c r="E6" i="15"/>
  <c r="D6" i="15"/>
  <c r="D10" i="15" s="1"/>
  <c r="E18" i="13"/>
  <c r="E6" i="18" l="1"/>
  <c r="E7" i="18" s="1"/>
  <c r="E8" i="18" s="1"/>
  <c r="E9" i="18" s="1"/>
  <c r="E10" i="18" s="1"/>
  <c r="E11" i="18" s="1"/>
  <c r="E12" i="18" s="1"/>
  <c r="E13" i="18" s="1"/>
  <c r="E14" i="18" s="1"/>
  <c r="E15" i="18" s="1"/>
  <c r="E16" i="18" s="1"/>
  <c r="D23" i="18" s="1"/>
  <c r="L32" i="19"/>
  <c r="G32" i="19"/>
  <c r="G34" i="19" s="1"/>
  <c r="O32" i="19"/>
  <c r="O34" i="19" s="1"/>
  <c r="L31" i="19"/>
  <c r="F32" i="19"/>
  <c r="E32" i="19"/>
  <c r="M7" i="19"/>
  <c r="M8" i="19" s="1"/>
  <c r="M28" i="19" s="1"/>
  <c r="M31" i="19" s="1"/>
  <c r="K21" i="19"/>
  <c r="K26" i="19" s="1"/>
  <c r="F31" i="19"/>
  <c r="F34" i="19" s="1"/>
  <c r="P7" i="19"/>
  <c r="P8" i="19" s="1"/>
  <c r="P28" i="19" s="1"/>
  <c r="P32" i="19" s="1"/>
  <c r="H31" i="19"/>
  <c r="H34" i="19" s="1"/>
  <c r="J21" i="19"/>
  <c r="J26" i="19" s="1"/>
  <c r="K8" i="19"/>
  <c r="K28" i="19" s="1"/>
  <c r="K32" i="19" s="1"/>
  <c r="E8" i="19"/>
  <c r="E28" i="19" s="1"/>
  <c r="E31" i="19" s="1"/>
  <c r="I31" i="19"/>
  <c r="F8" i="19"/>
  <c r="F28" i="19" s="1"/>
  <c r="N8" i="19"/>
  <c r="N28" i="19" s="1"/>
  <c r="N32" i="19" s="1"/>
  <c r="J31" i="19"/>
  <c r="J34" i="19" s="1"/>
  <c r="I8" i="19"/>
  <c r="I28" i="19" s="1"/>
  <c r="I32" i="19" s="1"/>
  <c r="E11" i="16"/>
  <c r="E12" i="16" s="1"/>
  <c r="E13" i="16" s="1"/>
  <c r="E14" i="16" s="1"/>
  <c r="E15" i="16" s="1"/>
  <c r="E16" i="16" s="1"/>
  <c r="D22" i="16" s="1"/>
  <c r="D23" i="16" s="1"/>
  <c r="J31" i="17"/>
  <c r="J34" i="17" s="1"/>
  <c r="F32" i="17"/>
  <c r="N32" i="17"/>
  <c r="K31" i="17"/>
  <c r="K34" i="17" s="1"/>
  <c r="H32" i="17"/>
  <c r="Q32" i="17" s="1"/>
  <c r="P32" i="17"/>
  <c r="L34" i="17"/>
  <c r="I32" i="17"/>
  <c r="J32" i="17"/>
  <c r="J21" i="17"/>
  <c r="J26" i="17" s="1"/>
  <c r="E31" i="17"/>
  <c r="M7" i="17"/>
  <c r="M8" i="17" s="1"/>
  <c r="M28" i="17" s="1"/>
  <c r="M32" i="17" s="1"/>
  <c r="F31" i="17"/>
  <c r="F34" i="17" s="1"/>
  <c r="N31" i="17"/>
  <c r="N34" i="17" s="1"/>
  <c r="G31" i="17"/>
  <c r="G34" i="17" s="1"/>
  <c r="O31" i="17"/>
  <c r="O34" i="17" s="1"/>
  <c r="P7" i="17"/>
  <c r="P8" i="17" s="1"/>
  <c r="P28" i="17" s="1"/>
  <c r="H31" i="17"/>
  <c r="P31" i="17"/>
  <c r="P34" i="17" s="1"/>
  <c r="I21" i="17"/>
  <c r="I26" i="17" s="1"/>
  <c r="I31" i="17"/>
  <c r="I34" i="17" s="1"/>
  <c r="E6" i="14"/>
  <c r="E7" i="14" s="1"/>
  <c r="E8" i="14" s="1"/>
  <c r="E9" i="14" s="1"/>
  <c r="E10" i="14" s="1"/>
  <c r="E11" i="14" s="1"/>
  <c r="E12" i="14" s="1"/>
  <c r="E13" i="14" s="1"/>
  <c r="E14" i="14" s="1"/>
  <c r="E15" i="14" s="1"/>
  <c r="E16" i="14" s="1"/>
  <c r="D22" i="14" s="1"/>
  <c r="D23" i="14" s="1"/>
  <c r="L32" i="15"/>
  <c r="E32" i="15"/>
  <c r="M32" i="15"/>
  <c r="F32" i="15"/>
  <c r="N32" i="15"/>
  <c r="K31" i="15"/>
  <c r="K34" i="15" s="1"/>
  <c r="O32" i="15"/>
  <c r="L31" i="15"/>
  <c r="H32" i="15"/>
  <c r="P32" i="15"/>
  <c r="J32" i="15"/>
  <c r="I8" i="15"/>
  <c r="I28" i="15" s="1"/>
  <c r="I32" i="15" s="1"/>
  <c r="J21" i="15"/>
  <c r="J26" i="15" s="1"/>
  <c r="E31" i="15"/>
  <c r="M31" i="15"/>
  <c r="M34" i="15" s="1"/>
  <c r="K21" i="15"/>
  <c r="K26" i="15" s="1"/>
  <c r="F31" i="15"/>
  <c r="F34" i="15" s="1"/>
  <c r="O31" i="15"/>
  <c r="H31" i="15"/>
  <c r="P31" i="15"/>
  <c r="P34" i="15" s="1"/>
  <c r="I31" i="15"/>
  <c r="G7" i="15"/>
  <c r="G8" i="15" s="1"/>
  <c r="G28" i="15" s="1"/>
  <c r="G31" i="15" s="1"/>
  <c r="N8" i="15"/>
  <c r="N28" i="15" s="1"/>
  <c r="N31" i="15" s="1"/>
  <c r="N34" i="15" s="1"/>
  <c r="J31" i="15"/>
  <c r="D19" i="13"/>
  <c r="D53" i="2"/>
  <c r="D52" i="2"/>
  <c r="D51" i="2"/>
  <c r="D50" i="2"/>
  <c r="D49" i="2"/>
  <c r="D48" i="2"/>
  <c r="D47" i="2"/>
  <c r="D46" i="2"/>
  <c r="D45" i="2"/>
  <c r="D44" i="2"/>
  <c r="D43" i="2"/>
  <c r="D42" i="2"/>
  <c r="E42" i="2" s="1"/>
  <c r="E43" i="2" s="1"/>
  <c r="C53" i="2"/>
  <c r="D58" i="2" s="1"/>
  <c r="C52" i="2"/>
  <c r="C51" i="2"/>
  <c r="C50" i="2"/>
  <c r="C49" i="2"/>
  <c r="C48" i="2"/>
  <c r="C47" i="2"/>
  <c r="C46" i="2"/>
  <c r="C45" i="2"/>
  <c r="C44" i="2"/>
  <c r="C43" i="2"/>
  <c r="C42" i="2"/>
  <c r="E41" i="2"/>
  <c r="C41" i="2"/>
  <c r="E14" i="13"/>
  <c r="E16" i="13" s="1"/>
  <c r="F14" i="13"/>
  <c r="F16" i="13" s="1"/>
  <c r="G14" i="13"/>
  <c r="G16" i="13" s="1"/>
  <c r="H14" i="13"/>
  <c r="H16" i="13" s="1"/>
  <c r="I14" i="13"/>
  <c r="I16" i="13" s="1"/>
  <c r="J14" i="13"/>
  <c r="J16" i="13" s="1"/>
  <c r="K14" i="13"/>
  <c r="K16" i="13" s="1"/>
  <c r="L14" i="13"/>
  <c r="L16" i="13" s="1"/>
  <c r="M14" i="13"/>
  <c r="M16" i="13" s="1"/>
  <c r="N14" i="13"/>
  <c r="N16" i="13" s="1"/>
  <c r="O14" i="13"/>
  <c r="P14" i="13"/>
  <c r="P16" i="13" s="1"/>
  <c r="D14" i="13"/>
  <c r="D16" i="13" s="1"/>
  <c r="D37" i="2"/>
  <c r="D36" i="2"/>
  <c r="D35" i="2"/>
  <c r="D34" i="2"/>
  <c r="D33" i="2"/>
  <c r="D32" i="2"/>
  <c r="D31" i="2"/>
  <c r="D30" i="2"/>
  <c r="C40" i="2"/>
  <c r="C39" i="2"/>
  <c r="C38" i="2"/>
  <c r="C37" i="2"/>
  <c r="C36" i="2"/>
  <c r="C35" i="2"/>
  <c r="C34" i="2"/>
  <c r="C33" i="2"/>
  <c r="C32" i="2"/>
  <c r="C31" i="2"/>
  <c r="C30" i="2"/>
  <c r="P29" i="13"/>
  <c r="P31" i="13" s="1"/>
  <c r="O29" i="13"/>
  <c r="O31" i="13" s="1"/>
  <c r="N29" i="13"/>
  <c r="N31" i="13" s="1"/>
  <c r="M29" i="13"/>
  <c r="M31" i="13" s="1"/>
  <c r="L29" i="13"/>
  <c r="L31" i="13" s="1"/>
  <c r="K29" i="13"/>
  <c r="K31" i="13" s="1"/>
  <c r="J29" i="13"/>
  <c r="J31" i="13" s="1"/>
  <c r="I29" i="13"/>
  <c r="I31" i="13" s="1"/>
  <c r="H29" i="13"/>
  <c r="H31" i="13" s="1"/>
  <c r="G29" i="13"/>
  <c r="G31" i="13" s="1"/>
  <c r="F29" i="13"/>
  <c r="F31" i="13" s="1"/>
  <c r="E29" i="13"/>
  <c r="E31" i="13" s="1"/>
  <c r="D29" i="13"/>
  <c r="D31" i="13" s="1"/>
  <c r="O16" i="13"/>
  <c r="Q8" i="13"/>
  <c r="P7" i="13" s="1"/>
  <c r="M7" i="13"/>
  <c r="M32" i="13" s="1"/>
  <c r="K7" i="13"/>
  <c r="K32" i="13" s="1"/>
  <c r="J7" i="13"/>
  <c r="J17" i="13" s="1"/>
  <c r="I7" i="13"/>
  <c r="I17" i="13" s="1"/>
  <c r="G7" i="13"/>
  <c r="G17" i="13" s="1"/>
  <c r="F7" i="13"/>
  <c r="F32" i="13" s="1"/>
  <c r="E7" i="13"/>
  <c r="E32" i="13" s="1"/>
  <c r="D29" i="12"/>
  <c r="D28" i="12"/>
  <c r="D27" i="12"/>
  <c r="D26" i="12"/>
  <c r="D25" i="12"/>
  <c r="D24" i="12"/>
  <c r="D23" i="12"/>
  <c r="D22" i="12"/>
  <c r="D21" i="12"/>
  <c r="D20" i="12"/>
  <c r="D19" i="12"/>
  <c r="D18" i="12"/>
  <c r="D34" i="12"/>
  <c r="P35" i="11"/>
  <c r="D36" i="11"/>
  <c r="P47" i="11"/>
  <c r="P46" i="11"/>
  <c r="P45" i="11"/>
  <c r="E35" i="11"/>
  <c r="F45" i="11"/>
  <c r="G45" i="11"/>
  <c r="H45" i="11"/>
  <c r="I45" i="11"/>
  <c r="J45" i="11"/>
  <c r="K45" i="11"/>
  <c r="L45" i="11"/>
  <c r="M45" i="11"/>
  <c r="N45" i="11"/>
  <c r="O45" i="11"/>
  <c r="F46" i="11"/>
  <c r="G46" i="11"/>
  <c r="H46" i="11"/>
  <c r="I46" i="11"/>
  <c r="J46" i="11"/>
  <c r="K46" i="11"/>
  <c r="L46" i="11"/>
  <c r="M46" i="11"/>
  <c r="N46" i="11"/>
  <c r="O46" i="11"/>
  <c r="F47" i="11"/>
  <c r="G47" i="11"/>
  <c r="H47" i="11"/>
  <c r="I47" i="11"/>
  <c r="J47" i="11"/>
  <c r="K47" i="11"/>
  <c r="L47" i="11"/>
  <c r="M47" i="11"/>
  <c r="N47" i="11"/>
  <c r="O47" i="11"/>
  <c r="E46" i="11"/>
  <c r="E47" i="11"/>
  <c r="E45" i="11"/>
  <c r="E38" i="11"/>
  <c r="D17" i="12"/>
  <c r="D16" i="12"/>
  <c r="D15" i="12"/>
  <c r="D14" i="12"/>
  <c r="D13" i="12"/>
  <c r="D12" i="12"/>
  <c r="D11" i="12"/>
  <c r="D10" i="12"/>
  <c r="D9" i="12"/>
  <c r="D8" i="12"/>
  <c r="D6" i="12"/>
  <c r="D7" i="12"/>
  <c r="D5" i="12"/>
  <c r="C17" i="12"/>
  <c r="C16" i="12"/>
  <c r="C15" i="12"/>
  <c r="C14" i="12"/>
  <c r="C13" i="12"/>
  <c r="C12" i="12"/>
  <c r="C11" i="12"/>
  <c r="C10" i="12"/>
  <c r="C9" i="12"/>
  <c r="C8" i="12"/>
  <c r="C6" i="12"/>
  <c r="C7" i="12"/>
  <c r="C5" i="12"/>
  <c r="E5" i="12"/>
  <c r="I34" i="19" l="1"/>
  <c r="M32" i="19"/>
  <c r="E34" i="19"/>
  <c r="E36" i="19" s="1"/>
  <c r="M34" i="19"/>
  <c r="K31" i="19"/>
  <c r="K34" i="19" s="1"/>
  <c r="P31" i="19"/>
  <c r="P34" i="19" s="1"/>
  <c r="Q32" i="19"/>
  <c r="L34" i="19"/>
  <c r="N31" i="19"/>
  <c r="N34" i="19" s="1"/>
  <c r="M31" i="17"/>
  <c r="M34" i="17" s="1"/>
  <c r="H34" i="17"/>
  <c r="E34" i="17"/>
  <c r="E36" i="17" s="1"/>
  <c r="G34" i="15"/>
  <c r="Q32" i="15"/>
  <c r="I34" i="15"/>
  <c r="H34" i="15"/>
  <c r="G32" i="15"/>
  <c r="L34" i="15"/>
  <c r="Q31" i="15"/>
  <c r="E34" i="15"/>
  <c r="E36" i="15" s="1"/>
  <c r="O34" i="15"/>
  <c r="J34" i="15"/>
  <c r="E44" i="2"/>
  <c r="E45" i="2" s="1"/>
  <c r="E46" i="2" s="1"/>
  <c r="E47" i="2" s="1"/>
  <c r="E48" i="2" s="1"/>
  <c r="E49" i="2" s="1"/>
  <c r="E50" i="2" s="1"/>
  <c r="E51" i="2" s="1"/>
  <c r="E52" i="2" s="1"/>
  <c r="E53" i="2" s="1"/>
  <c r="D59" i="2" s="1"/>
  <c r="N7" i="13"/>
  <c r="N17" i="13" s="1"/>
  <c r="N18" i="13" s="1"/>
  <c r="O7" i="13"/>
  <c r="O17" i="13" s="1"/>
  <c r="L7" i="13"/>
  <c r="L17" i="13" s="1"/>
  <c r="F17" i="13"/>
  <c r="F18" i="13" s="1"/>
  <c r="E33" i="13"/>
  <c r="E34" i="13" s="1"/>
  <c r="E17" i="13"/>
  <c r="E19" i="13" s="1"/>
  <c r="F33" i="13"/>
  <c r="G32" i="13"/>
  <c r="G18" i="13"/>
  <c r="O18" i="13"/>
  <c r="O32" i="13"/>
  <c r="O33" i="13" s="1"/>
  <c r="K17" i="13"/>
  <c r="K18" i="13" s="1"/>
  <c r="I18" i="13"/>
  <c r="M17" i="13"/>
  <c r="M18" i="13" s="1"/>
  <c r="G33" i="13"/>
  <c r="J18" i="13"/>
  <c r="K33" i="13"/>
  <c r="P17" i="13"/>
  <c r="P18" i="13" s="1"/>
  <c r="P32" i="13"/>
  <c r="P33" i="13" s="1"/>
  <c r="M33" i="13"/>
  <c r="L18" i="13"/>
  <c r="I32" i="13"/>
  <c r="I33" i="13" s="1"/>
  <c r="H7" i="13"/>
  <c r="J32" i="13"/>
  <c r="J33" i="13" s="1"/>
  <c r="L32" i="13"/>
  <c r="L33" i="13" s="1"/>
  <c r="E6" i="12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D35" i="12" s="1"/>
  <c r="P19" i="11"/>
  <c r="D20" i="7"/>
  <c r="D19" i="7"/>
  <c r="D18" i="7"/>
  <c r="C29" i="7"/>
  <c r="D34" i="7" s="1"/>
  <c r="C28" i="7"/>
  <c r="C27" i="7"/>
  <c r="C26" i="7"/>
  <c r="C25" i="7"/>
  <c r="C24" i="7"/>
  <c r="C23" i="7"/>
  <c r="C22" i="7"/>
  <c r="C21" i="7"/>
  <c r="C20" i="7"/>
  <c r="C19" i="7"/>
  <c r="C18" i="7"/>
  <c r="D20" i="11"/>
  <c r="D17" i="7"/>
  <c r="E33" i="11"/>
  <c r="P31" i="11"/>
  <c r="P33" i="11" s="1"/>
  <c r="C29" i="12" s="1"/>
  <c r="O31" i="11"/>
  <c r="O33" i="11" s="1"/>
  <c r="C28" i="12" s="1"/>
  <c r="N31" i="11"/>
  <c r="N33" i="11" s="1"/>
  <c r="C27" i="12" s="1"/>
  <c r="M31" i="11"/>
  <c r="M33" i="11" s="1"/>
  <c r="C26" i="12" s="1"/>
  <c r="L31" i="11"/>
  <c r="L33" i="11" s="1"/>
  <c r="C25" i="12" s="1"/>
  <c r="K31" i="11"/>
  <c r="K33" i="11" s="1"/>
  <c r="C24" i="12" s="1"/>
  <c r="J31" i="11"/>
  <c r="J33" i="11" s="1"/>
  <c r="C23" i="12" s="1"/>
  <c r="I31" i="11"/>
  <c r="I33" i="11" s="1"/>
  <c r="C22" i="12" s="1"/>
  <c r="H31" i="11"/>
  <c r="H33" i="11" s="1"/>
  <c r="C21" i="12" s="1"/>
  <c r="G31" i="11"/>
  <c r="G33" i="11" s="1"/>
  <c r="C20" i="12" s="1"/>
  <c r="F31" i="11"/>
  <c r="F33" i="11" s="1"/>
  <c r="C19" i="12" s="1"/>
  <c r="E31" i="11"/>
  <c r="D31" i="11"/>
  <c r="D33" i="11" s="1"/>
  <c r="Q25" i="11"/>
  <c r="E24" i="11"/>
  <c r="E34" i="11" s="1"/>
  <c r="P15" i="11"/>
  <c r="P17" i="11" s="1"/>
  <c r="O15" i="11"/>
  <c r="O17" i="11" s="1"/>
  <c r="N15" i="11"/>
  <c r="N17" i="11" s="1"/>
  <c r="M15" i="11"/>
  <c r="M17" i="11" s="1"/>
  <c r="L15" i="11"/>
  <c r="L17" i="11" s="1"/>
  <c r="K15" i="11"/>
  <c r="K17" i="11" s="1"/>
  <c r="J15" i="11"/>
  <c r="J17" i="11" s="1"/>
  <c r="I15" i="11"/>
  <c r="I17" i="11" s="1"/>
  <c r="H15" i="11"/>
  <c r="H17" i="11" s="1"/>
  <c r="G15" i="11"/>
  <c r="G17" i="11" s="1"/>
  <c r="F15" i="11"/>
  <c r="F17" i="11" s="1"/>
  <c r="E15" i="11"/>
  <c r="E17" i="11" s="1"/>
  <c r="D15" i="11"/>
  <c r="D17" i="11" s="1"/>
  <c r="Q8" i="11"/>
  <c r="O24" i="11" s="1"/>
  <c r="O34" i="11" s="1"/>
  <c r="P7" i="11"/>
  <c r="P18" i="11" s="1"/>
  <c r="F30" i="8"/>
  <c r="F32" i="8" s="1"/>
  <c r="G34" i="8" s="1"/>
  <c r="I33" i="8"/>
  <c r="P30" i="8"/>
  <c r="P32" i="8" s="1"/>
  <c r="O30" i="8"/>
  <c r="O32" i="8" s="1"/>
  <c r="N30" i="8"/>
  <c r="N32" i="8" s="1"/>
  <c r="O34" i="8" s="1"/>
  <c r="M30" i="8"/>
  <c r="M32" i="8" s="1"/>
  <c r="L30" i="8"/>
  <c r="L32" i="8" s="1"/>
  <c r="K30" i="8"/>
  <c r="K32" i="8" s="1"/>
  <c r="L34" i="8" s="1"/>
  <c r="J30" i="8"/>
  <c r="J32" i="8" s="1"/>
  <c r="K34" i="8" s="1"/>
  <c r="I30" i="8"/>
  <c r="I32" i="8" s="1"/>
  <c r="H30" i="8"/>
  <c r="H32" i="8" s="1"/>
  <c r="I34" i="8" s="1"/>
  <c r="G30" i="8"/>
  <c r="G32" i="8" s="1"/>
  <c r="E30" i="8"/>
  <c r="D30" i="8"/>
  <c r="D32" i="8" s="1"/>
  <c r="Q24" i="8"/>
  <c r="P23" i="8"/>
  <c r="P33" i="8" s="1"/>
  <c r="O23" i="8"/>
  <c r="O33" i="8" s="1"/>
  <c r="N23" i="8"/>
  <c r="N33" i="8" s="1"/>
  <c r="M23" i="8"/>
  <c r="M33" i="8" s="1"/>
  <c r="L23" i="8"/>
  <c r="L33" i="8" s="1"/>
  <c r="K23" i="8"/>
  <c r="K33" i="8" s="1"/>
  <c r="J23" i="8"/>
  <c r="J33" i="8" s="1"/>
  <c r="I23" i="8"/>
  <c r="H23" i="8"/>
  <c r="H33" i="8" s="1"/>
  <c r="G23" i="8"/>
  <c r="G33" i="8" s="1"/>
  <c r="F23" i="8"/>
  <c r="F33" i="8" s="1"/>
  <c r="E23" i="8"/>
  <c r="E33" i="8" s="1"/>
  <c r="Q31" i="19" l="1"/>
  <c r="Q34" i="19" s="1"/>
  <c r="F36" i="19"/>
  <c r="E38" i="19"/>
  <c r="E38" i="17"/>
  <c r="F36" i="17"/>
  <c r="Q31" i="17"/>
  <c r="Q34" i="17" s="1"/>
  <c r="E38" i="15"/>
  <c r="F36" i="15"/>
  <c r="Q34" i="15"/>
  <c r="N32" i="13"/>
  <c r="N33" i="13" s="1"/>
  <c r="F34" i="13"/>
  <c r="G34" i="13" s="1"/>
  <c r="F19" i="13"/>
  <c r="G19" i="13"/>
  <c r="H17" i="13"/>
  <c r="H18" i="13" s="1"/>
  <c r="H32" i="13"/>
  <c r="H33" i="13" s="1"/>
  <c r="D36" i="12"/>
  <c r="E39" i="11"/>
  <c r="C18" i="12"/>
  <c r="E19" i="11"/>
  <c r="M24" i="11"/>
  <c r="M34" i="11" s="1"/>
  <c r="M35" i="11" s="1"/>
  <c r="H7" i="11"/>
  <c r="H18" i="11" s="1"/>
  <c r="H19" i="11" s="1"/>
  <c r="D21" i="7" s="1"/>
  <c r="J38" i="11"/>
  <c r="J39" i="11" s="1"/>
  <c r="K38" i="11"/>
  <c r="K39" i="11" s="1"/>
  <c r="H38" i="11"/>
  <c r="H39" i="11" s="1"/>
  <c r="O35" i="11"/>
  <c r="F19" i="11"/>
  <c r="L38" i="11"/>
  <c r="L39" i="11" s="1"/>
  <c r="O38" i="11"/>
  <c r="O39" i="11" s="1"/>
  <c r="I38" i="11"/>
  <c r="I39" i="11" s="1"/>
  <c r="E36" i="11"/>
  <c r="P38" i="11"/>
  <c r="P39" i="11" s="1"/>
  <c r="D29" i="7"/>
  <c r="H24" i="11"/>
  <c r="H34" i="11" s="1"/>
  <c r="H35" i="11" s="1"/>
  <c r="P24" i="11"/>
  <c r="P34" i="11" s="1"/>
  <c r="M38" i="11"/>
  <c r="M39" i="11" s="1"/>
  <c r="L7" i="11"/>
  <c r="L18" i="11" s="1"/>
  <c r="L19" i="11" s="1"/>
  <c r="D25" i="7" s="1"/>
  <c r="I24" i="11"/>
  <c r="I34" i="11" s="1"/>
  <c r="I35" i="11" s="1"/>
  <c r="N35" i="11"/>
  <c r="F38" i="11"/>
  <c r="F39" i="11" s="1"/>
  <c r="N38" i="11"/>
  <c r="N39" i="11" s="1"/>
  <c r="N24" i="11"/>
  <c r="N34" i="11" s="1"/>
  <c r="K7" i="11"/>
  <c r="K18" i="11" s="1"/>
  <c r="K19" i="11" s="1"/>
  <c r="D24" i="7" s="1"/>
  <c r="G38" i="11"/>
  <c r="G39" i="11" s="1"/>
  <c r="I7" i="11"/>
  <c r="I18" i="11" s="1"/>
  <c r="I19" i="11" s="1"/>
  <c r="D22" i="7" s="1"/>
  <c r="F24" i="11"/>
  <c r="F34" i="11" s="1"/>
  <c r="F35" i="11" s="1"/>
  <c r="E7" i="11"/>
  <c r="E18" i="11" s="1"/>
  <c r="F7" i="11"/>
  <c r="F18" i="11" s="1"/>
  <c r="N7" i="11"/>
  <c r="N18" i="11" s="1"/>
  <c r="N19" i="11" s="1"/>
  <c r="D27" i="7" s="1"/>
  <c r="K24" i="11"/>
  <c r="K34" i="11" s="1"/>
  <c r="K35" i="11" s="1"/>
  <c r="J7" i="11"/>
  <c r="J18" i="11" s="1"/>
  <c r="J19" i="11" s="1"/>
  <c r="D23" i="7" s="1"/>
  <c r="M7" i="11"/>
  <c r="M18" i="11" s="1"/>
  <c r="M19" i="11" s="1"/>
  <c r="D26" i="7" s="1"/>
  <c r="J24" i="11"/>
  <c r="J34" i="11" s="1"/>
  <c r="J35" i="11" s="1"/>
  <c r="G7" i="11"/>
  <c r="G18" i="11" s="1"/>
  <c r="G19" i="11" s="1"/>
  <c r="O7" i="11"/>
  <c r="O18" i="11" s="1"/>
  <c r="O19" i="11" s="1"/>
  <c r="D28" i="7" s="1"/>
  <c r="L24" i="11"/>
  <c r="L34" i="11" s="1"/>
  <c r="L35" i="11" s="1"/>
  <c r="G24" i="11"/>
  <c r="G34" i="11" s="1"/>
  <c r="G35" i="11" s="1"/>
  <c r="N34" i="8"/>
  <c r="E32" i="8"/>
  <c r="F34" i="8" s="1"/>
  <c r="E34" i="8"/>
  <c r="E35" i="8" s="1"/>
  <c r="M34" i="8"/>
  <c r="P34" i="8"/>
  <c r="H34" i="8"/>
  <c r="J34" i="8"/>
  <c r="F38" i="19" l="1"/>
  <c r="G36" i="19"/>
  <c r="F38" i="17"/>
  <c r="G36" i="17"/>
  <c r="F38" i="15"/>
  <c r="G36" i="15"/>
  <c r="H34" i="13"/>
  <c r="I34" i="13" s="1"/>
  <c r="J34" i="13" s="1"/>
  <c r="K34" i="13" s="1"/>
  <c r="L34" i="13" s="1"/>
  <c r="M34" i="13" s="1"/>
  <c r="N34" i="13" s="1"/>
  <c r="O34" i="13" s="1"/>
  <c r="P34" i="13" s="1"/>
  <c r="H19" i="13"/>
  <c r="I19" i="13" s="1"/>
  <c r="J19" i="13" s="1"/>
  <c r="K19" i="13" s="1"/>
  <c r="L19" i="13" s="1"/>
  <c r="M19" i="13" s="1"/>
  <c r="N19" i="13" s="1"/>
  <c r="O19" i="13" s="1"/>
  <c r="P19" i="13" s="1"/>
  <c r="E20" i="11"/>
  <c r="F20" i="11"/>
  <c r="G20" i="11" s="1"/>
  <c r="H20" i="11" s="1"/>
  <c r="I20" i="11" s="1"/>
  <c r="J20" i="11" s="1"/>
  <c r="K20" i="11" s="1"/>
  <c r="L20" i="11" s="1"/>
  <c r="M20" i="11" s="1"/>
  <c r="N20" i="11" s="1"/>
  <c r="O20" i="11" s="1"/>
  <c r="P20" i="11" s="1"/>
  <c r="F36" i="11"/>
  <c r="G36" i="11" s="1"/>
  <c r="H36" i="11" s="1"/>
  <c r="I36" i="11" s="1"/>
  <c r="J36" i="11" s="1"/>
  <c r="K36" i="11" s="1"/>
  <c r="L36" i="11" s="1"/>
  <c r="M36" i="11" s="1"/>
  <c r="N36" i="11" s="1"/>
  <c r="O36" i="11" s="1"/>
  <c r="P36" i="11" s="1"/>
  <c r="F35" i="8"/>
  <c r="G35" i="8" s="1"/>
  <c r="H35" i="8" s="1"/>
  <c r="I35" i="8" s="1"/>
  <c r="J35" i="8" s="1"/>
  <c r="K35" i="8" s="1"/>
  <c r="L35" i="8" s="1"/>
  <c r="M35" i="8" s="1"/>
  <c r="N35" i="8" s="1"/>
  <c r="O35" i="8" s="1"/>
  <c r="P35" i="8" s="1"/>
  <c r="G38" i="19" l="1"/>
  <c r="H36" i="19"/>
  <c r="G38" i="17"/>
  <c r="H36" i="17"/>
  <c r="G38" i="15"/>
  <c r="H36" i="15"/>
  <c r="H38" i="19" l="1"/>
  <c r="I36" i="19"/>
  <c r="H38" i="17"/>
  <c r="I36" i="17"/>
  <c r="H38" i="15"/>
  <c r="I36" i="15"/>
  <c r="J36" i="19" l="1"/>
  <c r="I38" i="19"/>
  <c r="J36" i="17"/>
  <c r="I38" i="17"/>
  <c r="J36" i="15"/>
  <c r="I38" i="15"/>
  <c r="K36" i="19" l="1"/>
  <c r="J38" i="19"/>
  <c r="K36" i="17"/>
  <c r="J38" i="17"/>
  <c r="K36" i="15"/>
  <c r="J38" i="15"/>
  <c r="L36" i="19" l="1"/>
  <c r="K38" i="19"/>
  <c r="L36" i="17"/>
  <c r="K38" i="17"/>
  <c r="L36" i="15"/>
  <c r="K38" i="15"/>
  <c r="M36" i="19" l="1"/>
  <c r="L38" i="19"/>
  <c r="M36" i="17"/>
  <c r="L38" i="17"/>
  <c r="M36" i="15"/>
  <c r="L38" i="15"/>
  <c r="N36" i="19" l="1"/>
  <c r="M38" i="19"/>
  <c r="M38" i="17"/>
  <c r="N36" i="17"/>
  <c r="M38" i="15"/>
  <c r="N36" i="15"/>
  <c r="N38" i="19" l="1"/>
  <c r="O36" i="19"/>
  <c r="N38" i="17"/>
  <c r="O36" i="17"/>
  <c r="N38" i="15"/>
  <c r="O36" i="15"/>
  <c r="O38" i="19" l="1"/>
  <c r="P36" i="19"/>
  <c r="P38" i="19" s="1"/>
  <c r="O38" i="17"/>
  <c r="P36" i="17"/>
  <c r="P38" i="17" s="1"/>
  <c r="O38" i="15"/>
  <c r="P36" i="15"/>
  <c r="P38" i="15" s="1"/>
  <c r="C69" i="1" l="1"/>
  <c r="C60" i="1"/>
  <c r="Q8" i="8" l="1"/>
  <c r="E7" i="8" s="1"/>
  <c r="E17" i="8" s="1"/>
  <c r="D14" i="8"/>
  <c r="D16" i="8" s="1"/>
  <c r="E14" i="8"/>
  <c r="E16" i="8" s="1"/>
  <c r="F14" i="8"/>
  <c r="F16" i="8" s="1"/>
  <c r="G14" i="8"/>
  <c r="H14" i="8"/>
  <c r="I14" i="8"/>
  <c r="I16" i="8" s="1"/>
  <c r="J14" i="8"/>
  <c r="J16" i="8" s="1"/>
  <c r="K14" i="8"/>
  <c r="K16" i="8" s="1"/>
  <c r="L14" i="8"/>
  <c r="M14" i="8"/>
  <c r="M16" i="8" s="1"/>
  <c r="N14" i="8"/>
  <c r="N16" i="8" s="1"/>
  <c r="O14" i="8"/>
  <c r="O16" i="8" s="1"/>
  <c r="P14" i="8"/>
  <c r="P16" i="8" s="1"/>
  <c r="G16" i="8"/>
  <c r="H16" i="8"/>
  <c r="L16" i="8"/>
  <c r="E5" i="7"/>
  <c r="C8" i="7"/>
  <c r="C9" i="7"/>
  <c r="C13" i="7"/>
  <c r="C17" i="7" l="1"/>
  <c r="C11" i="7"/>
  <c r="L7" i="8"/>
  <c r="L17" i="8" s="1"/>
  <c r="K7" i="8"/>
  <c r="K17" i="8" s="1"/>
  <c r="K18" i="8" s="1"/>
  <c r="D12" i="7" s="1"/>
  <c r="C16" i="7"/>
  <c r="C7" i="7"/>
  <c r="E18" i="8"/>
  <c r="C5" i="7"/>
  <c r="C15" i="7"/>
  <c r="C14" i="7"/>
  <c r="C6" i="7"/>
  <c r="L18" i="8"/>
  <c r="D13" i="7" s="1"/>
  <c r="C12" i="7"/>
  <c r="J7" i="8"/>
  <c r="J17" i="8" s="1"/>
  <c r="J18" i="8" s="1"/>
  <c r="D11" i="7" s="1"/>
  <c r="I7" i="8"/>
  <c r="I17" i="8" s="1"/>
  <c r="I18" i="8" s="1"/>
  <c r="D10" i="7" s="1"/>
  <c r="P7" i="8"/>
  <c r="P17" i="8" s="1"/>
  <c r="P18" i="8" s="1"/>
  <c r="H7" i="8"/>
  <c r="H17" i="8" s="1"/>
  <c r="H18" i="8" s="1"/>
  <c r="D9" i="7" s="1"/>
  <c r="O7" i="8"/>
  <c r="O17" i="8" s="1"/>
  <c r="O18" i="8" s="1"/>
  <c r="D16" i="7" s="1"/>
  <c r="G7" i="8"/>
  <c r="G17" i="8" s="1"/>
  <c r="G18" i="8" s="1"/>
  <c r="D8" i="7" s="1"/>
  <c r="C10" i="7"/>
  <c r="N7" i="8"/>
  <c r="N17" i="8" s="1"/>
  <c r="N18" i="8" s="1"/>
  <c r="D15" i="7" s="1"/>
  <c r="F7" i="8"/>
  <c r="F17" i="8" s="1"/>
  <c r="F18" i="8" s="1"/>
  <c r="D7" i="7" s="1"/>
  <c r="M7" i="8"/>
  <c r="M17" i="8" s="1"/>
  <c r="M18" i="8" s="1"/>
  <c r="D14" i="7" s="1"/>
  <c r="C64" i="1"/>
  <c r="E19" i="8" l="1"/>
  <c r="F19" i="8" s="1"/>
  <c r="G19" i="8" s="1"/>
  <c r="H19" i="8" s="1"/>
  <c r="I19" i="8" s="1"/>
  <c r="J19" i="8" s="1"/>
  <c r="K19" i="8" s="1"/>
  <c r="L19" i="8" s="1"/>
  <c r="M19" i="8" s="1"/>
  <c r="N19" i="8" s="1"/>
  <c r="O19" i="8" s="1"/>
  <c r="P19" i="8" s="1"/>
  <c r="D6" i="7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N31" i="6"/>
  <c r="I31" i="6"/>
  <c r="F31" i="6"/>
  <c r="E29" i="6"/>
  <c r="E31" i="6" s="1"/>
  <c r="F29" i="6"/>
  <c r="G29" i="6"/>
  <c r="G31" i="6" s="1"/>
  <c r="H29" i="6"/>
  <c r="H31" i="6" s="1"/>
  <c r="I29" i="6"/>
  <c r="J29" i="6"/>
  <c r="J31" i="6" s="1"/>
  <c r="K29" i="6"/>
  <c r="K31" i="6" s="1"/>
  <c r="L29" i="6"/>
  <c r="L31" i="6" s="1"/>
  <c r="M29" i="6"/>
  <c r="M31" i="6" s="1"/>
  <c r="N29" i="6"/>
  <c r="O29" i="6"/>
  <c r="O31" i="6" s="1"/>
  <c r="P29" i="6"/>
  <c r="P31" i="6" s="1"/>
  <c r="D29" i="6"/>
  <c r="D31" i="6" s="1"/>
  <c r="E17" i="7" l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D35" i="7" s="1"/>
  <c r="D38" i="1"/>
  <c r="D5" i="1"/>
  <c r="D36" i="7" l="1"/>
  <c r="O14" i="6"/>
  <c r="O16" i="6" s="1"/>
  <c r="P14" i="6" l="1"/>
  <c r="P16" i="6" s="1"/>
  <c r="N14" i="6"/>
  <c r="N16" i="6" s="1"/>
  <c r="M14" i="6"/>
  <c r="M16" i="6" s="1"/>
  <c r="L14" i="6"/>
  <c r="L16" i="6" s="1"/>
  <c r="K14" i="6"/>
  <c r="K16" i="6" s="1"/>
  <c r="J14" i="6"/>
  <c r="J16" i="6" s="1"/>
  <c r="I14" i="6"/>
  <c r="I16" i="6" s="1"/>
  <c r="H14" i="6"/>
  <c r="H16" i="6" s="1"/>
  <c r="G14" i="6"/>
  <c r="G16" i="6" s="1"/>
  <c r="F14" i="6"/>
  <c r="F16" i="6" s="1"/>
  <c r="E14" i="6"/>
  <c r="E16" i="6" s="1"/>
  <c r="D14" i="6"/>
  <c r="D16" i="6" s="1"/>
  <c r="Q8" i="6"/>
  <c r="E16" i="5"/>
  <c r="P14" i="5"/>
  <c r="P16" i="5" s="1"/>
  <c r="O14" i="5"/>
  <c r="O16" i="5" s="1"/>
  <c r="N14" i="5"/>
  <c r="N16" i="5" s="1"/>
  <c r="M14" i="5"/>
  <c r="M16" i="5" s="1"/>
  <c r="L14" i="5"/>
  <c r="L16" i="5" s="1"/>
  <c r="K14" i="5"/>
  <c r="K16" i="5" s="1"/>
  <c r="J14" i="5"/>
  <c r="J16" i="5" s="1"/>
  <c r="I14" i="5"/>
  <c r="I16" i="5" s="1"/>
  <c r="H14" i="5"/>
  <c r="H16" i="5" s="1"/>
  <c r="G14" i="5"/>
  <c r="G16" i="5" s="1"/>
  <c r="F14" i="5"/>
  <c r="F16" i="5" s="1"/>
  <c r="E14" i="5"/>
  <c r="D14" i="5"/>
  <c r="D16" i="5" s="1"/>
  <c r="Q8" i="5"/>
  <c r="G7" i="5" s="1"/>
  <c r="G17" i="5" s="1"/>
  <c r="I7" i="5"/>
  <c r="I17" i="5" s="1"/>
  <c r="P14" i="4"/>
  <c r="P16" i="4" s="1"/>
  <c r="O14" i="4"/>
  <c r="O16" i="4" s="1"/>
  <c r="N14" i="4"/>
  <c r="N16" i="4" s="1"/>
  <c r="M14" i="4"/>
  <c r="M16" i="4" s="1"/>
  <c r="L14" i="4"/>
  <c r="L16" i="4" s="1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E14" i="4"/>
  <c r="E16" i="4" s="1"/>
  <c r="D13" i="4"/>
  <c r="D12" i="4"/>
  <c r="D11" i="4"/>
  <c r="E10" i="4"/>
  <c r="D10" i="4"/>
  <c r="Q8" i="4"/>
  <c r="O7" i="4" s="1"/>
  <c r="O17" i="4" s="1"/>
  <c r="E7" i="4"/>
  <c r="E17" i="4" s="1"/>
  <c r="G16" i="3"/>
  <c r="E16" i="3"/>
  <c r="P14" i="3"/>
  <c r="P16" i="3" s="1"/>
  <c r="O14" i="3"/>
  <c r="O16" i="3" s="1"/>
  <c r="N14" i="3"/>
  <c r="N16" i="3" s="1"/>
  <c r="M14" i="3"/>
  <c r="M16" i="3" s="1"/>
  <c r="L14" i="3"/>
  <c r="L16" i="3" s="1"/>
  <c r="K14" i="3"/>
  <c r="K16" i="3" s="1"/>
  <c r="J14" i="3"/>
  <c r="J16" i="3" s="1"/>
  <c r="I14" i="3"/>
  <c r="I16" i="3" s="1"/>
  <c r="H14" i="3"/>
  <c r="H16" i="3" s="1"/>
  <c r="G14" i="3"/>
  <c r="F14" i="3"/>
  <c r="F16" i="3" s="1"/>
  <c r="E14" i="3"/>
  <c r="D13" i="3"/>
  <c r="D12" i="3"/>
  <c r="D11" i="3"/>
  <c r="D10" i="3"/>
  <c r="D14" i="3" s="1"/>
  <c r="D16" i="3" s="1"/>
  <c r="Q8" i="3"/>
  <c r="O7" i="3" s="1"/>
  <c r="O17" i="3" s="1"/>
  <c r="E5" i="2"/>
  <c r="J7" i="6" l="1"/>
  <c r="F7" i="6"/>
  <c r="F32" i="6" s="1"/>
  <c r="F33" i="6" s="1"/>
  <c r="E7" i="6"/>
  <c r="E32" i="6" s="1"/>
  <c r="E33" i="6" s="1"/>
  <c r="E34" i="6" s="1"/>
  <c r="E7" i="3"/>
  <c r="E17" i="3" s="1"/>
  <c r="E18" i="3" s="1"/>
  <c r="F7" i="3"/>
  <c r="F17" i="3" s="1"/>
  <c r="F18" i="3" s="1"/>
  <c r="P7" i="4"/>
  <c r="P17" i="4" s="1"/>
  <c r="P18" i="4" s="1"/>
  <c r="H7" i="3"/>
  <c r="H17" i="3" s="1"/>
  <c r="I7" i="3"/>
  <c r="I17" i="3" s="1"/>
  <c r="D14" i="4"/>
  <c r="D16" i="4" s="1"/>
  <c r="J7" i="3"/>
  <c r="J17" i="3" s="1"/>
  <c r="E17" i="6"/>
  <c r="E18" i="6" s="1"/>
  <c r="K7" i="6"/>
  <c r="L7" i="6"/>
  <c r="M7" i="6"/>
  <c r="F17" i="6"/>
  <c r="F18" i="6" s="1"/>
  <c r="G7" i="6"/>
  <c r="O7" i="6"/>
  <c r="N7" i="6"/>
  <c r="H7" i="6"/>
  <c r="P7" i="6"/>
  <c r="I7" i="6"/>
  <c r="L7" i="3"/>
  <c r="L17" i="3" s="1"/>
  <c r="L18" i="3" s="1"/>
  <c r="H7" i="4"/>
  <c r="H17" i="4" s="1"/>
  <c r="H18" i="4" s="1"/>
  <c r="M7" i="3"/>
  <c r="M17" i="3" s="1"/>
  <c r="M18" i="3" s="1"/>
  <c r="I7" i="4"/>
  <c r="I17" i="4" s="1"/>
  <c r="I18" i="4" s="1"/>
  <c r="N7" i="3"/>
  <c r="N17" i="3" s="1"/>
  <c r="N18" i="3" s="1"/>
  <c r="J7" i="4"/>
  <c r="J17" i="4" s="1"/>
  <c r="J18" i="4" s="1"/>
  <c r="F7" i="4"/>
  <c r="F17" i="4" s="1"/>
  <c r="F18" i="4" s="1"/>
  <c r="P7" i="3"/>
  <c r="P17" i="3" s="1"/>
  <c r="L7" i="4"/>
  <c r="L17" i="4" s="1"/>
  <c r="M7" i="4"/>
  <c r="M17" i="4" s="1"/>
  <c r="M18" i="4" s="1"/>
  <c r="N7" i="4"/>
  <c r="N17" i="4" s="1"/>
  <c r="N18" i="4" s="1"/>
  <c r="I18" i="5"/>
  <c r="H18" i="3"/>
  <c r="L18" i="5"/>
  <c r="G18" i="5"/>
  <c r="I18" i="3"/>
  <c r="E18" i="4"/>
  <c r="E6" i="2" s="1"/>
  <c r="O18" i="3"/>
  <c r="P18" i="3"/>
  <c r="L18" i="4"/>
  <c r="O18" i="4"/>
  <c r="O7" i="5"/>
  <c r="O17" i="5" s="1"/>
  <c r="O18" i="5" s="1"/>
  <c r="J18" i="3"/>
  <c r="H7" i="5"/>
  <c r="H17" i="5" s="1"/>
  <c r="H18" i="5" s="1"/>
  <c r="P7" i="5"/>
  <c r="P17" i="5" s="1"/>
  <c r="P18" i="5" s="1"/>
  <c r="K7" i="3"/>
  <c r="K17" i="3" s="1"/>
  <c r="K18" i="3" s="1"/>
  <c r="K7" i="4"/>
  <c r="K17" i="4" s="1"/>
  <c r="K18" i="4" s="1"/>
  <c r="J7" i="5"/>
  <c r="J17" i="5" s="1"/>
  <c r="J18" i="5" s="1"/>
  <c r="K7" i="5"/>
  <c r="K17" i="5" s="1"/>
  <c r="K18" i="5" s="1"/>
  <c r="L7" i="5"/>
  <c r="L17" i="5" s="1"/>
  <c r="E7" i="5"/>
  <c r="E17" i="5" s="1"/>
  <c r="E18" i="5" s="1"/>
  <c r="E19" i="5" s="1"/>
  <c r="F19" i="5" s="1"/>
  <c r="M7" i="5"/>
  <c r="M17" i="5" s="1"/>
  <c r="M18" i="5" s="1"/>
  <c r="G7" i="3"/>
  <c r="G17" i="3" s="1"/>
  <c r="G18" i="3" s="1"/>
  <c r="G7" i="4"/>
  <c r="G17" i="4" s="1"/>
  <c r="G18" i="4" s="1"/>
  <c r="F7" i="5"/>
  <c r="F17" i="5" s="1"/>
  <c r="F18" i="5" s="1"/>
  <c r="N7" i="5"/>
  <c r="N17" i="5" s="1"/>
  <c r="N18" i="5" s="1"/>
  <c r="I17" i="6" l="1"/>
  <c r="I18" i="6" s="1"/>
  <c r="I32" i="6"/>
  <c r="I33" i="6" s="1"/>
  <c r="P17" i="6"/>
  <c r="P18" i="6" s="1"/>
  <c r="D41" i="2" s="1"/>
  <c r="P32" i="6"/>
  <c r="P33" i="6" s="1"/>
  <c r="F34" i="6"/>
  <c r="H17" i="6"/>
  <c r="H18" i="6" s="1"/>
  <c r="H32" i="6"/>
  <c r="H33" i="6" s="1"/>
  <c r="M17" i="6"/>
  <c r="M18" i="6" s="1"/>
  <c r="D38" i="2" s="1"/>
  <c r="M32" i="6"/>
  <c r="M33" i="6" s="1"/>
  <c r="G17" i="6"/>
  <c r="G18" i="6" s="1"/>
  <c r="G32" i="6"/>
  <c r="G33" i="6" s="1"/>
  <c r="N17" i="6"/>
  <c r="N18" i="6" s="1"/>
  <c r="N32" i="6"/>
  <c r="N33" i="6" s="1"/>
  <c r="L17" i="6"/>
  <c r="L18" i="6" s="1"/>
  <c r="L32" i="6"/>
  <c r="L33" i="6" s="1"/>
  <c r="J17" i="6"/>
  <c r="J18" i="6" s="1"/>
  <c r="J32" i="6"/>
  <c r="J33" i="6" s="1"/>
  <c r="O17" i="6"/>
  <c r="O18" i="6" s="1"/>
  <c r="O32" i="6"/>
  <c r="O33" i="6" s="1"/>
  <c r="K17" i="6"/>
  <c r="K18" i="6" s="1"/>
  <c r="K32" i="6"/>
  <c r="K33" i="6" s="1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G19" i="5"/>
  <c r="H19" i="5" s="1"/>
  <c r="I19" i="5" s="1"/>
  <c r="J19" i="5" s="1"/>
  <c r="K19" i="5" s="1"/>
  <c r="L19" i="5" s="1"/>
  <c r="M19" i="5" s="1"/>
  <c r="N19" i="5" s="1"/>
  <c r="O19" i="5" s="1"/>
  <c r="P19" i="5" s="1"/>
  <c r="D19" i="4" s="1"/>
  <c r="E19" i="4" s="1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D19" i="3" s="1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D19" i="6" s="1"/>
  <c r="E19" i="6" s="1"/>
  <c r="F19" i="6" s="1"/>
  <c r="G19" i="6" s="1"/>
  <c r="H19" i="6" s="1"/>
  <c r="I19" i="6" s="1"/>
  <c r="J19" i="6" s="1"/>
  <c r="K19" i="6" s="1"/>
  <c r="L19" i="6" s="1"/>
  <c r="M19" i="6" s="1"/>
  <c r="N19" i="6" s="1"/>
  <c r="O19" i="6" s="1"/>
  <c r="P19" i="6" s="1"/>
  <c r="G34" i="6" l="1"/>
  <c r="H34" i="6" s="1"/>
  <c r="I34" i="6" s="1"/>
  <c r="J34" i="6" s="1"/>
  <c r="K34" i="6" s="1"/>
  <c r="L34" i="6" s="1"/>
  <c r="M34" i="6" s="1"/>
  <c r="N34" i="6" s="1"/>
  <c r="O34" i="6" s="1"/>
  <c r="P34" i="6" s="1"/>
  <c r="D39" i="2"/>
  <c r="E39" i="2" s="1"/>
  <c r="E40" i="2" s="1"/>
  <c r="D60" i="2" s="1"/>
  <c r="D40" i="2"/>
  <c r="E5" i="1"/>
  <c r="E6" i="1" s="1"/>
  <c r="E7" i="1" l="1"/>
  <c r="E8" i="1" s="1"/>
  <c r="E9" i="1" s="1"/>
  <c r="E10" i="1" s="1"/>
  <c r="E11" i="1" s="1"/>
  <c r="E12" i="1" s="1"/>
  <c r="E13" i="1" s="1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l="1"/>
  <c r="E28" i="1" s="1"/>
  <c r="E29" i="1" s="1"/>
  <c r="E30" i="1" s="1"/>
  <c r="E31" i="1" s="1"/>
  <c r="E32" i="1" l="1"/>
  <c r="E33" i="1" l="1"/>
  <c r="E34" i="1" s="1"/>
  <c r="E35" i="1" s="1"/>
  <c r="E36" i="1" s="1"/>
  <c r="E37" i="1" s="1"/>
  <c r="E38" i="1" l="1"/>
  <c r="E39" i="1" l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C61" i="1" s="1"/>
  <c r="C70" i="1" l="1"/>
  <c r="C71" i="1" s="1"/>
  <c r="C62" i="1"/>
</calcChain>
</file>

<file path=xl/sharedStrings.xml><?xml version="1.0" encoding="utf-8"?>
<sst xmlns="http://schemas.openxmlformats.org/spreadsheetml/2006/main" count="494" uniqueCount="121">
  <si>
    <t>Wataynikaneyap Power LP</t>
  </si>
  <si>
    <t>Carrying Charges by Month</t>
  </si>
  <si>
    <t>Cumulative Carrying Charges Balance</t>
  </si>
  <si>
    <t>Month</t>
  </si>
  <si>
    <t>CWIP Interest Summary</t>
  </si>
  <si>
    <t>Transfer</t>
  </si>
  <si>
    <t>Opening CWIP Acct Balance</t>
  </si>
  <si>
    <t>Carrying Charges</t>
  </si>
  <si>
    <t>Notes</t>
  </si>
  <si>
    <t>(1)</t>
  </si>
  <si>
    <t>(2)</t>
  </si>
  <si>
    <t>(3)</t>
  </si>
  <si>
    <t>Reference</t>
  </si>
  <si>
    <t>Per Above</t>
  </si>
  <si>
    <t>CWIP Principal (Net)</t>
  </si>
  <si>
    <t>Reconciliation to Fixed Asset Continuity Schedule</t>
  </si>
  <si>
    <t>CWIP per FAC</t>
  </si>
  <si>
    <t>Reconciliation to Audited Financial Statements</t>
  </si>
  <si>
    <t>CWIP per AFS</t>
  </si>
  <si>
    <t>In accordance with the OEB's decision and order in EB-2018-0190, WPLP used its actual cost of debt in respect of CWIP interest rates, starting at financial close in October 2019</t>
  </si>
  <si>
    <t>December 31, 2020</t>
  </si>
  <si>
    <t>Q1 - 2020</t>
  </si>
  <si>
    <t>Q2 - 2020</t>
  </si>
  <si>
    <t>Q3 - 2020</t>
  </si>
  <si>
    <t>Q4 - 2020</t>
  </si>
  <si>
    <t>OEB Annual Prescribed Interest Rate</t>
  </si>
  <si>
    <t>Effective Rate Per Month</t>
  </si>
  <si>
    <t># Days in Month</t>
  </si>
  <si>
    <t>Acct #</t>
  </si>
  <si>
    <t>Dec-2019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</si>
  <si>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</si>
  <si>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</si>
  <si>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</si>
  <si>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</si>
  <si>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</si>
  <si>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</si>
  <si>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</si>
  <si>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</si>
  <si>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</si>
  <si>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</si>
  <si>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</si>
  <si>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</si>
  <si>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Pikangikum Operation Costs</t>
  </si>
  <si>
    <t>Pikangikum Maintenance</t>
  </si>
  <si>
    <t>Pikangikum Admin &amp; General</t>
  </si>
  <si>
    <t>Pikangikum Station Equipment</t>
  </si>
  <si>
    <t>Total Funding - End of Month</t>
  </si>
  <si>
    <t>Adjustments (if applicable)</t>
  </si>
  <si>
    <t>Adjusted Total Funding - End of Month</t>
  </si>
  <si>
    <t>OM&amp;A Carrying Charges</t>
  </si>
  <si>
    <t>Cumulative Balance - Carrying Charges</t>
  </si>
  <si>
    <t>December 31, 2019</t>
  </si>
  <si>
    <t>Q1 - 2019</t>
  </si>
  <si>
    <t>Q2 - 2019</t>
  </si>
  <si>
    <t>Q3 - 2019</t>
  </si>
  <si>
    <t>Q4 - 2019</t>
  </si>
  <si>
    <t>Dec-2018</t>
  </si>
  <si>
    <t>December 31, 2018</t>
  </si>
  <si>
    <t>Q1 - 2018</t>
  </si>
  <si>
    <t>Q2 - 2018</t>
  </si>
  <si>
    <t>Q3 - 2018</t>
  </si>
  <si>
    <t>Q4 - 2018</t>
  </si>
  <si>
    <t>Dec-2017</t>
  </si>
  <si>
    <t>Reconcilitaion to Audited Financial Statements</t>
  </si>
  <si>
    <t>Closing Deferral Acct Balance</t>
  </si>
  <si>
    <t>Deferral Account Principal</t>
  </si>
  <si>
    <t>Balance per AFS</t>
  </si>
  <si>
    <t>Pikangikum Distribution Deferral Account Summary</t>
  </si>
  <si>
    <t>December 31, 2021</t>
  </si>
  <si>
    <t>Q1 - 2021</t>
  </si>
  <si>
    <t>Q2 - 2021</t>
  </si>
  <si>
    <t>Q3 - 2021</t>
  </si>
  <si>
    <t>Q4 - 2021</t>
  </si>
  <si>
    <t>Dec-2020</t>
  </si>
  <si>
    <t>Initial transfer from development deferral account to CWIP, pursuant to the OEB's Decision and Order in EB-2018-0190.</t>
  </si>
  <si>
    <t>(1)/(2)</t>
  </si>
  <si>
    <t>Distribution System Capital Costs - Land</t>
  </si>
  <si>
    <t>Distribution System Capital Costs - Land Rights</t>
  </si>
  <si>
    <t>Distribution System Capital Costs - Station Equipment</t>
  </si>
  <si>
    <t>Distribution System Capital Costs - Tower &amp; Fixtures</t>
  </si>
  <si>
    <t>Distribution System Capital Costs - Poles &amp; Fixtures</t>
  </si>
  <si>
    <t>Distribution System Capital Costs - Overhead Conductors &amp; Devices</t>
  </si>
  <si>
    <t>Distribution System Capital Costs - Roads &amp; Trails</t>
  </si>
  <si>
    <t>Distribution System Capital Costs - Other</t>
  </si>
  <si>
    <t xml:space="preserve">In accordance with the OEB's decision and order in EB-2021-0134, WPLP reversed carrying charges on Third Party Funding that was previously net against carrying charges on development costs. </t>
  </si>
  <si>
    <t>COVID Deferral Account Summary</t>
  </si>
  <si>
    <t>COVID Carrying Charges</t>
  </si>
  <si>
    <t>COVID-19 - Group 3</t>
  </si>
  <si>
    <t>COVID-19 - Group 2</t>
  </si>
  <si>
    <t>COVID-19 - Group 1</t>
  </si>
  <si>
    <t>December 31, 2022</t>
  </si>
  <si>
    <t>COVID-19 - Recovery</t>
  </si>
  <si>
    <t>Q1 - 2022</t>
  </si>
  <si>
    <t>Q2 - 2022</t>
  </si>
  <si>
    <t>Q3 - 2022</t>
  </si>
  <si>
    <t>Q4 - 2022</t>
  </si>
  <si>
    <t>Dec-2021</t>
  </si>
  <si>
    <t>G1</t>
  </si>
  <si>
    <t>G2</t>
  </si>
  <si>
    <t>G3</t>
  </si>
  <si>
    <t>Pikangikum Recovery</t>
  </si>
  <si>
    <t>U3-4</t>
  </si>
  <si>
    <t>In-Service Date Variance Account</t>
  </si>
  <si>
    <t>https://www.oeb.ca/industry/rules-codes-and-requirements/prescribed-interest-rates</t>
  </si>
  <si>
    <t>OEB Prescribed Interest Rate:</t>
  </si>
  <si>
    <t>Effective Rate per Month</t>
  </si>
  <si>
    <t>Reg Order</t>
  </si>
  <si>
    <t>Act #</t>
  </si>
  <si>
    <t>Settlement</t>
  </si>
  <si>
    <t>In-Service Date Variance - UTR</t>
  </si>
  <si>
    <t>In-Service Date Variance - RCL</t>
  </si>
  <si>
    <t>Adjustments - if necessary list</t>
  </si>
  <si>
    <t>Regulatory Order</t>
  </si>
  <si>
    <t xml:space="preserve">UTR Carrying Charges </t>
  </si>
  <si>
    <t>RCL Carrying Charges</t>
  </si>
  <si>
    <t>Total - All settles to 1508009</t>
  </si>
  <si>
    <t>Cumulative Balance - 1508009 - OM&amp;A Carrying Charges</t>
  </si>
  <si>
    <t>Total</t>
  </si>
  <si>
    <t>Construction Period Interest Costs Variance Account Summary</t>
  </si>
  <si>
    <t>Deferred Contingency Deferral Account Summary</t>
  </si>
  <si>
    <t>In-Service Date Variance Account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</si>
</sst>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1009]d\-mmm\-yy;@"/>
    <numFmt numFmtId="167" formatCode="0.00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17" fontId="0" fillId="0" borderId="7" xfId="0" applyNumberFormat="1" applyBorder="1" applyAlignment="1">
      <alignment horizontal="left"/>
    </xf>
    <xf numFmtId="17" fontId="0" fillId="0" borderId="9" xfId="0" applyNumberFormat="1" applyBorder="1" applyAlignment="1">
      <alignment horizontal="left"/>
    </xf>
    <xf numFmtId="164" fontId="0" fillId="0" borderId="10" xfId="0" applyNumberFormat="1" applyBorder="1"/>
    <xf numFmtId="0" fontId="0" fillId="2" borderId="2" xfId="0" applyFill="1" applyBorder="1" applyAlignment="1">
      <alignment horizontal="center" wrapText="1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5" fontId="0" fillId="0" borderId="5" xfId="0" applyNumberFormat="1" applyBorder="1"/>
    <xf numFmtId="165" fontId="0" fillId="0" borderId="0" xfId="0" applyNumberFormat="1"/>
    <xf numFmtId="17" fontId="1" fillId="0" borderId="4" xfId="0" applyNumberFormat="1" applyFont="1" applyBorder="1" applyAlignment="1">
      <alignment horizontal="left"/>
    </xf>
    <xf numFmtId="165" fontId="1" fillId="0" borderId="12" xfId="0" applyNumberFormat="1" applyFont="1" applyBorder="1"/>
    <xf numFmtId="0" fontId="0" fillId="0" borderId="12" xfId="0" applyBorder="1"/>
    <xf numFmtId="165" fontId="1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14" xfId="0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quotePrefix="1" applyBorder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164" fontId="1" fillId="0" borderId="0" xfId="1" applyFont="1"/>
    <xf numFmtId="0" fontId="3" fillId="0" borderId="0" xfId="0" applyFont="1"/>
    <xf numFmtId="0" fontId="1" fillId="0" borderId="0" xfId="0" quotePrefix="1" applyFont="1"/>
    <xf numFmtId="164" fontId="0" fillId="0" borderId="0" xfId="1" applyFont="1" applyBorder="1"/>
    <xf numFmtId="164" fontId="0" fillId="0" borderId="8" xfId="1" applyFont="1" applyBorder="1"/>
    <xf numFmtId="164" fontId="0" fillId="0" borderId="11" xfId="1" applyFont="1" applyBorder="1"/>
    <xf numFmtId="164" fontId="3" fillId="0" borderId="0" xfId="1" applyFont="1"/>
    <xf numFmtId="10" fontId="1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17" fontId="1" fillId="0" borderId="13" xfId="0" quotePrefix="1" applyNumberFormat="1" applyFont="1" applyBorder="1" applyAlignment="1">
      <alignment horizontal="center"/>
    </xf>
    <xf numFmtId="164" fontId="0" fillId="0" borderId="0" xfId="1" applyFont="1"/>
    <xf numFmtId="164" fontId="0" fillId="0" borderId="13" xfId="1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64" fontId="1" fillId="0" borderId="17" xfId="0" applyNumberFormat="1" applyFont="1" applyBorder="1"/>
    <xf numFmtId="164" fontId="0" fillId="0" borderId="0" xfId="1" applyFont="1" applyFill="1"/>
    <xf numFmtId="0" fontId="0" fillId="0" borderId="17" xfId="0" applyBorder="1"/>
    <xf numFmtId="164" fontId="0" fillId="0" borderId="17" xfId="0" applyNumberFormat="1" applyBorder="1"/>
    <xf numFmtId="0" fontId="1" fillId="0" borderId="0" xfId="1" applyNumberFormat="1" applyFont="1"/>
    <xf numFmtId="165" fontId="1" fillId="0" borderId="12" xfId="1" applyNumberFormat="1" applyFont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165" fontId="0" fillId="0" borderId="10" xfId="0" applyNumberFormat="1" applyBorder="1"/>
    <xf numFmtId="164" fontId="0" fillId="0" borderId="5" xfId="0" applyNumberFormat="1" applyBorder="1"/>
    <xf numFmtId="0" fontId="0" fillId="0" borderId="21" xfId="0" quotePrefix="1" applyBorder="1" applyAlignment="1">
      <alignment horizontal="center"/>
    </xf>
    <xf numFmtId="164" fontId="0" fillId="0" borderId="0" xfId="1" applyFont="1" applyFill="1" applyBorder="1"/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0" fontId="1" fillId="0" borderId="0" xfId="0" quotePrefix="1" applyFont="1" applyAlignment="1">
      <alignment vertical="top"/>
    </xf>
    <xf numFmtId="165" fontId="1" fillId="0" borderId="0" xfId="1" applyNumberFormat="1" applyFont="1" applyFill="1"/>
    <xf numFmtId="164" fontId="0" fillId="0" borderId="10" xfId="1" applyFont="1" applyBorder="1"/>
    <xf numFmtId="43" fontId="2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0" fillId="0" borderId="10" xfId="0" applyBorder="1"/>
    <xf numFmtId="0" fontId="1" fillId="0" borderId="0" xfId="0" applyFont="1" applyAlignment="1">
      <alignment vertical="top"/>
    </xf>
    <xf numFmtId="43" fontId="1" fillId="0" borderId="0" xfId="0" applyNumberFormat="1" applyFont="1" applyAlignment="1">
      <alignment vertical="top"/>
    </xf>
    <xf numFmtId="43" fontId="2" fillId="0" borderId="0" xfId="0" applyNumberFormat="1" applyFont="1"/>
    <xf numFmtId="1" fontId="7" fillId="0" borderId="0" xfId="0" applyNumberFormat="1" applyFont="1" applyAlignment="1">
      <alignment horizontal="right"/>
    </xf>
    <xf numFmtId="43" fontId="6" fillId="0" borderId="0" xfId="3" applyNumberFormat="1"/>
    <xf numFmtId="166" fontId="1" fillId="0" borderId="0" xfId="0" quotePrefix="1" applyNumberFormat="1" applyFont="1" applyAlignment="1">
      <alignment horizontal="left" vertical="top"/>
    </xf>
    <xf numFmtId="166" fontId="1" fillId="0" borderId="0" xfId="0" applyNumberFormat="1" applyFont="1" applyAlignment="1">
      <alignment horizontal="left" vertical="top"/>
    </xf>
    <xf numFmtId="43" fontId="8" fillId="0" borderId="0" xfId="3" applyNumberFormat="1" applyFont="1" applyAlignment="1">
      <alignment horizontal="center"/>
    </xf>
    <xf numFmtId="166" fontId="2" fillId="0" borderId="0" xfId="0" applyNumberFormat="1" applyFont="1" applyAlignment="1">
      <alignment horizontal="left" vertical="top"/>
    </xf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Fill="1" applyAlignment="1">
      <alignment horizontal="center"/>
    </xf>
    <xf numFmtId="43" fontId="2" fillId="0" borderId="13" xfId="0" applyNumberFormat="1" applyFont="1" applyBorder="1"/>
    <xf numFmtId="43" fontId="2" fillId="0" borderId="13" xfId="0" applyNumberFormat="1" applyFont="1" applyBorder="1" applyAlignment="1">
      <alignment horizontal="center"/>
    </xf>
    <xf numFmtId="17" fontId="2" fillId="0" borderId="13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indent="1"/>
    </xf>
    <xf numFmtId="10" fontId="2" fillId="0" borderId="0" xfId="2" applyNumberFormat="1" applyFont="1"/>
    <xf numFmtId="167" fontId="2" fillId="0" borderId="0" xfId="2" applyNumberFormat="1" applyFont="1"/>
    <xf numFmtId="43" fontId="1" fillId="0" borderId="0" xfId="0" applyNumberFormat="1" applyFont="1"/>
    <xf numFmtId="164" fontId="2" fillId="0" borderId="0" xfId="1" applyFont="1" applyAlignment="1">
      <alignment horizontal="center"/>
    </xf>
    <xf numFmtId="43" fontId="1" fillId="0" borderId="17" xfId="0" applyNumberFormat="1" applyFont="1" applyBorder="1"/>
    <xf numFmtId="43" fontId="1" fillId="0" borderId="22" xfId="0" applyNumberFormat="1" applyFont="1" applyBorder="1"/>
    <xf numFmtId="164" fontId="0" fillId="0" borderId="0" xfId="0" applyNumberFormat="1" applyAlignment="1">
      <alignment wrapText="1"/>
    </xf>
    <xf numFmtId="4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3" borderId="10" xfId="0" applyNumberFormat="1" applyFill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tayPikang\Regulatory\01%20Rate%20Applications\2023%20Rate%20Application\2023%20Models\Preliminary%20Model%202023\WPLP_2023%20FA%20Cont%20and%20Depr%20Sched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Combined"/>
      <sheetName val="2022 Combined"/>
      <sheetName val="2022 LTPL"/>
      <sheetName val="2022 RCL"/>
      <sheetName val="2023 Combined"/>
      <sheetName val="2023 LTPL"/>
      <sheetName val="2023 RCL"/>
      <sheetName val="Calcuations, Tables"/>
    </sheetNames>
    <sheetDataSet>
      <sheetData sheetId="0"/>
      <sheetData sheetId="1">
        <row r="49">
          <cell r="D49">
            <v>915254096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industry/rules-codes-and-requirements/prescribed-interest-rate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industry/rules-codes-and-requirements/prescribed-interest-rate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industry/rules-codes-and-requirements/prescribed-interest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6F13-54F4-4BD2-A2E6-23CB6E90FED2}">
  <dimension ref="A1:O73"/>
  <sheetViews>
    <sheetView view="pageBreakPreview" zoomScaleNormal="100" zoomScaleSheetLayoutView="100" workbookViewId="0">
      <selection activeCell="M24" sqref="M24"/>
    </sheetView>
  </sheetViews>
  <sheetFormatPr defaultRowHeight="14.4" x14ac:dyDescent="0.3"/>
  <cols>
    <col min="1" max="1" width="3.33203125" customWidth="1"/>
    <col min="2" max="2" width="22.44140625" customWidth="1"/>
    <col min="3" max="3" width="15.33203125" customWidth="1"/>
    <col min="4" max="4" width="14.33203125" customWidth="1"/>
    <col min="5" max="5" width="16.6640625" customWidth="1"/>
    <col min="6" max="6" width="2.6640625" customWidth="1"/>
    <col min="7" max="7" width="8.44140625" style="19" customWidth="1"/>
    <col min="9" max="10" width="16.88671875" bestFit="1" customWidth="1"/>
    <col min="11" max="11" width="15.33203125" bestFit="1" customWidth="1"/>
    <col min="12" max="12" width="14.33203125" bestFit="1" customWidth="1"/>
    <col min="13" max="14" width="15.33203125" bestFit="1" customWidth="1"/>
    <col min="15" max="15" width="14.33203125" bestFit="1" customWidth="1"/>
  </cols>
  <sheetData>
    <row r="1" spans="1:7" x14ac:dyDescent="0.3">
      <c r="A1" s="1" t="s">
        <v>0</v>
      </c>
    </row>
    <row r="2" spans="1:7" x14ac:dyDescent="0.3">
      <c r="A2" s="1" t="s">
        <v>4</v>
      </c>
    </row>
    <row r="3" spans="1:7" ht="15" thickBot="1" x14ac:dyDescent="0.35"/>
    <row r="4" spans="1:7" ht="43.8" thickBot="1" x14ac:dyDescent="0.35">
      <c r="B4" s="3" t="s">
        <v>3</v>
      </c>
      <c r="C4" s="8" t="s">
        <v>6</v>
      </c>
      <c r="D4" s="8" t="s">
        <v>1</v>
      </c>
      <c r="E4" s="4" t="s">
        <v>2</v>
      </c>
      <c r="G4" s="20" t="s">
        <v>8</v>
      </c>
    </row>
    <row r="5" spans="1:7" x14ac:dyDescent="0.3">
      <c r="B5" s="14" t="s">
        <v>5</v>
      </c>
      <c r="C5" s="12">
        <v>57090899.460000001</v>
      </c>
      <c r="D5" s="53">
        <f>1433004.17+582756</f>
        <v>2015760.17</v>
      </c>
      <c r="E5" s="9">
        <f>+D5</f>
        <v>2015760.17</v>
      </c>
      <c r="G5" s="54" t="s">
        <v>75</v>
      </c>
    </row>
    <row r="6" spans="1:7" x14ac:dyDescent="0.3">
      <c r="B6" s="5">
        <v>43585</v>
      </c>
      <c r="C6" s="13">
        <v>57587788.880000003</v>
      </c>
      <c r="D6" s="2">
        <v>0</v>
      </c>
      <c r="E6" s="10">
        <f>+E5</f>
        <v>2015760.17</v>
      </c>
      <c r="G6" s="23"/>
    </row>
    <row r="7" spans="1:7" x14ac:dyDescent="0.3">
      <c r="B7" s="5">
        <v>43616</v>
      </c>
      <c r="C7" s="13">
        <v>59287570.399999999</v>
      </c>
      <c r="D7" s="2">
        <v>0</v>
      </c>
      <c r="E7" s="10">
        <f>E6+D7</f>
        <v>2015760.17</v>
      </c>
      <c r="G7" s="23"/>
    </row>
    <row r="8" spans="1:7" x14ac:dyDescent="0.3">
      <c r="B8" s="5">
        <v>43646</v>
      </c>
      <c r="C8" s="13">
        <v>60358778.859999999</v>
      </c>
      <c r="D8" s="2">
        <v>0</v>
      </c>
      <c r="E8" s="10">
        <f t="shared" ref="E8:E25" si="0">E7+D8</f>
        <v>2015760.17</v>
      </c>
      <c r="G8" s="23"/>
    </row>
    <row r="9" spans="1:7" x14ac:dyDescent="0.3">
      <c r="B9" s="5">
        <v>43677</v>
      </c>
      <c r="C9" s="13">
        <v>61811351.060000002</v>
      </c>
      <c r="D9" s="2">
        <v>0</v>
      </c>
      <c r="E9" s="10">
        <f t="shared" si="0"/>
        <v>2015760.17</v>
      </c>
      <c r="G9" s="23"/>
    </row>
    <row r="10" spans="1:7" x14ac:dyDescent="0.3">
      <c r="B10" s="5">
        <v>43708</v>
      </c>
      <c r="C10" s="13">
        <v>63619731.649999999</v>
      </c>
      <c r="D10" s="2">
        <v>0</v>
      </c>
      <c r="E10" s="10">
        <f t="shared" si="0"/>
        <v>2015760.17</v>
      </c>
      <c r="G10" s="23"/>
    </row>
    <row r="11" spans="1:7" x14ac:dyDescent="0.3">
      <c r="B11" s="5">
        <v>43738</v>
      </c>
      <c r="C11" s="13">
        <v>65821560.649999999</v>
      </c>
      <c r="D11" s="2">
        <v>0</v>
      </c>
      <c r="E11" s="10">
        <f t="shared" si="0"/>
        <v>2015760.17</v>
      </c>
      <c r="G11" s="23"/>
    </row>
    <row r="12" spans="1:7" x14ac:dyDescent="0.3">
      <c r="B12" s="5">
        <v>43769</v>
      </c>
      <c r="C12" s="13">
        <v>73400433.780000001</v>
      </c>
      <c r="D12" s="2">
        <v>86830.26</v>
      </c>
      <c r="E12" s="10">
        <f t="shared" si="0"/>
        <v>2102590.4299999997</v>
      </c>
      <c r="G12" s="23" t="s">
        <v>11</v>
      </c>
    </row>
    <row r="13" spans="1:7" x14ac:dyDescent="0.3">
      <c r="B13" s="5">
        <v>43799</v>
      </c>
      <c r="C13" s="13">
        <v>88053403.670000002</v>
      </c>
      <c r="D13" s="2">
        <v>783635.59</v>
      </c>
      <c r="E13" s="10">
        <f t="shared" si="0"/>
        <v>2886226.0199999996</v>
      </c>
      <c r="G13" s="21"/>
    </row>
    <row r="14" spans="1:7" x14ac:dyDescent="0.3">
      <c r="B14" s="5">
        <v>43830</v>
      </c>
      <c r="C14" s="13">
        <v>95395592.109999999</v>
      </c>
      <c r="D14" s="2">
        <v>744121.72</v>
      </c>
      <c r="E14" s="10">
        <f t="shared" si="0"/>
        <v>3630347.7399999993</v>
      </c>
      <c r="G14" s="21"/>
    </row>
    <row r="15" spans="1:7" x14ac:dyDescent="0.3">
      <c r="B15" s="5">
        <v>43861</v>
      </c>
      <c r="C15" s="13">
        <v>103971328.41</v>
      </c>
      <c r="D15" s="2">
        <v>769413.73</v>
      </c>
      <c r="E15" s="10">
        <f t="shared" si="0"/>
        <v>4399761.4699999988</v>
      </c>
      <c r="G15" s="21"/>
    </row>
    <row r="16" spans="1:7" x14ac:dyDescent="0.3">
      <c r="B16" s="5">
        <v>43889</v>
      </c>
      <c r="C16" s="13">
        <v>128483008.28</v>
      </c>
      <c r="D16" s="2">
        <v>747309.03</v>
      </c>
      <c r="E16" s="10">
        <f t="shared" si="0"/>
        <v>5147070.4999999991</v>
      </c>
      <c r="G16" s="21"/>
    </row>
    <row r="17" spans="2:15" x14ac:dyDescent="0.3">
      <c r="B17" s="5">
        <v>43921</v>
      </c>
      <c r="C17" s="13">
        <v>157497178.09999999</v>
      </c>
      <c r="D17" s="2">
        <v>820978.16</v>
      </c>
      <c r="E17" s="10">
        <f t="shared" si="0"/>
        <v>5968048.6599999992</v>
      </c>
      <c r="G17" s="21"/>
    </row>
    <row r="18" spans="2:15" x14ac:dyDescent="0.3">
      <c r="B18" s="5">
        <v>43951</v>
      </c>
      <c r="C18" s="13">
        <v>206020543.49000001</v>
      </c>
      <c r="D18" s="2">
        <v>788180.57</v>
      </c>
      <c r="E18" s="10">
        <f t="shared" si="0"/>
        <v>6756229.2299999995</v>
      </c>
      <c r="G18" s="21"/>
    </row>
    <row r="19" spans="2:15" x14ac:dyDescent="0.3">
      <c r="B19" s="5">
        <v>43982</v>
      </c>
      <c r="C19" s="13">
        <v>231607301.69999999</v>
      </c>
      <c r="D19" s="2">
        <v>752421.56</v>
      </c>
      <c r="E19" s="10">
        <f t="shared" si="0"/>
        <v>7508650.7899999991</v>
      </c>
      <c r="G19" s="21"/>
    </row>
    <row r="20" spans="2:15" x14ac:dyDescent="0.3">
      <c r="B20" s="5">
        <v>44012</v>
      </c>
      <c r="C20" s="13">
        <v>253369453.46000001</v>
      </c>
      <c r="D20" s="2">
        <v>724715.84</v>
      </c>
      <c r="E20" s="10">
        <f t="shared" si="0"/>
        <v>8233366.629999999</v>
      </c>
      <c r="G20" s="21"/>
    </row>
    <row r="21" spans="2:15" x14ac:dyDescent="0.3">
      <c r="B21" s="5">
        <v>44043</v>
      </c>
      <c r="C21" s="13">
        <v>274877060.69999999</v>
      </c>
      <c r="D21" s="2">
        <v>766889.5</v>
      </c>
      <c r="E21" s="10">
        <f t="shared" si="0"/>
        <v>9000256.129999999</v>
      </c>
      <c r="G21" s="21"/>
    </row>
    <row r="22" spans="2:15" x14ac:dyDescent="0.3">
      <c r="B22" s="5">
        <v>44074</v>
      </c>
      <c r="C22" s="13">
        <v>295759627.21999997</v>
      </c>
      <c r="D22" s="2">
        <v>788913.66</v>
      </c>
      <c r="E22" s="10">
        <f t="shared" si="0"/>
        <v>9789169.7899999991</v>
      </c>
      <c r="G22" s="21"/>
    </row>
    <row r="23" spans="2:15" x14ac:dyDescent="0.3">
      <c r="B23" s="5">
        <v>44104</v>
      </c>
      <c r="C23" s="13">
        <v>327588650.12</v>
      </c>
      <c r="D23" s="2">
        <v>771005.5</v>
      </c>
      <c r="E23" s="10">
        <f t="shared" si="0"/>
        <v>10560175.289999999</v>
      </c>
      <c r="G23" s="21"/>
    </row>
    <row r="24" spans="2:15" x14ac:dyDescent="0.3">
      <c r="B24" s="5">
        <v>44135</v>
      </c>
      <c r="C24" s="13">
        <v>363722915.03999996</v>
      </c>
      <c r="D24" s="2">
        <v>837528.93</v>
      </c>
      <c r="E24" s="10">
        <f t="shared" si="0"/>
        <v>11397704.219999999</v>
      </c>
      <c r="G24" s="21"/>
    </row>
    <row r="25" spans="2:15" x14ac:dyDescent="0.3">
      <c r="B25" s="5">
        <v>44165</v>
      </c>
      <c r="C25" s="13">
        <v>405521404.15999991</v>
      </c>
      <c r="D25" s="2">
        <v>809468.74</v>
      </c>
      <c r="E25" s="10">
        <f t="shared" si="0"/>
        <v>12207172.959999999</v>
      </c>
      <c r="G25" s="21"/>
      <c r="I25" s="39"/>
      <c r="J25" s="39"/>
      <c r="K25" s="39"/>
      <c r="L25" s="39"/>
      <c r="M25" s="39"/>
      <c r="N25" s="39"/>
      <c r="O25" s="2"/>
    </row>
    <row r="26" spans="2:15" x14ac:dyDescent="0.3">
      <c r="B26" s="5">
        <v>44196</v>
      </c>
      <c r="C26" s="13">
        <v>433459978.55000001</v>
      </c>
      <c r="D26" s="2">
        <v>818820.59</v>
      </c>
      <c r="E26" s="10">
        <f>E25+D26</f>
        <v>13025993.549999999</v>
      </c>
      <c r="G26" s="21"/>
      <c r="I26" s="39"/>
      <c r="J26" s="39"/>
      <c r="K26" s="39"/>
      <c r="L26" s="39"/>
      <c r="M26" s="39"/>
      <c r="N26" s="39"/>
    </row>
    <row r="27" spans="2:15" x14ac:dyDescent="0.3">
      <c r="B27" s="5">
        <v>44227</v>
      </c>
      <c r="C27" s="13">
        <v>486216556</v>
      </c>
      <c r="D27" s="2">
        <v>873940.62</v>
      </c>
      <c r="E27" s="10">
        <f>E26+D27</f>
        <v>13899934.169999998</v>
      </c>
      <c r="G27" s="21"/>
      <c r="I27" s="39"/>
      <c r="J27" s="39"/>
      <c r="K27" s="39"/>
      <c r="L27" s="39"/>
      <c r="M27" s="39"/>
      <c r="N27" s="39"/>
    </row>
    <row r="28" spans="2:15" x14ac:dyDescent="0.3">
      <c r="B28" s="5">
        <v>44255</v>
      </c>
      <c r="C28" s="13">
        <v>538781460.95000005</v>
      </c>
      <c r="D28" s="2">
        <v>812064.22</v>
      </c>
      <c r="E28" s="10">
        <f t="shared" ref="E28:E37" si="1">E27+D28</f>
        <v>14711998.389999999</v>
      </c>
      <c r="G28" s="21"/>
      <c r="I28" s="39"/>
      <c r="J28" s="39"/>
      <c r="K28" s="39"/>
      <c r="L28" s="39"/>
      <c r="M28" s="39"/>
      <c r="N28" s="39"/>
    </row>
    <row r="29" spans="2:15" x14ac:dyDescent="0.3">
      <c r="B29" s="5">
        <v>44286</v>
      </c>
      <c r="C29" s="13">
        <v>644161788.26999998</v>
      </c>
      <c r="D29" s="2">
        <v>919216.96</v>
      </c>
      <c r="E29" s="10">
        <f t="shared" si="1"/>
        <v>15631215.349999998</v>
      </c>
      <c r="G29" s="21"/>
      <c r="I29" s="39"/>
      <c r="J29" s="39"/>
      <c r="K29" s="39"/>
      <c r="L29" s="39"/>
      <c r="M29" s="39"/>
      <c r="N29" s="39"/>
    </row>
    <row r="30" spans="2:15" x14ac:dyDescent="0.3">
      <c r="B30" s="5">
        <v>44316</v>
      </c>
      <c r="C30" s="13">
        <v>700621393.02999997</v>
      </c>
      <c r="D30" s="2">
        <v>927987.93</v>
      </c>
      <c r="E30" s="10">
        <f t="shared" si="1"/>
        <v>16559203.279999997</v>
      </c>
      <c r="G30" s="21"/>
      <c r="I30" s="39"/>
      <c r="J30" s="39"/>
      <c r="K30" s="39"/>
      <c r="L30" s="39"/>
      <c r="M30" s="39"/>
      <c r="N30" s="39"/>
    </row>
    <row r="31" spans="2:15" x14ac:dyDescent="0.3">
      <c r="B31" s="5">
        <v>44347</v>
      </c>
      <c r="C31" s="13">
        <v>710116891.80999994</v>
      </c>
      <c r="D31" s="2">
        <v>1027149.96</v>
      </c>
      <c r="E31" s="10">
        <f t="shared" si="1"/>
        <v>17586353.239999998</v>
      </c>
      <c r="G31" s="21"/>
      <c r="I31" s="39"/>
      <c r="J31" s="39"/>
      <c r="K31" s="39"/>
      <c r="L31" s="39"/>
      <c r="M31" s="39"/>
      <c r="N31" s="39"/>
    </row>
    <row r="32" spans="2:15" x14ac:dyDescent="0.3">
      <c r="B32" s="5">
        <v>44377</v>
      </c>
      <c r="C32" s="13">
        <v>737799709.92999995</v>
      </c>
      <c r="D32" s="2">
        <v>1061331.6299999999</v>
      </c>
      <c r="E32" s="10">
        <f t="shared" si="1"/>
        <v>18647684.869999997</v>
      </c>
      <c r="G32" s="21"/>
      <c r="I32" s="39"/>
      <c r="K32" s="39"/>
      <c r="L32" s="39"/>
      <c r="M32" s="39"/>
      <c r="N32" s="39"/>
    </row>
    <row r="33" spans="2:14" x14ac:dyDescent="0.3">
      <c r="B33" s="5">
        <v>44408</v>
      </c>
      <c r="C33" s="13">
        <v>748459690.85000002</v>
      </c>
      <c r="D33" s="2">
        <v>1140964.7</v>
      </c>
      <c r="E33" s="10">
        <f t="shared" si="1"/>
        <v>19788649.569999997</v>
      </c>
      <c r="G33" s="21"/>
      <c r="I33" s="39"/>
      <c r="K33" s="39"/>
      <c r="L33" s="39"/>
      <c r="M33" s="39"/>
      <c r="N33" s="39"/>
    </row>
    <row r="34" spans="2:14" x14ac:dyDescent="0.3">
      <c r="B34" s="5">
        <v>44439</v>
      </c>
      <c r="C34" s="13">
        <v>762691842.18999994</v>
      </c>
      <c r="D34" s="2">
        <v>1162273.81</v>
      </c>
      <c r="E34" s="10">
        <f t="shared" si="1"/>
        <v>20950923.379999995</v>
      </c>
      <c r="G34" s="21"/>
      <c r="I34" s="39"/>
      <c r="J34" s="39"/>
      <c r="K34" s="39"/>
      <c r="L34" s="39"/>
      <c r="M34" s="39"/>
      <c r="N34" s="39"/>
    </row>
    <row r="35" spans="2:14" x14ac:dyDescent="0.3">
      <c r="B35" s="5">
        <v>44469</v>
      </c>
      <c r="C35" s="13">
        <v>813244413.41000009</v>
      </c>
      <c r="D35" s="2">
        <v>965218.86</v>
      </c>
      <c r="E35" s="10">
        <f t="shared" si="1"/>
        <v>21916142.239999995</v>
      </c>
      <c r="G35" s="21"/>
      <c r="I35" s="39"/>
      <c r="J35" s="39"/>
      <c r="K35" s="39"/>
      <c r="L35" s="39"/>
      <c r="M35" s="39"/>
      <c r="N35" s="39"/>
    </row>
    <row r="36" spans="2:14" x14ac:dyDescent="0.3">
      <c r="B36" s="5">
        <v>44500</v>
      </c>
      <c r="C36" s="13">
        <v>839804928.29999995</v>
      </c>
      <c r="D36" s="2">
        <v>1207895.26</v>
      </c>
      <c r="E36" s="10">
        <f t="shared" si="1"/>
        <v>23124037.499999996</v>
      </c>
      <c r="G36" s="21"/>
      <c r="I36" s="39"/>
      <c r="J36" s="39"/>
      <c r="K36" s="39"/>
      <c r="L36" s="39"/>
      <c r="M36" s="39"/>
      <c r="N36" s="39"/>
    </row>
    <row r="37" spans="2:14" x14ac:dyDescent="0.3">
      <c r="B37" s="5">
        <v>44530</v>
      </c>
      <c r="C37" s="13">
        <v>863560702.5999999</v>
      </c>
      <c r="D37" s="2">
        <v>1161128.19</v>
      </c>
      <c r="E37" s="10">
        <f t="shared" si="1"/>
        <v>24285165.689999998</v>
      </c>
      <c r="G37" s="21"/>
      <c r="I37" s="39"/>
      <c r="J37" s="39"/>
      <c r="K37" s="39"/>
      <c r="L37" s="39"/>
      <c r="M37" s="39"/>
      <c r="N37" s="39"/>
    </row>
    <row r="38" spans="2:14" x14ac:dyDescent="0.3">
      <c r="B38" s="5">
        <v>44561</v>
      </c>
      <c r="C38" s="13">
        <v>889733555.76999998</v>
      </c>
      <c r="D38" s="2">
        <f>1235374.59</f>
        <v>1235374.5900000001</v>
      </c>
      <c r="E38" s="10">
        <f>E37+D38</f>
        <v>25520540.279999997</v>
      </c>
      <c r="G38" s="21"/>
      <c r="I38" s="39"/>
      <c r="J38" s="39"/>
      <c r="K38" s="39"/>
      <c r="L38" s="39"/>
      <c r="M38" s="39"/>
      <c r="N38" s="39"/>
    </row>
    <row r="39" spans="2:14" x14ac:dyDescent="0.3">
      <c r="B39" s="5">
        <v>44562</v>
      </c>
      <c r="C39" s="13">
        <v>915342118.25</v>
      </c>
      <c r="D39" s="2">
        <v>1179095.47</v>
      </c>
      <c r="E39" s="10">
        <f t="shared" ref="E39:E49" si="2">E38+D39</f>
        <v>26699635.749999996</v>
      </c>
      <c r="G39" s="21"/>
      <c r="I39" s="39"/>
      <c r="J39" s="39"/>
      <c r="K39" s="39"/>
      <c r="L39" s="39"/>
      <c r="M39" s="39"/>
      <c r="N39" s="39"/>
    </row>
    <row r="40" spans="2:14" x14ac:dyDescent="0.3">
      <c r="B40" s="5">
        <v>44593</v>
      </c>
      <c r="C40" s="13">
        <v>958712781.53999996</v>
      </c>
      <c r="D40" s="2">
        <v>1118976.71</v>
      </c>
      <c r="E40" s="10">
        <f t="shared" si="2"/>
        <v>27818612.459999997</v>
      </c>
      <c r="G40" s="21"/>
      <c r="I40" s="39"/>
      <c r="J40" s="39"/>
      <c r="K40" s="39"/>
      <c r="L40" s="39"/>
      <c r="M40" s="39"/>
      <c r="N40" s="39"/>
    </row>
    <row r="41" spans="2:14" x14ac:dyDescent="0.3">
      <c r="B41" s="5">
        <v>44621</v>
      </c>
      <c r="C41" s="13">
        <v>1005671490.97</v>
      </c>
      <c r="D41" s="2">
        <v>1394136.57</v>
      </c>
      <c r="E41" s="10">
        <f t="shared" si="2"/>
        <v>29212749.029999997</v>
      </c>
      <c r="G41" s="21"/>
      <c r="I41" s="39"/>
      <c r="J41" s="39"/>
      <c r="K41" s="39"/>
      <c r="L41" s="39"/>
      <c r="M41" s="39"/>
      <c r="N41" s="39"/>
    </row>
    <row r="42" spans="2:14" x14ac:dyDescent="0.3">
      <c r="B42" s="5">
        <v>44652</v>
      </c>
      <c r="C42" s="13">
        <v>1063672636.29</v>
      </c>
      <c r="D42" s="2">
        <v>1397583.68</v>
      </c>
      <c r="E42" s="10">
        <f t="shared" si="2"/>
        <v>30610332.709999997</v>
      </c>
      <c r="G42" s="21"/>
      <c r="I42" s="39"/>
      <c r="J42" s="39"/>
      <c r="K42" s="39"/>
      <c r="L42" s="39"/>
      <c r="M42" s="39"/>
      <c r="N42" s="39"/>
    </row>
    <row r="43" spans="2:14" x14ac:dyDescent="0.3">
      <c r="B43" s="5">
        <v>44682</v>
      </c>
      <c r="C43" s="13">
        <v>1094047023.6199999</v>
      </c>
      <c r="D43" s="2">
        <v>1863428.67</v>
      </c>
      <c r="E43" s="10">
        <f t="shared" si="2"/>
        <v>32473761.379999995</v>
      </c>
      <c r="G43" s="21"/>
      <c r="I43" s="39"/>
      <c r="J43" s="39"/>
      <c r="K43" s="39"/>
      <c r="L43" s="39"/>
      <c r="M43" s="39"/>
      <c r="N43" s="39"/>
    </row>
    <row r="44" spans="2:14" x14ac:dyDescent="0.3">
      <c r="B44" s="5">
        <v>44713</v>
      </c>
      <c r="C44" s="13">
        <v>1115653653.76</v>
      </c>
      <c r="D44" s="2">
        <v>2167212.86</v>
      </c>
      <c r="E44" s="10">
        <f t="shared" si="2"/>
        <v>34640974.239999995</v>
      </c>
      <c r="G44" s="21"/>
      <c r="I44" s="39"/>
      <c r="J44" s="39"/>
      <c r="K44" s="39"/>
      <c r="L44" s="39"/>
      <c r="M44" s="39"/>
      <c r="N44" s="39"/>
    </row>
    <row r="45" spans="2:14" x14ac:dyDescent="0.3">
      <c r="B45" s="5">
        <v>44743</v>
      </c>
      <c r="C45" s="13">
        <v>1169544338.23</v>
      </c>
      <c r="D45" s="2">
        <v>2709170.53</v>
      </c>
      <c r="E45" s="10">
        <f t="shared" si="2"/>
        <v>37350144.769999996</v>
      </c>
      <c r="G45" s="21"/>
      <c r="I45" s="39"/>
      <c r="J45" s="39"/>
      <c r="K45" s="39"/>
      <c r="L45" s="39"/>
      <c r="M45" s="39"/>
      <c r="N45" s="39"/>
    </row>
    <row r="46" spans="2:14" x14ac:dyDescent="0.3">
      <c r="B46" s="5">
        <v>44774</v>
      </c>
      <c r="C46" s="13">
        <v>903189870.71000004</v>
      </c>
      <c r="D46" s="2">
        <v>3019426.52</v>
      </c>
      <c r="E46" s="10">
        <f t="shared" si="2"/>
        <v>40369571.289999999</v>
      </c>
      <c r="G46" s="21"/>
      <c r="I46" s="39"/>
      <c r="J46" s="39"/>
      <c r="K46" s="39"/>
      <c r="L46" s="39"/>
      <c r="M46" s="39"/>
      <c r="N46" s="39"/>
    </row>
    <row r="47" spans="2:14" x14ac:dyDescent="0.3">
      <c r="B47" s="5">
        <v>44805</v>
      </c>
      <c r="C47" s="13">
        <v>927109676.41999996</v>
      </c>
      <c r="D47" s="2">
        <v>2372577.29</v>
      </c>
      <c r="E47" s="10">
        <f t="shared" si="2"/>
        <v>42742148.579999998</v>
      </c>
      <c r="G47" s="21"/>
      <c r="I47" s="39"/>
      <c r="J47" s="39"/>
      <c r="K47" s="39"/>
      <c r="L47" s="39"/>
      <c r="M47" s="39"/>
      <c r="N47" s="39"/>
    </row>
    <row r="48" spans="2:14" x14ac:dyDescent="0.3">
      <c r="B48" s="5">
        <v>44835</v>
      </c>
      <c r="C48" s="13">
        <v>670664247.89999998</v>
      </c>
      <c r="D48" s="2">
        <v>2018053.52</v>
      </c>
      <c r="E48" s="10">
        <f t="shared" si="2"/>
        <v>44760202.100000001</v>
      </c>
      <c r="G48" s="21"/>
      <c r="I48" s="39"/>
      <c r="J48" s="39"/>
      <c r="K48" s="39"/>
      <c r="L48" s="39"/>
      <c r="M48" s="39"/>
      <c r="N48" s="39"/>
    </row>
    <row r="49" spans="1:14" x14ac:dyDescent="0.3">
      <c r="B49" s="5">
        <v>44866</v>
      </c>
      <c r="C49" s="13">
        <v>594741322.52999997</v>
      </c>
      <c r="D49" s="2">
        <v>2478873.37</v>
      </c>
      <c r="E49" s="10">
        <f t="shared" si="2"/>
        <v>47239075.469999999</v>
      </c>
      <c r="G49" s="21"/>
      <c r="I49" s="39"/>
      <c r="J49" s="39"/>
      <c r="K49" s="39"/>
      <c r="L49" s="39"/>
      <c r="M49" s="39"/>
      <c r="N49" s="39"/>
    </row>
    <row r="50" spans="1:14" ht="15" thickBot="1" x14ac:dyDescent="0.35">
      <c r="B50" s="6">
        <v>44896</v>
      </c>
      <c r="C50" s="52">
        <v>602803994.33000004</v>
      </c>
      <c r="D50" s="7">
        <v>2283872.200000003</v>
      </c>
      <c r="E50" s="11">
        <f>E49+D50</f>
        <v>49522947.670000002</v>
      </c>
      <c r="G50" s="22"/>
      <c r="I50" s="39"/>
      <c r="J50" s="39"/>
      <c r="K50" s="39"/>
      <c r="L50" s="39"/>
      <c r="M50" s="39"/>
      <c r="N50" s="39"/>
    </row>
    <row r="51" spans="1:14" x14ac:dyDescent="0.3">
      <c r="B51" s="2"/>
      <c r="C51" s="2"/>
      <c r="D51" s="2"/>
      <c r="E51" s="2"/>
      <c r="F51" s="2"/>
      <c r="H51" s="2"/>
    </row>
    <row r="52" spans="1:14" x14ac:dyDescent="0.3">
      <c r="A52" s="1" t="s">
        <v>8</v>
      </c>
      <c r="B52" s="2"/>
      <c r="C52" s="2"/>
      <c r="D52" s="2"/>
      <c r="E52" s="2"/>
      <c r="F52" s="2"/>
      <c r="H52" s="2"/>
    </row>
    <row r="53" spans="1:14" ht="27.6" customHeight="1" x14ac:dyDescent="0.3">
      <c r="A53" s="58" t="s">
        <v>9</v>
      </c>
      <c r="B53" s="86" t="s">
        <v>74</v>
      </c>
      <c r="C53" s="86"/>
      <c r="D53" s="86"/>
      <c r="E53" s="86"/>
      <c r="F53" s="86"/>
      <c r="G53" s="86"/>
      <c r="H53" s="86"/>
    </row>
    <row r="54" spans="1:14" ht="30.6" customHeight="1" x14ac:dyDescent="0.3">
      <c r="A54" s="58" t="s">
        <v>10</v>
      </c>
      <c r="B54" s="86" t="s">
        <v>84</v>
      </c>
      <c r="C54" s="86"/>
      <c r="D54" s="86"/>
      <c r="E54" s="86"/>
      <c r="F54" s="86"/>
      <c r="G54" s="86"/>
      <c r="H54" s="86"/>
    </row>
    <row r="55" spans="1:14" ht="33" customHeight="1" x14ac:dyDescent="0.3">
      <c r="A55" s="58" t="s">
        <v>11</v>
      </c>
      <c r="B55" s="86" t="s">
        <v>19</v>
      </c>
      <c r="C55" s="86"/>
      <c r="D55" s="86"/>
      <c r="E55" s="86"/>
      <c r="F55" s="86"/>
      <c r="G55" s="86"/>
      <c r="H55" s="86"/>
    </row>
    <row r="56" spans="1:14" x14ac:dyDescent="0.3">
      <c r="B56" s="2"/>
      <c r="C56" s="2"/>
      <c r="D56" s="2"/>
      <c r="E56" s="2"/>
      <c r="F56" s="2"/>
      <c r="H56" s="2"/>
    </row>
    <row r="57" spans="1:14" x14ac:dyDescent="0.3">
      <c r="B57" s="2"/>
      <c r="C57" s="2"/>
      <c r="D57" s="2"/>
      <c r="E57" s="2"/>
      <c r="F57" s="2"/>
      <c r="H57" s="2"/>
    </row>
    <row r="58" spans="1:14" x14ac:dyDescent="0.3">
      <c r="A58" s="24" t="s">
        <v>15</v>
      </c>
      <c r="B58" s="24"/>
      <c r="C58" s="2"/>
      <c r="D58" s="2"/>
      <c r="E58" s="2"/>
      <c r="F58" s="2"/>
      <c r="H58" s="2"/>
    </row>
    <row r="59" spans="1:14" x14ac:dyDescent="0.3">
      <c r="B59" s="2"/>
      <c r="C59" s="2"/>
      <c r="D59" s="26" t="s">
        <v>12</v>
      </c>
      <c r="E59" s="2"/>
      <c r="F59" s="2"/>
      <c r="H59" s="2"/>
    </row>
    <row r="60" spans="1:14" x14ac:dyDescent="0.3">
      <c r="B60" s="18" t="s">
        <v>14</v>
      </c>
      <c r="C60" s="13">
        <f>+C50</f>
        <v>602803994.33000004</v>
      </c>
      <c r="D60" s="25" t="s">
        <v>13</v>
      </c>
      <c r="E60" s="2"/>
      <c r="F60" s="2"/>
      <c r="H60" s="2"/>
    </row>
    <row r="61" spans="1:14" x14ac:dyDescent="0.3">
      <c r="B61" t="s">
        <v>7</v>
      </c>
      <c r="C61" s="13">
        <f>+E50</f>
        <v>49522947.670000002</v>
      </c>
      <c r="D61" s="25" t="s">
        <v>13</v>
      </c>
    </row>
    <row r="62" spans="1:14" x14ac:dyDescent="0.3">
      <c r="B62" s="16"/>
      <c r="C62" s="15">
        <f>SUM(C60:C61)</f>
        <v>652326942</v>
      </c>
      <c r="D62" s="25"/>
      <c r="F62" s="13"/>
    </row>
    <row r="64" spans="1:14" x14ac:dyDescent="0.3">
      <c r="B64" s="1" t="s">
        <v>16</v>
      </c>
      <c r="C64" s="59">
        <f>+'[1]2022 Combined'!$D$49</f>
        <v>915254096</v>
      </c>
    </row>
    <row r="66" spans="1:4" x14ac:dyDescent="0.3">
      <c r="B66" s="28"/>
    </row>
    <row r="67" spans="1:4" x14ac:dyDescent="0.3">
      <c r="A67" s="24" t="s">
        <v>17</v>
      </c>
      <c r="B67" s="24"/>
      <c r="C67" s="2"/>
      <c r="D67" s="2"/>
    </row>
    <row r="68" spans="1:4" x14ac:dyDescent="0.3">
      <c r="B68" s="2"/>
      <c r="C68" s="2"/>
      <c r="D68" s="26" t="s">
        <v>12</v>
      </c>
    </row>
    <row r="69" spans="1:4" x14ac:dyDescent="0.3">
      <c r="B69" s="18" t="s">
        <v>14</v>
      </c>
      <c r="C69" s="13">
        <f>+C50</f>
        <v>602803994.33000004</v>
      </c>
      <c r="D69" s="25" t="s">
        <v>13</v>
      </c>
    </row>
    <row r="70" spans="1:4" x14ac:dyDescent="0.3">
      <c r="B70" t="s">
        <v>7</v>
      </c>
      <c r="C70" s="13">
        <f>+C61</f>
        <v>49522947.670000002</v>
      </c>
      <c r="D70" s="25" t="s">
        <v>13</v>
      </c>
    </row>
    <row r="71" spans="1:4" x14ac:dyDescent="0.3">
      <c r="B71" s="16"/>
      <c r="C71" s="15">
        <f>SUM(C69:C70)</f>
        <v>652326942</v>
      </c>
      <c r="D71" s="25"/>
    </row>
    <row r="73" spans="1:4" x14ac:dyDescent="0.3">
      <c r="B73" s="1" t="s">
        <v>18</v>
      </c>
      <c r="C73" s="17">
        <v>652326942</v>
      </c>
    </row>
  </sheetData>
  <mergeCells count="3">
    <mergeCell ref="B53:H53"/>
    <mergeCell ref="B54:H54"/>
    <mergeCell ref="B55:H55"/>
  </mergeCells>
  <pageMargins left="0.7" right="0.7" top="0.75" bottom="0.75" header="0.3" footer="0.3"/>
  <pageSetup scale="89" orientation="portrait" horizontalDpi="1200" verticalDpi="1200" r:id="rId1"/>
  <headerFooter>
    <oddFooter>&amp;A&amp;RPage &amp;P</oddFooter>
  </headerFooter>
  <rowBreaks count="1" manualBreakCount="1">
    <brk id="51" max="16383" man="1"/>
  </rowBreaks>
  <ignoredErrors>
    <ignoredError sqref="G12 A53:A5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F6A3-0AC1-4A40-9E3B-6A5013DD61F3}">
  <dimension ref="A1:S39"/>
  <sheetViews>
    <sheetView topLeftCell="A6" workbookViewId="0">
      <selection activeCell="P13" sqref="P13"/>
    </sheetView>
  </sheetViews>
  <sheetFormatPr defaultColWidth="13.6640625" defaultRowHeight="14.4" x14ac:dyDescent="0.3"/>
  <cols>
    <col min="1" max="1" width="59" style="66" bestFit="1" customWidth="1"/>
    <col min="2" max="2" width="3.33203125" style="66" customWidth="1"/>
    <col min="3" max="3" width="8.88671875" style="66" customWidth="1"/>
    <col min="4" max="4" width="16.33203125" style="66" customWidth="1"/>
    <col min="5" max="5" width="16" style="66" customWidth="1"/>
    <col min="6" max="6" width="15.44140625" style="66" customWidth="1"/>
    <col min="7" max="7" width="16.88671875" style="66" customWidth="1"/>
    <col min="8" max="8" width="17.109375" style="66" customWidth="1"/>
    <col min="9" max="9" width="17.6640625" style="66" customWidth="1"/>
    <col min="10" max="16" width="15.6640625" style="66" customWidth="1"/>
    <col min="17" max="17" width="13.6640625" style="66"/>
    <col min="18" max="18" width="3" style="66" customWidth="1"/>
    <col min="19" max="19" width="13.6640625" style="56"/>
    <col min="20" max="16384" width="13.6640625" style="66"/>
  </cols>
  <sheetData>
    <row r="1" spans="1:19" x14ac:dyDescent="0.3">
      <c r="A1" s="64" t="s">
        <v>0</v>
      </c>
      <c r="B1" s="65"/>
      <c r="S1" s="67" t="s">
        <v>101</v>
      </c>
    </row>
    <row r="2" spans="1:19" x14ac:dyDescent="0.3">
      <c r="A2" s="64" t="s">
        <v>102</v>
      </c>
      <c r="B2" s="65"/>
      <c r="E2" s="68" t="s">
        <v>103</v>
      </c>
    </row>
    <row r="3" spans="1:19" x14ac:dyDescent="0.3">
      <c r="A3" s="69" t="s">
        <v>90</v>
      </c>
      <c r="B3" s="70"/>
    </row>
    <row r="4" spans="1:19" x14ac:dyDescent="0.3">
      <c r="A4" s="70"/>
      <c r="B4" s="70"/>
      <c r="G4" s="61"/>
    </row>
    <row r="5" spans="1:19" x14ac:dyDescent="0.3">
      <c r="A5" s="70" t="s">
        <v>104</v>
      </c>
      <c r="B5" s="68"/>
      <c r="D5" s="68"/>
      <c r="P5" s="61"/>
    </row>
    <row r="6" spans="1:19" ht="16.2" x14ac:dyDescent="0.45">
      <c r="A6" s="70"/>
      <c r="B6" s="70"/>
      <c r="C6" s="68"/>
      <c r="D6" s="71" t="str">
        <f>CONCATENATE("Dec"," - ",((VALUE(YEAR(A3)))-1))</f>
        <v>Dec - 2021</v>
      </c>
      <c r="E6" s="87" t="str">
        <f>CONCATENATE("Quarter 1", " - ", YEAR($A$3))</f>
        <v>Quarter 1 - 2022</v>
      </c>
      <c r="F6" s="87"/>
      <c r="G6" s="87"/>
      <c r="H6" s="87" t="str">
        <f>CONCATENATE("Quarter 2", " - ", YEAR($A$3))</f>
        <v>Quarter 2 - 2022</v>
      </c>
      <c r="I6" s="87"/>
      <c r="J6" s="87"/>
      <c r="K6" s="87" t="str">
        <f>CONCATENATE("Quarter 3", " - ", YEAR($A$3))</f>
        <v>Quarter 3 - 2022</v>
      </c>
      <c r="L6" s="87"/>
      <c r="M6" s="87"/>
      <c r="N6" s="87" t="str">
        <f>CONCATENATE("Quarter 4", " - ", YEAR($A$3))</f>
        <v>Quarter 4 - 2022</v>
      </c>
      <c r="O6" s="87"/>
      <c r="P6" s="87"/>
    </row>
    <row r="7" spans="1:19" x14ac:dyDescent="0.3">
      <c r="A7" s="72" t="s">
        <v>25</v>
      </c>
      <c r="B7" s="72"/>
      <c r="C7" s="73"/>
      <c r="D7" s="74"/>
      <c r="E7" s="74">
        <v>5.7000000000000002E-3</v>
      </c>
      <c r="F7" s="73">
        <f>E7</f>
        <v>5.7000000000000002E-3</v>
      </c>
      <c r="G7" s="73">
        <f>F7</f>
        <v>5.7000000000000002E-3</v>
      </c>
      <c r="H7" s="74">
        <v>1.0200000000000001E-2</v>
      </c>
      <c r="I7" s="73">
        <f>H7</f>
        <v>1.0200000000000001E-2</v>
      </c>
      <c r="J7" s="73">
        <f>I7</f>
        <v>1.0200000000000001E-2</v>
      </c>
      <c r="K7" s="74">
        <v>2.1999999999999999E-2</v>
      </c>
      <c r="L7" s="73">
        <f>K7</f>
        <v>2.1999999999999999E-2</v>
      </c>
      <c r="M7" s="73">
        <f>L7</f>
        <v>2.1999999999999999E-2</v>
      </c>
      <c r="N7" s="74">
        <v>3.8699999999999998E-2</v>
      </c>
      <c r="O7" s="73">
        <f>N7</f>
        <v>3.8699999999999998E-2</v>
      </c>
      <c r="P7" s="73">
        <f>O7</f>
        <v>3.8699999999999998E-2</v>
      </c>
    </row>
    <row r="8" spans="1:19" x14ac:dyDescent="0.3">
      <c r="A8" s="72" t="s">
        <v>105</v>
      </c>
      <c r="B8" s="72"/>
      <c r="C8" s="73"/>
      <c r="D8" s="74"/>
      <c r="E8" s="74">
        <f>((E7)*(E9/$Q$9))</f>
        <v>4.8410958904109588E-4</v>
      </c>
      <c r="F8" s="74">
        <f t="shared" ref="F8:P8" si="0">((F7)*(F9/$Q$9))</f>
        <v>4.3726027397260277E-4</v>
      </c>
      <c r="G8" s="74">
        <f t="shared" si="0"/>
        <v>4.8410958904109588E-4</v>
      </c>
      <c r="H8" s="74">
        <f t="shared" si="0"/>
        <v>8.3835616438356162E-4</v>
      </c>
      <c r="I8" s="74">
        <f t="shared" si="0"/>
        <v>8.6630136986301379E-4</v>
      </c>
      <c r="J8" s="74">
        <f t="shared" si="0"/>
        <v>8.3835616438356162E-4</v>
      </c>
      <c r="K8" s="74">
        <f t="shared" si="0"/>
        <v>1.8684931506849313E-3</v>
      </c>
      <c r="L8" s="74">
        <f t="shared" si="0"/>
        <v>1.8684931506849313E-3</v>
      </c>
      <c r="M8" s="74">
        <f t="shared" si="0"/>
        <v>1.8082191780821916E-3</v>
      </c>
      <c r="N8" s="74">
        <f t="shared" si="0"/>
        <v>3.2868493150684931E-3</v>
      </c>
      <c r="O8" s="74">
        <f t="shared" si="0"/>
        <v>3.1808219178082187E-3</v>
      </c>
      <c r="P8" s="74">
        <f t="shared" si="0"/>
        <v>3.2868493150684931E-3</v>
      </c>
    </row>
    <row r="9" spans="1:19" x14ac:dyDescent="0.3">
      <c r="A9" s="72" t="s">
        <v>27</v>
      </c>
      <c r="B9" s="72"/>
      <c r="D9" s="56"/>
      <c r="E9" s="56">
        <v>31</v>
      </c>
      <c r="F9" s="56">
        <v>28</v>
      </c>
      <c r="G9" s="56">
        <v>31</v>
      </c>
      <c r="H9" s="56">
        <v>30</v>
      </c>
      <c r="I9" s="56">
        <v>31</v>
      </c>
      <c r="J9" s="56">
        <v>30</v>
      </c>
      <c r="K9" s="56">
        <v>31</v>
      </c>
      <c r="L9" s="56">
        <v>31</v>
      </c>
      <c r="M9" s="56">
        <v>30</v>
      </c>
      <c r="N9" s="56">
        <v>31</v>
      </c>
      <c r="O9" s="56">
        <v>30</v>
      </c>
      <c r="P9" s="56">
        <v>31</v>
      </c>
      <c r="Q9" s="56">
        <f>SUM(E9:P9)</f>
        <v>365</v>
      </c>
    </row>
    <row r="10" spans="1:19" x14ac:dyDescent="0.3">
      <c r="A10" s="75" t="s">
        <v>106</v>
      </c>
      <c r="B10" s="75"/>
      <c r="C10" s="75" t="s">
        <v>107</v>
      </c>
      <c r="D10" s="76" t="str">
        <f>D6</f>
        <v>Dec - 2021</v>
      </c>
      <c r="E10" s="77">
        <v>44562</v>
      </c>
      <c r="F10" s="77">
        <v>44593</v>
      </c>
      <c r="G10" s="77">
        <v>44621</v>
      </c>
      <c r="H10" s="77">
        <v>44652</v>
      </c>
      <c r="I10" s="77">
        <v>44682</v>
      </c>
      <c r="J10" s="77">
        <v>44713</v>
      </c>
      <c r="K10" s="77">
        <v>44743</v>
      </c>
      <c r="L10" s="77">
        <v>44774</v>
      </c>
      <c r="M10" s="77">
        <v>44805</v>
      </c>
      <c r="N10" s="77">
        <v>44835</v>
      </c>
      <c r="O10" s="77">
        <v>44866</v>
      </c>
      <c r="P10" s="77">
        <v>44896</v>
      </c>
      <c r="S10" s="56" t="s">
        <v>108</v>
      </c>
    </row>
    <row r="11" spans="1:19" x14ac:dyDescent="0.3">
      <c r="A11" s="62" t="s">
        <v>109</v>
      </c>
      <c r="B11" s="78"/>
      <c r="C11" s="56">
        <v>190029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15.084076612678476</v>
      </c>
      <c r="K11" s="61">
        <v>67.585658144589303</v>
      </c>
      <c r="L11" s="61">
        <v>144256.75776196356</v>
      </c>
      <c r="M11" s="61">
        <v>527710.75664598146</v>
      </c>
      <c r="N11" s="61">
        <v>896191.93309276178</v>
      </c>
      <c r="O11" s="61">
        <v>1384906.6634097577</v>
      </c>
      <c r="P11" s="61">
        <v>1907950.82</v>
      </c>
      <c r="S11" s="56">
        <v>1508005</v>
      </c>
    </row>
    <row r="12" spans="1:19" x14ac:dyDescent="0.3">
      <c r="A12" s="62" t="s">
        <v>110</v>
      </c>
      <c r="B12" s="78"/>
      <c r="C12" s="56">
        <v>190030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15.889386657708538</v>
      </c>
      <c r="K12" s="61">
        <v>71.193926060653624</v>
      </c>
      <c r="L12" s="61">
        <v>148.36025525920286</v>
      </c>
      <c r="M12" s="61">
        <v>7733.7581212574996</v>
      </c>
      <c r="N12" s="61">
        <v>199140.89828599725</v>
      </c>
      <c r="O12" s="61">
        <v>772039.8362973386</v>
      </c>
      <c r="P12" s="61">
        <v>1475236.2</v>
      </c>
      <c r="S12" s="56">
        <v>1508005</v>
      </c>
    </row>
    <row r="13" spans="1:19" x14ac:dyDescent="0.3">
      <c r="A13" s="79"/>
      <c r="B13" s="78"/>
      <c r="C13" s="5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S13" s="56">
        <v>1508005</v>
      </c>
    </row>
    <row r="14" spans="1:19" x14ac:dyDescent="0.3">
      <c r="A14" s="79"/>
      <c r="B14" s="78"/>
      <c r="C14" s="5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S14" s="56">
        <v>1508005</v>
      </c>
    </row>
    <row r="15" spans="1:19" x14ac:dyDescent="0.3">
      <c r="A15" s="79"/>
      <c r="B15" s="78"/>
      <c r="C15" s="5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S15" s="56">
        <v>1508005</v>
      </c>
    </row>
    <row r="16" spans="1:19" x14ac:dyDescent="0.3">
      <c r="A16" s="79"/>
      <c r="B16" s="78"/>
      <c r="C16" s="56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S16" s="56">
        <v>1508005</v>
      </c>
    </row>
    <row r="17" spans="1:19" x14ac:dyDescent="0.3">
      <c r="A17" s="79"/>
      <c r="B17" s="78"/>
      <c r="C17" s="5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S17" s="56">
        <v>1508005</v>
      </c>
    </row>
    <row r="18" spans="1:19" x14ac:dyDescent="0.3">
      <c r="A18" s="79"/>
      <c r="C18" s="5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S18" s="56">
        <v>1508005</v>
      </c>
    </row>
    <row r="19" spans="1:19" x14ac:dyDescent="0.3"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S19" s="66"/>
    </row>
    <row r="21" spans="1:19" x14ac:dyDescent="0.3">
      <c r="A21" s="66" t="s">
        <v>46</v>
      </c>
      <c r="D21" s="66">
        <f>SUM(D11:D19)</f>
        <v>0</v>
      </c>
      <c r="E21" s="66">
        <f>SUM(E11:E19)</f>
        <v>0</v>
      </c>
      <c r="F21" s="66">
        <f>SUM(F11:F19)</f>
        <v>0</v>
      </c>
      <c r="G21" s="66">
        <f t="shared" ref="G21:P21" si="1">SUM(G11:G19)</f>
        <v>0</v>
      </c>
      <c r="H21" s="66">
        <f t="shared" si="1"/>
        <v>0</v>
      </c>
      <c r="I21" s="66">
        <f>SUM(I11:I19)</f>
        <v>0</v>
      </c>
      <c r="J21" s="66">
        <f>SUM(J11:J19)</f>
        <v>30.973463270387015</v>
      </c>
      <c r="K21" s="66">
        <f t="shared" si="1"/>
        <v>138.77958420524294</v>
      </c>
      <c r="L21" s="66">
        <f t="shared" si="1"/>
        <v>144405.11801722276</v>
      </c>
      <c r="M21" s="66">
        <f t="shared" si="1"/>
        <v>535444.51476723899</v>
      </c>
      <c r="N21" s="66">
        <f t="shared" si="1"/>
        <v>1095332.8313787591</v>
      </c>
      <c r="O21" s="66">
        <f t="shared" si="1"/>
        <v>2156946.4997070963</v>
      </c>
      <c r="P21" s="66">
        <f t="shared" si="1"/>
        <v>3383187.02</v>
      </c>
      <c r="S21" s="66"/>
    </row>
    <row r="23" spans="1:19" x14ac:dyDescent="0.3">
      <c r="A23" s="66" t="s">
        <v>111</v>
      </c>
      <c r="S23" s="66"/>
    </row>
    <row r="24" spans="1:19" x14ac:dyDescent="0.3"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S24" s="66"/>
    </row>
    <row r="25" spans="1:19" x14ac:dyDescent="0.3">
      <c r="S25" s="66"/>
    </row>
    <row r="26" spans="1:19" x14ac:dyDescent="0.3">
      <c r="A26" s="66" t="s">
        <v>48</v>
      </c>
      <c r="D26" s="66">
        <f>SUM(D20:D24)</f>
        <v>0</v>
      </c>
      <c r="E26" s="66">
        <f>SUM(E20:E24)</f>
        <v>0</v>
      </c>
      <c r="F26" s="66">
        <f t="shared" ref="F26:P26" si="2">SUM(F20:F24)</f>
        <v>0</v>
      </c>
      <c r="G26" s="66">
        <f t="shared" si="2"/>
        <v>0</v>
      </c>
      <c r="H26" s="66">
        <f t="shared" si="2"/>
        <v>0</v>
      </c>
      <c r="I26" s="66">
        <f t="shared" si="2"/>
        <v>0</v>
      </c>
      <c r="J26" s="66">
        <f t="shared" si="2"/>
        <v>30.973463270387015</v>
      </c>
      <c r="K26" s="66">
        <f t="shared" si="2"/>
        <v>138.77958420524294</v>
      </c>
      <c r="L26" s="66">
        <f t="shared" si="2"/>
        <v>144405.11801722276</v>
      </c>
      <c r="M26" s="66">
        <f t="shared" si="2"/>
        <v>535444.51476723899</v>
      </c>
      <c r="N26" s="66">
        <f t="shared" si="2"/>
        <v>1095332.8313787591</v>
      </c>
      <c r="O26" s="66">
        <f t="shared" si="2"/>
        <v>2156946.4997070963</v>
      </c>
      <c r="P26" s="66">
        <f t="shared" si="2"/>
        <v>3383187.02</v>
      </c>
      <c r="S26" s="66"/>
    </row>
    <row r="28" spans="1:19" x14ac:dyDescent="0.3">
      <c r="A28" s="66" t="s">
        <v>105</v>
      </c>
      <c r="D28" s="80"/>
      <c r="E28" s="80">
        <f t="shared" ref="E28:P28" si="3">E8</f>
        <v>4.8410958904109588E-4</v>
      </c>
      <c r="F28" s="80">
        <f t="shared" si="3"/>
        <v>4.3726027397260277E-4</v>
      </c>
      <c r="G28" s="80">
        <f t="shared" si="3"/>
        <v>4.8410958904109588E-4</v>
      </c>
      <c r="H28" s="81">
        <f t="shared" si="3"/>
        <v>8.3835616438356162E-4</v>
      </c>
      <c r="I28" s="81">
        <f t="shared" si="3"/>
        <v>8.6630136986301379E-4</v>
      </c>
      <c r="J28" s="81">
        <f t="shared" si="3"/>
        <v>8.3835616438356162E-4</v>
      </c>
      <c r="K28" s="81">
        <f t="shared" si="3"/>
        <v>1.8684931506849313E-3</v>
      </c>
      <c r="L28" s="81">
        <f t="shared" si="3"/>
        <v>1.8684931506849313E-3</v>
      </c>
      <c r="M28" s="80">
        <f t="shared" si="3"/>
        <v>1.8082191780821916E-3</v>
      </c>
      <c r="N28" s="80">
        <f>N8</f>
        <v>3.2868493150684931E-3</v>
      </c>
      <c r="O28" s="80">
        <f t="shared" si="3"/>
        <v>3.1808219178082187E-3</v>
      </c>
      <c r="P28" s="80">
        <f t="shared" si="3"/>
        <v>3.2868493150684931E-3</v>
      </c>
      <c r="S28" s="66"/>
    </row>
    <row r="30" spans="1:19" x14ac:dyDescent="0.3">
      <c r="A30" s="82" t="s">
        <v>112</v>
      </c>
      <c r="C30" s="56"/>
    </row>
    <row r="31" spans="1:19" x14ac:dyDescent="0.3">
      <c r="A31" s="62" t="s">
        <v>113</v>
      </c>
      <c r="B31" s="78"/>
      <c r="C31" s="56">
        <v>190031</v>
      </c>
      <c r="D31" s="66">
        <v>0</v>
      </c>
      <c r="E31" s="66">
        <f>ROUND(D11*E$28,2)</f>
        <v>0</v>
      </c>
      <c r="F31" s="66">
        <f t="shared" ref="F31:P32" si="4">ROUND(E11*F$28,2)</f>
        <v>0</v>
      </c>
      <c r="G31" s="66">
        <f t="shared" si="4"/>
        <v>0</v>
      </c>
      <c r="H31" s="66">
        <f t="shared" si="4"/>
        <v>0</v>
      </c>
      <c r="I31" s="66">
        <f t="shared" si="4"/>
        <v>0</v>
      </c>
      <c r="J31" s="66">
        <f t="shared" si="4"/>
        <v>0</v>
      </c>
      <c r="K31" s="66">
        <f t="shared" si="4"/>
        <v>0.03</v>
      </c>
      <c r="L31" s="66">
        <f t="shared" si="4"/>
        <v>0.13</v>
      </c>
      <c r="M31" s="66">
        <f t="shared" si="4"/>
        <v>260.85000000000002</v>
      </c>
      <c r="N31" s="66">
        <f t="shared" si="4"/>
        <v>1734.51</v>
      </c>
      <c r="O31" s="66">
        <f t="shared" si="4"/>
        <v>2850.63</v>
      </c>
      <c r="P31" s="66">
        <f t="shared" si="4"/>
        <v>4551.9799999999996</v>
      </c>
      <c r="Q31" s="66">
        <f>SUM(E31:P31)</f>
        <v>9398.1299999999992</v>
      </c>
      <c r="S31" s="83"/>
    </row>
    <row r="32" spans="1:19" x14ac:dyDescent="0.3">
      <c r="A32" s="62" t="s">
        <v>114</v>
      </c>
      <c r="B32" s="78"/>
      <c r="C32" s="56">
        <v>190032</v>
      </c>
      <c r="D32" s="66">
        <v>0</v>
      </c>
      <c r="E32" s="66">
        <f>ROUND(D12*E$28,2)</f>
        <v>0</v>
      </c>
      <c r="F32" s="66">
        <f t="shared" si="4"/>
        <v>0</v>
      </c>
      <c r="G32" s="66">
        <f t="shared" si="4"/>
        <v>0</v>
      </c>
      <c r="H32" s="66">
        <f t="shared" si="4"/>
        <v>0</v>
      </c>
      <c r="I32" s="66">
        <f t="shared" si="4"/>
        <v>0</v>
      </c>
      <c r="J32" s="66">
        <f t="shared" si="4"/>
        <v>0</v>
      </c>
      <c r="K32" s="66">
        <f t="shared" si="4"/>
        <v>0.03</v>
      </c>
      <c r="L32" s="66">
        <f t="shared" si="4"/>
        <v>0.13</v>
      </c>
      <c r="M32" s="66">
        <f t="shared" si="4"/>
        <v>0.27</v>
      </c>
      <c r="N32" s="66">
        <f t="shared" si="4"/>
        <v>25.42</v>
      </c>
      <c r="O32" s="66">
        <f t="shared" si="4"/>
        <v>633.42999999999995</v>
      </c>
      <c r="P32" s="66">
        <f t="shared" si="4"/>
        <v>2537.58</v>
      </c>
      <c r="Q32" s="66">
        <f>SUM(E32:P32)</f>
        <v>3196.8599999999997</v>
      </c>
      <c r="S32" s="83"/>
    </row>
    <row r="33" spans="1:17" x14ac:dyDescent="0.3">
      <c r="B33" s="78"/>
      <c r="C33" s="56"/>
    </row>
    <row r="34" spans="1:17" ht="15" thickBot="1" x14ac:dyDescent="0.35">
      <c r="A34" s="66" t="s">
        <v>115</v>
      </c>
      <c r="C34" s="56"/>
      <c r="D34" s="82"/>
      <c r="E34" s="84">
        <f>SUM(E31:E32)</f>
        <v>0</v>
      </c>
      <c r="F34" s="84">
        <f t="shared" ref="F34:Q34" si="5">SUM(F31:F32)</f>
        <v>0</v>
      </c>
      <c r="G34" s="84">
        <f t="shared" si="5"/>
        <v>0</v>
      </c>
      <c r="H34" s="84">
        <f t="shared" si="5"/>
        <v>0</v>
      </c>
      <c r="I34" s="84">
        <f t="shared" si="5"/>
        <v>0</v>
      </c>
      <c r="J34" s="84">
        <f t="shared" si="5"/>
        <v>0</v>
      </c>
      <c r="K34" s="84">
        <f t="shared" si="5"/>
        <v>0.06</v>
      </c>
      <c r="L34" s="84">
        <f t="shared" si="5"/>
        <v>0.26</v>
      </c>
      <c r="M34" s="84">
        <f t="shared" si="5"/>
        <v>261.12</v>
      </c>
      <c r="N34" s="84">
        <f t="shared" si="5"/>
        <v>1759.93</v>
      </c>
      <c r="O34" s="84">
        <f t="shared" si="5"/>
        <v>3484.06</v>
      </c>
      <c r="P34" s="84">
        <f t="shared" si="5"/>
        <v>7089.5599999999995</v>
      </c>
      <c r="Q34" s="84">
        <f t="shared" si="5"/>
        <v>12594.989999999998</v>
      </c>
    </row>
    <row r="35" spans="1:17" ht="15" thickTop="1" x14ac:dyDescent="0.3">
      <c r="C35" s="56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</row>
    <row r="36" spans="1:17" x14ac:dyDescent="0.3">
      <c r="A36" s="66" t="s">
        <v>116</v>
      </c>
      <c r="C36" s="56"/>
      <c r="D36" s="66">
        <v>0</v>
      </c>
      <c r="E36" s="66">
        <f>D36+E34</f>
        <v>0</v>
      </c>
      <c r="F36" s="66">
        <f>E36+F34</f>
        <v>0</v>
      </c>
      <c r="G36" s="66">
        <f t="shared" ref="G36:P36" si="6">F36+G34</f>
        <v>0</v>
      </c>
      <c r="H36" s="66">
        <f t="shared" si="6"/>
        <v>0</v>
      </c>
      <c r="I36" s="66">
        <f t="shared" si="6"/>
        <v>0</v>
      </c>
      <c r="J36" s="66">
        <f t="shared" si="6"/>
        <v>0</v>
      </c>
      <c r="K36" s="66">
        <f t="shared" si="6"/>
        <v>0.06</v>
      </c>
      <c r="L36" s="66">
        <f t="shared" si="6"/>
        <v>0.32</v>
      </c>
      <c r="M36" s="66">
        <f t="shared" si="6"/>
        <v>261.44</v>
      </c>
      <c r="N36" s="66">
        <f t="shared" si="6"/>
        <v>2021.3700000000001</v>
      </c>
      <c r="O36" s="66">
        <f t="shared" si="6"/>
        <v>5505.43</v>
      </c>
      <c r="P36" s="66">
        <f t="shared" si="6"/>
        <v>12594.99</v>
      </c>
    </row>
    <row r="37" spans="1:17" x14ac:dyDescent="0.3">
      <c r="C37" s="56"/>
    </row>
    <row r="38" spans="1:17" ht="15" thickBot="1" x14ac:dyDescent="0.35">
      <c r="A38" s="66" t="s">
        <v>117</v>
      </c>
      <c r="C38" s="56"/>
      <c r="D38" s="85">
        <f>SUM(D36:D37)</f>
        <v>0</v>
      </c>
      <c r="E38" s="85">
        <f t="shared" ref="E38:P38" si="7">SUM(E36:E37)</f>
        <v>0</v>
      </c>
      <c r="F38" s="85">
        <f t="shared" si="7"/>
        <v>0</v>
      </c>
      <c r="G38" s="85">
        <f t="shared" si="7"/>
        <v>0</v>
      </c>
      <c r="H38" s="85">
        <f t="shared" si="7"/>
        <v>0</v>
      </c>
      <c r="I38" s="85">
        <f t="shared" si="7"/>
        <v>0</v>
      </c>
      <c r="J38" s="85">
        <f t="shared" si="7"/>
        <v>0</v>
      </c>
      <c r="K38" s="85">
        <f t="shared" si="7"/>
        <v>0.06</v>
      </c>
      <c r="L38" s="85">
        <f t="shared" si="7"/>
        <v>0.32</v>
      </c>
      <c r="M38" s="85">
        <f t="shared" si="7"/>
        <v>261.44</v>
      </c>
      <c r="N38" s="85">
        <f t="shared" si="7"/>
        <v>2021.3700000000001</v>
      </c>
      <c r="O38" s="85">
        <f t="shared" si="7"/>
        <v>5505.43</v>
      </c>
      <c r="P38" s="85">
        <f t="shared" si="7"/>
        <v>12594.99</v>
      </c>
    </row>
    <row r="39" spans="1:17" ht="15" thickTop="1" x14ac:dyDescent="0.3">
      <c r="C39" s="56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</sheetData>
  <mergeCells count="4">
    <mergeCell ref="E6:G6"/>
    <mergeCell ref="H6:J6"/>
    <mergeCell ref="K6:M6"/>
    <mergeCell ref="N6:P6"/>
  </mergeCells>
  <conditionalFormatting sqref="D11:D12">
    <cfRule type="containsBlanks" dxfId="4" priority="5">
      <formula>LEN(TRIM(D11))=0</formula>
    </cfRule>
  </conditionalFormatting>
  <conditionalFormatting sqref="E7 H7 K7 N7 F9">
    <cfRule type="containsBlanks" dxfId="3" priority="4">
      <formula>LEN(TRIM(E7))=0</formula>
    </cfRule>
  </conditionalFormatting>
  <conditionalFormatting sqref="D36">
    <cfRule type="containsBlanks" dxfId="2" priority="3">
      <formula>LEN(TRIM(D36))=0</formula>
    </cfRule>
  </conditionalFormatting>
  <conditionalFormatting sqref="E11:O11">
    <cfRule type="containsBlanks" dxfId="1" priority="2">
      <formula>LEN(TRIM(E11))=0</formula>
    </cfRule>
  </conditionalFormatting>
  <conditionalFormatting sqref="E12:O12">
    <cfRule type="containsBlanks" dxfId="0" priority="1">
      <formula>LEN(TRIM(E12))=0</formula>
    </cfRule>
  </conditionalFormatting>
  <hyperlinks>
    <hyperlink ref="E2" r:id="rId1" xr:uid="{48275070-553B-4290-92BC-1B9F5146702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5922-2284-4676-A311-1F43DA85FD21}">
  <dimension ref="A1:Q47"/>
  <sheetViews>
    <sheetView view="pageBreakPreview" topLeftCell="A2" zoomScaleNormal="100" zoomScaleSheetLayoutView="100" workbookViewId="0">
      <selection activeCell="E6" sqref="E6:P6"/>
    </sheetView>
  </sheetViews>
  <sheetFormatPr defaultRowHeight="14.4" x14ac:dyDescent="0.3"/>
  <cols>
    <col min="1" max="1" width="3.33203125" customWidth="1"/>
    <col min="2" max="2" width="44.5546875" customWidth="1"/>
    <col min="4" max="16" width="14.33203125" bestFit="1" customWidth="1"/>
    <col min="17" max="17" width="6.5546875" customWidth="1"/>
  </cols>
  <sheetData>
    <row r="1" spans="1:17" x14ac:dyDescent="0.3">
      <c r="A1" s="1" t="s">
        <v>0</v>
      </c>
    </row>
    <row r="2" spans="1:17" x14ac:dyDescent="0.3">
      <c r="A2" s="1" t="s">
        <v>85</v>
      </c>
    </row>
    <row r="3" spans="1:17" x14ac:dyDescent="0.3">
      <c r="A3" s="29" t="s">
        <v>90</v>
      </c>
    </row>
    <row r="5" spans="1:17" x14ac:dyDescent="0.3">
      <c r="B5" s="1"/>
      <c r="C5" s="1"/>
      <c r="D5" s="1"/>
      <c r="E5" s="88" t="s">
        <v>92</v>
      </c>
      <c r="F5" s="88"/>
      <c r="G5" s="88"/>
      <c r="H5" s="88" t="s">
        <v>93</v>
      </c>
      <c r="I5" s="88"/>
      <c r="J5" s="88"/>
      <c r="K5" s="88" t="s">
        <v>94</v>
      </c>
      <c r="L5" s="88"/>
      <c r="M5" s="88"/>
      <c r="N5" s="88" t="s">
        <v>95</v>
      </c>
      <c r="O5" s="88"/>
      <c r="P5" s="88"/>
      <c r="Q5" s="1"/>
    </row>
    <row r="6" spans="1:17" x14ac:dyDescent="0.3">
      <c r="B6" s="1" t="s">
        <v>25</v>
      </c>
      <c r="C6" s="1"/>
      <c r="D6" s="1"/>
      <c r="E6" s="34">
        <v>5.7000000000000002E-3</v>
      </c>
      <c r="F6" s="34">
        <v>5.7000000000000002E-3</v>
      </c>
      <c r="G6" s="34">
        <v>5.7000000000000002E-3</v>
      </c>
      <c r="H6" s="34">
        <v>1.0200000000000001E-2</v>
      </c>
      <c r="I6" s="34">
        <v>1.0200000000000001E-2</v>
      </c>
      <c r="J6" s="34">
        <v>1.0200000000000001E-2</v>
      </c>
      <c r="K6" s="34">
        <v>2.1999999999999999E-2</v>
      </c>
      <c r="L6" s="34">
        <v>2.1999999999999999E-2</v>
      </c>
      <c r="M6" s="34">
        <v>2.1999999999999999E-2</v>
      </c>
      <c r="N6" s="34">
        <v>3.8699999999999998E-2</v>
      </c>
      <c r="O6" s="34">
        <v>3.8699999999999998E-2</v>
      </c>
      <c r="P6" s="34">
        <v>3.8699999999999998E-2</v>
      </c>
      <c r="Q6" s="1"/>
    </row>
    <row r="7" spans="1:17" x14ac:dyDescent="0.3">
      <c r="B7" s="1" t="s">
        <v>26</v>
      </c>
      <c r="C7" s="1"/>
      <c r="D7" s="1"/>
      <c r="E7" s="34">
        <f t="shared" ref="E7:P7" si="0">(E6)*(E8/$Q$8)</f>
        <v>4.8410958904109588E-4</v>
      </c>
      <c r="F7" s="34">
        <f t="shared" si="0"/>
        <v>4.3726027397260277E-4</v>
      </c>
      <c r="G7" s="34">
        <f t="shared" si="0"/>
        <v>4.8410958904109588E-4</v>
      </c>
      <c r="H7" s="34">
        <f t="shared" si="0"/>
        <v>8.3835616438356162E-4</v>
      </c>
      <c r="I7" s="34">
        <f t="shared" si="0"/>
        <v>8.6630136986301379E-4</v>
      </c>
      <c r="J7" s="34">
        <f t="shared" si="0"/>
        <v>8.3835616438356162E-4</v>
      </c>
      <c r="K7" s="34">
        <f t="shared" si="0"/>
        <v>1.8684931506849313E-3</v>
      </c>
      <c r="L7" s="34">
        <f t="shared" si="0"/>
        <v>1.8684931506849313E-3</v>
      </c>
      <c r="M7" s="34">
        <f t="shared" si="0"/>
        <v>1.8082191780821916E-3</v>
      </c>
      <c r="N7" s="34">
        <f t="shared" si="0"/>
        <v>3.2868493150684931E-3</v>
      </c>
      <c r="O7" s="34">
        <f t="shared" si="0"/>
        <v>3.1808219178082187E-3</v>
      </c>
      <c r="P7" s="34">
        <f t="shared" si="0"/>
        <v>3.2868493150684931E-3</v>
      </c>
      <c r="Q7" s="1"/>
    </row>
    <row r="8" spans="1:17" x14ac:dyDescent="0.3">
      <c r="B8" s="1" t="s">
        <v>27</v>
      </c>
      <c r="C8" s="1"/>
      <c r="D8" s="1"/>
      <c r="E8" s="35">
        <v>31</v>
      </c>
      <c r="F8" s="35">
        <v>28</v>
      </c>
      <c r="G8" s="35">
        <v>31</v>
      </c>
      <c r="H8" s="35">
        <v>30</v>
      </c>
      <c r="I8" s="35">
        <v>31</v>
      </c>
      <c r="J8" s="35">
        <v>30</v>
      </c>
      <c r="K8" s="35">
        <v>31</v>
      </c>
      <c r="L8" s="35">
        <v>31</v>
      </c>
      <c r="M8" s="35">
        <v>30</v>
      </c>
      <c r="N8" s="35">
        <v>31</v>
      </c>
      <c r="O8" s="35">
        <v>30</v>
      </c>
      <c r="P8" s="35">
        <v>31</v>
      </c>
      <c r="Q8" s="35">
        <f>SUM(E8:P8)</f>
        <v>365</v>
      </c>
    </row>
    <row r="9" spans="1:17" x14ac:dyDescent="0.3">
      <c r="B9" s="36"/>
      <c r="C9" s="37" t="s">
        <v>28</v>
      </c>
      <c r="D9" s="38" t="s">
        <v>96</v>
      </c>
      <c r="E9" s="37" t="s">
        <v>30</v>
      </c>
      <c r="F9" s="37" t="s">
        <v>31</v>
      </c>
      <c r="G9" s="37" t="s">
        <v>32</v>
      </c>
      <c r="H9" s="37" t="s">
        <v>33</v>
      </c>
      <c r="I9" s="37" t="s">
        <v>34</v>
      </c>
      <c r="J9" s="37" t="s">
        <v>35</v>
      </c>
      <c r="K9" s="37" t="s">
        <v>36</v>
      </c>
      <c r="L9" s="37" t="s">
        <v>37</v>
      </c>
      <c r="M9" s="37" t="s">
        <v>38</v>
      </c>
      <c r="N9" s="37" t="s">
        <v>39</v>
      </c>
      <c r="O9" s="37" t="s">
        <v>40</v>
      </c>
      <c r="P9" s="37" t="s">
        <v>41</v>
      </c>
      <c r="Q9" s="36"/>
    </row>
    <row r="10" spans="1:17" x14ac:dyDescent="0.3">
      <c r="B10" s="62" t="s">
        <v>89</v>
      </c>
      <c r="C10" s="56">
        <v>190018</v>
      </c>
      <c r="D10" s="61">
        <v>12033259.1</v>
      </c>
      <c r="E10" s="61">
        <v>12033259.1</v>
      </c>
      <c r="F10" s="61">
        <v>12033259.1</v>
      </c>
      <c r="G10" s="61">
        <v>12033259.1</v>
      </c>
      <c r="H10" s="61">
        <v>12033259.1</v>
      </c>
      <c r="I10" s="61">
        <v>12033259.1</v>
      </c>
      <c r="J10" s="61">
        <v>12033259.1</v>
      </c>
      <c r="K10" s="61">
        <v>12033259.1</v>
      </c>
      <c r="L10" s="61">
        <v>12033259.1</v>
      </c>
      <c r="M10" s="61">
        <v>12033259.1</v>
      </c>
      <c r="N10" s="61">
        <v>12033259.1</v>
      </c>
      <c r="O10" s="61">
        <v>12033259.1</v>
      </c>
      <c r="P10" s="61">
        <v>12033259.1</v>
      </c>
    </row>
    <row r="11" spans="1:17" x14ac:dyDescent="0.3">
      <c r="B11" s="62" t="s">
        <v>88</v>
      </c>
      <c r="C11" s="56">
        <v>190019</v>
      </c>
      <c r="D11" s="61">
        <v>4874836.76</v>
      </c>
      <c r="E11" s="61">
        <v>4874836.76</v>
      </c>
      <c r="F11" s="61">
        <v>4874836.76</v>
      </c>
      <c r="G11" s="61">
        <v>4874836.76</v>
      </c>
      <c r="H11" s="61">
        <v>4874836.76</v>
      </c>
      <c r="I11" s="61">
        <v>4874836.76</v>
      </c>
      <c r="J11" s="61">
        <v>4874836.76</v>
      </c>
      <c r="K11" s="61">
        <v>4874836.76</v>
      </c>
      <c r="L11" s="61">
        <v>4874836.76</v>
      </c>
      <c r="M11" s="61">
        <v>4874836.76</v>
      </c>
      <c r="N11" s="61">
        <v>4874836.76</v>
      </c>
      <c r="O11" s="61">
        <v>4874836.76</v>
      </c>
      <c r="P11" s="61">
        <v>4874836.76</v>
      </c>
    </row>
    <row r="12" spans="1:17" x14ac:dyDescent="0.3">
      <c r="B12" s="62" t="s">
        <v>87</v>
      </c>
      <c r="C12" s="56">
        <v>190020</v>
      </c>
      <c r="D12" s="61">
        <v>491556.18</v>
      </c>
      <c r="E12" s="61">
        <v>491556.18</v>
      </c>
      <c r="F12" s="61">
        <v>491556.18</v>
      </c>
      <c r="G12" s="61">
        <v>491556.18</v>
      </c>
      <c r="H12" s="61">
        <v>491556.18</v>
      </c>
      <c r="I12" s="61">
        <v>491556.18</v>
      </c>
      <c r="J12" s="61">
        <v>491556.18</v>
      </c>
      <c r="K12" s="61">
        <v>491556.18</v>
      </c>
      <c r="L12" s="61">
        <v>491556.18</v>
      </c>
      <c r="M12" s="61">
        <v>491556.18</v>
      </c>
      <c r="N12" s="61">
        <v>491556.18</v>
      </c>
      <c r="O12" s="61">
        <v>491556.18</v>
      </c>
      <c r="P12" s="61">
        <v>491556.18</v>
      </c>
    </row>
    <row r="13" spans="1:17" x14ac:dyDescent="0.3">
      <c r="B13" s="62" t="s">
        <v>91</v>
      </c>
      <c r="C13" s="56">
        <v>190022</v>
      </c>
      <c r="D13" s="61">
        <v>0</v>
      </c>
      <c r="E13" s="61">
        <v>0</v>
      </c>
      <c r="F13" s="61">
        <v>0</v>
      </c>
      <c r="G13" s="61">
        <v>0</v>
      </c>
      <c r="H13" s="61">
        <v>-337019.89</v>
      </c>
      <c r="I13" s="61">
        <v>-838631.78</v>
      </c>
      <c r="J13" s="61">
        <v>-1340243.67</v>
      </c>
      <c r="K13" s="61">
        <v>-1841855.56</v>
      </c>
      <c r="L13" s="61">
        <v>-2343467.4500000002</v>
      </c>
      <c r="M13" s="61">
        <v>-2845079.45</v>
      </c>
      <c r="N13" s="61">
        <v>-3346689.7300000004</v>
      </c>
      <c r="O13" s="61">
        <v>-3848301.37</v>
      </c>
      <c r="P13" s="61">
        <v>-4349913.01</v>
      </c>
    </row>
    <row r="14" spans="1:17" x14ac:dyDescent="0.3">
      <c r="C14" s="1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7" x14ac:dyDescent="0.3">
      <c r="B15" t="s">
        <v>46</v>
      </c>
      <c r="C15" s="19"/>
      <c r="D15" s="27">
        <f t="shared" ref="D15:P15" si="1">SUM(D10:D14)</f>
        <v>17399652.039999999</v>
      </c>
      <c r="E15" s="27">
        <f t="shared" si="1"/>
        <v>17399652.039999999</v>
      </c>
      <c r="F15" s="27">
        <f t="shared" si="1"/>
        <v>17399652.039999999</v>
      </c>
      <c r="G15" s="27">
        <f t="shared" si="1"/>
        <v>17399652.039999999</v>
      </c>
      <c r="H15" s="27">
        <f t="shared" si="1"/>
        <v>17062632.149999999</v>
      </c>
      <c r="I15" s="27">
        <f t="shared" si="1"/>
        <v>16561020.26</v>
      </c>
      <c r="J15" s="27">
        <f t="shared" si="1"/>
        <v>16059408.369999999</v>
      </c>
      <c r="K15" s="27">
        <f t="shared" si="1"/>
        <v>15557796.479999999</v>
      </c>
      <c r="L15" s="27">
        <f t="shared" si="1"/>
        <v>15056184.59</v>
      </c>
      <c r="M15" s="27">
        <f t="shared" si="1"/>
        <v>14554572.59</v>
      </c>
      <c r="N15" s="27">
        <f t="shared" si="1"/>
        <v>14052962.309999999</v>
      </c>
      <c r="O15" s="27">
        <f t="shared" si="1"/>
        <v>13551350.669999998</v>
      </c>
      <c r="P15" s="27">
        <f t="shared" si="1"/>
        <v>13049739.029999999</v>
      </c>
    </row>
    <row r="16" spans="1:17" x14ac:dyDescent="0.3">
      <c r="B16" t="s">
        <v>47</v>
      </c>
      <c r="C16" s="19"/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</row>
    <row r="17" spans="2:17" x14ac:dyDescent="0.3">
      <c r="B17" t="s">
        <v>48</v>
      </c>
      <c r="C17" s="19"/>
      <c r="D17" s="27">
        <f t="shared" ref="D17:P17" si="2">SUM(D15:D16)</f>
        <v>17399652.039999999</v>
      </c>
      <c r="E17" s="27">
        <f t="shared" si="2"/>
        <v>17399652.039999999</v>
      </c>
      <c r="F17" s="27">
        <f t="shared" si="2"/>
        <v>17399652.039999999</v>
      </c>
      <c r="G17" s="27">
        <f t="shared" si="2"/>
        <v>17399652.039999999</v>
      </c>
      <c r="H17" s="27">
        <f t="shared" si="2"/>
        <v>17062632.149999999</v>
      </c>
      <c r="I17" s="27">
        <f t="shared" si="2"/>
        <v>16561020.26</v>
      </c>
      <c r="J17" s="27">
        <f t="shared" si="2"/>
        <v>16059408.369999999</v>
      </c>
      <c r="K17" s="27">
        <f t="shared" si="2"/>
        <v>15557796.479999999</v>
      </c>
      <c r="L17" s="27">
        <f t="shared" si="2"/>
        <v>15056184.59</v>
      </c>
      <c r="M17" s="27">
        <f t="shared" si="2"/>
        <v>14554572.59</v>
      </c>
      <c r="N17" s="27">
        <f t="shared" si="2"/>
        <v>14052962.309999999</v>
      </c>
      <c r="O17" s="27">
        <f t="shared" si="2"/>
        <v>13551350.669999998</v>
      </c>
      <c r="P17" s="27">
        <f t="shared" si="2"/>
        <v>13049739.029999999</v>
      </c>
    </row>
    <row r="18" spans="2:17" x14ac:dyDescent="0.3">
      <c r="B18" t="s">
        <v>26</v>
      </c>
      <c r="C18" s="19"/>
      <c r="D18" s="41"/>
      <c r="E18" s="42">
        <f t="shared" ref="E18:P18" si="3">E7</f>
        <v>4.8410958904109588E-4</v>
      </c>
      <c r="F18" s="42">
        <f t="shared" si="3"/>
        <v>4.3726027397260277E-4</v>
      </c>
      <c r="G18" s="42">
        <f t="shared" si="3"/>
        <v>4.8410958904109588E-4</v>
      </c>
      <c r="H18" s="42">
        <f t="shared" si="3"/>
        <v>8.3835616438356162E-4</v>
      </c>
      <c r="I18" s="42">
        <f t="shared" si="3"/>
        <v>8.6630136986301379E-4</v>
      </c>
      <c r="J18" s="42">
        <f t="shared" si="3"/>
        <v>8.3835616438356162E-4</v>
      </c>
      <c r="K18" s="42">
        <f t="shared" si="3"/>
        <v>1.8684931506849313E-3</v>
      </c>
      <c r="L18" s="42">
        <f t="shared" si="3"/>
        <v>1.8684931506849313E-3</v>
      </c>
      <c r="M18" s="42">
        <f t="shared" si="3"/>
        <v>1.8082191780821916E-3</v>
      </c>
      <c r="N18" s="42">
        <f t="shared" si="3"/>
        <v>3.2868493150684931E-3</v>
      </c>
      <c r="O18" s="42">
        <f t="shared" si="3"/>
        <v>3.1808219178082187E-3</v>
      </c>
      <c r="P18" s="42">
        <f t="shared" si="3"/>
        <v>3.2868493150684931E-3</v>
      </c>
    </row>
    <row r="19" spans="2:17" x14ac:dyDescent="0.3">
      <c r="B19" t="s">
        <v>86</v>
      </c>
      <c r="C19" s="19">
        <v>190021</v>
      </c>
      <c r="E19" s="2">
        <f t="shared" ref="E19:O19" si="4">D17*E18</f>
        <v>8423.3383985424643</v>
      </c>
      <c r="F19" s="2">
        <f t="shared" si="4"/>
        <v>7608.1766180383565</v>
      </c>
      <c r="G19" s="2">
        <f t="shared" si="4"/>
        <v>8423.3383985424643</v>
      </c>
      <c r="H19" s="2">
        <f t="shared" si="4"/>
        <v>14587.105545863013</v>
      </c>
      <c r="I19" s="2">
        <f t="shared" si="4"/>
        <v>14781.381605013699</v>
      </c>
      <c r="J19" s="2">
        <f t="shared" si="4"/>
        <v>13884.033423452054</v>
      </c>
      <c r="K19" s="2">
        <f t="shared" si="4"/>
        <v>30006.894543397255</v>
      </c>
      <c r="L19" s="2">
        <f t="shared" si="4"/>
        <v>29069.63616263013</v>
      </c>
      <c r="M19" s="2">
        <f t="shared" si="4"/>
        <v>27224.881724383558</v>
      </c>
      <c r="N19" s="2">
        <f t="shared" si="4"/>
        <v>47838.686948556162</v>
      </c>
      <c r="O19" s="2">
        <f t="shared" si="4"/>
        <v>44699.970525780809</v>
      </c>
      <c r="P19" s="2">
        <f>O17*P18+2021</f>
        <v>46562.247667942458</v>
      </c>
    </row>
    <row r="20" spans="2:17" ht="15" thickBot="1" x14ac:dyDescent="0.35">
      <c r="B20" t="s">
        <v>50</v>
      </c>
      <c r="D20" s="43">
        <f>+'COVID 2020 Deferral - Summary'!E17</f>
        <v>99178.016627999983</v>
      </c>
      <c r="E20" s="43">
        <f t="shared" ref="E20:O20" si="5">D20+E19</f>
        <v>107601.35502654244</v>
      </c>
      <c r="F20" s="43">
        <f t="shared" si="5"/>
        <v>115209.5316445808</v>
      </c>
      <c r="G20" s="43">
        <f t="shared" si="5"/>
        <v>123632.87004312326</v>
      </c>
      <c r="H20" s="43">
        <f t="shared" si="5"/>
        <v>138219.97558898627</v>
      </c>
      <c r="I20" s="43">
        <f t="shared" si="5"/>
        <v>153001.35719399998</v>
      </c>
      <c r="J20" s="43">
        <f t="shared" si="5"/>
        <v>166885.39061745204</v>
      </c>
      <c r="K20" s="43">
        <f t="shared" si="5"/>
        <v>196892.28516084928</v>
      </c>
      <c r="L20" s="43">
        <f t="shared" si="5"/>
        <v>225961.92132347942</v>
      </c>
      <c r="M20" s="43">
        <f t="shared" si="5"/>
        <v>253186.80304786298</v>
      </c>
      <c r="N20" s="43">
        <f t="shared" si="5"/>
        <v>301025.48999641917</v>
      </c>
      <c r="O20" s="43">
        <f t="shared" si="5"/>
        <v>345725.46052219998</v>
      </c>
      <c r="P20" s="43">
        <f>O20+P19</f>
        <v>392287.70819014241</v>
      </c>
    </row>
    <row r="21" spans="2:17" s="63" customFormat="1" ht="15.6" thickTop="1" thickBot="1" x14ac:dyDescent="0.35"/>
    <row r="22" spans="2:17" x14ac:dyDescent="0.3">
      <c r="B22" s="1"/>
      <c r="C22" s="1"/>
      <c r="D22" s="1"/>
      <c r="E22" s="88" t="s">
        <v>92</v>
      </c>
      <c r="F22" s="88"/>
      <c r="G22" s="88"/>
      <c r="H22" s="88" t="s">
        <v>93</v>
      </c>
      <c r="I22" s="88"/>
      <c r="J22" s="88"/>
      <c r="K22" s="88" t="s">
        <v>94</v>
      </c>
      <c r="L22" s="88"/>
      <c r="M22" s="88"/>
      <c r="N22" s="88" t="s">
        <v>95</v>
      </c>
      <c r="O22" s="88"/>
      <c r="P22" s="88"/>
      <c r="Q22" s="1"/>
    </row>
    <row r="23" spans="2:17" x14ac:dyDescent="0.3">
      <c r="B23" s="1" t="s">
        <v>25</v>
      </c>
      <c r="C23" s="1"/>
      <c r="D23" s="1"/>
      <c r="E23" s="34">
        <v>5.7000000000000002E-3</v>
      </c>
      <c r="F23" s="34">
        <v>5.7000000000000002E-3</v>
      </c>
      <c r="G23" s="34">
        <v>5.7000000000000002E-3</v>
      </c>
      <c r="H23" s="34">
        <v>1.0200000000000001E-2</v>
      </c>
      <c r="I23" s="34">
        <v>1.0200000000000001E-2</v>
      </c>
      <c r="J23" s="34">
        <v>1.0200000000000001E-2</v>
      </c>
      <c r="K23" s="34">
        <v>2.1999999999999999E-2</v>
      </c>
      <c r="L23" s="34">
        <v>2.1999999999999999E-2</v>
      </c>
      <c r="M23" s="34">
        <v>2.1999999999999999E-2</v>
      </c>
      <c r="N23" s="34">
        <v>3.8699999999999998E-2</v>
      </c>
      <c r="O23" s="34">
        <v>3.8699999999999998E-2</v>
      </c>
      <c r="P23" s="34">
        <v>3.8699999999999998E-2</v>
      </c>
      <c r="Q23" s="1"/>
    </row>
    <row r="24" spans="2:17" x14ac:dyDescent="0.3">
      <c r="B24" s="1" t="s">
        <v>26</v>
      </c>
      <c r="C24" s="1"/>
      <c r="D24" s="1"/>
      <c r="E24" s="34">
        <f t="shared" ref="E24:P24" si="6">(E23)*(E25/$Q$8)</f>
        <v>4.8410958904109588E-4</v>
      </c>
      <c r="F24" s="34">
        <f t="shared" si="6"/>
        <v>4.3726027397260277E-4</v>
      </c>
      <c r="G24" s="34">
        <f t="shared" si="6"/>
        <v>4.8410958904109588E-4</v>
      </c>
      <c r="H24" s="34">
        <f t="shared" si="6"/>
        <v>8.3835616438356162E-4</v>
      </c>
      <c r="I24" s="34">
        <f t="shared" si="6"/>
        <v>8.6630136986301379E-4</v>
      </c>
      <c r="J24" s="34">
        <f t="shared" si="6"/>
        <v>8.3835616438356162E-4</v>
      </c>
      <c r="K24" s="34">
        <f t="shared" si="6"/>
        <v>1.8684931506849313E-3</v>
      </c>
      <c r="L24" s="34">
        <f t="shared" si="6"/>
        <v>1.8684931506849313E-3</v>
      </c>
      <c r="M24" s="34">
        <f t="shared" si="6"/>
        <v>1.8082191780821916E-3</v>
      </c>
      <c r="N24" s="34">
        <f t="shared" si="6"/>
        <v>3.2868493150684931E-3</v>
      </c>
      <c r="O24" s="34">
        <f t="shared" si="6"/>
        <v>3.1808219178082187E-3</v>
      </c>
      <c r="P24" s="34">
        <f t="shared" si="6"/>
        <v>3.2868493150684931E-3</v>
      </c>
      <c r="Q24" s="1"/>
    </row>
    <row r="25" spans="2:17" x14ac:dyDescent="0.3">
      <c r="B25" s="1" t="s">
        <v>27</v>
      </c>
      <c r="C25" s="1"/>
      <c r="D25" s="1"/>
      <c r="E25" s="35">
        <v>31</v>
      </c>
      <c r="F25" s="35">
        <v>28</v>
      </c>
      <c r="G25" s="35">
        <v>31</v>
      </c>
      <c r="H25" s="35">
        <v>30</v>
      </c>
      <c r="I25" s="35">
        <v>31</v>
      </c>
      <c r="J25" s="35">
        <v>30</v>
      </c>
      <c r="K25" s="35">
        <v>31</v>
      </c>
      <c r="L25" s="35">
        <v>31</v>
      </c>
      <c r="M25" s="35">
        <v>30</v>
      </c>
      <c r="N25" s="35">
        <v>31</v>
      </c>
      <c r="O25" s="35">
        <v>30</v>
      </c>
      <c r="P25" s="35">
        <v>31</v>
      </c>
      <c r="Q25" s="35">
        <f>SUM(E25:P25)</f>
        <v>365</v>
      </c>
    </row>
    <row r="26" spans="2:17" x14ac:dyDescent="0.3">
      <c r="B26" s="36"/>
      <c r="C26" s="37" t="s">
        <v>28</v>
      </c>
      <c r="D26" s="38" t="s">
        <v>96</v>
      </c>
      <c r="E26" s="37" t="s">
        <v>30</v>
      </c>
      <c r="F26" s="37" t="s">
        <v>31</v>
      </c>
      <c r="G26" s="37" t="s">
        <v>32</v>
      </c>
      <c r="H26" s="37" t="s">
        <v>33</v>
      </c>
      <c r="I26" s="37" t="s">
        <v>34</v>
      </c>
      <c r="J26" s="37" t="s">
        <v>35</v>
      </c>
      <c r="K26" s="37" t="s">
        <v>36</v>
      </c>
      <c r="L26" s="37" t="s">
        <v>37</v>
      </c>
      <c r="M26" s="37" t="s">
        <v>38</v>
      </c>
      <c r="N26" s="37" t="s">
        <v>39</v>
      </c>
      <c r="O26" s="37" t="s">
        <v>40</v>
      </c>
      <c r="P26" s="37" t="s">
        <v>41</v>
      </c>
      <c r="Q26" s="36"/>
    </row>
    <row r="27" spans="2:17" x14ac:dyDescent="0.3">
      <c r="B27" s="62" t="s">
        <v>89</v>
      </c>
      <c r="C27" s="56">
        <v>190018</v>
      </c>
      <c r="D27" s="61">
        <v>24845283.379999999</v>
      </c>
      <c r="E27" s="61">
        <v>26096966.07</v>
      </c>
      <c r="F27" s="61">
        <v>26153505.57</v>
      </c>
      <c r="G27" s="61">
        <v>28954611.909999996</v>
      </c>
      <c r="H27" s="61">
        <v>28987873.109999999</v>
      </c>
      <c r="I27" s="61">
        <v>28988960.939999998</v>
      </c>
      <c r="J27" s="61">
        <v>28990153.609999999</v>
      </c>
      <c r="K27" s="61">
        <v>28990153.609999999</v>
      </c>
      <c r="L27" s="61">
        <v>28993044.899999999</v>
      </c>
      <c r="M27" s="61">
        <v>29197787.609999999</v>
      </c>
      <c r="N27" s="61">
        <v>29197787.609999999</v>
      </c>
      <c r="O27" s="61">
        <v>29197872.280000001</v>
      </c>
      <c r="P27" s="61">
        <v>35061573.899999999</v>
      </c>
    </row>
    <row r="28" spans="2:17" x14ac:dyDescent="0.3">
      <c r="B28" s="62" t="s">
        <v>88</v>
      </c>
      <c r="C28" s="56">
        <v>190019</v>
      </c>
      <c r="D28" s="61">
        <v>13575791.91</v>
      </c>
      <c r="E28" s="61">
        <v>13577307.58</v>
      </c>
      <c r="F28" s="61">
        <v>13636637.749999998</v>
      </c>
      <c r="G28" s="61">
        <v>15028810.220000001</v>
      </c>
      <c r="H28" s="61">
        <v>15161833.450000001</v>
      </c>
      <c r="I28" s="61">
        <v>15190337.299999999</v>
      </c>
      <c r="J28" s="61">
        <v>15218738.160000002</v>
      </c>
      <c r="K28" s="61">
        <v>15241430.389999999</v>
      </c>
      <c r="L28" s="61">
        <v>15271529.85</v>
      </c>
      <c r="M28" s="61">
        <v>15299310.040000001</v>
      </c>
      <c r="N28" s="61">
        <v>15326518.229999999</v>
      </c>
      <c r="O28" s="61">
        <v>15475900.660000002</v>
      </c>
      <c r="P28" s="61">
        <v>21439326.68</v>
      </c>
    </row>
    <row r="29" spans="2:17" x14ac:dyDescent="0.3">
      <c r="B29" s="62" t="s">
        <v>87</v>
      </c>
      <c r="C29" s="56">
        <v>190020</v>
      </c>
      <c r="D29" s="61">
        <v>3510923.33</v>
      </c>
      <c r="E29" s="61">
        <v>3512438.9899999998</v>
      </c>
      <c r="F29" s="61">
        <v>3687307.73</v>
      </c>
      <c r="G29" s="61">
        <v>3691234.38</v>
      </c>
      <c r="H29" s="61">
        <v>4172659.5899999994</v>
      </c>
      <c r="I29" s="61">
        <v>4203061.95</v>
      </c>
      <c r="J29" s="61">
        <v>4222821.41</v>
      </c>
      <c r="K29" s="61">
        <v>5577453.46</v>
      </c>
      <c r="L29" s="61">
        <v>5597113.9199999999</v>
      </c>
      <c r="M29" s="61">
        <v>5614455.1200000001</v>
      </c>
      <c r="N29" s="61">
        <v>5631224.3200000003</v>
      </c>
      <c r="O29" s="61">
        <v>5648078.1800000006</v>
      </c>
      <c r="P29" s="61">
        <v>11673153.35</v>
      </c>
    </row>
    <row r="30" spans="2:17" x14ac:dyDescent="0.3">
      <c r="C30" s="1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7" x14ac:dyDescent="0.3">
      <c r="B31" t="s">
        <v>46</v>
      </c>
      <c r="C31" s="19"/>
      <c r="D31" s="27">
        <f t="shared" ref="D31:P31" si="7">SUM(D27:D30)</f>
        <v>41931998.619999997</v>
      </c>
      <c r="E31" s="27">
        <f t="shared" si="7"/>
        <v>43186712.640000001</v>
      </c>
      <c r="F31" s="27">
        <f>SUM(F27:F30)</f>
        <v>43477451.049999997</v>
      </c>
      <c r="G31" s="27">
        <f t="shared" si="7"/>
        <v>47674656.509999998</v>
      </c>
      <c r="H31" s="27">
        <f t="shared" si="7"/>
        <v>48322366.149999999</v>
      </c>
      <c r="I31" s="27">
        <f t="shared" si="7"/>
        <v>48382360.189999998</v>
      </c>
      <c r="J31" s="27">
        <f t="shared" si="7"/>
        <v>48431713.180000007</v>
      </c>
      <c r="K31" s="27">
        <f t="shared" si="7"/>
        <v>49809037.460000001</v>
      </c>
      <c r="L31" s="27">
        <f t="shared" si="7"/>
        <v>49861688.670000002</v>
      </c>
      <c r="M31" s="27">
        <f t="shared" si="7"/>
        <v>50111552.769999996</v>
      </c>
      <c r="N31" s="27">
        <f t="shared" si="7"/>
        <v>50155530.159999996</v>
      </c>
      <c r="O31" s="27">
        <f t="shared" si="7"/>
        <v>50321851.120000005</v>
      </c>
      <c r="P31" s="27">
        <f t="shared" si="7"/>
        <v>68174053.929999992</v>
      </c>
    </row>
    <row r="32" spans="2:17" x14ac:dyDescent="0.3">
      <c r="B32" t="s">
        <v>47</v>
      </c>
      <c r="C32" s="19"/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</row>
    <row r="33" spans="2:16" x14ac:dyDescent="0.3">
      <c r="B33" t="s">
        <v>48</v>
      </c>
      <c r="C33" s="19"/>
      <c r="D33" s="27">
        <f t="shared" ref="D33:P33" si="8">SUM(D31:D32)</f>
        <v>41931998.619999997</v>
      </c>
      <c r="E33" s="27">
        <f t="shared" si="8"/>
        <v>43186712.640000001</v>
      </c>
      <c r="F33" s="27">
        <f t="shared" si="8"/>
        <v>43477451.049999997</v>
      </c>
      <c r="G33" s="27">
        <f t="shared" si="8"/>
        <v>47674656.509999998</v>
      </c>
      <c r="H33" s="27">
        <f t="shared" si="8"/>
        <v>48322366.149999999</v>
      </c>
      <c r="I33" s="27">
        <f t="shared" si="8"/>
        <v>48382360.189999998</v>
      </c>
      <c r="J33" s="27">
        <f t="shared" si="8"/>
        <v>48431713.180000007</v>
      </c>
      <c r="K33" s="27">
        <f t="shared" si="8"/>
        <v>49809037.460000001</v>
      </c>
      <c r="L33" s="27">
        <f t="shared" si="8"/>
        <v>49861688.670000002</v>
      </c>
      <c r="M33" s="27">
        <f t="shared" si="8"/>
        <v>50111552.769999996</v>
      </c>
      <c r="N33" s="27">
        <f t="shared" si="8"/>
        <v>50155530.159999996</v>
      </c>
      <c r="O33" s="27">
        <f t="shared" si="8"/>
        <v>50321851.120000005</v>
      </c>
      <c r="P33" s="27">
        <f t="shared" si="8"/>
        <v>68174053.929999992</v>
      </c>
    </row>
    <row r="34" spans="2:16" x14ac:dyDescent="0.3">
      <c r="B34" t="s">
        <v>26</v>
      </c>
      <c r="C34" s="19"/>
      <c r="D34" s="41"/>
      <c r="E34" s="42">
        <f t="shared" ref="E34:P34" si="9">E24</f>
        <v>4.8410958904109588E-4</v>
      </c>
      <c r="F34" s="42">
        <f t="shared" si="9"/>
        <v>4.3726027397260277E-4</v>
      </c>
      <c r="G34" s="42">
        <f t="shared" si="9"/>
        <v>4.8410958904109588E-4</v>
      </c>
      <c r="H34" s="42">
        <f t="shared" si="9"/>
        <v>8.3835616438356162E-4</v>
      </c>
      <c r="I34" s="42">
        <f t="shared" si="9"/>
        <v>8.6630136986301379E-4</v>
      </c>
      <c r="J34" s="42">
        <f t="shared" si="9"/>
        <v>8.3835616438356162E-4</v>
      </c>
      <c r="K34" s="42">
        <f t="shared" si="9"/>
        <v>1.8684931506849313E-3</v>
      </c>
      <c r="L34" s="42">
        <f t="shared" si="9"/>
        <v>1.8684931506849313E-3</v>
      </c>
      <c r="M34" s="42">
        <f t="shared" si="9"/>
        <v>1.8082191780821916E-3</v>
      </c>
      <c r="N34" s="42">
        <f t="shared" si="9"/>
        <v>3.2868493150684931E-3</v>
      </c>
      <c r="O34" s="42">
        <f t="shared" si="9"/>
        <v>3.1808219178082187E-3</v>
      </c>
      <c r="P34" s="42">
        <f t="shared" si="9"/>
        <v>3.2868493150684931E-3</v>
      </c>
    </row>
    <row r="35" spans="2:16" x14ac:dyDescent="0.3">
      <c r="B35" t="s">
        <v>86</v>
      </c>
      <c r="C35" s="19">
        <v>190021</v>
      </c>
      <c r="E35" s="2">
        <f>D33*E34</f>
        <v>20299.6826196</v>
      </c>
      <c r="F35" s="2">
        <f t="shared" ref="F35:O35" si="10">E33*F34</f>
        <v>18883.833800942466</v>
      </c>
      <c r="G35" s="2">
        <f t="shared" si="10"/>
        <v>21047.850960369862</v>
      </c>
      <c r="H35" s="2">
        <f t="shared" si="10"/>
        <v>39968.342170027398</v>
      </c>
      <c r="I35" s="2">
        <f t="shared" si="10"/>
        <v>41861.731990767126</v>
      </c>
      <c r="J35" s="2">
        <f t="shared" si="10"/>
        <v>40561.649912712324</v>
      </c>
      <c r="K35" s="2">
        <f t="shared" si="10"/>
        <v>90494.324352767129</v>
      </c>
      <c r="L35" s="2">
        <f t="shared" si="10"/>
        <v>93067.845336219165</v>
      </c>
      <c r="M35" s="2">
        <f t="shared" si="10"/>
        <v>90160.861704657524</v>
      </c>
      <c r="N35" s="2">
        <f t="shared" si="10"/>
        <v>164709.12289909314</v>
      </c>
      <c r="O35" s="2">
        <f t="shared" si="10"/>
        <v>159535.80963221914</v>
      </c>
      <c r="P35" s="2">
        <f>O33*P34-2021</f>
        <v>163379.34188675068</v>
      </c>
    </row>
    <row r="36" spans="2:16" ht="15" thickBot="1" x14ac:dyDescent="0.35">
      <c r="B36" t="s">
        <v>50</v>
      </c>
      <c r="D36" s="43">
        <f>+'COVID Deferral - 2021'!P35</f>
        <v>65805.60960706028</v>
      </c>
      <c r="E36" s="43">
        <f t="shared" ref="E36:P36" si="11">D36+E35</f>
        <v>86105.292226660284</v>
      </c>
      <c r="F36" s="43">
        <f t="shared" si="11"/>
        <v>104989.12602760275</v>
      </c>
      <c r="G36" s="43">
        <f t="shared" si="11"/>
        <v>126036.97698797261</v>
      </c>
      <c r="H36" s="43">
        <f t="shared" si="11"/>
        <v>166005.319158</v>
      </c>
      <c r="I36" s="43">
        <f t="shared" si="11"/>
        <v>207867.05114876712</v>
      </c>
      <c r="J36" s="43">
        <f t="shared" si="11"/>
        <v>248428.70106147946</v>
      </c>
      <c r="K36" s="43">
        <f t="shared" si="11"/>
        <v>338923.0254142466</v>
      </c>
      <c r="L36" s="43">
        <f t="shared" si="11"/>
        <v>431990.87075046578</v>
      </c>
      <c r="M36" s="43">
        <f t="shared" si="11"/>
        <v>522151.73245512333</v>
      </c>
      <c r="N36" s="43">
        <f t="shared" si="11"/>
        <v>686860.85535421642</v>
      </c>
      <c r="O36" s="43">
        <f t="shared" si="11"/>
        <v>846396.66498643556</v>
      </c>
      <c r="P36" s="43">
        <f t="shared" si="11"/>
        <v>1009776.0068731862</v>
      </c>
    </row>
    <row r="37" spans="2:16" ht="15" thickTop="1" x14ac:dyDescent="0.3"/>
    <row r="38" spans="2:16" x14ac:dyDescent="0.3">
      <c r="E38" s="2">
        <f>+E17-$D$17</f>
        <v>0</v>
      </c>
      <c r="F38" s="2">
        <f t="shared" ref="F38:P38" si="12">+F17-$D$17</f>
        <v>0</v>
      </c>
      <c r="G38" s="2">
        <f>+G17-$D$17</f>
        <v>0</v>
      </c>
      <c r="H38" s="2">
        <f t="shared" si="12"/>
        <v>-337019.8900000006</v>
      </c>
      <c r="I38" s="2">
        <f t="shared" si="12"/>
        <v>-838631.77999999933</v>
      </c>
      <c r="J38" s="2">
        <f t="shared" si="12"/>
        <v>-1340243.67</v>
      </c>
      <c r="K38" s="2">
        <f t="shared" si="12"/>
        <v>-1841855.5600000005</v>
      </c>
      <c r="L38" s="2">
        <f t="shared" si="12"/>
        <v>-2343467.4499999993</v>
      </c>
      <c r="M38" s="2">
        <f t="shared" si="12"/>
        <v>-2845079.4499999993</v>
      </c>
      <c r="N38" s="2">
        <f t="shared" si="12"/>
        <v>-3346689.7300000004</v>
      </c>
      <c r="O38" s="2">
        <f t="shared" si="12"/>
        <v>-3848301.370000001</v>
      </c>
      <c r="P38" s="2">
        <f t="shared" si="12"/>
        <v>-4349913.01</v>
      </c>
    </row>
    <row r="39" spans="2:16" x14ac:dyDescent="0.3">
      <c r="E39" s="2">
        <f>+E33-E38</f>
        <v>43186712.640000001</v>
      </c>
      <c r="F39" s="2">
        <f>+F33-F38</f>
        <v>43477451.049999997</v>
      </c>
      <c r="G39" s="2">
        <f>+G33-G38</f>
        <v>47674656.509999998</v>
      </c>
      <c r="H39" s="2">
        <f t="shared" ref="H39:P39" si="13">+H33-H38</f>
        <v>48659386.039999999</v>
      </c>
      <c r="I39" s="2">
        <f t="shared" si="13"/>
        <v>49220991.969999999</v>
      </c>
      <c r="J39" s="2">
        <f t="shared" si="13"/>
        <v>49771956.850000009</v>
      </c>
      <c r="K39" s="2">
        <f t="shared" si="13"/>
        <v>51650893.020000003</v>
      </c>
      <c r="L39" s="2">
        <f t="shared" si="13"/>
        <v>52205156.120000005</v>
      </c>
      <c r="M39" s="2">
        <f t="shared" si="13"/>
        <v>52956632.219999999</v>
      </c>
      <c r="N39" s="2">
        <f t="shared" si="13"/>
        <v>53502219.890000001</v>
      </c>
      <c r="O39" s="2">
        <f t="shared" si="13"/>
        <v>54170152.49000001</v>
      </c>
      <c r="P39" s="2">
        <f t="shared" si="13"/>
        <v>72523966.939999998</v>
      </c>
    </row>
    <row r="41" spans="2:16" x14ac:dyDescent="0.3">
      <c r="B41" t="s">
        <v>97</v>
      </c>
      <c r="E41">
        <v>38130225.170000002</v>
      </c>
      <c r="F41">
        <v>38186764.670000002</v>
      </c>
      <c r="G41">
        <v>40987871.009999998</v>
      </c>
      <c r="H41">
        <v>41021132.210000001</v>
      </c>
      <c r="I41">
        <v>41022220.039999999</v>
      </c>
      <c r="J41">
        <v>41023412.710000001</v>
      </c>
      <c r="K41">
        <v>41023412.710000001</v>
      </c>
      <c r="L41">
        <v>41026304</v>
      </c>
      <c r="M41">
        <v>41231046.710000001</v>
      </c>
      <c r="N41">
        <v>41231046.710000001</v>
      </c>
      <c r="O41">
        <v>41231131.380000003</v>
      </c>
      <c r="P41">
        <v>47094833</v>
      </c>
    </row>
    <row r="42" spans="2:16" x14ac:dyDescent="0.3">
      <c r="B42" t="s">
        <v>98</v>
      </c>
      <c r="E42">
        <v>18452144.34</v>
      </c>
      <c r="F42">
        <v>18511474.509999998</v>
      </c>
      <c r="G42">
        <v>19903646.98</v>
      </c>
      <c r="H42">
        <v>20036670.210000001</v>
      </c>
      <c r="I42">
        <v>20065174.059999999</v>
      </c>
      <c r="J42">
        <v>20093574.920000002</v>
      </c>
      <c r="K42">
        <v>20116267.149999999</v>
      </c>
      <c r="L42">
        <v>20146366.609999999</v>
      </c>
      <c r="M42">
        <v>20174146.800000001</v>
      </c>
      <c r="N42">
        <v>20201354.989999998</v>
      </c>
      <c r="O42">
        <v>20350737.420000002</v>
      </c>
      <c r="P42">
        <v>26314163.440000001</v>
      </c>
    </row>
    <row r="43" spans="2:16" x14ac:dyDescent="0.3">
      <c r="B43" t="s">
        <v>99</v>
      </c>
      <c r="E43">
        <v>4003995.17</v>
      </c>
      <c r="F43">
        <v>4178863.91</v>
      </c>
      <c r="G43">
        <v>4182790.56</v>
      </c>
      <c r="H43">
        <v>4664215.7699999996</v>
      </c>
      <c r="I43">
        <v>4694618.13</v>
      </c>
      <c r="J43">
        <v>4714377.59</v>
      </c>
      <c r="K43">
        <v>6069009.6399999997</v>
      </c>
      <c r="L43">
        <v>6088670.0999999996</v>
      </c>
      <c r="M43">
        <v>6106011.2999999998</v>
      </c>
      <c r="N43">
        <v>6122780.5</v>
      </c>
      <c r="O43">
        <v>6139634.3600000003</v>
      </c>
      <c r="P43">
        <v>12164709.529999999</v>
      </c>
    </row>
    <row r="45" spans="2:16" x14ac:dyDescent="0.3">
      <c r="B45" t="s">
        <v>97</v>
      </c>
      <c r="E45" s="2">
        <f>+E41-E10</f>
        <v>26096966.07</v>
      </c>
      <c r="F45" s="2">
        <f t="shared" ref="F45:O45" si="14">+F41-F10</f>
        <v>26153505.57</v>
      </c>
      <c r="G45" s="2">
        <f t="shared" si="14"/>
        <v>28954611.909999996</v>
      </c>
      <c r="H45" s="2">
        <f t="shared" si="14"/>
        <v>28987873.109999999</v>
      </c>
      <c r="I45" s="2">
        <f t="shared" si="14"/>
        <v>28988960.939999998</v>
      </c>
      <c r="J45" s="2">
        <f t="shared" si="14"/>
        <v>28990153.609999999</v>
      </c>
      <c r="K45" s="2">
        <f t="shared" si="14"/>
        <v>28990153.609999999</v>
      </c>
      <c r="L45" s="2">
        <f t="shared" si="14"/>
        <v>28993044.899999999</v>
      </c>
      <c r="M45" s="2">
        <f t="shared" si="14"/>
        <v>29197787.609999999</v>
      </c>
      <c r="N45" s="2">
        <f t="shared" si="14"/>
        <v>29197787.609999999</v>
      </c>
      <c r="O45" s="2">
        <f t="shared" si="14"/>
        <v>29197872.280000001</v>
      </c>
      <c r="P45" s="2">
        <f t="shared" ref="P45" si="15">+P41-P10</f>
        <v>35061573.899999999</v>
      </c>
    </row>
    <row r="46" spans="2:16" x14ac:dyDescent="0.3">
      <c r="B46" t="s">
        <v>98</v>
      </c>
      <c r="E46" s="2">
        <f t="shared" ref="E46:O47" si="16">+E42-E11</f>
        <v>13577307.58</v>
      </c>
      <c r="F46" s="2">
        <f t="shared" si="16"/>
        <v>13636637.749999998</v>
      </c>
      <c r="G46" s="2">
        <f t="shared" si="16"/>
        <v>15028810.220000001</v>
      </c>
      <c r="H46" s="2">
        <f t="shared" si="16"/>
        <v>15161833.450000001</v>
      </c>
      <c r="I46" s="2">
        <f t="shared" si="16"/>
        <v>15190337.299999999</v>
      </c>
      <c r="J46" s="2">
        <f t="shared" si="16"/>
        <v>15218738.160000002</v>
      </c>
      <c r="K46" s="2">
        <f t="shared" si="16"/>
        <v>15241430.389999999</v>
      </c>
      <c r="L46" s="2">
        <f t="shared" si="16"/>
        <v>15271529.85</v>
      </c>
      <c r="M46" s="2">
        <f t="shared" si="16"/>
        <v>15299310.040000001</v>
      </c>
      <c r="N46" s="2">
        <f t="shared" si="16"/>
        <v>15326518.229999999</v>
      </c>
      <c r="O46" s="2">
        <f t="shared" si="16"/>
        <v>15475900.660000002</v>
      </c>
      <c r="P46" s="2">
        <f t="shared" ref="P46" si="17">+P42-P11</f>
        <v>21439326.68</v>
      </c>
    </row>
    <row r="47" spans="2:16" x14ac:dyDescent="0.3">
      <c r="B47" t="s">
        <v>99</v>
      </c>
      <c r="E47" s="2">
        <f t="shared" si="16"/>
        <v>3512438.9899999998</v>
      </c>
      <c r="F47" s="2">
        <f t="shared" si="16"/>
        <v>3687307.73</v>
      </c>
      <c r="G47" s="2">
        <f t="shared" si="16"/>
        <v>3691234.38</v>
      </c>
      <c r="H47" s="2">
        <f t="shared" si="16"/>
        <v>4172659.5899999994</v>
      </c>
      <c r="I47" s="2">
        <f t="shared" si="16"/>
        <v>4203061.95</v>
      </c>
      <c r="J47" s="2">
        <f t="shared" si="16"/>
        <v>4222821.41</v>
      </c>
      <c r="K47" s="2">
        <f t="shared" si="16"/>
        <v>5577453.46</v>
      </c>
      <c r="L47" s="2">
        <f t="shared" si="16"/>
        <v>5597113.9199999999</v>
      </c>
      <c r="M47" s="2">
        <f t="shared" si="16"/>
        <v>5614455.1200000001</v>
      </c>
      <c r="N47" s="2">
        <f t="shared" si="16"/>
        <v>5631224.3200000003</v>
      </c>
      <c r="O47" s="2">
        <f t="shared" si="16"/>
        <v>5648078.1800000006</v>
      </c>
      <c r="P47" s="2">
        <f t="shared" ref="P47" si="18">+P43-P12</f>
        <v>11673153.35</v>
      </c>
    </row>
  </sheetData>
  <mergeCells count="8">
    <mergeCell ref="E5:G5"/>
    <mergeCell ref="H5:J5"/>
    <mergeCell ref="K5:M5"/>
    <mergeCell ref="N5:P5"/>
    <mergeCell ref="E22:G22"/>
    <mergeCell ref="H22:J22"/>
    <mergeCell ref="K22:M22"/>
    <mergeCell ref="N22:P22"/>
  </mergeCells>
  <pageMargins left="0.7" right="0.7" top="0.75" bottom="0.75" header="0.3" footer="0.3"/>
  <pageSetup scale="75" fitToWidth="2" orientation="landscape" r:id="rId1"/>
  <headerFooter>
    <oddFooter>&amp;A&amp;RPage &amp;P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6CF2-F845-491C-A079-887C3A94C50D}">
  <dimension ref="A1:Q38"/>
  <sheetViews>
    <sheetView view="pageBreakPreview" zoomScaleNormal="100" zoomScaleSheetLayoutView="100" workbookViewId="0">
      <selection activeCell="E35" sqref="E35"/>
    </sheetView>
  </sheetViews>
  <sheetFormatPr defaultRowHeight="14.4" x14ac:dyDescent="0.3"/>
  <cols>
    <col min="1" max="1" width="3.33203125" customWidth="1"/>
    <col min="2" max="2" width="44.5546875" customWidth="1"/>
    <col min="4" max="16" width="14.33203125" bestFit="1" customWidth="1"/>
    <col min="17" max="17" width="6.5546875" customWidth="1"/>
  </cols>
  <sheetData>
    <row r="1" spans="1:17" x14ac:dyDescent="0.3">
      <c r="A1" s="1" t="s">
        <v>0</v>
      </c>
    </row>
    <row r="2" spans="1:17" x14ac:dyDescent="0.3">
      <c r="A2" s="1" t="s">
        <v>85</v>
      </c>
    </row>
    <row r="3" spans="1:17" x14ac:dyDescent="0.3">
      <c r="A3" s="29" t="s">
        <v>68</v>
      </c>
    </row>
    <row r="5" spans="1:17" x14ac:dyDescent="0.3">
      <c r="B5" s="1"/>
      <c r="C5" s="1"/>
      <c r="D5" s="1"/>
      <c r="E5" s="88" t="s">
        <v>69</v>
      </c>
      <c r="F5" s="88"/>
      <c r="G5" s="88"/>
      <c r="H5" s="88" t="s">
        <v>70</v>
      </c>
      <c r="I5" s="88"/>
      <c r="J5" s="88"/>
      <c r="K5" s="88" t="s">
        <v>71</v>
      </c>
      <c r="L5" s="88"/>
      <c r="M5" s="88"/>
      <c r="N5" s="88" t="s">
        <v>72</v>
      </c>
      <c r="O5" s="88"/>
      <c r="P5" s="88"/>
      <c r="Q5" s="1"/>
    </row>
    <row r="6" spans="1:17" x14ac:dyDescent="0.3">
      <c r="B6" s="1" t="s">
        <v>25</v>
      </c>
      <c r="C6" s="1"/>
      <c r="D6" s="1"/>
      <c r="E6" s="34">
        <v>5.7000000000000002E-3</v>
      </c>
      <c r="F6" s="34">
        <v>5.7000000000000002E-3</v>
      </c>
      <c r="G6" s="34">
        <v>5.7000000000000002E-3</v>
      </c>
      <c r="H6" s="34">
        <v>5.7000000000000002E-3</v>
      </c>
      <c r="I6" s="34">
        <v>5.7000000000000002E-3</v>
      </c>
      <c r="J6" s="34">
        <v>5.7000000000000002E-3</v>
      </c>
      <c r="K6" s="34">
        <v>5.7000000000000002E-3</v>
      </c>
      <c r="L6" s="34">
        <v>5.7000000000000002E-3</v>
      </c>
      <c r="M6" s="34">
        <v>5.7000000000000002E-3</v>
      </c>
      <c r="N6" s="34">
        <v>5.7000000000000002E-3</v>
      </c>
      <c r="O6" s="34">
        <v>5.7000000000000002E-3</v>
      </c>
      <c r="P6" s="34">
        <v>5.7000000000000002E-3</v>
      </c>
      <c r="Q6" s="1"/>
    </row>
    <row r="7" spans="1:17" x14ac:dyDescent="0.3">
      <c r="B7" s="1" t="s">
        <v>26</v>
      </c>
      <c r="C7" s="1"/>
      <c r="D7" s="1"/>
      <c r="E7" s="34">
        <f t="shared" ref="E7:P7" si="0">(E6)*(E8/$Q$8)</f>
        <v>4.8410958904109588E-4</v>
      </c>
      <c r="F7" s="34">
        <f t="shared" si="0"/>
        <v>4.3726027397260277E-4</v>
      </c>
      <c r="G7" s="34">
        <f t="shared" si="0"/>
        <v>4.8410958904109588E-4</v>
      </c>
      <c r="H7" s="34">
        <f t="shared" si="0"/>
        <v>4.6849315068493149E-4</v>
      </c>
      <c r="I7" s="34">
        <f t="shared" si="0"/>
        <v>4.8410958904109588E-4</v>
      </c>
      <c r="J7" s="34">
        <f t="shared" si="0"/>
        <v>4.6849315068493149E-4</v>
      </c>
      <c r="K7" s="34">
        <f t="shared" si="0"/>
        <v>4.8410958904109588E-4</v>
      </c>
      <c r="L7" s="34">
        <f t="shared" si="0"/>
        <v>4.8410958904109588E-4</v>
      </c>
      <c r="M7" s="34">
        <f t="shared" si="0"/>
        <v>4.6849315068493149E-4</v>
      </c>
      <c r="N7" s="34">
        <f t="shared" si="0"/>
        <v>4.8410958904109588E-4</v>
      </c>
      <c r="O7" s="34">
        <f t="shared" si="0"/>
        <v>4.6849315068493149E-4</v>
      </c>
      <c r="P7" s="34">
        <f t="shared" si="0"/>
        <v>4.8410958904109588E-4</v>
      </c>
      <c r="Q7" s="1"/>
    </row>
    <row r="8" spans="1:17" x14ac:dyDescent="0.3">
      <c r="B8" s="1" t="s">
        <v>27</v>
      </c>
      <c r="C8" s="1"/>
      <c r="D8" s="1"/>
      <c r="E8" s="35">
        <v>31</v>
      </c>
      <c r="F8" s="35">
        <v>28</v>
      </c>
      <c r="G8" s="35">
        <v>31</v>
      </c>
      <c r="H8" s="35">
        <v>30</v>
      </c>
      <c r="I8" s="35">
        <v>31</v>
      </c>
      <c r="J8" s="35">
        <v>30</v>
      </c>
      <c r="K8" s="35">
        <v>31</v>
      </c>
      <c r="L8" s="35">
        <v>31</v>
      </c>
      <c r="M8" s="35">
        <v>30</v>
      </c>
      <c r="N8" s="35">
        <v>31</v>
      </c>
      <c r="O8" s="35">
        <v>30</v>
      </c>
      <c r="P8" s="35">
        <v>31</v>
      </c>
      <c r="Q8" s="35">
        <f>SUM(E8:P8)</f>
        <v>365</v>
      </c>
    </row>
    <row r="9" spans="1:17" x14ac:dyDescent="0.3">
      <c r="B9" s="36"/>
      <c r="C9" s="37" t="s">
        <v>28</v>
      </c>
      <c r="D9" s="38" t="s">
        <v>73</v>
      </c>
      <c r="E9" s="37" t="s">
        <v>30</v>
      </c>
      <c r="F9" s="37" t="s">
        <v>31</v>
      </c>
      <c r="G9" s="37" t="s">
        <v>32</v>
      </c>
      <c r="H9" s="37" t="s">
        <v>33</v>
      </c>
      <c r="I9" s="37" t="s">
        <v>34</v>
      </c>
      <c r="J9" s="37" t="s">
        <v>35</v>
      </c>
      <c r="K9" s="37" t="s">
        <v>36</v>
      </c>
      <c r="L9" s="37" t="s">
        <v>37</v>
      </c>
      <c r="M9" s="37" t="s">
        <v>38</v>
      </c>
      <c r="N9" s="37" t="s">
        <v>39</v>
      </c>
      <c r="O9" s="37" t="s">
        <v>40</v>
      </c>
      <c r="P9" s="37" t="s">
        <v>41</v>
      </c>
      <c r="Q9" s="36"/>
    </row>
    <row r="10" spans="1:17" x14ac:dyDescent="0.3">
      <c r="B10" s="62" t="s">
        <v>89</v>
      </c>
      <c r="C10" s="56">
        <v>190018</v>
      </c>
      <c r="D10" s="61">
        <v>12033259.1</v>
      </c>
      <c r="E10" s="61">
        <v>12033259.1</v>
      </c>
      <c r="F10" s="61">
        <v>12033259.1</v>
      </c>
      <c r="G10" s="61">
        <v>12033259.1</v>
      </c>
      <c r="H10" s="61">
        <v>12033259.1</v>
      </c>
      <c r="I10" s="61">
        <v>12033259.1</v>
      </c>
      <c r="J10" s="61">
        <v>12033259.1</v>
      </c>
      <c r="K10" s="61">
        <v>12033259.1</v>
      </c>
      <c r="L10" s="61">
        <v>12033259.1</v>
      </c>
      <c r="M10" s="61">
        <v>12033259.1</v>
      </c>
      <c r="N10" s="61">
        <v>12033259.1</v>
      </c>
      <c r="O10" s="61">
        <v>12033259.1</v>
      </c>
      <c r="P10" s="61">
        <v>12033259.1</v>
      </c>
    </row>
    <row r="11" spans="1:17" x14ac:dyDescent="0.3">
      <c r="B11" s="62" t="s">
        <v>88</v>
      </c>
      <c r="C11" s="56">
        <v>190019</v>
      </c>
      <c r="D11" s="61">
        <v>4874836.76</v>
      </c>
      <c r="E11" s="61">
        <v>4874836.76</v>
      </c>
      <c r="F11" s="61">
        <v>4874836.76</v>
      </c>
      <c r="G11" s="61">
        <v>4874836.76</v>
      </c>
      <c r="H11" s="61">
        <v>4874836.76</v>
      </c>
      <c r="I11" s="61">
        <v>4874836.76</v>
      </c>
      <c r="J11" s="61">
        <v>4874836.76</v>
      </c>
      <c r="K11" s="61">
        <v>4874836.76</v>
      </c>
      <c r="L11" s="61">
        <v>4874836.76</v>
      </c>
      <c r="M11" s="61">
        <v>4874836.76</v>
      </c>
      <c r="N11" s="61">
        <v>4874836.76</v>
      </c>
      <c r="O11" s="61">
        <v>4874836.76</v>
      </c>
      <c r="P11" s="61">
        <v>4874836.76</v>
      </c>
    </row>
    <row r="12" spans="1:17" x14ac:dyDescent="0.3">
      <c r="B12" s="62" t="s">
        <v>87</v>
      </c>
      <c r="C12" s="56">
        <v>190020</v>
      </c>
      <c r="D12" s="61">
        <v>491556.18</v>
      </c>
      <c r="E12" s="61">
        <v>491556.18</v>
      </c>
      <c r="F12" s="61">
        <v>491556.18</v>
      </c>
      <c r="G12" s="61">
        <v>491556.18</v>
      </c>
      <c r="H12" s="61">
        <v>491556.18</v>
      </c>
      <c r="I12" s="61">
        <v>491556.18</v>
      </c>
      <c r="J12" s="61">
        <v>491556.18</v>
      </c>
      <c r="K12" s="61">
        <v>491556.18</v>
      </c>
      <c r="L12" s="61">
        <v>491556.18</v>
      </c>
      <c r="M12" s="61">
        <v>491556.18</v>
      </c>
      <c r="N12" s="61">
        <v>491556.18</v>
      </c>
      <c r="O12" s="61">
        <v>491556.18</v>
      </c>
      <c r="P12" s="61">
        <v>491556.18</v>
      </c>
    </row>
    <row r="13" spans="1:17" x14ac:dyDescent="0.3">
      <c r="C13" s="1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7" x14ac:dyDescent="0.3">
      <c r="B14" t="s">
        <v>46</v>
      </c>
      <c r="C14" s="19"/>
      <c r="D14" s="27">
        <f t="shared" ref="D14:P14" si="1">SUM(D10:D13)</f>
        <v>17399652.039999999</v>
      </c>
      <c r="E14" s="27">
        <f t="shared" si="1"/>
        <v>17399652.039999999</v>
      </c>
      <c r="F14" s="27">
        <f t="shared" si="1"/>
        <v>17399652.039999999</v>
      </c>
      <c r="G14" s="27">
        <f t="shared" si="1"/>
        <v>17399652.039999999</v>
      </c>
      <c r="H14" s="27">
        <f t="shared" si="1"/>
        <v>17399652.039999999</v>
      </c>
      <c r="I14" s="27">
        <f t="shared" si="1"/>
        <v>17399652.039999999</v>
      </c>
      <c r="J14" s="27">
        <f t="shared" si="1"/>
        <v>17399652.039999999</v>
      </c>
      <c r="K14" s="27">
        <f t="shared" si="1"/>
        <v>17399652.039999999</v>
      </c>
      <c r="L14" s="27">
        <f t="shared" si="1"/>
        <v>17399652.039999999</v>
      </c>
      <c r="M14" s="27">
        <f t="shared" si="1"/>
        <v>17399652.039999999</v>
      </c>
      <c r="N14" s="27">
        <f t="shared" si="1"/>
        <v>17399652.039999999</v>
      </c>
      <c r="O14" s="27">
        <f t="shared" si="1"/>
        <v>17399652.039999999</v>
      </c>
      <c r="P14" s="27">
        <f t="shared" si="1"/>
        <v>17399652.039999999</v>
      </c>
    </row>
    <row r="15" spans="1:17" x14ac:dyDescent="0.3">
      <c r="B15" t="s">
        <v>47</v>
      </c>
      <c r="C15" s="19"/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</row>
    <row r="16" spans="1:17" x14ac:dyDescent="0.3">
      <c r="B16" t="s">
        <v>48</v>
      </c>
      <c r="C16" s="19"/>
      <c r="D16" s="27">
        <f t="shared" ref="D16:P16" si="2">SUM(D14:D15)</f>
        <v>17399652.039999999</v>
      </c>
      <c r="E16" s="27">
        <f t="shared" si="2"/>
        <v>17399652.039999999</v>
      </c>
      <c r="F16" s="27">
        <f t="shared" si="2"/>
        <v>17399652.039999999</v>
      </c>
      <c r="G16" s="27">
        <f t="shared" si="2"/>
        <v>17399652.039999999</v>
      </c>
      <c r="H16" s="27">
        <f t="shared" si="2"/>
        <v>17399652.039999999</v>
      </c>
      <c r="I16" s="27">
        <f t="shared" si="2"/>
        <v>17399652.039999999</v>
      </c>
      <c r="J16" s="27">
        <f t="shared" si="2"/>
        <v>17399652.039999999</v>
      </c>
      <c r="K16" s="27">
        <f t="shared" si="2"/>
        <v>17399652.039999999</v>
      </c>
      <c r="L16" s="27">
        <f t="shared" si="2"/>
        <v>17399652.039999999</v>
      </c>
      <c r="M16" s="27">
        <f t="shared" si="2"/>
        <v>17399652.039999999</v>
      </c>
      <c r="N16" s="27">
        <f t="shared" si="2"/>
        <v>17399652.039999999</v>
      </c>
      <c r="O16" s="27">
        <f t="shared" si="2"/>
        <v>17399652.039999999</v>
      </c>
      <c r="P16" s="27">
        <f t="shared" si="2"/>
        <v>17399652.039999999</v>
      </c>
    </row>
    <row r="17" spans="2:17" x14ac:dyDescent="0.3">
      <c r="B17" t="s">
        <v>26</v>
      </c>
      <c r="C17" s="19"/>
      <c r="D17" s="41"/>
      <c r="E17" s="42">
        <f t="shared" ref="E17:P17" si="3">E7</f>
        <v>4.8410958904109588E-4</v>
      </c>
      <c r="F17" s="42">
        <f t="shared" si="3"/>
        <v>4.3726027397260277E-4</v>
      </c>
      <c r="G17" s="42">
        <f t="shared" si="3"/>
        <v>4.8410958904109588E-4</v>
      </c>
      <c r="H17" s="42">
        <f t="shared" si="3"/>
        <v>4.6849315068493149E-4</v>
      </c>
      <c r="I17" s="42">
        <f t="shared" si="3"/>
        <v>4.8410958904109588E-4</v>
      </c>
      <c r="J17" s="42">
        <f t="shared" si="3"/>
        <v>4.6849315068493149E-4</v>
      </c>
      <c r="K17" s="42">
        <f t="shared" si="3"/>
        <v>4.8410958904109588E-4</v>
      </c>
      <c r="L17" s="42">
        <f t="shared" si="3"/>
        <v>4.8410958904109588E-4</v>
      </c>
      <c r="M17" s="42">
        <f t="shared" si="3"/>
        <v>4.6849315068493149E-4</v>
      </c>
      <c r="N17" s="42">
        <f t="shared" si="3"/>
        <v>4.8410958904109588E-4</v>
      </c>
      <c r="O17" s="42">
        <f t="shared" si="3"/>
        <v>4.6849315068493149E-4</v>
      </c>
      <c r="P17" s="42">
        <f t="shared" si="3"/>
        <v>4.8410958904109588E-4</v>
      </c>
    </row>
    <row r="18" spans="2:17" x14ac:dyDescent="0.3">
      <c r="B18" t="s">
        <v>86</v>
      </c>
      <c r="C18" s="19">
        <v>190021</v>
      </c>
      <c r="E18" s="2">
        <f t="shared" ref="E18:P18" si="4">D16*E17</f>
        <v>8423.3383985424643</v>
      </c>
      <c r="F18" s="2">
        <f t="shared" si="4"/>
        <v>7608.1766180383565</v>
      </c>
      <c r="G18" s="2">
        <f t="shared" si="4"/>
        <v>8423.3383985424643</v>
      </c>
      <c r="H18" s="2">
        <f t="shared" si="4"/>
        <v>8151.6178050410954</v>
      </c>
      <c r="I18" s="2">
        <f t="shared" si="4"/>
        <v>8423.3383985424643</v>
      </c>
      <c r="J18" s="2">
        <f t="shared" si="4"/>
        <v>8151.6178050410954</v>
      </c>
      <c r="K18" s="2">
        <f t="shared" si="4"/>
        <v>8423.3383985424643</v>
      </c>
      <c r="L18" s="2">
        <f t="shared" si="4"/>
        <v>8423.3383985424643</v>
      </c>
      <c r="M18" s="2">
        <f t="shared" si="4"/>
        <v>8151.6178050410954</v>
      </c>
      <c r="N18" s="2">
        <f t="shared" si="4"/>
        <v>8423.3383985424643</v>
      </c>
      <c r="O18" s="2">
        <f t="shared" si="4"/>
        <v>8151.6178050410954</v>
      </c>
      <c r="P18" s="2">
        <f t="shared" si="4"/>
        <v>8423.3383985424643</v>
      </c>
    </row>
    <row r="19" spans="2:17" ht="15" thickBot="1" x14ac:dyDescent="0.35">
      <c r="B19" t="s">
        <v>50</v>
      </c>
      <c r="D19" s="43">
        <v>0</v>
      </c>
      <c r="E19" s="43">
        <f t="shared" ref="E19:P19" si="5">D19+E18</f>
        <v>8423.3383985424643</v>
      </c>
      <c r="F19" s="43">
        <f t="shared" si="5"/>
        <v>16031.515016580821</v>
      </c>
      <c r="G19" s="43">
        <f t="shared" si="5"/>
        <v>24454.853415123285</v>
      </c>
      <c r="H19" s="43">
        <f t="shared" si="5"/>
        <v>32606.471220164382</v>
      </c>
      <c r="I19" s="43">
        <f t="shared" si="5"/>
        <v>41029.809618706844</v>
      </c>
      <c r="J19" s="43">
        <f t="shared" si="5"/>
        <v>49181.42742374794</v>
      </c>
      <c r="K19" s="43">
        <f t="shared" si="5"/>
        <v>57604.765822290407</v>
      </c>
      <c r="L19" s="43">
        <f t="shared" si="5"/>
        <v>66028.104220832873</v>
      </c>
      <c r="M19" s="43">
        <f t="shared" si="5"/>
        <v>74179.722025873969</v>
      </c>
      <c r="N19" s="43">
        <f t="shared" si="5"/>
        <v>82603.060424416428</v>
      </c>
      <c r="O19" s="43">
        <f t="shared" si="5"/>
        <v>90754.678229457524</v>
      </c>
      <c r="P19" s="43">
        <f t="shared" si="5"/>
        <v>99178.016627999983</v>
      </c>
    </row>
    <row r="20" spans="2:17" s="63" customFormat="1" ht="15.6" thickTop="1" thickBot="1" x14ac:dyDescent="0.35"/>
    <row r="21" spans="2:17" x14ac:dyDescent="0.3">
      <c r="B21" s="1"/>
      <c r="C21" s="1"/>
      <c r="D21" s="1"/>
      <c r="E21" s="88" t="s">
        <v>69</v>
      </c>
      <c r="F21" s="88"/>
      <c r="G21" s="88"/>
      <c r="H21" s="88" t="s">
        <v>70</v>
      </c>
      <c r="I21" s="88"/>
      <c r="J21" s="88"/>
      <c r="K21" s="88" t="s">
        <v>71</v>
      </c>
      <c r="L21" s="88"/>
      <c r="M21" s="88"/>
      <c r="N21" s="88" t="s">
        <v>72</v>
      </c>
      <c r="O21" s="88"/>
      <c r="P21" s="88"/>
      <c r="Q21" s="1"/>
    </row>
    <row r="22" spans="2:17" x14ac:dyDescent="0.3">
      <c r="B22" s="1" t="s">
        <v>25</v>
      </c>
      <c r="C22" s="1"/>
      <c r="D22" s="1"/>
      <c r="E22" s="34">
        <v>5.7000000000000002E-3</v>
      </c>
      <c r="F22" s="34">
        <v>5.7000000000000002E-3</v>
      </c>
      <c r="G22" s="34">
        <v>5.7000000000000002E-3</v>
      </c>
      <c r="H22" s="34">
        <v>5.7000000000000002E-3</v>
      </c>
      <c r="I22" s="34">
        <v>5.7000000000000002E-3</v>
      </c>
      <c r="J22" s="34">
        <v>5.7000000000000002E-3</v>
      </c>
      <c r="K22" s="34">
        <v>5.7000000000000002E-3</v>
      </c>
      <c r="L22" s="34">
        <v>5.7000000000000002E-3</v>
      </c>
      <c r="M22" s="34">
        <v>5.7000000000000002E-3</v>
      </c>
      <c r="N22" s="34">
        <v>5.7000000000000002E-3</v>
      </c>
      <c r="O22" s="34">
        <v>5.7000000000000002E-3</v>
      </c>
      <c r="P22" s="34">
        <v>5.7000000000000002E-3</v>
      </c>
      <c r="Q22" s="1"/>
    </row>
    <row r="23" spans="2:17" x14ac:dyDescent="0.3">
      <c r="B23" s="1" t="s">
        <v>26</v>
      </c>
      <c r="C23" s="1"/>
      <c r="D23" s="1"/>
      <c r="E23" s="34">
        <f t="shared" ref="E23:P23" si="6">(E22)*(E24/$Q$8)</f>
        <v>4.8410958904109588E-4</v>
      </c>
      <c r="F23" s="34">
        <f t="shared" si="6"/>
        <v>4.3726027397260277E-4</v>
      </c>
      <c r="G23" s="34">
        <f t="shared" si="6"/>
        <v>4.8410958904109588E-4</v>
      </c>
      <c r="H23" s="34">
        <f t="shared" si="6"/>
        <v>4.6849315068493149E-4</v>
      </c>
      <c r="I23" s="34">
        <f t="shared" si="6"/>
        <v>4.8410958904109588E-4</v>
      </c>
      <c r="J23" s="34">
        <f t="shared" si="6"/>
        <v>4.6849315068493149E-4</v>
      </c>
      <c r="K23" s="34">
        <f t="shared" si="6"/>
        <v>4.8410958904109588E-4</v>
      </c>
      <c r="L23" s="34">
        <f t="shared" si="6"/>
        <v>4.8410958904109588E-4</v>
      </c>
      <c r="M23" s="34">
        <f t="shared" si="6"/>
        <v>4.6849315068493149E-4</v>
      </c>
      <c r="N23" s="34">
        <f t="shared" si="6"/>
        <v>4.8410958904109588E-4</v>
      </c>
      <c r="O23" s="34">
        <f t="shared" si="6"/>
        <v>4.6849315068493149E-4</v>
      </c>
      <c r="P23" s="34">
        <f t="shared" si="6"/>
        <v>4.8410958904109588E-4</v>
      </c>
      <c r="Q23" s="1"/>
    </row>
    <row r="24" spans="2:17" x14ac:dyDescent="0.3">
      <c r="B24" s="1" t="s">
        <v>27</v>
      </c>
      <c r="C24" s="1"/>
      <c r="D24" s="1"/>
      <c r="E24" s="35">
        <v>31</v>
      </c>
      <c r="F24" s="35">
        <v>28</v>
      </c>
      <c r="G24" s="35">
        <v>31</v>
      </c>
      <c r="H24" s="35">
        <v>30</v>
      </c>
      <c r="I24" s="35">
        <v>31</v>
      </c>
      <c r="J24" s="35">
        <v>30</v>
      </c>
      <c r="K24" s="35">
        <v>31</v>
      </c>
      <c r="L24" s="35">
        <v>31</v>
      </c>
      <c r="M24" s="35">
        <v>30</v>
      </c>
      <c r="N24" s="35">
        <v>31</v>
      </c>
      <c r="O24" s="35">
        <v>30</v>
      </c>
      <c r="P24" s="35">
        <v>31</v>
      </c>
      <c r="Q24" s="35">
        <f>SUM(E24:P24)</f>
        <v>365</v>
      </c>
    </row>
    <row r="25" spans="2:17" x14ac:dyDescent="0.3">
      <c r="B25" s="36"/>
      <c r="C25" s="37" t="s">
        <v>28</v>
      </c>
      <c r="D25" s="38" t="s">
        <v>73</v>
      </c>
      <c r="E25" s="37" t="s">
        <v>30</v>
      </c>
      <c r="F25" s="37" t="s">
        <v>31</v>
      </c>
      <c r="G25" s="37" t="s">
        <v>32</v>
      </c>
      <c r="H25" s="37" t="s">
        <v>33</v>
      </c>
      <c r="I25" s="37" t="s">
        <v>34</v>
      </c>
      <c r="J25" s="37" t="s">
        <v>35</v>
      </c>
      <c r="K25" s="37" t="s">
        <v>36</v>
      </c>
      <c r="L25" s="37" t="s">
        <v>37</v>
      </c>
      <c r="M25" s="37" t="s">
        <v>38</v>
      </c>
      <c r="N25" s="37" t="s">
        <v>39</v>
      </c>
      <c r="O25" s="37" t="s">
        <v>40</v>
      </c>
      <c r="P25" s="37" t="s">
        <v>41</v>
      </c>
      <c r="Q25" s="36"/>
    </row>
    <row r="26" spans="2:17" x14ac:dyDescent="0.3">
      <c r="B26" s="62" t="s">
        <v>89</v>
      </c>
      <c r="C26" s="56">
        <v>190018</v>
      </c>
      <c r="D26" s="61">
        <v>0</v>
      </c>
      <c r="E26" s="61">
        <v>50059.94</v>
      </c>
      <c r="F26" s="61">
        <v>1535412.69</v>
      </c>
      <c r="G26" s="61">
        <v>2350292.7999999998</v>
      </c>
      <c r="H26" s="61">
        <v>2921539.4</v>
      </c>
      <c r="I26" s="61">
        <v>5035363.07</v>
      </c>
      <c r="J26" s="61">
        <v>6784107.25</v>
      </c>
      <c r="K26" s="61">
        <v>8110688.6200000001</v>
      </c>
      <c r="L26" s="61">
        <v>9414626.6099999994</v>
      </c>
      <c r="M26" s="61">
        <v>10794403.060000001</v>
      </c>
      <c r="N26" s="61">
        <v>13401201.9</v>
      </c>
      <c r="O26" s="61">
        <v>15162649.460000001</v>
      </c>
      <c r="P26" s="61">
        <v>24845283.379999999</v>
      </c>
    </row>
    <row r="27" spans="2:17" x14ac:dyDescent="0.3">
      <c r="B27" s="62" t="s">
        <v>88</v>
      </c>
      <c r="C27" s="56">
        <v>190019</v>
      </c>
      <c r="D27" s="61">
        <v>0</v>
      </c>
      <c r="E27" s="61">
        <v>50059.94</v>
      </c>
      <c r="F27" s="61">
        <v>1120835.6499999999</v>
      </c>
      <c r="G27" s="61">
        <v>1709585.42</v>
      </c>
      <c r="H27" s="61">
        <v>2294011.35</v>
      </c>
      <c r="I27" s="61">
        <v>2644144.11</v>
      </c>
      <c r="J27" s="61">
        <v>3147742.33</v>
      </c>
      <c r="K27" s="61">
        <v>3211219.67</v>
      </c>
      <c r="L27" s="61">
        <v>3271805.26</v>
      </c>
      <c r="M27" s="61">
        <v>3271831.45</v>
      </c>
      <c r="N27" s="61">
        <v>4725869.87</v>
      </c>
      <c r="O27" s="61">
        <v>5266763.58</v>
      </c>
      <c r="P27" s="61">
        <v>13575791.91</v>
      </c>
    </row>
    <row r="28" spans="2:17" x14ac:dyDescent="0.3">
      <c r="B28" s="62" t="s">
        <v>87</v>
      </c>
      <c r="C28" s="56">
        <v>190020</v>
      </c>
      <c r="D28" s="61">
        <v>0</v>
      </c>
      <c r="E28" s="61">
        <v>50059.95</v>
      </c>
      <c r="F28" s="61">
        <v>867210.54</v>
      </c>
      <c r="G28" s="61">
        <v>3307181.48</v>
      </c>
      <c r="H28" s="61">
        <v>3348242.46</v>
      </c>
      <c r="I28" s="61">
        <v>3363916.49</v>
      </c>
      <c r="J28" s="61">
        <v>3381728.3</v>
      </c>
      <c r="K28" s="61">
        <v>3400897.06</v>
      </c>
      <c r="L28" s="61">
        <v>3416410.12</v>
      </c>
      <c r="M28" s="61">
        <v>3416436.31</v>
      </c>
      <c r="N28" s="61">
        <v>3448091.36</v>
      </c>
      <c r="O28" s="61">
        <v>3480677.39</v>
      </c>
      <c r="P28" s="61">
        <v>3510923.33</v>
      </c>
    </row>
    <row r="29" spans="2:17" x14ac:dyDescent="0.3">
      <c r="C29" s="1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2:17" x14ac:dyDescent="0.3">
      <c r="B30" t="s">
        <v>46</v>
      </c>
      <c r="C30" s="19"/>
      <c r="D30" s="27">
        <f t="shared" ref="D30:P30" si="7">SUM(D26:D29)</f>
        <v>0</v>
      </c>
      <c r="E30" s="27">
        <f t="shared" si="7"/>
        <v>150179.83000000002</v>
      </c>
      <c r="F30" s="27">
        <f>SUM(F26:F29)</f>
        <v>3523458.88</v>
      </c>
      <c r="G30" s="27">
        <f t="shared" si="7"/>
        <v>7367059.6999999993</v>
      </c>
      <c r="H30" s="27">
        <f t="shared" si="7"/>
        <v>8563793.2100000009</v>
      </c>
      <c r="I30" s="27">
        <f t="shared" si="7"/>
        <v>11043423.67</v>
      </c>
      <c r="J30" s="27">
        <f t="shared" si="7"/>
        <v>13313577.879999999</v>
      </c>
      <c r="K30" s="27">
        <f t="shared" si="7"/>
        <v>14722805.35</v>
      </c>
      <c r="L30" s="27">
        <f t="shared" si="7"/>
        <v>16102841.989999998</v>
      </c>
      <c r="M30" s="27">
        <f t="shared" si="7"/>
        <v>17482670.82</v>
      </c>
      <c r="N30" s="27">
        <f t="shared" si="7"/>
        <v>21575163.129999999</v>
      </c>
      <c r="O30" s="27">
        <f t="shared" si="7"/>
        <v>23910090.43</v>
      </c>
      <c r="P30" s="27">
        <f t="shared" si="7"/>
        <v>41931998.619999997</v>
      </c>
    </row>
    <row r="31" spans="2:17" x14ac:dyDescent="0.3">
      <c r="B31" t="s">
        <v>47</v>
      </c>
      <c r="C31" s="19"/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</row>
    <row r="32" spans="2:17" x14ac:dyDescent="0.3">
      <c r="B32" t="s">
        <v>48</v>
      </c>
      <c r="C32" s="19"/>
      <c r="D32" s="27">
        <f t="shared" ref="D32:P32" si="8">SUM(D30:D31)</f>
        <v>0</v>
      </c>
      <c r="E32" s="27">
        <f t="shared" si="8"/>
        <v>150179.83000000002</v>
      </c>
      <c r="F32" s="27">
        <f t="shared" si="8"/>
        <v>3523458.88</v>
      </c>
      <c r="G32" s="27">
        <f t="shared" si="8"/>
        <v>7367059.6999999993</v>
      </c>
      <c r="H32" s="27">
        <f t="shared" si="8"/>
        <v>8563793.2100000009</v>
      </c>
      <c r="I32" s="27">
        <f t="shared" si="8"/>
        <v>11043423.67</v>
      </c>
      <c r="J32" s="27">
        <f t="shared" si="8"/>
        <v>13313577.879999999</v>
      </c>
      <c r="K32" s="27">
        <f t="shared" si="8"/>
        <v>14722805.35</v>
      </c>
      <c r="L32" s="27">
        <f t="shared" si="8"/>
        <v>16102841.989999998</v>
      </c>
      <c r="M32" s="27">
        <f t="shared" si="8"/>
        <v>17482670.82</v>
      </c>
      <c r="N32" s="27">
        <f t="shared" si="8"/>
        <v>21575163.129999999</v>
      </c>
      <c r="O32" s="27">
        <f t="shared" si="8"/>
        <v>23910090.43</v>
      </c>
      <c r="P32" s="27">
        <f t="shared" si="8"/>
        <v>41931998.619999997</v>
      </c>
    </row>
    <row r="33" spans="2:16" x14ac:dyDescent="0.3">
      <c r="B33" t="s">
        <v>26</v>
      </c>
      <c r="C33" s="19"/>
      <c r="D33" s="41"/>
      <c r="E33" s="42">
        <f t="shared" ref="E33:P33" si="9">E23</f>
        <v>4.8410958904109588E-4</v>
      </c>
      <c r="F33" s="42">
        <f t="shared" si="9"/>
        <v>4.3726027397260277E-4</v>
      </c>
      <c r="G33" s="42">
        <f t="shared" si="9"/>
        <v>4.8410958904109588E-4</v>
      </c>
      <c r="H33" s="42">
        <f t="shared" si="9"/>
        <v>4.6849315068493149E-4</v>
      </c>
      <c r="I33" s="42">
        <f t="shared" si="9"/>
        <v>4.8410958904109588E-4</v>
      </c>
      <c r="J33" s="42">
        <f t="shared" si="9"/>
        <v>4.6849315068493149E-4</v>
      </c>
      <c r="K33" s="42">
        <f t="shared" si="9"/>
        <v>4.8410958904109588E-4</v>
      </c>
      <c r="L33" s="42">
        <f t="shared" si="9"/>
        <v>4.8410958904109588E-4</v>
      </c>
      <c r="M33" s="42">
        <f t="shared" si="9"/>
        <v>4.6849315068493149E-4</v>
      </c>
      <c r="N33" s="42">
        <f t="shared" si="9"/>
        <v>4.8410958904109588E-4</v>
      </c>
      <c r="O33" s="42">
        <f t="shared" si="9"/>
        <v>4.6849315068493149E-4</v>
      </c>
      <c r="P33" s="42">
        <f t="shared" si="9"/>
        <v>4.8410958904109588E-4</v>
      </c>
    </row>
    <row r="34" spans="2:16" x14ac:dyDescent="0.3">
      <c r="B34" t="s">
        <v>86</v>
      </c>
      <c r="C34" s="19">
        <v>190021</v>
      </c>
      <c r="E34" s="2">
        <f t="shared" ref="E34" si="10">D32*E33</f>
        <v>0</v>
      </c>
      <c r="F34" s="2">
        <f t="shared" ref="F34" si="11">E32*F33</f>
        <v>65.667673610958914</v>
      </c>
      <c r="G34" s="2">
        <f t="shared" ref="G34" si="12">F32*G33</f>
        <v>1705.7402304</v>
      </c>
      <c r="H34" s="2">
        <f t="shared" ref="H34" si="13">G32*H33</f>
        <v>3451.4170101369859</v>
      </c>
      <c r="I34" s="2">
        <f t="shared" ref="I34" si="14">H32*I33</f>
        <v>4145.8144115260275</v>
      </c>
      <c r="J34" s="2">
        <f t="shared" ref="J34" si="15">I32*J33</f>
        <v>5173.7683495068495</v>
      </c>
      <c r="K34" s="2">
        <f t="shared" ref="K34" si="16">J32*K33</f>
        <v>6445.2307161534245</v>
      </c>
      <c r="L34" s="2">
        <f t="shared" ref="L34" si="17">K32*L33</f>
        <v>7127.4512475205474</v>
      </c>
      <c r="M34" s="2">
        <f t="shared" ref="M34" si="18">L32*M33</f>
        <v>7544.0711788767112</v>
      </c>
      <c r="N34" s="2">
        <f t="shared" ref="N34" si="19">M32*N33</f>
        <v>8463.5285860109598</v>
      </c>
      <c r="O34" s="2">
        <f t="shared" ref="O34" si="20">N32*O33</f>
        <v>10107.816151315068</v>
      </c>
      <c r="P34" s="2">
        <f t="shared" ref="P34" si="21">O32*P33</f>
        <v>11575.10405200274</v>
      </c>
    </row>
    <row r="35" spans="2:16" ht="15" thickBot="1" x14ac:dyDescent="0.35">
      <c r="B35" t="s">
        <v>50</v>
      </c>
      <c r="D35" s="43">
        <v>0</v>
      </c>
      <c r="E35" s="43">
        <f t="shared" ref="E35" si="22">D35+E34</f>
        <v>0</v>
      </c>
      <c r="F35" s="43">
        <f t="shared" ref="F35" si="23">E35+F34</f>
        <v>65.667673610958914</v>
      </c>
      <c r="G35" s="43">
        <f t="shared" ref="G35" si="24">F35+G34</f>
        <v>1771.4079040109589</v>
      </c>
      <c r="H35" s="43">
        <f t="shared" ref="H35" si="25">G35+H34</f>
        <v>5222.8249141479446</v>
      </c>
      <c r="I35" s="43">
        <f t="shared" ref="I35" si="26">H35+I34</f>
        <v>9368.6393256739721</v>
      </c>
      <c r="J35" s="43">
        <f t="shared" ref="J35" si="27">I35+J34</f>
        <v>14542.407675180821</v>
      </c>
      <c r="K35" s="43">
        <f t="shared" ref="K35" si="28">J35+K34</f>
        <v>20987.638391334243</v>
      </c>
      <c r="L35" s="43">
        <f t="shared" ref="L35" si="29">K35+L34</f>
        <v>28115.089638854792</v>
      </c>
      <c r="M35" s="43">
        <f t="shared" ref="M35" si="30">L35+M34</f>
        <v>35659.160817731507</v>
      </c>
      <c r="N35" s="43">
        <f t="shared" ref="N35" si="31">M35+N34</f>
        <v>44122.689403742464</v>
      </c>
      <c r="O35" s="43">
        <f t="shared" ref="O35" si="32">N35+O34</f>
        <v>54230.505555057534</v>
      </c>
      <c r="P35" s="43">
        <f t="shared" ref="P35" si="33">O35+P34</f>
        <v>65805.60960706028</v>
      </c>
    </row>
    <row r="36" spans="2:16" ht="15" thickTop="1" x14ac:dyDescent="0.3"/>
    <row r="37" spans="2:16" x14ac:dyDescent="0.3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3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</sheetData>
  <mergeCells count="8">
    <mergeCell ref="E5:G5"/>
    <mergeCell ref="H5:J5"/>
    <mergeCell ref="K5:M5"/>
    <mergeCell ref="N5:P5"/>
    <mergeCell ref="E21:G21"/>
    <mergeCell ref="H21:J21"/>
    <mergeCell ref="K21:M21"/>
    <mergeCell ref="N21:P21"/>
  </mergeCells>
  <pageMargins left="0.7" right="0.7" top="0.75" bottom="0.75" header="0.3" footer="0.3"/>
  <pageSetup scale="75" fitToWidth="2" orientation="landscape" r:id="rId1"/>
  <headerFooter>
    <oddFooter>&amp;A&amp;RPage &amp;P</oddFooter>
  </headerFooter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D079-64FA-4CC4-BF6B-6354C9BEDC10}">
  <dimension ref="A1:Q36"/>
  <sheetViews>
    <sheetView view="pageBreakPreview" topLeftCell="A2" zoomScaleNormal="100" zoomScaleSheetLayoutView="100" workbookViewId="0">
      <selection activeCell="E19" sqref="E19"/>
    </sheetView>
  </sheetViews>
  <sheetFormatPr defaultRowHeight="14.4" x14ac:dyDescent="0.3"/>
  <cols>
    <col min="1" max="1" width="3.33203125" customWidth="1"/>
    <col min="2" max="2" width="60.33203125" bestFit="1" customWidth="1"/>
    <col min="4" max="16" width="13.33203125" bestFit="1" customWidth="1"/>
    <col min="17" max="17" width="6.109375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29" t="s">
        <v>90</v>
      </c>
    </row>
    <row r="5" spans="1:17" x14ac:dyDescent="0.3">
      <c r="B5" s="1"/>
      <c r="C5" s="1"/>
      <c r="D5" s="1"/>
      <c r="E5" s="88" t="s">
        <v>92</v>
      </c>
      <c r="F5" s="88"/>
      <c r="G5" s="88"/>
      <c r="H5" s="88" t="s">
        <v>93</v>
      </c>
      <c r="I5" s="88"/>
      <c r="J5" s="88"/>
      <c r="K5" s="88" t="s">
        <v>94</v>
      </c>
      <c r="L5" s="88"/>
      <c r="M5" s="88"/>
      <c r="N5" s="88" t="s">
        <v>95</v>
      </c>
      <c r="O5" s="88"/>
      <c r="P5" s="88"/>
      <c r="Q5" s="1"/>
    </row>
    <row r="6" spans="1:17" x14ac:dyDescent="0.3">
      <c r="B6" s="1" t="s">
        <v>25</v>
      </c>
      <c r="C6" s="1"/>
      <c r="D6" s="1"/>
      <c r="E6" s="34">
        <v>5.7000000000000002E-3</v>
      </c>
      <c r="F6" s="34">
        <v>5.7000000000000002E-3</v>
      </c>
      <c r="G6" s="34">
        <v>5.7000000000000002E-3</v>
      </c>
      <c r="H6" s="34">
        <v>1.0200000000000001E-2</v>
      </c>
      <c r="I6" s="34">
        <v>1.0200000000000001E-2</v>
      </c>
      <c r="J6" s="34">
        <v>1.0200000000000001E-2</v>
      </c>
      <c r="K6" s="34">
        <v>2.1999999999999999E-2</v>
      </c>
      <c r="L6" s="34">
        <v>2.1999999999999999E-2</v>
      </c>
      <c r="M6" s="34">
        <v>2.1999999999999999E-2</v>
      </c>
      <c r="N6" s="34">
        <v>3.8699999999999998E-2</v>
      </c>
      <c r="O6" s="34">
        <v>3.8699999999999998E-2</v>
      </c>
      <c r="P6" s="34">
        <v>3.8699999999999998E-2</v>
      </c>
      <c r="Q6" s="1"/>
    </row>
    <row r="7" spans="1:17" x14ac:dyDescent="0.3">
      <c r="B7" s="1" t="s">
        <v>26</v>
      </c>
      <c r="C7" s="1"/>
      <c r="D7" s="1"/>
      <c r="E7" s="34">
        <f>(E6)*(E8/$Q$8)</f>
        <v>4.8410958904109588E-4</v>
      </c>
      <c r="F7" s="34">
        <f>(F6)*(F8/$Q$8)</f>
        <v>4.3726027397260277E-4</v>
      </c>
      <c r="G7" s="34">
        <f t="shared" ref="G7:P7" si="0">(G6)*(G8/$Q$8)</f>
        <v>4.8410958904109588E-4</v>
      </c>
      <c r="H7" s="34">
        <f t="shared" si="0"/>
        <v>8.3835616438356162E-4</v>
      </c>
      <c r="I7" s="34">
        <f t="shared" si="0"/>
        <v>8.6630136986301379E-4</v>
      </c>
      <c r="J7" s="34">
        <f t="shared" si="0"/>
        <v>8.3835616438356162E-4</v>
      </c>
      <c r="K7" s="34">
        <f t="shared" si="0"/>
        <v>1.8684931506849313E-3</v>
      </c>
      <c r="L7" s="34">
        <f t="shared" si="0"/>
        <v>1.8684931506849313E-3</v>
      </c>
      <c r="M7" s="34">
        <f t="shared" si="0"/>
        <v>1.8082191780821916E-3</v>
      </c>
      <c r="N7" s="34">
        <f t="shared" si="0"/>
        <v>3.2868493150684931E-3</v>
      </c>
      <c r="O7" s="34">
        <f t="shared" si="0"/>
        <v>3.1808219178082187E-3</v>
      </c>
      <c r="P7" s="34">
        <f t="shared" si="0"/>
        <v>3.2868493150684931E-3</v>
      </c>
      <c r="Q7" s="1"/>
    </row>
    <row r="8" spans="1:17" x14ac:dyDescent="0.3">
      <c r="B8" s="1" t="s">
        <v>27</v>
      </c>
      <c r="C8" s="1"/>
      <c r="D8" s="1"/>
      <c r="E8" s="35">
        <v>31</v>
      </c>
      <c r="F8" s="35">
        <v>28</v>
      </c>
      <c r="G8" s="35">
        <v>31</v>
      </c>
      <c r="H8" s="35">
        <v>30</v>
      </c>
      <c r="I8" s="35">
        <v>31</v>
      </c>
      <c r="J8" s="35">
        <v>30</v>
      </c>
      <c r="K8" s="35">
        <v>31</v>
      </c>
      <c r="L8" s="35">
        <v>31</v>
      </c>
      <c r="M8" s="35">
        <v>30</v>
      </c>
      <c r="N8" s="35">
        <v>31</v>
      </c>
      <c r="O8" s="35">
        <v>30</v>
      </c>
      <c r="P8" s="35">
        <v>31</v>
      </c>
      <c r="Q8" s="35">
        <f>SUM(E8:P8)</f>
        <v>365</v>
      </c>
    </row>
    <row r="9" spans="1:17" x14ac:dyDescent="0.3">
      <c r="B9" s="36"/>
      <c r="C9" s="37" t="s">
        <v>28</v>
      </c>
      <c r="D9" s="38" t="s">
        <v>96</v>
      </c>
      <c r="E9" s="37" t="s">
        <v>30</v>
      </c>
      <c r="F9" s="37" t="s">
        <v>31</v>
      </c>
      <c r="G9" s="37" t="s">
        <v>32</v>
      </c>
      <c r="H9" s="37" t="s">
        <v>33</v>
      </c>
      <c r="I9" s="37" t="s">
        <v>34</v>
      </c>
      <c r="J9" s="37" t="s">
        <v>35</v>
      </c>
      <c r="K9" s="37" t="s">
        <v>36</v>
      </c>
      <c r="L9" s="37" t="s">
        <v>37</v>
      </c>
      <c r="M9" s="37" t="s">
        <v>38</v>
      </c>
      <c r="N9" s="37" t="s">
        <v>39</v>
      </c>
      <c r="O9" s="37" t="s">
        <v>40</v>
      </c>
      <c r="P9" s="37" t="s">
        <v>41</v>
      </c>
      <c r="Q9" s="36"/>
    </row>
    <row r="10" spans="1:17" x14ac:dyDescent="0.3">
      <c r="B10" t="s">
        <v>42</v>
      </c>
      <c r="C10" s="19">
        <v>190003</v>
      </c>
      <c r="D10" s="44">
        <v>576402.44999999995</v>
      </c>
      <c r="E10" s="39">
        <v>589918.77</v>
      </c>
      <c r="F10" s="39">
        <v>604494.21</v>
      </c>
      <c r="G10" s="39">
        <v>618114.21</v>
      </c>
      <c r="H10" s="39">
        <v>632194.1</v>
      </c>
      <c r="I10" s="39">
        <v>636196.88</v>
      </c>
      <c r="J10" s="39">
        <v>646359.52</v>
      </c>
      <c r="K10" s="39">
        <v>654166.35</v>
      </c>
      <c r="L10" s="39">
        <v>669279.27</v>
      </c>
      <c r="M10" s="39">
        <v>682093.15</v>
      </c>
      <c r="N10" s="39">
        <v>694624.86</v>
      </c>
      <c r="O10" s="39">
        <v>706139.93</v>
      </c>
      <c r="P10" s="39">
        <v>718077.25</v>
      </c>
    </row>
    <row r="11" spans="1:17" x14ac:dyDescent="0.3">
      <c r="B11" t="s">
        <v>43</v>
      </c>
      <c r="C11" s="19">
        <v>190004</v>
      </c>
      <c r="D11" s="44">
        <v>1671196.64</v>
      </c>
      <c r="E11" s="39">
        <v>1671196.64</v>
      </c>
      <c r="F11" s="39">
        <v>1717407.57</v>
      </c>
      <c r="G11" s="39">
        <v>1717407.57</v>
      </c>
      <c r="H11" s="39">
        <v>1746822.2</v>
      </c>
      <c r="I11" s="39">
        <v>1746822.2</v>
      </c>
      <c r="J11" s="39">
        <v>1746822.2</v>
      </c>
      <c r="K11" s="39">
        <v>2086875.36</v>
      </c>
      <c r="L11" s="39">
        <v>2086875.36</v>
      </c>
      <c r="M11" s="39">
        <v>2225628.56</v>
      </c>
      <c r="N11" s="39">
        <v>2255506.56</v>
      </c>
      <c r="O11" s="39">
        <v>2255506.56</v>
      </c>
      <c r="P11" s="39">
        <v>2255506.56</v>
      </c>
    </row>
    <row r="12" spans="1:17" x14ac:dyDescent="0.3">
      <c r="B12" t="s">
        <v>44</v>
      </c>
      <c r="C12" s="19">
        <v>190005</v>
      </c>
      <c r="D12" s="55">
        <v>786662.2</v>
      </c>
      <c r="E12" s="30">
        <v>801941.77</v>
      </c>
      <c r="F12" s="30">
        <v>818964.93</v>
      </c>
      <c r="G12" s="30">
        <v>836256.95</v>
      </c>
      <c r="H12" s="30">
        <v>857688.31</v>
      </c>
      <c r="I12" s="30">
        <v>873336.28</v>
      </c>
      <c r="J12" s="30">
        <v>889129.56</v>
      </c>
      <c r="K12" s="30">
        <v>922564.23</v>
      </c>
      <c r="L12" s="30">
        <v>923599.06</v>
      </c>
      <c r="M12" s="30">
        <v>926417.32</v>
      </c>
      <c r="N12" s="30">
        <v>939375.6</v>
      </c>
      <c r="O12" s="30">
        <v>953286.55</v>
      </c>
      <c r="P12" s="30">
        <v>966124.53</v>
      </c>
    </row>
    <row r="13" spans="1:17" x14ac:dyDescent="0.3">
      <c r="B13" t="s">
        <v>100</v>
      </c>
      <c r="C13" s="19">
        <v>190041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-255871</v>
      </c>
      <c r="J13" s="40">
        <v>-511742</v>
      </c>
      <c r="K13" s="40">
        <v>-767613</v>
      </c>
      <c r="L13" s="40">
        <v>-1023484</v>
      </c>
      <c r="M13" s="40">
        <v>-1279355</v>
      </c>
      <c r="N13" s="40">
        <v>-1535224.5</v>
      </c>
      <c r="O13" s="40">
        <v>-1791095.25</v>
      </c>
      <c r="P13" s="40">
        <v>-2046966</v>
      </c>
    </row>
    <row r="14" spans="1:17" x14ac:dyDescent="0.3">
      <c r="B14" t="s">
        <v>46</v>
      </c>
      <c r="C14" s="19"/>
      <c r="D14" s="27">
        <f t="shared" ref="D14:P14" si="1">SUM(D10:D13)</f>
        <v>3034261.29</v>
      </c>
      <c r="E14" s="27">
        <f t="shared" si="1"/>
        <v>3063057.18</v>
      </c>
      <c r="F14" s="27">
        <f t="shared" si="1"/>
        <v>3140866.7100000004</v>
      </c>
      <c r="G14" s="27">
        <f t="shared" si="1"/>
        <v>3171778.7300000004</v>
      </c>
      <c r="H14" s="27">
        <f t="shared" si="1"/>
        <v>3236704.61</v>
      </c>
      <c r="I14" s="27">
        <f t="shared" si="1"/>
        <v>3000484.3600000003</v>
      </c>
      <c r="J14" s="27">
        <f t="shared" si="1"/>
        <v>2770569.28</v>
      </c>
      <c r="K14" s="27">
        <f t="shared" si="1"/>
        <v>2895992.94</v>
      </c>
      <c r="L14" s="27">
        <f t="shared" si="1"/>
        <v>2656269.69</v>
      </c>
      <c r="M14" s="27">
        <f t="shared" si="1"/>
        <v>2554784.0299999998</v>
      </c>
      <c r="N14" s="27">
        <f t="shared" si="1"/>
        <v>2354282.52</v>
      </c>
      <c r="O14" s="27">
        <f t="shared" si="1"/>
        <v>2123837.79</v>
      </c>
      <c r="P14" s="27">
        <f t="shared" si="1"/>
        <v>1892742.3399999999</v>
      </c>
    </row>
    <row r="15" spans="1:17" x14ac:dyDescent="0.3">
      <c r="B15" t="s">
        <v>47</v>
      </c>
      <c r="C15" s="19"/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</row>
    <row r="16" spans="1:17" x14ac:dyDescent="0.3">
      <c r="B16" t="s">
        <v>48</v>
      </c>
      <c r="C16" s="19"/>
      <c r="D16" s="27">
        <f t="shared" ref="D16:N16" si="2">SUM(D14:D15)</f>
        <v>3034261.29</v>
      </c>
      <c r="E16" s="27">
        <f t="shared" si="2"/>
        <v>3063057.18</v>
      </c>
      <c r="F16" s="27">
        <f t="shared" si="2"/>
        <v>3140866.7100000004</v>
      </c>
      <c r="G16" s="27">
        <f t="shared" si="2"/>
        <v>3171778.7300000004</v>
      </c>
      <c r="H16" s="27">
        <f t="shared" si="2"/>
        <v>3236704.61</v>
      </c>
      <c r="I16" s="27">
        <f t="shared" si="2"/>
        <v>3000484.3600000003</v>
      </c>
      <c r="J16" s="27">
        <f t="shared" si="2"/>
        <v>2770569.28</v>
      </c>
      <c r="K16" s="27">
        <f t="shared" si="2"/>
        <v>2895992.94</v>
      </c>
      <c r="L16" s="27">
        <f t="shared" si="2"/>
        <v>2656269.69</v>
      </c>
      <c r="M16" s="27">
        <f t="shared" si="2"/>
        <v>2554784.0299999998</v>
      </c>
      <c r="N16" s="27">
        <f t="shared" si="2"/>
        <v>2354282.52</v>
      </c>
      <c r="O16" s="27">
        <f>SUM(O14:O15)</f>
        <v>2123837.79</v>
      </c>
      <c r="P16" s="27">
        <f>SUM(P14:P15)</f>
        <v>1892742.3399999999</v>
      </c>
    </row>
    <row r="17" spans="2:16" x14ac:dyDescent="0.3">
      <c r="B17" t="s">
        <v>26</v>
      </c>
      <c r="C17" s="19"/>
      <c r="D17" s="41"/>
      <c r="E17" s="42">
        <f t="shared" ref="E17:P17" si="3">E7</f>
        <v>4.8410958904109588E-4</v>
      </c>
      <c r="F17" s="42">
        <f t="shared" si="3"/>
        <v>4.3726027397260277E-4</v>
      </c>
      <c r="G17" s="42">
        <f t="shared" si="3"/>
        <v>4.8410958904109588E-4</v>
      </c>
      <c r="H17" s="42">
        <f t="shared" si="3"/>
        <v>8.3835616438356162E-4</v>
      </c>
      <c r="I17" s="42">
        <f t="shared" si="3"/>
        <v>8.6630136986301379E-4</v>
      </c>
      <c r="J17" s="42">
        <f t="shared" si="3"/>
        <v>8.3835616438356162E-4</v>
      </c>
      <c r="K17" s="42">
        <f t="shared" si="3"/>
        <v>1.8684931506849313E-3</v>
      </c>
      <c r="L17" s="42">
        <f t="shared" si="3"/>
        <v>1.8684931506849313E-3</v>
      </c>
      <c r="M17" s="42">
        <f t="shared" si="3"/>
        <v>1.8082191780821916E-3</v>
      </c>
      <c r="N17" s="42">
        <f t="shared" si="3"/>
        <v>3.2868493150684931E-3</v>
      </c>
      <c r="O17" s="42">
        <f t="shared" si="3"/>
        <v>3.1808219178082187E-3</v>
      </c>
      <c r="P17" s="42">
        <f t="shared" si="3"/>
        <v>3.2868493150684931E-3</v>
      </c>
    </row>
    <row r="18" spans="2:16" x14ac:dyDescent="0.3">
      <c r="B18" t="s">
        <v>49</v>
      </c>
      <c r="C18" s="19">
        <v>190016</v>
      </c>
      <c r="E18" s="2">
        <f>D16*E17-6.33-1</f>
        <v>1461.5849861452054</v>
      </c>
      <c r="F18" s="2">
        <f>E16*F17</f>
        <v>1339.3532217205482</v>
      </c>
      <c r="G18" s="2">
        <f t="shared" ref="G18:O18" si="4">F16*G17</f>
        <v>1520.5236922109591</v>
      </c>
      <c r="H18" s="2">
        <f t="shared" si="4"/>
        <v>2659.0802503561645</v>
      </c>
      <c r="I18" s="2">
        <f t="shared" si="4"/>
        <v>2803.9616374849315</v>
      </c>
      <c r="J18" s="2">
        <f t="shared" si="4"/>
        <v>2515.4745593424659</v>
      </c>
      <c r="K18" s="2">
        <f t="shared" si="4"/>
        <v>5176.7897231780807</v>
      </c>
      <c r="L18" s="2">
        <f t="shared" si="4"/>
        <v>5411.1429728219173</v>
      </c>
      <c r="M18" s="2">
        <f t="shared" si="4"/>
        <v>4803.1177956164374</v>
      </c>
      <c r="N18" s="2">
        <f t="shared" si="4"/>
        <v>8397.1901391534248</v>
      </c>
      <c r="O18" s="2">
        <f t="shared" si="4"/>
        <v>7488.5534403287656</v>
      </c>
      <c r="P18" s="2">
        <f>O16*P17</f>
        <v>6980.7347853780821</v>
      </c>
    </row>
    <row r="19" spans="2:16" ht="15" thickBot="1" x14ac:dyDescent="0.35">
      <c r="B19" t="s">
        <v>50</v>
      </c>
      <c r="D19" s="43">
        <f>+'Distribution Deferral - 2021'!P19</f>
        <v>48785.934335969614</v>
      </c>
      <c r="E19" s="43">
        <f>D19+E18</f>
        <v>50247.519322114822</v>
      </c>
      <c r="F19" s="43">
        <f>E19+F18</f>
        <v>51586.872543835372</v>
      </c>
      <c r="G19" s="43">
        <f t="shared" ref="G19:P19" si="5">F19+G18</f>
        <v>53107.396236046334</v>
      </c>
      <c r="H19" s="43">
        <f t="shared" si="5"/>
        <v>55766.476486402498</v>
      </c>
      <c r="I19" s="43">
        <f t="shared" si="5"/>
        <v>58570.438123887427</v>
      </c>
      <c r="J19" s="43">
        <f t="shared" si="5"/>
        <v>61085.912683229893</v>
      </c>
      <c r="K19" s="43">
        <f t="shared" si="5"/>
        <v>66262.702406407974</v>
      </c>
      <c r="L19" s="43">
        <f t="shared" si="5"/>
        <v>71673.845379229897</v>
      </c>
      <c r="M19" s="43">
        <f t="shared" si="5"/>
        <v>76476.963174846329</v>
      </c>
      <c r="N19" s="43">
        <f t="shared" si="5"/>
        <v>84874.153313999748</v>
      </c>
      <c r="O19" s="43">
        <f t="shared" si="5"/>
        <v>92362.706754328508</v>
      </c>
      <c r="P19" s="43">
        <f t="shared" si="5"/>
        <v>99343.44153970659</v>
      </c>
    </row>
    <row r="20" spans="2:16" ht="15" thickTop="1" x14ac:dyDescent="0.3"/>
    <row r="21" spans="2:16" x14ac:dyDescent="0.3">
      <c r="B21" s="57" t="s">
        <v>76</v>
      </c>
      <c r="C21" s="56">
        <v>190006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44">
        <v>0</v>
      </c>
    </row>
    <row r="22" spans="2:16" x14ac:dyDescent="0.3">
      <c r="B22" s="57" t="s">
        <v>77</v>
      </c>
      <c r="C22" s="56">
        <v>190007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44">
        <v>0</v>
      </c>
    </row>
    <row r="23" spans="2:16" x14ac:dyDescent="0.3">
      <c r="B23" s="57" t="s">
        <v>78</v>
      </c>
      <c r="C23" s="56">
        <v>190008</v>
      </c>
      <c r="D23" s="39">
        <v>0</v>
      </c>
      <c r="E23" s="39">
        <v>0</v>
      </c>
      <c r="F23" s="39">
        <v>0</v>
      </c>
      <c r="G23" s="39">
        <v>0</v>
      </c>
      <c r="H23" s="39">
        <v>32997.120000000003</v>
      </c>
      <c r="I23" s="39">
        <v>32997.120000000003</v>
      </c>
      <c r="J23" s="39">
        <v>32997.120000000003</v>
      </c>
      <c r="K23" s="39">
        <v>32997.120000000003</v>
      </c>
      <c r="L23" s="39">
        <v>32997.120000000003</v>
      </c>
      <c r="M23" s="39">
        <v>53503.41</v>
      </c>
      <c r="N23" s="39">
        <v>53503.41</v>
      </c>
      <c r="O23" s="39">
        <v>53503.41</v>
      </c>
      <c r="P23" s="44">
        <v>53503.41</v>
      </c>
    </row>
    <row r="24" spans="2:16" x14ac:dyDescent="0.3">
      <c r="B24" s="57" t="s">
        <v>79</v>
      </c>
      <c r="C24" s="56">
        <v>190009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44">
        <v>0</v>
      </c>
    </row>
    <row r="25" spans="2:16" x14ac:dyDescent="0.3">
      <c r="B25" s="57" t="s">
        <v>80</v>
      </c>
      <c r="C25" s="56">
        <v>190010</v>
      </c>
      <c r="D25" s="39">
        <v>160650.15</v>
      </c>
      <c r="E25" s="39">
        <v>160650.15</v>
      </c>
      <c r="F25" s="39">
        <v>160650.15</v>
      </c>
      <c r="G25" s="39">
        <v>160650.15</v>
      </c>
      <c r="H25" s="39">
        <v>160650.15</v>
      </c>
      <c r="I25" s="39">
        <v>160650.15</v>
      </c>
      <c r="J25" s="39">
        <v>160650.15</v>
      </c>
      <c r="K25" s="39">
        <v>160650.15</v>
      </c>
      <c r="L25" s="39">
        <v>221719.06</v>
      </c>
      <c r="M25" s="39">
        <v>718294.26</v>
      </c>
      <c r="N25" s="39">
        <v>718294.26</v>
      </c>
      <c r="O25" s="39">
        <v>718294.26</v>
      </c>
      <c r="P25" s="44">
        <v>718294.26</v>
      </c>
    </row>
    <row r="26" spans="2:16" x14ac:dyDescent="0.3">
      <c r="B26" s="57" t="s">
        <v>81</v>
      </c>
      <c r="C26" s="56">
        <v>190011</v>
      </c>
      <c r="D26" s="39">
        <v>0</v>
      </c>
      <c r="E26" s="39">
        <v>0</v>
      </c>
      <c r="F26" s="39">
        <v>0</v>
      </c>
      <c r="G26" s="39">
        <v>0</v>
      </c>
      <c r="H26" s="39">
        <v>103078.22</v>
      </c>
      <c r="I26" s="39">
        <v>103078.22</v>
      </c>
      <c r="J26" s="39">
        <v>103078.22</v>
      </c>
      <c r="K26" s="39">
        <v>103078.22</v>
      </c>
      <c r="L26" s="39">
        <v>103078.22</v>
      </c>
      <c r="M26" s="39">
        <v>161879.76999999999</v>
      </c>
      <c r="N26" s="39">
        <v>161879.76999999999</v>
      </c>
      <c r="O26" s="39">
        <v>161879.76999999999</v>
      </c>
      <c r="P26" s="39">
        <v>161879.76999999999</v>
      </c>
    </row>
    <row r="27" spans="2:16" x14ac:dyDescent="0.3">
      <c r="B27" s="57" t="s">
        <v>82</v>
      </c>
      <c r="C27" s="56">
        <v>190012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</row>
    <row r="28" spans="2:16" x14ac:dyDescent="0.3">
      <c r="B28" s="57" t="s">
        <v>83</v>
      </c>
      <c r="C28" s="56">
        <v>190013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</row>
    <row r="29" spans="2:16" x14ac:dyDescent="0.3">
      <c r="B29" t="s">
        <v>46</v>
      </c>
      <c r="D29" s="27">
        <f>SUM(D21:D28)</f>
        <v>160650.15</v>
      </c>
      <c r="E29" s="27">
        <f t="shared" ref="E29:P29" si="6">SUM(E21:E28)</f>
        <v>160650.15</v>
      </c>
      <c r="F29" s="27">
        <f t="shared" si="6"/>
        <v>160650.15</v>
      </c>
      <c r="G29" s="27">
        <f t="shared" si="6"/>
        <v>160650.15</v>
      </c>
      <c r="H29" s="27">
        <f t="shared" si="6"/>
        <v>296725.49</v>
      </c>
      <c r="I29" s="27">
        <f t="shared" si="6"/>
        <v>296725.49</v>
      </c>
      <c r="J29" s="27">
        <f t="shared" si="6"/>
        <v>296725.49</v>
      </c>
      <c r="K29" s="27">
        <f t="shared" si="6"/>
        <v>296725.49</v>
      </c>
      <c r="L29" s="27">
        <f t="shared" si="6"/>
        <v>357794.4</v>
      </c>
      <c r="M29" s="27">
        <f t="shared" si="6"/>
        <v>933677.44000000006</v>
      </c>
      <c r="N29" s="27">
        <f t="shared" si="6"/>
        <v>933677.44000000006</v>
      </c>
      <c r="O29" s="27">
        <f t="shared" si="6"/>
        <v>933677.44000000006</v>
      </c>
      <c r="P29" s="27">
        <f t="shared" si="6"/>
        <v>933677.44000000006</v>
      </c>
    </row>
    <row r="30" spans="2:16" x14ac:dyDescent="0.3">
      <c r="B30" t="s">
        <v>47</v>
      </c>
      <c r="C30" s="19"/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</row>
    <row r="31" spans="2:16" x14ac:dyDescent="0.3">
      <c r="B31" t="s">
        <v>48</v>
      </c>
      <c r="C31" s="19"/>
      <c r="D31" s="27">
        <f t="shared" ref="D31:N31" si="7">SUM(D29:D30)</f>
        <v>160650.15</v>
      </c>
      <c r="E31" s="27">
        <f t="shared" si="7"/>
        <v>160650.15</v>
      </c>
      <c r="F31" s="27">
        <f t="shared" si="7"/>
        <v>160650.15</v>
      </c>
      <c r="G31" s="27">
        <f t="shared" si="7"/>
        <v>160650.15</v>
      </c>
      <c r="H31" s="27">
        <f t="shared" si="7"/>
        <v>296725.49</v>
      </c>
      <c r="I31" s="27">
        <f t="shared" si="7"/>
        <v>296725.49</v>
      </c>
      <c r="J31" s="27">
        <f t="shared" si="7"/>
        <v>296725.49</v>
      </c>
      <c r="K31" s="27">
        <f t="shared" si="7"/>
        <v>296725.49</v>
      </c>
      <c r="L31" s="27">
        <f t="shared" si="7"/>
        <v>357794.4</v>
      </c>
      <c r="M31" s="27">
        <f t="shared" si="7"/>
        <v>933677.44000000006</v>
      </c>
      <c r="N31" s="27">
        <f t="shared" si="7"/>
        <v>933677.44000000006</v>
      </c>
      <c r="O31" s="27">
        <f>SUM(O29:O30)</f>
        <v>933677.44000000006</v>
      </c>
      <c r="P31" s="27">
        <f>SUM(P29:P30)</f>
        <v>933677.44000000006</v>
      </c>
    </row>
    <row r="32" spans="2:16" x14ac:dyDescent="0.3">
      <c r="B32" t="s">
        <v>26</v>
      </c>
      <c r="C32" s="19"/>
      <c r="D32" s="41"/>
      <c r="E32" s="42">
        <f t="shared" ref="E32:P32" si="8">E7</f>
        <v>4.8410958904109588E-4</v>
      </c>
      <c r="F32" s="42">
        <f t="shared" si="8"/>
        <v>4.3726027397260277E-4</v>
      </c>
      <c r="G32" s="42">
        <f t="shared" si="8"/>
        <v>4.8410958904109588E-4</v>
      </c>
      <c r="H32" s="42">
        <f t="shared" si="8"/>
        <v>8.3835616438356162E-4</v>
      </c>
      <c r="I32" s="42">
        <f t="shared" si="8"/>
        <v>8.6630136986301379E-4</v>
      </c>
      <c r="J32" s="42">
        <f t="shared" si="8"/>
        <v>8.3835616438356162E-4</v>
      </c>
      <c r="K32" s="42">
        <f t="shared" si="8"/>
        <v>1.8684931506849313E-3</v>
      </c>
      <c r="L32" s="42">
        <f t="shared" si="8"/>
        <v>1.8684931506849313E-3</v>
      </c>
      <c r="M32" s="42">
        <f t="shared" si="8"/>
        <v>1.8082191780821916E-3</v>
      </c>
      <c r="N32" s="42">
        <f t="shared" si="8"/>
        <v>3.2868493150684931E-3</v>
      </c>
      <c r="O32" s="42">
        <f t="shared" si="8"/>
        <v>3.1808219178082187E-3</v>
      </c>
      <c r="P32" s="42">
        <f t="shared" si="8"/>
        <v>3.2868493150684931E-3</v>
      </c>
    </row>
    <row r="33" spans="2:16" x14ac:dyDescent="0.3">
      <c r="B33" t="s">
        <v>49</v>
      </c>
      <c r="C33" s="19">
        <v>190017</v>
      </c>
      <c r="E33" s="2">
        <f>D31*E32</f>
        <v>77.772278095890414</v>
      </c>
      <c r="F33" s="2">
        <f>E31*F32</f>
        <v>70.245928602739724</v>
      </c>
      <c r="G33" s="2">
        <f t="shared" ref="G33:N33" si="9">F31*G32</f>
        <v>77.772278095890414</v>
      </c>
      <c r="H33" s="2">
        <f t="shared" si="9"/>
        <v>134.68204356164384</v>
      </c>
      <c r="I33" s="2">
        <f t="shared" si="9"/>
        <v>257.05369846027401</v>
      </c>
      <c r="J33" s="2">
        <f t="shared" si="9"/>
        <v>248.76164367123286</v>
      </c>
      <c r="K33" s="2">
        <f t="shared" si="9"/>
        <v>554.42954569863002</v>
      </c>
      <c r="L33" s="2">
        <f t="shared" si="9"/>
        <v>554.42954569863002</v>
      </c>
      <c r="M33" s="2">
        <f t="shared" si="9"/>
        <v>646.97069589041098</v>
      </c>
      <c r="N33" s="2">
        <f t="shared" si="9"/>
        <v>3068.8570541589042</v>
      </c>
      <c r="O33" s="2">
        <f>N31*O32</f>
        <v>2969.8616653150684</v>
      </c>
      <c r="P33" s="2">
        <f>O31*P32</f>
        <v>3068.8570541589042</v>
      </c>
    </row>
    <row r="34" spans="2:16" ht="15" thickBot="1" x14ac:dyDescent="0.35">
      <c r="B34" t="s">
        <v>50</v>
      </c>
      <c r="D34" s="43">
        <v>0</v>
      </c>
      <c r="E34" s="43">
        <f>D34+E33</f>
        <v>77.772278095890414</v>
      </c>
      <c r="F34" s="43">
        <f>E34+F33</f>
        <v>148.01820669863014</v>
      </c>
      <c r="G34" s="43">
        <f t="shared" ref="G34:P34" si="10">F34+G33</f>
        <v>225.79048479452055</v>
      </c>
      <c r="H34" s="43">
        <f t="shared" si="10"/>
        <v>360.47252835616439</v>
      </c>
      <c r="I34" s="43">
        <f t="shared" si="10"/>
        <v>617.52622681643834</v>
      </c>
      <c r="J34" s="43">
        <f t="shared" si="10"/>
        <v>866.28787048767117</v>
      </c>
      <c r="K34" s="43">
        <f t="shared" si="10"/>
        <v>1420.7174161863013</v>
      </c>
      <c r="L34" s="43">
        <f t="shared" si="10"/>
        <v>1975.1469618849314</v>
      </c>
      <c r="M34" s="43">
        <f t="shared" si="10"/>
        <v>2622.1176577753422</v>
      </c>
      <c r="N34" s="43">
        <f t="shared" si="10"/>
        <v>5690.9747119342464</v>
      </c>
      <c r="O34" s="43">
        <f t="shared" si="10"/>
        <v>8660.836377249314</v>
      </c>
      <c r="P34" s="43">
        <f t="shared" si="10"/>
        <v>11729.693431408217</v>
      </c>
    </row>
    <row r="35" spans="2:16" ht="15" thickTop="1" x14ac:dyDescent="0.3"/>
    <row r="36" spans="2:16" x14ac:dyDescent="0.3">
      <c r="E36" s="2"/>
    </row>
  </sheetData>
  <mergeCells count="4">
    <mergeCell ref="E5:G5"/>
    <mergeCell ref="H5:J5"/>
    <mergeCell ref="K5:M5"/>
    <mergeCell ref="N5:P5"/>
  </mergeCells>
  <pageMargins left="0.7" right="0.7" top="0.75" bottom="0.75" header="0.3" footer="0.3"/>
  <pageSetup scale="70" fitToWidth="2" orientation="landscape" r:id="rId1"/>
  <headerFooter>
    <oddFooter>&amp;A&amp;RPage &amp;P</oddFooter>
  </headerFooter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99C1-7576-4053-BD64-F4EF7FECF00A}">
  <dimension ref="A1:Q35"/>
  <sheetViews>
    <sheetView view="pageBreakPreview" zoomScaleNormal="100" zoomScaleSheetLayoutView="100" workbookViewId="0">
      <selection activeCell="E19" sqref="E19"/>
    </sheetView>
  </sheetViews>
  <sheetFormatPr defaultRowHeight="14.4" x14ac:dyDescent="0.3"/>
  <cols>
    <col min="1" max="1" width="3.33203125" customWidth="1"/>
    <col min="2" max="2" width="60.33203125" bestFit="1" customWidth="1"/>
    <col min="4" max="16" width="13.33203125" bestFit="1" customWidth="1"/>
    <col min="17" max="17" width="6.109375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29" t="s">
        <v>68</v>
      </c>
    </row>
    <row r="5" spans="1:17" x14ac:dyDescent="0.3">
      <c r="B5" s="1"/>
      <c r="C5" s="1"/>
      <c r="D5" s="1"/>
      <c r="E5" s="88" t="s">
        <v>69</v>
      </c>
      <c r="F5" s="88"/>
      <c r="G5" s="88"/>
      <c r="H5" s="88" t="s">
        <v>70</v>
      </c>
      <c r="I5" s="88"/>
      <c r="J5" s="88"/>
      <c r="K5" s="88" t="s">
        <v>71</v>
      </c>
      <c r="L5" s="88"/>
      <c r="M5" s="88"/>
      <c r="N5" s="88" t="s">
        <v>72</v>
      </c>
      <c r="O5" s="88"/>
      <c r="P5" s="88"/>
      <c r="Q5" s="1"/>
    </row>
    <row r="6" spans="1:17" x14ac:dyDescent="0.3">
      <c r="B6" s="1" t="s">
        <v>25</v>
      </c>
      <c r="C6" s="1"/>
      <c r="D6" s="1"/>
      <c r="E6" s="34">
        <v>5.7000000000000002E-3</v>
      </c>
      <c r="F6" s="34">
        <v>5.7000000000000002E-3</v>
      </c>
      <c r="G6" s="34">
        <v>5.7000000000000002E-3</v>
      </c>
      <c r="H6" s="34">
        <v>5.7000000000000002E-3</v>
      </c>
      <c r="I6" s="34">
        <v>5.7000000000000002E-3</v>
      </c>
      <c r="J6" s="34">
        <v>5.7000000000000002E-3</v>
      </c>
      <c r="K6" s="34">
        <v>5.7000000000000002E-3</v>
      </c>
      <c r="L6" s="34">
        <v>5.7000000000000002E-3</v>
      </c>
      <c r="M6" s="34">
        <v>5.7000000000000002E-3</v>
      </c>
      <c r="N6" s="34">
        <v>5.7000000000000002E-3</v>
      </c>
      <c r="O6" s="34">
        <v>5.7000000000000002E-3</v>
      </c>
      <c r="P6" s="34">
        <v>5.7000000000000002E-3</v>
      </c>
      <c r="Q6" s="1"/>
    </row>
    <row r="7" spans="1:17" x14ac:dyDescent="0.3">
      <c r="B7" s="1" t="s">
        <v>26</v>
      </c>
      <c r="C7" s="1"/>
      <c r="D7" s="1"/>
      <c r="E7" s="34">
        <f>(E6)*(E8/$Q$8)</f>
        <v>4.8410958904109588E-4</v>
      </c>
      <c r="F7" s="34">
        <f>(F6)*(F8/$Q$8)</f>
        <v>4.3726027397260277E-4</v>
      </c>
      <c r="G7" s="34">
        <f t="shared" ref="G7:P7" si="0">(G6)*(G8/$Q$8)</f>
        <v>4.8410958904109588E-4</v>
      </c>
      <c r="H7" s="34">
        <f t="shared" si="0"/>
        <v>4.6849315068493149E-4</v>
      </c>
      <c r="I7" s="34">
        <f t="shared" si="0"/>
        <v>4.8410958904109588E-4</v>
      </c>
      <c r="J7" s="34">
        <f t="shared" si="0"/>
        <v>4.6849315068493149E-4</v>
      </c>
      <c r="K7" s="34">
        <f t="shared" si="0"/>
        <v>4.8410958904109588E-4</v>
      </c>
      <c r="L7" s="34">
        <f t="shared" si="0"/>
        <v>4.8410958904109588E-4</v>
      </c>
      <c r="M7" s="34">
        <f t="shared" si="0"/>
        <v>4.6849315068493149E-4</v>
      </c>
      <c r="N7" s="34">
        <f t="shared" si="0"/>
        <v>4.8410958904109588E-4</v>
      </c>
      <c r="O7" s="34">
        <f t="shared" si="0"/>
        <v>4.6849315068493149E-4</v>
      </c>
      <c r="P7" s="34">
        <f t="shared" si="0"/>
        <v>4.8410958904109588E-4</v>
      </c>
      <c r="Q7" s="1"/>
    </row>
    <row r="8" spans="1:17" x14ac:dyDescent="0.3">
      <c r="B8" s="1" t="s">
        <v>27</v>
      </c>
      <c r="C8" s="1"/>
      <c r="D8" s="1"/>
      <c r="E8" s="35">
        <v>31</v>
      </c>
      <c r="F8" s="35">
        <v>28</v>
      </c>
      <c r="G8" s="35">
        <v>31</v>
      </c>
      <c r="H8" s="35">
        <v>30</v>
      </c>
      <c r="I8" s="35">
        <v>31</v>
      </c>
      <c r="J8" s="35">
        <v>30</v>
      </c>
      <c r="K8" s="35">
        <v>31</v>
      </c>
      <c r="L8" s="35">
        <v>31</v>
      </c>
      <c r="M8" s="35">
        <v>30</v>
      </c>
      <c r="N8" s="35">
        <v>31</v>
      </c>
      <c r="O8" s="35">
        <v>30</v>
      </c>
      <c r="P8" s="35">
        <v>31</v>
      </c>
      <c r="Q8" s="35">
        <f>SUM(E8:P8)</f>
        <v>365</v>
      </c>
    </row>
    <row r="9" spans="1:17" x14ac:dyDescent="0.3">
      <c r="B9" s="36"/>
      <c r="C9" s="37" t="s">
        <v>28</v>
      </c>
      <c r="D9" s="38" t="s">
        <v>73</v>
      </c>
      <c r="E9" s="37" t="s">
        <v>30</v>
      </c>
      <c r="F9" s="37" t="s">
        <v>31</v>
      </c>
      <c r="G9" s="37" t="s">
        <v>32</v>
      </c>
      <c r="H9" s="37" t="s">
        <v>33</v>
      </c>
      <c r="I9" s="37" t="s">
        <v>34</v>
      </c>
      <c r="J9" s="37" t="s">
        <v>35</v>
      </c>
      <c r="K9" s="37" t="s">
        <v>36</v>
      </c>
      <c r="L9" s="37" t="s">
        <v>37</v>
      </c>
      <c r="M9" s="37" t="s">
        <v>38</v>
      </c>
      <c r="N9" s="37" t="s">
        <v>39</v>
      </c>
      <c r="O9" s="37" t="s">
        <v>40</v>
      </c>
      <c r="P9" s="37" t="s">
        <v>41</v>
      </c>
      <c r="Q9" s="36"/>
    </row>
    <row r="10" spans="1:17" x14ac:dyDescent="0.3">
      <c r="B10" t="s">
        <v>42</v>
      </c>
      <c r="C10" s="19">
        <v>190003</v>
      </c>
      <c r="D10" s="44">
        <v>443079</v>
      </c>
      <c r="E10" s="39">
        <v>447185.25</v>
      </c>
      <c r="F10" s="39">
        <v>465691.72</v>
      </c>
      <c r="G10" s="39">
        <v>468318.09</v>
      </c>
      <c r="H10" s="39">
        <v>481554.58</v>
      </c>
      <c r="I10" s="39">
        <v>502401.58</v>
      </c>
      <c r="J10" s="39">
        <v>510059.46</v>
      </c>
      <c r="K10" s="39">
        <v>520595.97</v>
      </c>
      <c r="L10" s="39">
        <v>531626.30000000005</v>
      </c>
      <c r="M10" s="39">
        <v>544869.91</v>
      </c>
      <c r="N10" s="39">
        <v>560454.93999999994</v>
      </c>
      <c r="O10" s="39">
        <v>569223.85</v>
      </c>
      <c r="P10" s="39">
        <v>576402.44999999995</v>
      </c>
    </row>
    <row r="11" spans="1:17" x14ac:dyDescent="0.3">
      <c r="B11" t="s">
        <v>43</v>
      </c>
      <c r="C11" s="19">
        <v>190004</v>
      </c>
      <c r="D11" s="44">
        <v>1026863.23</v>
      </c>
      <c r="E11" s="39">
        <v>1040444.23</v>
      </c>
      <c r="F11" s="39">
        <v>1055498.5</v>
      </c>
      <c r="G11" s="39">
        <v>1055498.5</v>
      </c>
      <c r="H11" s="39">
        <v>1055498.5</v>
      </c>
      <c r="I11" s="39">
        <v>1069079.5</v>
      </c>
      <c r="J11" s="39">
        <v>1069079.5</v>
      </c>
      <c r="K11" s="39">
        <v>1269079.5</v>
      </c>
      <c r="L11" s="39">
        <v>1501495.64</v>
      </c>
      <c r="M11" s="39">
        <v>1501495.64</v>
      </c>
      <c r="N11" s="39">
        <v>1671196.64</v>
      </c>
      <c r="O11" s="39">
        <v>1671196.64</v>
      </c>
      <c r="P11" s="39">
        <v>1671196.64</v>
      </c>
    </row>
    <row r="12" spans="1:17" x14ac:dyDescent="0.3">
      <c r="B12" t="s">
        <v>44</v>
      </c>
      <c r="C12" s="19">
        <v>190005</v>
      </c>
      <c r="D12" s="55">
        <v>532650.4</v>
      </c>
      <c r="E12" s="30">
        <v>553305.39</v>
      </c>
      <c r="F12" s="30">
        <v>599179.66</v>
      </c>
      <c r="G12" s="30">
        <v>628879.26</v>
      </c>
      <c r="H12" s="30">
        <v>647210.80000000005</v>
      </c>
      <c r="I12" s="30">
        <v>666965.71</v>
      </c>
      <c r="J12" s="30">
        <v>680226.66</v>
      </c>
      <c r="K12" s="30">
        <v>694919.81</v>
      </c>
      <c r="L12" s="30">
        <v>708569.78</v>
      </c>
      <c r="M12" s="30">
        <v>727058.49</v>
      </c>
      <c r="N12" s="30">
        <v>741644.92</v>
      </c>
      <c r="O12" s="30">
        <v>755583.91</v>
      </c>
      <c r="P12" s="30">
        <v>786662.2</v>
      </c>
    </row>
    <row r="13" spans="1:17" x14ac:dyDescent="0.3">
      <c r="B13" t="s">
        <v>45</v>
      </c>
      <c r="C13" s="19">
        <v>190008</v>
      </c>
      <c r="D13" s="40">
        <v>0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7" x14ac:dyDescent="0.3">
      <c r="B14" t="s">
        <v>46</v>
      </c>
      <c r="C14" s="19"/>
      <c r="D14" s="27">
        <f>SUM(D10:D13)</f>
        <v>2002592.63</v>
      </c>
      <c r="E14" s="27">
        <f>SUM(E10:E13)</f>
        <v>2040934.87</v>
      </c>
      <c r="F14" s="27">
        <f t="shared" ref="F14:P14" si="1">SUM(F10:F13)</f>
        <v>2120369.88</v>
      </c>
      <c r="G14" s="27">
        <f>SUM(G10:G13)</f>
        <v>2152695.85</v>
      </c>
      <c r="H14" s="27">
        <f t="shared" si="1"/>
        <v>2184263.88</v>
      </c>
      <c r="I14" s="27">
        <f t="shared" si="1"/>
        <v>2238446.79</v>
      </c>
      <c r="J14" s="27">
        <f t="shared" si="1"/>
        <v>2259365.62</v>
      </c>
      <c r="K14" s="27">
        <f t="shared" si="1"/>
        <v>2484595.2800000003</v>
      </c>
      <c r="L14" s="27">
        <f t="shared" si="1"/>
        <v>2741691.7199999997</v>
      </c>
      <c r="M14" s="27">
        <f t="shared" si="1"/>
        <v>2773424.04</v>
      </c>
      <c r="N14" s="27">
        <f t="shared" si="1"/>
        <v>2973296.5</v>
      </c>
      <c r="O14" s="27">
        <f>SUM(O10:O13)</f>
        <v>2996004.4</v>
      </c>
      <c r="P14" s="27">
        <f t="shared" si="1"/>
        <v>3034261.29</v>
      </c>
    </row>
    <row r="15" spans="1:17" x14ac:dyDescent="0.3">
      <c r="B15" t="s">
        <v>47</v>
      </c>
      <c r="C15" s="19"/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</row>
    <row r="16" spans="1:17" x14ac:dyDescent="0.3">
      <c r="B16" t="s">
        <v>48</v>
      </c>
      <c r="C16" s="19"/>
      <c r="D16" s="27">
        <f t="shared" ref="D16:N16" si="2">SUM(D14:D15)</f>
        <v>2002592.63</v>
      </c>
      <c r="E16" s="27">
        <f t="shared" si="2"/>
        <v>2040934.87</v>
      </c>
      <c r="F16" s="27">
        <f t="shared" si="2"/>
        <v>2120369.88</v>
      </c>
      <c r="G16" s="27">
        <f t="shared" si="2"/>
        <v>2152695.85</v>
      </c>
      <c r="H16" s="27">
        <f t="shared" si="2"/>
        <v>2184263.88</v>
      </c>
      <c r="I16" s="27">
        <f t="shared" si="2"/>
        <v>2238446.79</v>
      </c>
      <c r="J16" s="27">
        <f t="shared" si="2"/>
        <v>2259365.62</v>
      </c>
      <c r="K16" s="27">
        <f t="shared" si="2"/>
        <v>2484595.2800000003</v>
      </c>
      <c r="L16" s="27">
        <f t="shared" si="2"/>
        <v>2741691.7199999997</v>
      </c>
      <c r="M16" s="27">
        <f t="shared" si="2"/>
        <v>2773424.04</v>
      </c>
      <c r="N16" s="27">
        <f t="shared" si="2"/>
        <v>2973296.5</v>
      </c>
      <c r="O16" s="27">
        <f>SUM(O14:O15)</f>
        <v>2996004.4</v>
      </c>
      <c r="P16" s="27">
        <f>SUM(P14:P15)</f>
        <v>3034261.29</v>
      </c>
    </row>
    <row r="17" spans="2:16" x14ac:dyDescent="0.3">
      <c r="B17" t="s">
        <v>26</v>
      </c>
      <c r="C17" s="19"/>
      <c r="D17" s="41"/>
      <c r="E17" s="42">
        <f>E7</f>
        <v>4.8410958904109588E-4</v>
      </c>
      <c r="F17" s="42">
        <f t="shared" ref="F17:P17" si="3">F7</f>
        <v>4.3726027397260277E-4</v>
      </c>
      <c r="G17" s="42">
        <f t="shared" si="3"/>
        <v>4.8410958904109588E-4</v>
      </c>
      <c r="H17" s="42">
        <f t="shared" si="3"/>
        <v>4.6849315068493149E-4</v>
      </c>
      <c r="I17" s="42">
        <f t="shared" si="3"/>
        <v>4.8410958904109588E-4</v>
      </c>
      <c r="J17" s="42">
        <f t="shared" si="3"/>
        <v>4.6849315068493149E-4</v>
      </c>
      <c r="K17" s="42">
        <f t="shared" si="3"/>
        <v>4.8410958904109588E-4</v>
      </c>
      <c r="L17" s="42">
        <f t="shared" si="3"/>
        <v>4.8410958904109588E-4</v>
      </c>
      <c r="M17" s="42">
        <f t="shared" si="3"/>
        <v>4.6849315068493149E-4</v>
      </c>
      <c r="N17" s="42">
        <f t="shared" si="3"/>
        <v>4.8410958904109588E-4</v>
      </c>
      <c r="O17" s="42">
        <f t="shared" si="3"/>
        <v>4.6849315068493149E-4</v>
      </c>
      <c r="P17" s="42">
        <f t="shared" si="3"/>
        <v>4.8410958904109588E-4</v>
      </c>
    </row>
    <row r="18" spans="2:16" x14ac:dyDescent="0.3">
      <c r="B18" t="s">
        <v>49</v>
      </c>
      <c r="C18" s="19">
        <v>190016</v>
      </c>
      <c r="E18" s="2">
        <f>D16*E17</f>
        <v>969.4742951260273</v>
      </c>
      <c r="F18" s="2">
        <f>E16*F17</f>
        <v>892.41974041643846</v>
      </c>
      <c r="G18" s="2">
        <f t="shared" ref="G18:O18" si="4">F16*G17</f>
        <v>1026.4913912219176</v>
      </c>
      <c r="H18" s="2">
        <f t="shared" si="4"/>
        <v>1008.5232612328767</v>
      </c>
      <c r="I18" s="2">
        <f t="shared" si="4"/>
        <v>1057.4230893041095</v>
      </c>
      <c r="J18" s="2">
        <f t="shared" si="4"/>
        <v>1048.6969892876712</v>
      </c>
      <c r="K18" s="2">
        <f t="shared" si="4"/>
        <v>1093.7805617917809</v>
      </c>
      <c r="L18" s="2">
        <f t="shared" si="4"/>
        <v>1202.8163999342466</v>
      </c>
      <c r="M18" s="2">
        <f t="shared" si="4"/>
        <v>1284.4637921095889</v>
      </c>
      <c r="N18" s="2">
        <f t="shared" si="4"/>
        <v>1342.641172241096</v>
      </c>
      <c r="O18" s="2">
        <f t="shared" si="4"/>
        <v>1392.9690452054795</v>
      </c>
      <c r="P18" s="2">
        <f>O16*P17</f>
        <v>1450.394458849315</v>
      </c>
    </row>
    <row r="19" spans="2:16" ht="15" thickBot="1" x14ac:dyDescent="0.35">
      <c r="B19" t="s">
        <v>50</v>
      </c>
      <c r="D19" s="43">
        <f>'Distribution Deferral - 2020'!P19</f>
        <v>35015.840139249063</v>
      </c>
      <c r="E19" s="43">
        <f>D19+E18</f>
        <v>35985.31443437509</v>
      </c>
      <c r="F19" s="43">
        <f>E19+F18</f>
        <v>36877.734174791527</v>
      </c>
      <c r="G19" s="43">
        <f t="shared" ref="G19:P19" si="5">F19+G18</f>
        <v>37904.225566013447</v>
      </c>
      <c r="H19" s="43">
        <f t="shared" si="5"/>
        <v>38912.748827246323</v>
      </c>
      <c r="I19" s="43">
        <f t="shared" si="5"/>
        <v>39970.171916550433</v>
      </c>
      <c r="J19" s="43">
        <f t="shared" si="5"/>
        <v>41018.868905838106</v>
      </c>
      <c r="K19" s="43">
        <f t="shared" si="5"/>
        <v>42112.64946762989</v>
      </c>
      <c r="L19" s="43">
        <f t="shared" si="5"/>
        <v>43315.465867564133</v>
      </c>
      <c r="M19" s="43">
        <f t="shared" si="5"/>
        <v>44599.929659673719</v>
      </c>
      <c r="N19" s="43">
        <f t="shared" si="5"/>
        <v>45942.570831914818</v>
      </c>
      <c r="O19" s="43">
        <f t="shared" si="5"/>
        <v>47335.539877120296</v>
      </c>
      <c r="P19" s="43">
        <f t="shared" si="5"/>
        <v>48785.934335969614</v>
      </c>
    </row>
    <row r="20" spans="2:16" ht="15" thickTop="1" x14ac:dyDescent="0.3"/>
    <row r="21" spans="2:16" x14ac:dyDescent="0.3">
      <c r="B21" s="57" t="s">
        <v>76</v>
      </c>
      <c r="C21" s="56">
        <v>190006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44">
        <v>0</v>
      </c>
    </row>
    <row r="22" spans="2:16" x14ac:dyDescent="0.3">
      <c r="B22" s="57" t="s">
        <v>77</v>
      </c>
      <c r="C22" s="56">
        <v>190007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44">
        <v>0</v>
      </c>
    </row>
    <row r="23" spans="2:16" x14ac:dyDescent="0.3">
      <c r="B23" s="57" t="s">
        <v>78</v>
      </c>
      <c r="C23" s="56">
        <v>190008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4">
        <v>0</v>
      </c>
    </row>
    <row r="24" spans="2:16" x14ac:dyDescent="0.3">
      <c r="B24" s="57" t="s">
        <v>79</v>
      </c>
      <c r="C24" s="56">
        <v>190009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44">
        <v>0</v>
      </c>
    </row>
    <row r="25" spans="2:16" x14ac:dyDescent="0.3">
      <c r="B25" s="57" t="s">
        <v>80</v>
      </c>
      <c r="C25" s="56">
        <v>190010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160650.15</v>
      </c>
      <c r="N25" s="39">
        <v>160650.15</v>
      </c>
      <c r="O25" s="39">
        <v>160650.15</v>
      </c>
      <c r="P25" s="44">
        <v>160650.15</v>
      </c>
    </row>
    <row r="26" spans="2:16" x14ac:dyDescent="0.3">
      <c r="B26" s="57" t="s">
        <v>81</v>
      </c>
      <c r="C26" s="56">
        <v>190011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</row>
    <row r="27" spans="2:16" x14ac:dyDescent="0.3">
      <c r="B27" s="57" t="s">
        <v>82</v>
      </c>
      <c r="C27" s="56">
        <v>190012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</row>
    <row r="28" spans="2:16" x14ac:dyDescent="0.3">
      <c r="B28" s="57" t="s">
        <v>83</v>
      </c>
      <c r="C28" s="56">
        <v>190013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</row>
    <row r="29" spans="2:16" x14ac:dyDescent="0.3">
      <c r="B29" t="s">
        <v>46</v>
      </c>
      <c r="D29" s="27">
        <f>SUM(D21:D28)</f>
        <v>0</v>
      </c>
      <c r="E29" s="27">
        <f t="shared" ref="E29:P29" si="6">SUM(E21:E28)</f>
        <v>0</v>
      </c>
      <c r="F29" s="27">
        <f t="shared" si="6"/>
        <v>0</v>
      </c>
      <c r="G29" s="27">
        <f t="shared" si="6"/>
        <v>0</v>
      </c>
      <c r="H29" s="27">
        <f t="shared" si="6"/>
        <v>0</v>
      </c>
      <c r="I29" s="27">
        <f t="shared" si="6"/>
        <v>0</v>
      </c>
      <c r="J29" s="27">
        <f t="shared" si="6"/>
        <v>0</v>
      </c>
      <c r="K29" s="27">
        <f t="shared" si="6"/>
        <v>0</v>
      </c>
      <c r="L29" s="27">
        <f t="shared" si="6"/>
        <v>0</v>
      </c>
      <c r="M29" s="27">
        <f t="shared" si="6"/>
        <v>160650.15</v>
      </c>
      <c r="N29" s="27">
        <f t="shared" si="6"/>
        <v>160650.15</v>
      </c>
      <c r="O29" s="27">
        <f t="shared" si="6"/>
        <v>160650.15</v>
      </c>
      <c r="P29" s="27">
        <f t="shared" si="6"/>
        <v>160650.15</v>
      </c>
    </row>
    <row r="30" spans="2:16" x14ac:dyDescent="0.3">
      <c r="B30" t="s">
        <v>47</v>
      </c>
      <c r="C30" s="19"/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</row>
    <row r="31" spans="2:16" x14ac:dyDescent="0.3">
      <c r="B31" t="s">
        <v>48</v>
      </c>
      <c r="C31" s="19"/>
      <c r="D31" s="27">
        <f t="shared" ref="D31:N31" si="7">SUM(D29:D30)</f>
        <v>0</v>
      </c>
      <c r="E31" s="27">
        <f t="shared" si="7"/>
        <v>0</v>
      </c>
      <c r="F31" s="27">
        <f t="shared" si="7"/>
        <v>0</v>
      </c>
      <c r="G31" s="27">
        <f t="shared" si="7"/>
        <v>0</v>
      </c>
      <c r="H31" s="27">
        <f t="shared" si="7"/>
        <v>0</v>
      </c>
      <c r="I31" s="27">
        <f t="shared" si="7"/>
        <v>0</v>
      </c>
      <c r="J31" s="27">
        <f t="shared" si="7"/>
        <v>0</v>
      </c>
      <c r="K31" s="27">
        <f t="shared" si="7"/>
        <v>0</v>
      </c>
      <c r="L31" s="27">
        <f t="shared" si="7"/>
        <v>0</v>
      </c>
      <c r="M31" s="27">
        <f t="shared" si="7"/>
        <v>160650.15</v>
      </c>
      <c r="N31" s="27">
        <f t="shared" si="7"/>
        <v>160650.15</v>
      </c>
      <c r="O31" s="27">
        <f>SUM(O29:O30)</f>
        <v>160650.15</v>
      </c>
      <c r="P31" s="27">
        <f>SUM(P29:P30)</f>
        <v>160650.15</v>
      </c>
    </row>
    <row r="32" spans="2:16" x14ac:dyDescent="0.3">
      <c r="B32" t="s">
        <v>26</v>
      </c>
      <c r="C32" s="19"/>
      <c r="D32" s="41"/>
      <c r="E32" s="42">
        <f>E7</f>
        <v>4.8410958904109588E-4</v>
      </c>
      <c r="F32" s="42">
        <f t="shared" ref="F32:P32" si="8">F7</f>
        <v>4.3726027397260277E-4</v>
      </c>
      <c r="G32" s="42">
        <f t="shared" si="8"/>
        <v>4.8410958904109588E-4</v>
      </c>
      <c r="H32" s="42">
        <f t="shared" si="8"/>
        <v>4.6849315068493149E-4</v>
      </c>
      <c r="I32" s="42">
        <f t="shared" si="8"/>
        <v>4.8410958904109588E-4</v>
      </c>
      <c r="J32" s="42">
        <f t="shared" si="8"/>
        <v>4.6849315068493149E-4</v>
      </c>
      <c r="K32" s="42">
        <f t="shared" si="8"/>
        <v>4.8410958904109588E-4</v>
      </c>
      <c r="L32" s="42">
        <f t="shared" si="8"/>
        <v>4.8410958904109588E-4</v>
      </c>
      <c r="M32" s="42">
        <f t="shared" si="8"/>
        <v>4.6849315068493149E-4</v>
      </c>
      <c r="N32" s="42">
        <f t="shared" si="8"/>
        <v>4.8410958904109588E-4</v>
      </c>
      <c r="O32" s="42">
        <f t="shared" si="8"/>
        <v>4.6849315068493149E-4</v>
      </c>
      <c r="P32" s="42">
        <f t="shared" si="8"/>
        <v>4.8410958904109588E-4</v>
      </c>
    </row>
    <row r="33" spans="2:16" x14ac:dyDescent="0.3">
      <c r="B33" t="s">
        <v>49</v>
      </c>
      <c r="C33" s="19">
        <v>190017</v>
      </c>
      <c r="E33" s="2">
        <f>D31*E32</f>
        <v>0</v>
      </c>
      <c r="F33" s="2">
        <f>E31*F32</f>
        <v>0</v>
      </c>
      <c r="G33" s="2">
        <f t="shared" ref="G33" si="9">F31*G32</f>
        <v>0</v>
      </c>
      <c r="H33" s="2">
        <f t="shared" ref="H33" si="10">G31*H32</f>
        <v>0</v>
      </c>
      <c r="I33" s="2">
        <f t="shared" ref="I33" si="11">H31*I32</f>
        <v>0</v>
      </c>
      <c r="J33" s="2">
        <f t="shared" ref="J33" si="12">I31*J32</f>
        <v>0</v>
      </c>
      <c r="K33" s="2">
        <f t="shared" ref="K33" si="13">J31*K32</f>
        <v>0</v>
      </c>
      <c r="L33" s="2">
        <f t="shared" ref="L33" si="14">K31*L32</f>
        <v>0</v>
      </c>
      <c r="M33" s="2">
        <f t="shared" ref="M33" si="15">L31*M32</f>
        <v>0</v>
      </c>
      <c r="N33" s="2">
        <f t="shared" ref="N33" si="16">M31*N32</f>
        <v>77.772278095890414</v>
      </c>
      <c r="O33" s="2">
        <f>N31*O32</f>
        <v>75.263494931506841</v>
      </c>
      <c r="P33" s="2">
        <f>O31*P32</f>
        <v>77.772278095890414</v>
      </c>
    </row>
    <row r="34" spans="2:16" ht="15" thickBot="1" x14ac:dyDescent="0.35">
      <c r="B34" t="s">
        <v>50</v>
      </c>
      <c r="D34" s="43">
        <v>0</v>
      </c>
      <c r="E34" s="43">
        <f>D34+E33</f>
        <v>0</v>
      </c>
      <c r="F34" s="43">
        <f>E34+F33</f>
        <v>0</v>
      </c>
      <c r="G34" s="43">
        <f t="shared" ref="G34" si="17">F34+G33</f>
        <v>0</v>
      </c>
      <c r="H34" s="43">
        <f t="shared" ref="H34" si="18">G34+H33</f>
        <v>0</v>
      </c>
      <c r="I34" s="43">
        <f t="shared" ref="I34" si="19">H34+I33</f>
        <v>0</v>
      </c>
      <c r="J34" s="43">
        <f t="shared" ref="J34" si="20">I34+J33</f>
        <v>0</v>
      </c>
      <c r="K34" s="43">
        <f t="shared" ref="K34" si="21">J34+K33</f>
        <v>0</v>
      </c>
      <c r="L34" s="43">
        <f t="shared" ref="L34" si="22">K34+L33</f>
        <v>0</v>
      </c>
      <c r="M34" s="43">
        <f t="shared" ref="M34" si="23">L34+M33</f>
        <v>0</v>
      </c>
      <c r="N34" s="43">
        <f t="shared" ref="N34" si="24">M34+N33</f>
        <v>77.772278095890414</v>
      </c>
      <c r="O34" s="43">
        <f t="shared" ref="O34" si="25">N34+O33</f>
        <v>153.03577302739725</v>
      </c>
      <c r="P34" s="43">
        <f t="shared" ref="P34" si="26">O34+P33</f>
        <v>230.80805112328767</v>
      </c>
    </row>
    <row r="35" spans="2:16" ht="15" thickTop="1" x14ac:dyDescent="0.3"/>
  </sheetData>
  <mergeCells count="4">
    <mergeCell ref="E5:G5"/>
    <mergeCell ref="H5:J5"/>
    <mergeCell ref="K5:M5"/>
    <mergeCell ref="N5:P5"/>
  </mergeCells>
  <pageMargins left="0.7" right="0.7" top="0.75" bottom="0.75" header="0.3" footer="0.3"/>
  <pageSetup scale="70" fitToWidth="2" orientation="landscape" r:id="rId1"/>
  <headerFooter>
    <oddFooter>&amp;A&amp;RPage &amp;P</oddFoot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9EC7-CE32-4AF3-B1A4-11D9AA41B928}">
  <dimension ref="A1:Q25"/>
  <sheetViews>
    <sheetView workbookViewId="0">
      <selection activeCell="E19" sqref="E19"/>
    </sheetView>
  </sheetViews>
  <sheetFormatPr defaultRowHeight="14.4" x14ac:dyDescent="0.3"/>
  <cols>
    <col min="1" max="1" width="3.33203125" customWidth="1"/>
    <col min="2" max="2" width="35.6640625" bestFit="1" customWidth="1"/>
    <col min="4" max="16" width="13.3320312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29" t="s">
        <v>20</v>
      </c>
    </row>
    <row r="5" spans="1:17" x14ac:dyDescent="0.3">
      <c r="B5" s="1"/>
      <c r="C5" s="1"/>
      <c r="D5" s="1"/>
      <c r="E5" s="88" t="s">
        <v>21</v>
      </c>
      <c r="F5" s="88"/>
      <c r="G5" s="88"/>
      <c r="H5" s="88" t="s">
        <v>22</v>
      </c>
      <c r="I5" s="88"/>
      <c r="J5" s="88"/>
      <c r="K5" s="88" t="s">
        <v>23</v>
      </c>
      <c r="L5" s="88"/>
      <c r="M5" s="88"/>
      <c r="N5" s="88" t="s">
        <v>24</v>
      </c>
      <c r="O5" s="88"/>
      <c r="P5" s="88"/>
      <c r="Q5" s="1"/>
    </row>
    <row r="6" spans="1:17" x14ac:dyDescent="0.3">
      <c r="B6" s="1" t="s">
        <v>25</v>
      </c>
      <c r="C6" s="1"/>
      <c r="D6" s="1"/>
      <c r="E6" s="34">
        <v>2.18E-2</v>
      </c>
      <c r="F6" s="34">
        <v>2.18E-2</v>
      </c>
      <c r="G6" s="34">
        <v>2.18E-2</v>
      </c>
      <c r="H6" s="34">
        <v>2.18E-2</v>
      </c>
      <c r="I6" s="34">
        <v>2.18E-2</v>
      </c>
      <c r="J6" s="34">
        <v>2.18E-2</v>
      </c>
      <c r="K6" s="34">
        <v>5.7000000000000002E-3</v>
      </c>
      <c r="L6" s="34">
        <v>5.7000000000000002E-3</v>
      </c>
      <c r="M6" s="34">
        <v>5.7000000000000002E-3</v>
      </c>
      <c r="N6" s="34">
        <v>5.7000000000000002E-3</v>
      </c>
      <c r="O6" s="34">
        <v>5.7000000000000002E-3</v>
      </c>
      <c r="P6" s="34">
        <v>5.7000000000000002E-3</v>
      </c>
      <c r="Q6" s="1"/>
    </row>
    <row r="7" spans="1:17" x14ac:dyDescent="0.3">
      <c r="B7" s="1" t="s">
        <v>26</v>
      </c>
      <c r="C7" s="1"/>
      <c r="D7" s="1"/>
      <c r="E7" s="34">
        <f>(E6)*(E8/$Q$8)</f>
        <v>1.8464480874316939E-3</v>
      </c>
      <c r="F7" s="34">
        <f t="shared" ref="F7:P7" si="0">(F6)*(F8/$Q$8)</f>
        <v>1.7273224043715847E-3</v>
      </c>
      <c r="G7" s="34">
        <f t="shared" si="0"/>
        <v>1.8464480874316939E-3</v>
      </c>
      <c r="H7" s="34">
        <f t="shared" si="0"/>
        <v>1.7868852459016391E-3</v>
      </c>
      <c r="I7" s="34">
        <f t="shared" si="0"/>
        <v>1.8464480874316939E-3</v>
      </c>
      <c r="J7" s="34">
        <f t="shared" si="0"/>
        <v>1.7868852459016391E-3</v>
      </c>
      <c r="K7" s="34">
        <f t="shared" si="0"/>
        <v>4.8278688524590162E-4</v>
      </c>
      <c r="L7" s="34">
        <f t="shared" si="0"/>
        <v>4.8278688524590162E-4</v>
      </c>
      <c r="M7" s="34">
        <f t="shared" si="0"/>
        <v>4.6721311475409833E-4</v>
      </c>
      <c r="N7" s="34">
        <f t="shared" si="0"/>
        <v>4.8278688524590162E-4</v>
      </c>
      <c r="O7" s="34">
        <f t="shared" si="0"/>
        <v>4.6721311475409833E-4</v>
      </c>
      <c r="P7" s="34">
        <f t="shared" si="0"/>
        <v>4.8278688524590162E-4</v>
      </c>
      <c r="Q7" s="1"/>
    </row>
    <row r="8" spans="1:17" x14ac:dyDescent="0.3">
      <c r="B8" s="1" t="s">
        <v>27</v>
      </c>
      <c r="C8" s="1"/>
      <c r="D8" s="1"/>
      <c r="E8" s="35">
        <v>31</v>
      </c>
      <c r="F8" s="35">
        <v>29</v>
      </c>
      <c r="G8" s="35">
        <v>31</v>
      </c>
      <c r="H8" s="35">
        <v>30</v>
      </c>
      <c r="I8" s="35">
        <v>31</v>
      </c>
      <c r="J8" s="35">
        <v>30</v>
      </c>
      <c r="K8" s="35">
        <v>31</v>
      </c>
      <c r="L8" s="35">
        <v>31</v>
      </c>
      <c r="M8" s="35">
        <v>30</v>
      </c>
      <c r="N8" s="35">
        <v>31</v>
      </c>
      <c r="O8" s="35">
        <v>30</v>
      </c>
      <c r="P8" s="35">
        <v>31</v>
      </c>
      <c r="Q8" s="35">
        <f>SUM(E8:P8)</f>
        <v>366</v>
      </c>
    </row>
    <row r="9" spans="1:17" x14ac:dyDescent="0.3">
      <c r="B9" s="36"/>
      <c r="C9" s="37" t="s">
        <v>28</v>
      </c>
      <c r="D9" s="38" t="s">
        <v>29</v>
      </c>
      <c r="E9" s="37" t="s">
        <v>30</v>
      </c>
      <c r="F9" s="37" t="s">
        <v>31</v>
      </c>
      <c r="G9" s="37" t="s">
        <v>32</v>
      </c>
      <c r="H9" s="37" t="s">
        <v>33</v>
      </c>
      <c r="I9" s="37" t="s">
        <v>34</v>
      </c>
      <c r="J9" s="37" t="s">
        <v>35</v>
      </c>
      <c r="K9" s="37" t="s">
        <v>36</v>
      </c>
      <c r="L9" s="37" t="s">
        <v>37</v>
      </c>
      <c r="M9" s="37" t="s">
        <v>38</v>
      </c>
      <c r="N9" s="37" t="s">
        <v>39</v>
      </c>
      <c r="O9" s="37" t="s">
        <v>40</v>
      </c>
      <c r="P9" s="37" t="s">
        <v>41</v>
      </c>
      <c r="Q9" s="36"/>
    </row>
    <row r="10" spans="1:17" x14ac:dyDescent="0.3">
      <c r="B10" t="s">
        <v>42</v>
      </c>
      <c r="C10" s="19">
        <v>190003</v>
      </c>
      <c r="D10" s="39">
        <f>'Distribution Deferral - 2019'!P10</f>
        <v>281405.44</v>
      </c>
      <c r="E10" s="39">
        <v>285754.51</v>
      </c>
      <c r="F10" s="39">
        <v>292321.3</v>
      </c>
      <c r="G10" s="39">
        <v>328869.63</v>
      </c>
      <c r="H10" s="39">
        <v>336061.64</v>
      </c>
      <c r="I10" s="39">
        <v>351529.38</v>
      </c>
      <c r="J10" s="39">
        <v>364108.49</v>
      </c>
      <c r="K10" s="39">
        <v>370256.94</v>
      </c>
      <c r="L10" s="39">
        <v>385077.4</v>
      </c>
      <c r="M10" s="39">
        <v>398087.58</v>
      </c>
      <c r="N10" s="39">
        <v>419339.25</v>
      </c>
      <c r="O10" s="39">
        <v>431574.78</v>
      </c>
      <c r="P10" s="39">
        <v>443079</v>
      </c>
    </row>
    <row r="11" spans="1:17" x14ac:dyDescent="0.3">
      <c r="B11" t="s">
        <v>43</v>
      </c>
      <c r="C11" s="19">
        <v>190004</v>
      </c>
      <c r="D11" s="39">
        <f>'Distribution Deferral - 2019'!P11</f>
        <v>1054550.3899999999</v>
      </c>
      <c r="E11" s="39">
        <v>1001050.35</v>
      </c>
      <c r="F11" s="39">
        <v>1001050.35</v>
      </c>
      <c r="G11" s="39">
        <v>1054550.3500000001</v>
      </c>
      <c r="H11" s="39">
        <v>1054551.1499999999</v>
      </c>
      <c r="I11" s="39">
        <v>1126134.1499999999</v>
      </c>
      <c r="J11" s="39">
        <v>1161775.76</v>
      </c>
      <c r="K11" s="39">
        <v>1161775.76</v>
      </c>
      <c r="L11" s="39">
        <v>1383810.16</v>
      </c>
      <c r="M11" s="39">
        <v>1390622.57</v>
      </c>
      <c r="N11" s="39">
        <v>1390622.57</v>
      </c>
      <c r="O11" s="39">
        <v>1403622.57</v>
      </c>
      <c r="P11" s="39">
        <v>1026863.23</v>
      </c>
    </row>
    <row r="12" spans="1:17" x14ac:dyDescent="0.3">
      <c r="B12" t="s">
        <v>44</v>
      </c>
      <c r="C12" s="19">
        <v>190005</v>
      </c>
      <c r="D12" s="30">
        <f>'Distribution Deferral - 2019'!P12</f>
        <v>287729.71999999997</v>
      </c>
      <c r="E12" s="30">
        <v>295372.09999999998</v>
      </c>
      <c r="F12" s="30">
        <v>320991.96000000002</v>
      </c>
      <c r="G12" s="30">
        <v>335158.01</v>
      </c>
      <c r="H12" s="30">
        <v>356473.74</v>
      </c>
      <c r="I12" s="30">
        <v>368432.76</v>
      </c>
      <c r="J12" s="30">
        <v>413375.42</v>
      </c>
      <c r="K12" s="30">
        <v>423275.32</v>
      </c>
      <c r="L12" s="30">
        <v>452642.52</v>
      </c>
      <c r="M12" s="30">
        <v>463237.35</v>
      </c>
      <c r="N12" s="30">
        <v>483762.53</v>
      </c>
      <c r="O12" s="30">
        <v>494755.02</v>
      </c>
      <c r="P12" s="30">
        <v>542007.54</v>
      </c>
    </row>
    <row r="13" spans="1:17" x14ac:dyDescent="0.3">
      <c r="B13" t="s">
        <v>45</v>
      </c>
      <c r="C13" s="19">
        <v>190008</v>
      </c>
      <c r="D13" s="40">
        <f>'Distribution Deferral - 2019'!P13</f>
        <v>0</v>
      </c>
      <c r="E13" s="40">
        <v>53500</v>
      </c>
      <c r="F13" s="40">
        <v>53500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</row>
    <row r="14" spans="1:17" x14ac:dyDescent="0.3">
      <c r="B14" t="s">
        <v>46</v>
      </c>
      <c r="C14" s="19"/>
      <c r="D14" s="27">
        <f>SUM(D10:D13)</f>
        <v>1623685.5499999998</v>
      </c>
      <c r="E14" s="27">
        <f>SUM(E10:E13)</f>
        <v>1635676.96</v>
      </c>
      <c r="F14" s="27">
        <f t="shared" ref="F14:P14" si="1">SUM(F10:F13)</f>
        <v>1667863.6099999999</v>
      </c>
      <c r="G14" s="27">
        <f>SUM(G10:G13)</f>
        <v>1718577.99</v>
      </c>
      <c r="H14" s="27">
        <f t="shared" si="1"/>
        <v>1747086.53</v>
      </c>
      <c r="I14" s="27">
        <f t="shared" si="1"/>
        <v>1846096.2899999998</v>
      </c>
      <c r="J14" s="27">
        <f t="shared" si="1"/>
        <v>1939259.67</v>
      </c>
      <c r="K14" s="27">
        <f t="shared" si="1"/>
        <v>1955308.02</v>
      </c>
      <c r="L14" s="27">
        <f t="shared" si="1"/>
        <v>2221530.08</v>
      </c>
      <c r="M14" s="27">
        <f t="shared" si="1"/>
        <v>2251947.5</v>
      </c>
      <c r="N14" s="27">
        <f t="shared" si="1"/>
        <v>2293724.35</v>
      </c>
      <c r="O14" s="27">
        <f t="shared" si="1"/>
        <v>2329952.37</v>
      </c>
      <c r="P14" s="27">
        <f t="shared" si="1"/>
        <v>2011949.77</v>
      </c>
    </row>
    <row r="15" spans="1:17" x14ac:dyDescent="0.3">
      <c r="B15" t="s">
        <v>47</v>
      </c>
      <c r="C15" s="19"/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</row>
    <row r="16" spans="1:17" x14ac:dyDescent="0.3">
      <c r="B16" t="s">
        <v>48</v>
      </c>
      <c r="C16" s="19"/>
      <c r="D16" s="27">
        <f t="shared" ref="D16:P16" si="2">SUM(D14:D15)</f>
        <v>1623685.5499999998</v>
      </c>
      <c r="E16" s="27">
        <f t="shared" si="2"/>
        <v>1635676.96</v>
      </c>
      <c r="F16" s="27">
        <f t="shared" si="2"/>
        <v>1667863.6099999999</v>
      </c>
      <c r="G16" s="27">
        <f t="shared" si="2"/>
        <v>1718577.99</v>
      </c>
      <c r="H16" s="27">
        <f t="shared" si="2"/>
        <v>1747086.53</v>
      </c>
      <c r="I16" s="27">
        <f t="shared" si="2"/>
        <v>1846096.2899999998</v>
      </c>
      <c r="J16" s="27">
        <f t="shared" si="2"/>
        <v>1939259.67</v>
      </c>
      <c r="K16" s="27">
        <f t="shared" si="2"/>
        <v>1955308.02</v>
      </c>
      <c r="L16" s="27">
        <f t="shared" si="2"/>
        <v>2221530.08</v>
      </c>
      <c r="M16" s="27">
        <f t="shared" si="2"/>
        <v>2251947.5</v>
      </c>
      <c r="N16" s="27">
        <f t="shared" si="2"/>
        <v>2293724.35</v>
      </c>
      <c r="O16" s="27">
        <f t="shared" si="2"/>
        <v>2329952.37</v>
      </c>
      <c r="P16" s="27">
        <f t="shared" si="2"/>
        <v>2011949.77</v>
      </c>
    </row>
    <row r="17" spans="2:16" x14ac:dyDescent="0.3">
      <c r="B17" t="s">
        <v>26</v>
      </c>
      <c r="C17" s="19"/>
      <c r="D17" s="41"/>
      <c r="E17" s="42">
        <f>E7</f>
        <v>1.8464480874316939E-3</v>
      </c>
      <c r="F17" s="42">
        <f t="shared" ref="F17:P17" si="3">F7</f>
        <v>1.7273224043715847E-3</v>
      </c>
      <c r="G17" s="42">
        <f t="shared" si="3"/>
        <v>1.8464480874316939E-3</v>
      </c>
      <c r="H17" s="42">
        <f t="shared" si="3"/>
        <v>1.7868852459016391E-3</v>
      </c>
      <c r="I17" s="42">
        <f t="shared" si="3"/>
        <v>1.8464480874316939E-3</v>
      </c>
      <c r="J17" s="42">
        <f t="shared" si="3"/>
        <v>1.7868852459016391E-3</v>
      </c>
      <c r="K17" s="42">
        <f t="shared" si="3"/>
        <v>4.8278688524590162E-4</v>
      </c>
      <c r="L17" s="42">
        <f t="shared" si="3"/>
        <v>4.8278688524590162E-4</v>
      </c>
      <c r="M17" s="42">
        <f t="shared" si="3"/>
        <v>4.6721311475409833E-4</v>
      </c>
      <c r="N17" s="42">
        <f t="shared" si="3"/>
        <v>4.8278688524590162E-4</v>
      </c>
      <c r="O17" s="42">
        <f t="shared" si="3"/>
        <v>4.6721311475409833E-4</v>
      </c>
      <c r="P17" s="42">
        <f t="shared" si="3"/>
        <v>4.8278688524590162E-4</v>
      </c>
    </row>
    <row r="18" spans="2:16" x14ac:dyDescent="0.3">
      <c r="B18" t="s">
        <v>49</v>
      </c>
      <c r="C18" s="19">
        <v>190016</v>
      </c>
      <c r="E18" s="2">
        <f>D16*E17</f>
        <v>2998.0510783879777</v>
      </c>
      <c r="F18" s="2">
        <f>E16*F17</f>
        <v>2825.3414593224043</v>
      </c>
      <c r="G18" s="2">
        <f t="shared" ref="G18:O18" si="4">F16*G17</f>
        <v>3079.6235727814205</v>
      </c>
      <c r="H18" s="2">
        <f t="shared" si="4"/>
        <v>3070.9016542622949</v>
      </c>
      <c r="I18" s="2">
        <f t="shared" si="4"/>
        <v>3225.9045818961749</v>
      </c>
      <c r="J18" s="2">
        <f t="shared" si="4"/>
        <v>3298.7622231147534</v>
      </c>
      <c r="K18" s="2">
        <f t="shared" si="4"/>
        <v>936.24913576229505</v>
      </c>
      <c r="L18" s="2">
        <f t="shared" si="4"/>
        <v>943.99706867213115</v>
      </c>
      <c r="M18" s="2">
        <f t="shared" si="4"/>
        <v>1037.9279881967213</v>
      </c>
      <c r="N18" s="2">
        <f t="shared" si="4"/>
        <v>1087.210719262295</v>
      </c>
      <c r="O18" s="2">
        <f t="shared" si="4"/>
        <v>1071.6580979508196</v>
      </c>
      <c r="P18" s="2">
        <f>O16*P17</f>
        <v>1124.8704474836065</v>
      </c>
    </row>
    <row r="19" spans="2:16" ht="15" thickBot="1" x14ac:dyDescent="0.35">
      <c r="B19" t="s">
        <v>50</v>
      </c>
      <c r="D19" s="43">
        <f>'Distribution Deferral - 2019'!P19</f>
        <v>10315.342112156166</v>
      </c>
      <c r="E19" s="43">
        <f>D19+E18</f>
        <v>13313.393190544144</v>
      </c>
      <c r="F19" s="43">
        <f>E19+F18</f>
        <v>16138.734649866548</v>
      </c>
      <c r="G19" s="43">
        <f t="shared" ref="G19:P19" si="5">F19+G18</f>
        <v>19218.35822264797</v>
      </c>
      <c r="H19" s="43">
        <f t="shared" si="5"/>
        <v>22289.259876910266</v>
      </c>
      <c r="I19" s="43">
        <f t="shared" si="5"/>
        <v>25515.164458806441</v>
      </c>
      <c r="J19" s="43">
        <f t="shared" si="5"/>
        <v>28813.926681921195</v>
      </c>
      <c r="K19" s="43">
        <f t="shared" si="5"/>
        <v>29750.175817683492</v>
      </c>
      <c r="L19" s="43">
        <f t="shared" si="5"/>
        <v>30694.172886355624</v>
      </c>
      <c r="M19" s="43">
        <f t="shared" si="5"/>
        <v>31732.100874552343</v>
      </c>
      <c r="N19" s="43">
        <f t="shared" si="5"/>
        <v>32819.311593814637</v>
      </c>
      <c r="O19" s="43">
        <f t="shared" si="5"/>
        <v>33890.969691765458</v>
      </c>
      <c r="P19" s="43">
        <f t="shared" si="5"/>
        <v>35015.840139249063</v>
      </c>
    </row>
    <row r="20" spans="2:16" ht="15" thickTop="1" x14ac:dyDescent="0.3"/>
    <row r="22" spans="2:16" x14ac:dyDescent="0.3">
      <c r="P22" s="2"/>
    </row>
    <row r="23" spans="2:16" x14ac:dyDescent="0.3">
      <c r="P23" s="2"/>
    </row>
    <row r="25" spans="2:16" x14ac:dyDescent="0.3">
      <c r="P25" s="2"/>
    </row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FCC9-8D22-4F33-A2CA-EC44AE655281}">
  <dimension ref="A1:Q22"/>
  <sheetViews>
    <sheetView workbookViewId="0">
      <selection activeCell="P19" sqref="P19"/>
    </sheetView>
  </sheetViews>
  <sheetFormatPr defaultRowHeight="14.4" x14ac:dyDescent="0.3"/>
  <cols>
    <col min="1" max="1" width="3.33203125" customWidth="1"/>
    <col min="2" max="2" width="35.6640625" bestFit="1" customWidth="1"/>
    <col min="4" max="14" width="11.5546875" bestFit="1" customWidth="1"/>
    <col min="15" max="16" width="13.3320312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29" t="s">
        <v>51</v>
      </c>
    </row>
    <row r="5" spans="1:17" x14ac:dyDescent="0.3">
      <c r="B5" s="1"/>
      <c r="C5" s="1"/>
      <c r="D5" s="1"/>
      <c r="E5" s="88" t="s">
        <v>52</v>
      </c>
      <c r="F5" s="88"/>
      <c r="G5" s="88"/>
      <c r="H5" s="88" t="s">
        <v>53</v>
      </c>
      <c r="I5" s="88"/>
      <c r="J5" s="88"/>
      <c r="K5" s="88" t="s">
        <v>54</v>
      </c>
      <c r="L5" s="88"/>
      <c r="M5" s="88"/>
      <c r="N5" s="88" t="s">
        <v>55</v>
      </c>
      <c r="O5" s="88"/>
      <c r="P5" s="88"/>
      <c r="Q5" s="1"/>
    </row>
    <row r="6" spans="1:17" x14ac:dyDescent="0.3">
      <c r="B6" s="1" t="s">
        <v>25</v>
      </c>
      <c r="C6" s="1"/>
      <c r="D6" s="1"/>
      <c r="E6" s="34">
        <v>2.4500000000000001E-2</v>
      </c>
      <c r="F6" s="34">
        <v>2.4500000000000001E-2</v>
      </c>
      <c r="G6" s="34">
        <v>2.4500000000000001E-2</v>
      </c>
      <c r="H6" s="34">
        <v>2.18E-2</v>
      </c>
      <c r="I6" s="34">
        <v>2.18E-2</v>
      </c>
      <c r="J6" s="34">
        <v>2.18E-2</v>
      </c>
      <c r="K6" s="34">
        <v>2.18E-2</v>
      </c>
      <c r="L6" s="34">
        <v>2.18E-2</v>
      </c>
      <c r="M6" s="34">
        <v>2.18E-2</v>
      </c>
      <c r="N6" s="34">
        <v>2.18E-2</v>
      </c>
      <c r="O6" s="34">
        <v>2.18E-2</v>
      </c>
      <c r="P6" s="34">
        <v>2.18E-2</v>
      </c>
      <c r="Q6" s="1"/>
    </row>
    <row r="7" spans="1:17" x14ac:dyDescent="0.3">
      <c r="B7" s="1" t="s">
        <v>26</v>
      </c>
      <c r="C7" s="1"/>
      <c r="D7" s="1"/>
      <c r="E7" s="34">
        <f>(E6)*(E8/$Q$8)</f>
        <v>2.0808219178082192E-3</v>
      </c>
      <c r="F7" s="34">
        <f t="shared" ref="F7:P7" si="0">(F6)*(F8/$Q$8)</f>
        <v>1.8794520547945207E-3</v>
      </c>
      <c r="G7" s="34">
        <f t="shared" si="0"/>
        <v>2.0808219178082192E-3</v>
      </c>
      <c r="H7" s="34">
        <f t="shared" si="0"/>
        <v>1.7917808219178081E-3</v>
      </c>
      <c r="I7" s="34">
        <f t="shared" si="0"/>
        <v>1.8515068493150685E-3</v>
      </c>
      <c r="J7" s="34">
        <f t="shared" si="0"/>
        <v>1.7917808219178081E-3</v>
      </c>
      <c r="K7" s="34">
        <f t="shared" si="0"/>
        <v>1.8515068493150685E-3</v>
      </c>
      <c r="L7" s="34">
        <f t="shared" si="0"/>
        <v>1.8515068493150685E-3</v>
      </c>
      <c r="M7" s="34">
        <f t="shared" si="0"/>
        <v>1.7917808219178081E-3</v>
      </c>
      <c r="N7" s="34">
        <f t="shared" si="0"/>
        <v>1.8515068493150685E-3</v>
      </c>
      <c r="O7" s="34">
        <f t="shared" si="0"/>
        <v>1.7917808219178081E-3</v>
      </c>
      <c r="P7" s="34">
        <f t="shared" si="0"/>
        <v>1.8515068493150685E-3</v>
      </c>
      <c r="Q7" s="1"/>
    </row>
    <row r="8" spans="1:17" x14ac:dyDescent="0.3">
      <c r="B8" s="1" t="s">
        <v>27</v>
      </c>
      <c r="C8" s="1"/>
      <c r="D8" s="1"/>
      <c r="E8" s="35">
        <v>31</v>
      </c>
      <c r="F8" s="35">
        <v>28</v>
      </c>
      <c r="G8" s="35">
        <v>31</v>
      </c>
      <c r="H8" s="35">
        <v>30</v>
      </c>
      <c r="I8" s="35">
        <v>31</v>
      </c>
      <c r="J8" s="35">
        <v>30</v>
      </c>
      <c r="K8" s="35">
        <v>31</v>
      </c>
      <c r="L8" s="35">
        <v>31</v>
      </c>
      <c r="M8" s="35">
        <v>30</v>
      </c>
      <c r="N8" s="35">
        <v>31</v>
      </c>
      <c r="O8" s="35">
        <v>30</v>
      </c>
      <c r="P8" s="35">
        <v>31</v>
      </c>
      <c r="Q8" s="35">
        <f>SUM(E8:P8)</f>
        <v>365</v>
      </c>
    </row>
    <row r="9" spans="1:17" x14ac:dyDescent="0.3">
      <c r="B9" s="36"/>
      <c r="C9" s="37" t="s">
        <v>28</v>
      </c>
      <c r="D9" s="38" t="s">
        <v>56</v>
      </c>
      <c r="E9" s="37" t="s">
        <v>30</v>
      </c>
      <c r="F9" s="37" t="s">
        <v>31</v>
      </c>
      <c r="G9" s="37" t="s">
        <v>32</v>
      </c>
      <c r="H9" s="37" t="s">
        <v>33</v>
      </c>
      <c r="I9" s="37" t="s">
        <v>34</v>
      </c>
      <c r="J9" s="37" t="s">
        <v>35</v>
      </c>
      <c r="K9" s="37" t="s">
        <v>36</v>
      </c>
      <c r="L9" s="37" t="s">
        <v>37</v>
      </c>
      <c r="M9" s="37" t="s">
        <v>38</v>
      </c>
      <c r="N9" s="37" t="s">
        <v>39</v>
      </c>
      <c r="O9" s="37" t="s">
        <v>40</v>
      </c>
      <c r="P9" s="37" t="s">
        <v>41</v>
      </c>
      <c r="Q9" s="36"/>
    </row>
    <row r="10" spans="1:17" x14ac:dyDescent="0.3">
      <c r="B10" t="s">
        <v>42</v>
      </c>
      <c r="C10" s="19">
        <v>190003</v>
      </c>
      <c r="D10" s="39">
        <f>'Distribution Deferral - 2018'!P10</f>
        <v>108159.41</v>
      </c>
      <c r="E10" s="39">
        <f>85571.36+38313.01</f>
        <v>123884.37</v>
      </c>
      <c r="F10" s="39">
        <v>129747.07</v>
      </c>
      <c r="G10" s="39">
        <v>200340.72</v>
      </c>
      <c r="H10" s="39">
        <v>210018.94</v>
      </c>
      <c r="I10" s="39">
        <v>219029.01</v>
      </c>
      <c r="J10" s="39">
        <v>229922.34</v>
      </c>
      <c r="K10" s="39">
        <v>237391.67</v>
      </c>
      <c r="L10" s="39">
        <v>244166.19</v>
      </c>
      <c r="M10" s="39">
        <v>251646.27</v>
      </c>
      <c r="N10" s="39">
        <v>266340.05</v>
      </c>
      <c r="O10" s="39">
        <v>278089.36</v>
      </c>
      <c r="P10" s="39">
        <v>281405.44</v>
      </c>
    </row>
    <row r="11" spans="1:17" x14ac:dyDescent="0.3">
      <c r="B11" t="s">
        <v>43</v>
      </c>
      <c r="C11" s="19">
        <v>190004</v>
      </c>
      <c r="D11" s="39">
        <f>'Distribution Deferral - 2018'!P11</f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325732.63</v>
      </c>
      <c r="M11" s="39">
        <v>325732.63</v>
      </c>
      <c r="N11" s="39">
        <v>325732.63</v>
      </c>
      <c r="O11" s="39">
        <v>902696.56</v>
      </c>
      <c r="P11" s="39">
        <v>1054550.3899999999</v>
      </c>
    </row>
    <row r="12" spans="1:17" x14ac:dyDescent="0.3">
      <c r="B12" t="s">
        <v>44</v>
      </c>
      <c r="C12" s="19">
        <v>190005</v>
      </c>
      <c r="D12" s="30">
        <f>'Distribution Deferral - 2018'!P12</f>
        <v>0</v>
      </c>
      <c r="E12" s="30">
        <v>21172.18</v>
      </c>
      <c r="F12" s="30">
        <v>42428.95</v>
      </c>
      <c r="G12" s="30">
        <v>72285.89</v>
      </c>
      <c r="H12" s="30">
        <v>93293.119999999995</v>
      </c>
      <c r="I12" s="30">
        <v>115909.11</v>
      </c>
      <c r="J12" s="30">
        <v>125229.48</v>
      </c>
      <c r="K12" s="30">
        <v>133180.17000000001</v>
      </c>
      <c r="L12" s="30">
        <v>142074.04</v>
      </c>
      <c r="M12" s="30">
        <v>149422.15</v>
      </c>
      <c r="N12" s="30">
        <v>159861.76000000001</v>
      </c>
      <c r="O12" s="30">
        <v>167747.85</v>
      </c>
      <c r="P12" s="30">
        <v>287729.71999999997</v>
      </c>
    </row>
    <row r="13" spans="1:17" x14ac:dyDescent="0.3">
      <c r="B13" t="s">
        <v>45</v>
      </c>
      <c r="C13" s="19">
        <v>190008</v>
      </c>
      <c r="D13" s="40">
        <f>'Distribution Deferral - 2018'!P13</f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/>
      <c r="M13" s="40">
        <v>0</v>
      </c>
      <c r="N13" s="40">
        <v>0</v>
      </c>
      <c r="O13" s="40">
        <v>0</v>
      </c>
      <c r="P13" s="40">
        <v>0</v>
      </c>
    </row>
    <row r="14" spans="1:17" x14ac:dyDescent="0.3">
      <c r="B14" t="s">
        <v>46</v>
      </c>
      <c r="C14" s="19"/>
      <c r="D14" s="27">
        <f>SUM(D10:D13)</f>
        <v>108159.41</v>
      </c>
      <c r="E14" s="27">
        <f>SUM(E10:E13)</f>
        <v>145056.54999999999</v>
      </c>
      <c r="F14" s="27">
        <f t="shared" ref="F14:P14" si="1">SUM(F10:F13)</f>
        <v>172176.02000000002</v>
      </c>
      <c r="G14" s="27">
        <f>SUM(G10:G13)</f>
        <v>272626.61</v>
      </c>
      <c r="H14" s="27">
        <f t="shared" si="1"/>
        <v>303312.06</v>
      </c>
      <c r="I14" s="27">
        <f t="shared" si="1"/>
        <v>334938.12</v>
      </c>
      <c r="J14" s="27">
        <f t="shared" si="1"/>
        <v>355151.82</v>
      </c>
      <c r="K14" s="27">
        <f t="shared" si="1"/>
        <v>370571.84</v>
      </c>
      <c r="L14" s="27">
        <f t="shared" si="1"/>
        <v>711972.8600000001</v>
      </c>
      <c r="M14" s="27">
        <f t="shared" si="1"/>
        <v>726801.05</v>
      </c>
      <c r="N14" s="27">
        <f t="shared" si="1"/>
        <v>751934.44</v>
      </c>
      <c r="O14" s="27">
        <f t="shared" si="1"/>
        <v>1348533.77</v>
      </c>
      <c r="P14" s="27">
        <f t="shared" si="1"/>
        <v>1623685.5499999998</v>
      </c>
      <c r="Q14" s="1"/>
    </row>
    <row r="15" spans="1:17" x14ac:dyDescent="0.3">
      <c r="B15" t="s">
        <v>47</v>
      </c>
      <c r="C15" s="19"/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</row>
    <row r="16" spans="1:17" x14ac:dyDescent="0.3">
      <c r="B16" t="s">
        <v>48</v>
      </c>
      <c r="C16" s="19"/>
      <c r="D16" s="27">
        <f t="shared" ref="D16:P16" si="2">SUM(D14:D15)</f>
        <v>108159.41</v>
      </c>
      <c r="E16" s="27">
        <f t="shared" si="2"/>
        <v>145056.54999999999</v>
      </c>
      <c r="F16" s="27">
        <f t="shared" si="2"/>
        <v>172176.02000000002</v>
      </c>
      <c r="G16" s="27">
        <f t="shared" si="2"/>
        <v>272626.61</v>
      </c>
      <c r="H16" s="27">
        <f t="shared" si="2"/>
        <v>303312.06</v>
      </c>
      <c r="I16" s="27">
        <f t="shared" si="2"/>
        <v>334938.12</v>
      </c>
      <c r="J16" s="27">
        <f t="shared" si="2"/>
        <v>355151.82</v>
      </c>
      <c r="K16" s="27">
        <f t="shared" si="2"/>
        <v>370571.84</v>
      </c>
      <c r="L16" s="27">
        <f t="shared" si="2"/>
        <v>711972.8600000001</v>
      </c>
      <c r="M16" s="27">
        <f t="shared" si="2"/>
        <v>726801.05</v>
      </c>
      <c r="N16" s="27">
        <f t="shared" si="2"/>
        <v>751934.44</v>
      </c>
      <c r="O16" s="27">
        <f t="shared" si="2"/>
        <v>1348533.77</v>
      </c>
      <c r="P16" s="27">
        <f t="shared" si="2"/>
        <v>1623685.5499999998</v>
      </c>
    </row>
    <row r="17" spans="2:16" x14ac:dyDescent="0.3">
      <c r="B17" t="s">
        <v>26</v>
      </c>
      <c r="C17" s="19"/>
      <c r="D17" s="41"/>
      <c r="E17" s="42">
        <f>E7</f>
        <v>2.0808219178082192E-3</v>
      </c>
      <c r="F17" s="42">
        <f t="shared" ref="F17:P17" si="3">F7</f>
        <v>1.8794520547945207E-3</v>
      </c>
      <c r="G17" s="42">
        <f t="shared" si="3"/>
        <v>2.0808219178082192E-3</v>
      </c>
      <c r="H17" s="42">
        <f t="shared" si="3"/>
        <v>1.7917808219178081E-3</v>
      </c>
      <c r="I17" s="42">
        <f t="shared" si="3"/>
        <v>1.8515068493150685E-3</v>
      </c>
      <c r="J17" s="42">
        <f t="shared" si="3"/>
        <v>1.7917808219178081E-3</v>
      </c>
      <c r="K17" s="42">
        <f t="shared" si="3"/>
        <v>1.8515068493150685E-3</v>
      </c>
      <c r="L17" s="42">
        <f t="shared" si="3"/>
        <v>1.8515068493150685E-3</v>
      </c>
      <c r="M17" s="42">
        <f t="shared" si="3"/>
        <v>1.7917808219178081E-3</v>
      </c>
      <c r="N17" s="42">
        <f t="shared" si="3"/>
        <v>1.8515068493150685E-3</v>
      </c>
      <c r="O17" s="42">
        <f t="shared" si="3"/>
        <v>1.7917808219178081E-3</v>
      </c>
      <c r="P17" s="42">
        <f t="shared" si="3"/>
        <v>1.8515068493150685E-3</v>
      </c>
    </row>
    <row r="18" spans="2:16" x14ac:dyDescent="0.3">
      <c r="B18" t="s">
        <v>49</v>
      </c>
      <c r="C18" s="19">
        <v>190016</v>
      </c>
      <c r="E18" s="2">
        <f>D16*E17</f>
        <v>225.06047094520548</v>
      </c>
      <c r="F18" s="2">
        <f>E16*F17</f>
        <v>272.62683095890412</v>
      </c>
      <c r="G18" s="2">
        <f t="shared" ref="G18:O18" si="4">F16*G17</f>
        <v>358.26763613698637</v>
      </c>
      <c r="H18" s="2">
        <f t="shared" si="4"/>
        <v>488.48713134246572</v>
      </c>
      <c r="I18" s="2">
        <f t="shared" si="4"/>
        <v>561.58435656986296</v>
      </c>
      <c r="J18" s="2">
        <f t="shared" si="4"/>
        <v>600.13569994520537</v>
      </c>
      <c r="K18" s="2">
        <f t="shared" si="4"/>
        <v>657.56602727671236</v>
      </c>
      <c r="L18" s="2">
        <f t="shared" si="4"/>
        <v>686.11629992328778</v>
      </c>
      <c r="M18" s="2">
        <f t="shared" si="4"/>
        <v>1275.6993162739727</v>
      </c>
      <c r="N18" s="2">
        <f t="shared" si="4"/>
        <v>1345.6771221643837</v>
      </c>
      <c r="O18" s="2">
        <f t="shared" si="4"/>
        <v>1347.3017089315067</v>
      </c>
      <c r="P18" s="2">
        <f>O16*P17</f>
        <v>2496.8195116876714</v>
      </c>
    </row>
    <row r="19" spans="2:16" ht="15" thickBot="1" x14ac:dyDescent="0.35">
      <c r="B19" t="s">
        <v>50</v>
      </c>
      <c r="D19" s="43">
        <f>'Distribution Deferral - 2018'!P19</f>
        <v>0</v>
      </c>
      <c r="E19" s="43">
        <f>D19+E18</f>
        <v>225.06047094520548</v>
      </c>
      <c r="F19" s="43">
        <f>E19+F18</f>
        <v>497.68730190410963</v>
      </c>
      <c r="G19" s="43">
        <f t="shared" ref="G19:P19" si="5">F19+G18</f>
        <v>855.95493804109606</v>
      </c>
      <c r="H19" s="43">
        <f t="shared" si="5"/>
        <v>1344.4420693835618</v>
      </c>
      <c r="I19" s="43">
        <f t="shared" si="5"/>
        <v>1906.0264259534247</v>
      </c>
      <c r="J19" s="43">
        <f t="shared" si="5"/>
        <v>2506.1621258986302</v>
      </c>
      <c r="K19" s="43">
        <f t="shared" si="5"/>
        <v>3163.7281531753424</v>
      </c>
      <c r="L19" s="43">
        <f t="shared" si="5"/>
        <v>3849.8444530986303</v>
      </c>
      <c r="M19" s="43">
        <f t="shared" si="5"/>
        <v>5125.5437693726035</v>
      </c>
      <c r="N19" s="43">
        <f t="shared" si="5"/>
        <v>6471.2208915369874</v>
      </c>
      <c r="O19" s="43">
        <f t="shared" si="5"/>
        <v>7818.5226004684937</v>
      </c>
      <c r="P19" s="43">
        <f t="shared" si="5"/>
        <v>10315.342112156166</v>
      </c>
    </row>
    <row r="20" spans="2:16" ht="15" thickTop="1" x14ac:dyDescent="0.3"/>
    <row r="22" spans="2:16" x14ac:dyDescent="0.3">
      <c r="P22" s="2"/>
    </row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B3D6-FF10-4591-8837-199360BAC3B3}">
  <dimension ref="A1:Q20"/>
  <sheetViews>
    <sheetView workbookViewId="0">
      <selection activeCell="P19" sqref="P19"/>
    </sheetView>
  </sheetViews>
  <sheetFormatPr defaultRowHeight="14.4" x14ac:dyDescent="0.3"/>
  <cols>
    <col min="1" max="1" width="3.33203125" customWidth="1"/>
    <col min="2" max="2" width="35.6640625" bestFit="1" customWidth="1"/>
    <col min="16" max="16" width="11.554687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29" t="s">
        <v>57</v>
      </c>
    </row>
    <row r="5" spans="1:17" x14ac:dyDescent="0.3">
      <c r="E5" s="88" t="s">
        <v>58</v>
      </c>
      <c r="F5" s="88"/>
      <c r="G5" s="88"/>
      <c r="H5" s="88" t="s">
        <v>59</v>
      </c>
      <c r="I5" s="88"/>
      <c r="J5" s="88"/>
      <c r="K5" s="88" t="s">
        <v>60</v>
      </c>
      <c r="L5" s="88"/>
      <c r="M5" s="88"/>
      <c r="N5" s="88" t="s">
        <v>61</v>
      </c>
      <c r="O5" s="88"/>
      <c r="P5" s="88"/>
    </row>
    <row r="6" spans="1:17" x14ac:dyDescent="0.3">
      <c r="B6" s="1" t="s">
        <v>25</v>
      </c>
      <c r="C6" s="1"/>
      <c r="D6" s="1"/>
      <c r="E6" s="34">
        <v>1.4999999999999999E-2</v>
      </c>
      <c r="F6" s="34">
        <v>1.4999999999999999E-2</v>
      </c>
      <c r="G6" s="34">
        <v>1.4999999999999999E-2</v>
      </c>
      <c r="H6" s="34">
        <v>1.89E-2</v>
      </c>
      <c r="I6" s="34">
        <v>1.89E-2</v>
      </c>
      <c r="J6" s="34">
        <v>1.89E-2</v>
      </c>
      <c r="K6" s="34">
        <v>1.89E-2</v>
      </c>
      <c r="L6" s="34">
        <v>1.89E-2</v>
      </c>
      <c r="M6" s="34">
        <v>1.89E-2</v>
      </c>
      <c r="N6" s="34">
        <v>2.1700000000000001E-2</v>
      </c>
      <c r="O6" s="34">
        <v>2.1700000000000001E-2</v>
      </c>
      <c r="P6" s="34">
        <v>2.1700000000000001E-2</v>
      </c>
      <c r="Q6" s="1"/>
    </row>
    <row r="7" spans="1:17" x14ac:dyDescent="0.3">
      <c r="B7" s="1" t="s">
        <v>26</v>
      </c>
      <c r="C7" s="1"/>
      <c r="D7" s="1"/>
      <c r="E7" s="34">
        <f>(E6)*(E8/$Q$8)</f>
        <v>1.2739726027397259E-3</v>
      </c>
      <c r="F7" s="34">
        <f t="shared" ref="F7:P7" si="0">(F6)*(F8/$Q$8)</f>
        <v>1.1506849315068494E-3</v>
      </c>
      <c r="G7" s="34">
        <f t="shared" si="0"/>
        <v>1.2739726027397259E-3</v>
      </c>
      <c r="H7" s="34">
        <f t="shared" si="0"/>
        <v>1.5534246575342465E-3</v>
      </c>
      <c r="I7" s="34">
        <f t="shared" si="0"/>
        <v>1.6052054794520548E-3</v>
      </c>
      <c r="J7" s="34">
        <f t="shared" si="0"/>
        <v>1.5534246575342465E-3</v>
      </c>
      <c r="K7" s="34">
        <f t="shared" si="0"/>
        <v>1.6052054794520548E-3</v>
      </c>
      <c r="L7" s="34">
        <f t="shared" si="0"/>
        <v>1.6052054794520548E-3</v>
      </c>
      <c r="M7" s="34">
        <f t="shared" si="0"/>
        <v>1.5534246575342465E-3</v>
      </c>
      <c r="N7" s="34">
        <f t="shared" si="0"/>
        <v>1.8430136986301369E-3</v>
      </c>
      <c r="O7" s="34">
        <f t="shared" si="0"/>
        <v>1.7835616438356165E-3</v>
      </c>
      <c r="P7" s="34">
        <f t="shared" si="0"/>
        <v>1.8430136986301369E-3</v>
      </c>
      <c r="Q7" s="1"/>
    </row>
    <row r="8" spans="1:17" x14ac:dyDescent="0.3">
      <c r="B8" s="1" t="s">
        <v>27</v>
      </c>
      <c r="C8" s="1"/>
      <c r="D8" s="1"/>
      <c r="E8" s="35">
        <v>31</v>
      </c>
      <c r="F8" s="35">
        <v>28</v>
      </c>
      <c r="G8" s="35">
        <v>31</v>
      </c>
      <c r="H8" s="35">
        <v>30</v>
      </c>
      <c r="I8" s="35">
        <v>31</v>
      </c>
      <c r="J8" s="35">
        <v>30</v>
      </c>
      <c r="K8" s="35">
        <v>31</v>
      </c>
      <c r="L8" s="35">
        <v>31</v>
      </c>
      <c r="M8" s="35">
        <v>30</v>
      </c>
      <c r="N8" s="35">
        <v>31</v>
      </c>
      <c r="O8" s="35">
        <v>30</v>
      </c>
      <c r="P8" s="35">
        <v>31</v>
      </c>
      <c r="Q8" s="35">
        <f>SUM(E8:P8)</f>
        <v>365</v>
      </c>
    </row>
    <row r="9" spans="1:17" x14ac:dyDescent="0.3">
      <c r="B9" s="36"/>
      <c r="C9" s="37" t="s">
        <v>28</v>
      </c>
      <c r="D9" s="38" t="s">
        <v>62</v>
      </c>
      <c r="E9" s="37" t="s">
        <v>30</v>
      </c>
      <c r="F9" s="37" t="s">
        <v>31</v>
      </c>
      <c r="G9" s="37" t="s">
        <v>32</v>
      </c>
      <c r="H9" s="37" t="s">
        <v>33</v>
      </c>
      <c r="I9" s="37" t="s">
        <v>34</v>
      </c>
      <c r="J9" s="37" t="s">
        <v>35</v>
      </c>
      <c r="K9" s="37" t="s">
        <v>36</v>
      </c>
      <c r="L9" s="37" t="s">
        <v>37</v>
      </c>
      <c r="M9" s="37" t="s">
        <v>38</v>
      </c>
      <c r="N9" s="37" t="s">
        <v>39</v>
      </c>
      <c r="O9" s="37" t="s">
        <v>40</v>
      </c>
      <c r="P9" s="37" t="s">
        <v>41</v>
      </c>
      <c r="Q9" s="36"/>
    </row>
    <row r="10" spans="1:17" x14ac:dyDescent="0.3">
      <c r="B10" t="s">
        <v>42</v>
      </c>
      <c r="C10" s="19">
        <v>190003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44">
        <v>108159.41</v>
      </c>
    </row>
    <row r="11" spans="1:17" x14ac:dyDescent="0.3">
      <c r="B11" t="s">
        <v>43</v>
      </c>
      <c r="C11" s="19">
        <v>190004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</row>
    <row r="12" spans="1:17" x14ac:dyDescent="0.3">
      <c r="B12" t="s">
        <v>44</v>
      </c>
      <c r="C12" s="19">
        <v>190005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</row>
    <row r="13" spans="1:17" x14ac:dyDescent="0.3">
      <c r="B13" t="s">
        <v>45</v>
      </c>
      <c r="C13" s="19">
        <v>190008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</row>
    <row r="14" spans="1:17" x14ac:dyDescent="0.3">
      <c r="B14" t="s">
        <v>46</v>
      </c>
      <c r="C14" s="19"/>
      <c r="D14" s="27">
        <f t="shared" ref="D14:P14" si="1">SUM(D10:D13)</f>
        <v>0</v>
      </c>
      <c r="E14" s="27">
        <f t="shared" si="1"/>
        <v>0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7">
        <f t="shared" si="1"/>
        <v>0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27">
        <f t="shared" si="1"/>
        <v>0</v>
      </c>
      <c r="O14" s="27">
        <f t="shared" si="1"/>
        <v>0</v>
      </c>
      <c r="P14" s="27">
        <f t="shared" si="1"/>
        <v>108159.41</v>
      </c>
    </row>
    <row r="15" spans="1:17" x14ac:dyDescent="0.3">
      <c r="B15" t="s">
        <v>47</v>
      </c>
      <c r="C15" s="19"/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</row>
    <row r="16" spans="1:17" x14ac:dyDescent="0.3">
      <c r="B16" t="s">
        <v>48</v>
      </c>
      <c r="C16" s="19"/>
      <c r="D16" s="27">
        <f t="shared" ref="D16:P16" si="2">SUM(D14:D15)</f>
        <v>0</v>
      </c>
      <c r="E16" s="27">
        <f t="shared" si="2"/>
        <v>0</v>
      </c>
      <c r="F16" s="27">
        <f t="shared" si="2"/>
        <v>0</v>
      </c>
      <c r="G16" s="27">
        <f t="shared" si="2"/>
        <v>0</v>
      </c>
      <c r="H16" s="27">
        <f t="shared" si="2"/>
        <v>0</v>
      </c>
      <c r="I16" s="27">
        <f t="shared" si="2"/>
        <v>0</v>
      </c>
      <c r="J16" s="27">
        <f t="shared" si="2"/>
        <v>0</v>
      </c>
      <c r="K16" s="27">
        <f t="shared" si="2"/>
        <v>0</v>
      </c>
      <c r="L16" s="27">
        <f t="shared" si="2"/>
        <v>0</v>
      </c>
      <c r="M16" s="27">
        <f t="shared" si="2"/>
        <v>0</v>
      </c>
      <c r="N16" s="27">
        <f t="shared" si="2"/>
        <v>0</v>
      </c>
      <c r="O16" s="27">
        <f t="shared" si="2"/>
        <v>0</v>
      </c>
      <c r="P16" s="27">
        <f t="shared" si="2"/>
        <v>108159.41</v>
      </c>
    </row>
    <row r="17" spans="2:16" x14ac:dyDescent="0.3">
      <c r="B17" t="s">
        <v>26</v>
      </c>
      <c r="C17" s="19"/>
      <c r="D17" s="41"/>
      <c r="E17" s="42">
        <f>E7</f>
        <v>1.2739726027397259E-3</v>
      </c>
      <c r="F17" s="42">
        <f t="shared" ref="F17:P17" si="3">F7</f>
        <v>1.1506849315068494E-3</v>
      </c>
      <c r="G17" s="42">
        <f t="shared" si="3"/>
        <v>1.2739726027397259E-3</v>
      </c>
      <c r="H17" s="42">
        <f t="shared" si="3"/>
        <v>1.5534246575342465E-3</v>
      </c>
      <c r="I17" s="42">
        <f t="shared" si="3"/>
        <v>1.6052054794520548E-3</v>
      </c>
      <c r="J17" s="42">
        <f t="shared" si="3"/>
        <v>1.5534246575342465E-3</v>
      </c>
      <c r="K17" s="42">
        <f t="shared" si="3"/>
        <v>1.6052054794520548E-3</v>
      </c>
      <c r="L17" s="42">
        <f t="shared" si="3"/>
        <v>1.6052054794520548E-3</v>
      </c>
      <c r="M17" s="42">
        <f t="shared" si="3"/>
        <v>1.5534246575342465E-3</v>
      </c>
      <c r="N17" s="42">
        <f t="shared" si="3"/>
        <v>1.8430136986301369E-3</v>
      </c>
      <c r="O17" s="42">
        <f t="shared" si="3"/>
        <v>1.7835616438356165E-3</v>
      </c>
      <c r="P17" s="42">
        <f t="shared" si="3"/>
        <v>1.8430136986301369E-3</v>
      </c>
    </row>
    <row r="18" spans="2:16" x14ac:dyDescent="0.3">
      <c r="B18" t="s">
        <v>49</v>
      </c>
      <c r="C18" s="19">
        <v>190016</v>
      </c>
      <c r="E18" s="2">
        <f>D16*E17</f>
        <v>0</v>
      </c>
      <c r="F18" s="2">
        <f>E16*F17</f>
        <v>0</v>
      </c>
      <c r="G18" s="2">
        <f>F16*G17</f>
        <v>0</v>
      </c>
      <c r="H18" s="2">
        <f t="shared" ref="H18:O18" si="4">G16*H17</f>
        <v>0</v>
      </c>
      <c r="I18" s="2">
        <f t="shared" si="4"/>
        <v>0</v>
      </c>
      <c r="J18" s="2">
        <f t="shared" si="4"/>
        <v>0</v>
      </c>
      <c r="K18" s="2">
        <f t="shared" si="4"/>
        <v>0</v>
      </c>
      <c r="L18" s="2">
        <f t="shared" si="4"/>
        <v>0</v>
      </c>
      <c r="M18" s="2">
        <f t="shared" si="4"/>
        <v>0</v>
      </c>
      <c r="N18" s="2">
        <f t="shared" si="4"/>
        <v>0</v>
      </c>
      <c r="O18" s="2">
        <f t="shared" si="4"/>
        <v>0</v>
      </c>
      <c r="P18" s="2">
        <f>O16*P17</f>
        <v>0</v>
      </c>
    </row>
    <row r="19" spans="2:16" ht="15" thickBot="1" x14ac:dyDescent="0.35">
      <c r="B19" t="s">
        <v>50</v>
      </c>
      <c r="D19" s="45"/>
      <c r="E19" s="46">
        <f>D19+E18</f>
        <v>0</v>
      </c>
      <c r="F19" s="46">
        <f>E19+F18</f>
        <v>0</v>
      </c>
      <c r="G19" s="46">
        <f t="shared" ref="G19:P19" si="5">F19+G18</f>
        <v>0</v>
      </c>
      <c r="H19" s="46">
        <f t="shared" si="5"/>
        <v>0</v>
      </c>
      <c r="I19" s="46">
        <f t="shared" si="5"/>
        <v>0</v>
      </c>
      <c r="J19" s="46">
        <f t="shared" si="5"/>
        <v>0</v>
      </c>
      <c r="K19" s="46">
        <f t="shared" si="5"/>
        <v>0</v>
      </c>
      <c r="L19" s="46">
        <f t="shared" si="5"/>
        <v>0</v>
      </c>
      <c r="M19" s="46">
        <f t="shared" si="5"/>
        <v>0</v>
      </c>
      <c r="N19" s="46">
        <f t="shared" si="5"/>
        <v>0</v>
      </c>
      <c r="O19" s="46">
        <f t="shared" si="5"/>
        <v>0</v>
      </c>
      <c r="P19" s="46">
        <f t="shared" si="5"/>
        <v>0</v>
      </c>
    </row>
    <row r="20" spans="2:16" ht="15" thickTop="1" x14ac:dyDescent="0.3"/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7879-15A7-4D20-A947-CC12EE4A1EA6}">
  <dimension ref="A1:E39"/>
  <sheetViews>
    <sheetView view="pageBreakPreview" topLeftCell="A7" zoomScaleNormal="100" zoomScaleSheetLayoutView="100" workbookViewId="0">
      <selection activeCell="D39" sqref="D39"/>
    </sheetView>
  </sheetViews>
  <sheetFormatPr defaultRowHeight="14.4" x14ac:dyDescent="0.3"/>
  <cols>
    <col min="1" max="1" width="3.33203125" customWidth="1"/>
    <col min="2" max="2" width="10.44140625" bestFit="1" customWidth="1"/>
    <col min="3" max="3" width="16.5546875" bestFit="1" customWidth="1"/>
    <col min="4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85</v>
      </c>
    </row>
    <row r="3" spans="1:5" ht="15" thickBot="1" x14ac:dyDescent="0.35"/>
    <row r="4" spans="1:5" ht="43.2" x14ac:dyDescent="0.3">
      <c r="B4" s="49" t="s">
        <v>3</v>
      </c>
      <c r="C4" s="50" t="s">
        <v>64</v>
      </c>
      <c r="D4" s="50" t="s">
        <v>1</v>
      </c>
      <c r="E4" s="51" t="s">
        <v>2</v>
      </c>
    </row>
    <row r="5" spans="1:5" x14ac:dyDescent="0.3">
      <c r="B5" s="5">
        <v>44196</v>
      </c>
      <c r="C5" s="2">
        <f>'COVID Deferral - 2021'!D16</f>
        <v>17399652.039999999</v>
      </c>
      <c r="D5" s="30">
        <v>0</v>
      </c>
      <c r="E5" s="31">
        <f>D5</f>
        <v>0</v>
      </c>
    </row>
    <row r="6" spans="1:5" x14ac:dyDescent="0.3">
      <c r="B6" s="5">
        <v>44227</v>
      </c>
      <c r="C6" s="2">
        <f>'COVID Deferral - 2021'!E16</f>
        <v>17399652.039999999</v>
      </c>
      <c r="D6" s="30">
        <f>'COVID Deferral - 2021'!E18</f>
        <v>8423.3383985424643</v>
      </c>
      <c r="E6" s="31">
        <f t="shared" ref="E6:E16" si="0">E5+D6</f>
        <v>8423.3383985424643</v>
      </c>
    </row>
    <row r="7" spans="1:5" x14ac:dyDescent="0.3">
      <c r="B7" s="5">
        <v>44255</v>
      </c>
      <c r="C7" s="2">
        <f>'COVID Deferral - 2021'!F16</f>
        <v>17399652.039999999</v>
      </c>
      <c r="D7" s="30">
        <f>'COVID Deferral - 2021'!F18</f>
        <v>7608.1766180383565</v>
      </c>
      <c r="E7" s="31">
        <f t="shared" si="0"/>
        <v>16031.515016580821</v>
      </c>
    </row>
    <row r="8" spans="1:5" x14ac:dyDescent="0.3">
      <c r="B8" s="5">
        <v>44286</v>
      </c>
      <c r="C8" s="2">
        <f>'COVID Deferral - 2021'!G16</f>
        <v>17399652.039999999</v>
      </c>
      <c r="D8" s="30">
        <f>'COVID Deferral - 2021'!G18</f>
        <v>8423.3383985424643</v>
      </c>
      <c r="E8" s="31">
        <f t="shared" si="0"/>
        <v>24454.853415123285</v>
      </c>
    </row>
    <row r="9" spans="1:5" x14ac:dyDescent="0.3">
      <c r="B9" s="5">
        <v>44316</v>
      </c>
      <c r="C9" s="2">
        <f>'COVID Deferral - 2021'!H16</f>
        <v>17399652.039999999</v>
      </c>
      <c r="D9" s="30">
        <f>'COVID Deferral - 2021'!H18</f>
        <v>8151.6178050410954</v>
      </c>
      <c r="E9" s="31">
        <f t="shared" si="0"/>
        <v>32606.471220164382</v>
      </c>
    </row>
    <row r="10" spans="1:5" x14ac:dyDescent="0.3">
      <c r="B10" s="5">
        <v>44347</v>
      </c>
      <c r="C10" s="2">
        <f>'COVID Deferral - 2021'!I16</f>
        <v>17399652.039999999</v>
      </c>
      <c r="D10" s="30">
        <f>'COVID Deferral - 2021'!I18</f>
        <v>8423.3383985424643</v>
      </c>
      <c r="E10" s="31">
        <f t="shared" si="0"/>
        <v>41029.809618706844</v>
      </c>
    </row>
    <row r="11" spans="1:5" x14ac:dyDescent="0.3">
      <c r="B11" s="5">
        <v>44377</v>
      </c>
      <c r="C11" s="2">
        <f>'COVID Deferral - 2021'!J16</f>
        <v>17399652.039999999</v>
      </c>
      <c r="D11" s="30">
        <f>'COVID Deferral - 2021'!J18</f>
        <v>8151.6178050410954</v>
      </c>
      <c r="E11" s="31">
        <f t="shared" si="0"/>
        <v>49181.42742374794</v>
      </c>
    </row>
    <row r="12" spans="1:5" x14ac:dyDescent="0.3">
      <c r="B12" s="5">
        <v>44408</v>
      </c>
      <c r="C12" s="2">
        <f>'COVID Deferral - 2021'!K16</f>
        <v>17399652.039999999</v>
      </c>
      <c r="D12" s="30">
        <f>'COVID Deferral - 2021'!K18</f>
        <v>8423.3383985424643</v>
      </c>
      <c r="E12" s="31">
        <f t="shared" si="0"/>
        <v>57604.765822290407</v>
      </c>
    </row>
    <row r="13" spans="1:5" x14ac:dyDescent="0.3">
      <c r="B13" s="5">
        <v>44439</v>
      </c>
      <c r="C13" s="2">
        <f>'COVID Deferral - 2021'!L16</f>
        <v>17399652.039999999</v>
      </c>
      <c r="D13" s="30">
        <f>'COVID Deferral - 2021'!L18</f>
        <v>8423.3383985424643</v>
      </c>
      <c r="E13" s="31">
        <f t="shared" si="0"/>
        <v>66028.104220832873</v>
      </c>
    </row>
    <row r="14" spans="1:5" x14ac:dyDescent="0.3">
      <c r="B14" s="5">
        <v>44469</v>
      </c>
      <c r="C14" s="2">
        <f>'COVID Deferral - 2021'!M16</f>
        <v>17399652.039999999</v>
      </c>
      <c r="D14" s="30">
        <f>'COVID Deferral - 2021'!M18</f>
        <v>8151.6178050410954</v>
      </c>
      <c r="E14" s="31">
        <f t="shared" si="0"/>
        <v>74179.722025873969</v>
      </c>
    </row>
    <row r="15" spans="1:5" x14ac:dyDescent="0.3">
      <c r="B15" s="5">
        <v>44500</v>
      </c>
      <c r="C15" s="2">
        <f>'COVID Deferral - 2021'!N16</f>
        <v>17399652.039999999</v>
      </c>
      <c r="D15" s="30">
        <f>'COVID Deferral - 2021'!N18</f>
        <v>8423.3383985424643</v>
      </c>
      <c r="E15" s="31">
        <f t="shared" si="0"/>
        <v>82603.060424416428</v>
      </c>
    </row>
    <row r="16" spans="1:5" x14ac:dyDescent="0.3">
      <c r="B16" s="5">
        <v>44530</v>
      </c>
      <c r="C16" s="2">
        <f>'COVID Deferral - 2021'!O16</f>
        <v>17399652.039999999</v>
      </c>
      <c r="D16" s="30">
        <f>'COVID Deferral - 2021'!O18</f>
        <v>8151.6178050410954</v>
      </c>
      <c r="E16" s="31">
        <f t="shared" si="0"/>
        <v>90754.678229457524</v>
      </c>
    </row>
    <row r="17" spans="1:5" x14ac:dyDescent="0.3">
      <c r="B17" s="5">
        <v>44561</v>
      </c>
      <c r="C17" s="2">
        <f>'COVID Deferral - 2021'!P16</f>
        <v>17399652.039999999</v>
      </c>
      <c r="D17" s="30">
        <f>'COVID Deferral - 2021'!P18</f>
        <v>8423.3383985424643</v>
      </c>
      <c r="E17" s="31">
        <f>E16+D17</f>
        <v>99178.016627999983</v>
      </c>
    </row>
    <row r="18" spans="1:5" x14ac:dyDescent="0.3">
      <c r="B18" s="5">
        <v>44562</v>
      </c>
      <c r="C18" s="2">
        <f>+'COVID Deferral - 2022'!E17</f>
        <v>17399652.039999999</v>
      </c>
      <c r="D18" s="30">
        <f>+'COVID Deferral - 2022'!E19</f>
        <v>8423.3383985424643</v>
      </c>
      <c r="E18" s="31">
        <f t="shared" ref="E18:E29" si="1">E17+D18</f>
        <v>107601.35502654244</v>
      </c>
    </row>
    <row r="19" spans="1:5" x14ac:dyDescent="0.3">
      <c r="B19" s="5">
        <v>44593</v>
      </c>
      <c r="C19" s="2">
        <f>+'COVID Deferral - 2022'!F17</f>
        <v>17399652.039999999</v>
      </c>
      <c r="D19" s="30">
        <f>+'COVID Deferral - 2022'!F19</f>
        <v>7608.1766180383565</v>
      </c>
      <c r="E19" s="31">
        <f t="shared" si="1"/>
        <v>115209.5316445808</v>
      </c>
    </row>
    <row r="20" spans="1:5" x14ac:dyDescent="0.3">
      <c r="B20" s="5">
        <v>44621</v>
      </c>
      <c r="C20" s="2">
        <f>+'COVID Deferral - 2022'!G17</f>
        <v>17399652.039999999</v>
      </c>
      <c r="D20" s="30">
        <f>+'COVID Deferral - 2022'!G19</f>
        <v>8423.3383985424643</v>
      </c>
      <c r="E20" s="31">
        <f t="shared" si="1"/>
        <v>123632.87004312326</v>
      </c>
    </row>
    <row r="21" spans="1:5" x14ac:dyDescent="0.3">
      <c r="B21" s="5">
        <v>44652</v>
      </c>
      <c r="C21" s="2">
        <f>+'COVID Deferral - 2022'!H17</f>
        <v>17062632.149999999</v>
      </c>
      <c r="D21" s="30">
        <f>+'COVID Deferral - 2022'!H19</f>
        <v>14587.105545863013</v>
      </c>
      <c r="E21" s="31">
        <f t="shared" si="1"/>
        <v>138219.97558898627</v>
      </c>
    </row>
    <row r="22" spans="1:5" x14ac:dyDescent="0.3">
      <c r="B22" s="5">
        <v>44682</v>
      </c>
      <c r="C22" s="2">
        <f>+'COVID Deferral - 2022'!I17</f>
        <v>16561020.26</v>
      </c>
      <c r="D22" s="30">
        <f>+'COVID Deferral - 2022'!I19</f>
        <v>14781.381605013699</v>
      </c>
      <c r="E22" s="31">
        <f t="shared" si="1"/>
        <v>153001.35719399998</v>
      </c>
    </row>
    <row r="23" spans="1:5" x14ac:dyDescent="0.3">
      <c r="B23" s="5">
        <v>44713</v>
      </c>
      <c r="C23" s="2">
        <f>+'COVID Deferral - 2022'!J17</f>
        <v>16059408.369999999</v>
      </c>
      <c r="D23" s="30">
        <f>+'COVID Deferral - 2022'!J19</f>
        <v>13884.033423452054</v>
      </c>
      <c r="E23" s="31">
        <f t="shared" si="1"/>
        <v>166885.39061745204</v>
      </c>
    </row>
    <row r="24" spans="1:5" x14ac:dyDescent="0.3">
      <c r="B24" s="5">
        <v>44743</v>
      </c>
      <c r="C24" s="2">
        <f>+'COVID Deferral - 2022'!K17</f>
        <v>15557796.479999999</v>
      </c>
      <c r="D24" s="30">
        <f>+'COVID Deferral - 2022'!K19</f>
        <v>30006.894543397255</v>
      </c>
      <c r="E24" s="31">
        <f t="shared" si="1"/>
        <v>196892.28516084928</v>
      </c>
    </row>
    <row r="25" spans="1:5" x14ac:dyDescent="0.3">
      <c r="B25" s="5">
        <v>44774</v>
      </c>
      <c r="C25" s="2">
        <f>+'COVID Deferral - 2022'!L17</f>
        <v>15056184.59</v>
      </c>
      <c r="D25" s="30">
        <f>+'COVID Deferral - 2022'!L19</f>
        <v>29069.63616263013</v>
      </c>
      <c r="E25" s="31">
        <f t="shared" si="1"/>
        <v>225961.92132347942</v>
      </c>
    </row>
    <row r="26" spans="1:5" x14ac:dyDescent="0.3">
      <c r="B26" s="5">
        <v>44805</v>
      </c>
      <c r="C26" s="2">
        <f>+'COVID Deferral - 2022'!M17</f>
        <v>14554572.59</v>
      </c>
      <c r="D26" s="30">
        <f>+'COVID Deferral - 2022'!M19</f>
        <v>27224.881724383558</v>
      </c>
      <c r="E26" s="31">
        <f t="shared" si="1"/>
        <v>253186.80304786298</v>
      </c>
    </row>
    <row r="27" spans="1:5" x14ac:dyDescent="0.3">
      <c r="B27" s="5">
        <v>44835</v>
      </c>
      <c r="C27" s="2">
        <f>+'COVID Deferral - 2022'!N17</f>
        <v>14052962.309999999</v>
      </c>
      <c r="D27" s="30">
        <f>+'COVID Deferral - 2022'!N19</f>
        <v>47838.686948556162</v>
      </c>
      <c r="E27" s="31">
        <f t="shared" si="1"/>
        <v>301025.48999641917</v>
      </c>
    </row>
    <row r="28" spans="1:5" x14ac:dyDescent="0.3">
      <c r="B28" s="5">
        <v>44866</v>
      </c>
      <c r="C28" s="2">
        <f>+'COVID Deferral - 2022'!O17</f>
        <v>13551350.669999998</v>
      </c>
      <c r="D28" s="30">
        <f>+'COVID Deferral - 2022'!O19</f>
        <v>44699.970525780809</v>
      </c>
      <c r="E28" s="31">
        <f t="shared" si="1"/>
        <v>345725.46052219998</v>
      </c>
    </row>
    <row r="29" spans="1:5" ht="15" thickBot="1" x14ac:dyDescent="0.35">
      <c r="B29" s="6">
        <v>44896</v>
      </c>
      <c r="C29" s="7">
        <f>+'COVID Deferral - 2022'!P17</f>
        <v>13049739.029999999</v>
      </c>
      <c r="D29" s="60">
        <f>+'COVID Deferral - 2022'!P19</f>
        <v>46562.247667942458</v>
      </c>
      <c r="E29" s="32">
        <f t="shared" si="1"/>
        <v>392287.70819014241</v>
      </c>
    </row>
    <row r="32" spans="1:5" x14ac:dyDescent="0.3">
      <c r="A32" s="1" t="s">
        <v>63</v>
      </c>
      <c r="B32" s="1"/>
    </row>
    <row r="34" spans="2:5" x14ac:dyDescent="0.3">
      <c r="B34" s="18" t="s">
        <v>65</v>
      </c>
      <c r="D34" s="13">
        <f>C29</f>
        <v>13049739.029999999</v>
      </c>
    </row>
    <row r="35" spans="2:5" x14ac:dyDescent="0.3">
      <c r="B35" t="s">
        <v>7</v>
      </c>
      <c r="D35" s="13">
        <f>E29</f>
        <v>392287.70819014241</v>
      </c>
    </row>
    <row r="36" spans="2:5" x14ac:dyDescent="0.3">
      <c r="B36" s="16"/>
      <c r="C36" s="16"/>
      <c r="D36" s="48">
        <f>+D34+D35</f>
        <v>13442026.738190142</v>
      </c>
    </row>
    <row r="38" spans="2:5" x14ac:dyDescent="0.3">
      <c r="B38" s="47" t="s">
        <v>66</v>
      </c>
      <c r="C38" s="33"/>
      <c r="D38" s="17">
        <v>13442027</v>
      </c>
      <c r="E38" s="13"/>
    </row>
    <row r="39" spans="2:5" x14ac:dyDescent="0.3">
      <c r="B39" s="33"/>
      <c r="C39" s="33"/>
      <c r="D39" s="33"/>
      <c r="E39" s="33"/>
    </row>
  </sheetData>
  <pageMargins left="0.7" right="0.7" top="0.75" bottom="0.75" header="0.3" footer="0.3"/>
  <pageSetup orientation="portrait" r:id="rId1"/>
  <headerFooter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6AFC-BFFF-4D2C-8770-3E034F1BAB75}">
  <dimension ref="A1:E39"/>
  <sheetViews>
    <sheetView tabSelected="1" view="pageBreakPreview" topLeftCell="A3" zoomScaleNormal="100" zoomScaleSheetLayoutView="100" workbookViewId="0">
      <selection activeCell="C29" sqref="C29"/>
    </sheetView>
  </sheetViews>
  <sheetFormatPr defaultRowHeight="14.4" x14ac:dyDescent="0.3"/>
  <cols>
    <col min="1" max="1" width="3.33203125" customWidth="1"/>
    <col min="2" max="2" width="10.44140625" bestFit="1" customWidth="1"/>
    <col min="3" max="3" width="16.5546875" bestFit="1" customWidth="1"/>
    <col min="4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85</v>
      </c>
    </row>
    <row r="3" spans="1:5" ht="15" thickBot="1" x14ac:dyDescent="0.35"/>
    <row r="4" spans="1:5" ht="43.2" x14ac:dyDescent="0.3">
      <c r="B4" s="49" t="s">
        <v>3</v>
      </c>
      <c r="C4" s="50" t="s">
        <v>64</v>
      </c>
      <c r="D4" s="50" t="s">
        <v>1</v>
      </c>
      <c r="E4" s="51" t="s">
        <v>2</v>
      </c>
    </row>
    <row r="5" spans="1:5" x14ac:dyDescent="0.3">
      <c r="B5" s="5">
        <v>44196</v>
      </c>
      <c r="C5" s="2">
        <f>+'COVID Deferral - 2021'!D32</f>
        <v>0</v>
      </c>
      <c r="D5" s="30">
        <f>+'COVID Deferral - 2021'!D35</f>
        <v>0</v>
      </c>
      <c r="E5" s="31">
        <f>D5</f>
        <v>0</v>
      </c>
    </row>
    <row r="6" spans="1:5" x14ac:dyDescent="0.3">
      <c r="B6" s="5">
        <v>44227</v>
      </c>
      <c r="C6" s="2">
        <f>+'COVID Deferral - 2021'!E32</f>
        <v>150179.83000000002</v>
      </c>
      <c r="D6" s="30">
        <f>+'COVID Deferral - 2021'!E34</f>
        <v>0</v>
      </c>
      <c r="E6" s="31">
        <f t="shared" ref="E6:E16" si="0">E5+D6</f>
        <v>0</v>
      </c>
    </row>
    <row r="7" spans="1:5" x14ac:dyDescent="0.3">
      <c r="B7" s="5">
        <v>44255</v>
      </c>
      <c r="C7" s="2">
        <f>+'COVID Deferral - 2021'!F32</f>
        <v>3523458.88</v>
      </c>
      <c r="D7" s="30">
        <f>+'COVID Deferral - 2021'!F34</f>
        <v>65.667673610958914</v>
      </c>
      <c r="E7" s="31">
        <f t="shared" si="0"/>
        <v>65.667673610958914</v>
      </c>
    </row>
    <row r="8" spans="1:5" x14ac:dyDescent="0.3">
      <c r="B8" s="5">
        <v>44286</v>
      </c>
      <c r="C8" s="2">
        <f>+'COVID Deferral - 2021'!G32</f>
        <v>7367059.6999999993</v>
      </c>
      <c r="D8" s="30">
        <f>+'COVID Deferral - 2021'!G34</f>
        <v>1705.7402304</v>
      </c>
      <c r="E8" s="31">
        <f t="shared" si="0"/>
        <v>1771.4079040109589</v>
      </c>
    </row>
    <row r="9" spans="1:5" x14ac:dyDescent="0.3">
      <c r="B9" s="5">
        <v>44316</v>
      </c>
      <c r="C9" s="2">
        <f>+'COVID Deferral - 2021'!H32</f>
        <v>8563793.2100000009</v>
      </c>
      <c r="D9" s="30">
        <f>+'COVID Deferral - 2021'!H34</f>
        <v>3451.4170101369859</v>
      </c>
      <c r="E9" s="31">
        <f t="shared" si="0"/>
        <v>5222.8249141479446</v>
      </c>
    </row>
    <row r="10" spans="1:5" x14ac:dyDescent="0.3">
      <c r="B10" s="5">
        <v>44347</v>
      </c>
      <c r="C10" s="2">
        <f>+'COVID Deferral - 2021'!I32</f>
        <v>11043423.67</v>
      </c>
      <c r="D10" s="30">
        <f>+'COVID Deferral - 2021'!I34</f>
        <v>4145.8144115260275</v>
      </c>
      <c r="E10" s="31">
        <f t="shared" si="0"/>
        <v>9368.6393256739721</v>
      </c>
    </row>
    <row r="11" spans="1:5" x14ac:dyDescent="0.3">
      <c r="B11" s="5">
        <v>44377</v>
      </c>
      <c r="C11" s="2">
        <f>+'COVID Deferral - 2021'!J32</f>
        <v>13313577.879999999</v>
      </c>
      <c r="D11" s="30">
        <f>+'COVID Deferral - 2021'!J34</f>
        <v>5173.7683495068495</v>
      </c>
      <c r="E11" s="31">
        <f t="shared" si="0"/>
        <v>14542.407675180821</v>
      </c>
    </row>
    <row r="12" spans="1:5" x14ac:dyDescent="0.3">
      <c r="B12" s="5">
        <v>44408</v>
      </c>
      <c r="C12" s="2">
        <f>+'COVID Deferral - 2021'!K32</f>
        <v>14722805.35</v>
      </c>
      <c r="D12" s="30">
        <f>+'COVID Deferral - 2021'!K34</f>
        <v>6445.2307161534245</v>
      </c>
      <c r="E12" s="31">
        <f t="shared" si="0"/>
        <v>20987.638391334243</v>
      </c>
    </row>
    <row r="13" spans="1:5" x14ac:dyDescent="0.3">
      <c r="B13" s="5">
        <v>44439</v>
      </c>
      <c r="C13" s="2">
        <f>+'COVID Deferral - 2021'!L32</f>
        <v>16102841.989999998</v>
      </c>
      <c r="D13" s="30">
        <f>+'COVID Deferral - 2021'!L34</f>
        <v>7127.4512475205474</v>
      </c>
      <c r="E13" s="31">
        <f t="shared" si="0"/>
        <v>28115.089638854792</v>
      </c>
    </row>
    <row r="14" spans="1:5" x14ac:dyDescent="0.3">
      <c r="B14" s="5">
        <v>44469</v>
      </c>
      <c r="C14" s="2">
        <f>+'COVID Deferral - 2021'!M32</f>
        <v>17482670.82</v>
      </c>
      <c r="D14" s="30">
        <f>+'COVID Deferral - 2021'!M34</f>
        <v>7544.0711788767112</v>
      </c>
      <c r="E14" s="31">
        <f t="shared" si="0"/>
        <v>35659.160817731507</v>
      </c>
    </row>
    <row r="15" spans="1:5" x14ac:dyDescent="0.3">
      <c r="B15" s="5">
        <v>44500</v>
      </c>
      <c r="C15" s="2">
        <f>+'COVID Deferral - 2021'!N32</f>
        <v>21575163.129999999</v>
      </c>
      <c r="D15" s="30">
        <f>+'COVID Deferral - 2021'!N34</f>
        <v>8463.5285860109598</v>
      </c>
      <c r="E15" s="31">
        <f t="shared" si="0"/>
        <v>44122.689403742464</v>
      </c>
    </row>
    <row r="16" spans="1:5" x14ac:dyDescent="0.3">
      <c r="B16" s="5">
        <v>44530</v>
      </c>
      <c r="C16" s="2">
        <f>+'COVID Deferral - 2021'!O32</f>
        <v>23910090.43</v>
      </c>
      <c r="D16" s="30">
        <f>+'COVID Deferral - 2021'!O34</f>
        <v>10107.816151315068</v>
      </c>
      <c r="E16" s="31">
        <f t="shared" si="0"/>
        <v>54230.505555057534</v>
      </c>
    </row>
    <row r="17" spans="1:5" x14ac:dyDescent="0.3">
      <c r="B17" s="5">
        <v>44561</v>
      </c>
      <c r="C17" s="2">
        <f>+'COVID Deferral - 2021'!P32</f>
        <v>41931998.619999997</v>
      </c>
      <c r="D17" s="30">
        <f>+'COVID Deferral - 2021'!P34</f>
        <v>11575.10405200274</v>
      </c>
      <c r="E17" s="31">
        <f>E16+D17</f>
        <v>65805.60960706028</v>
      </c>
    </row>
    <row r="18" spans="1:5" x14ac:dyDescent="0.3">
      <c r="B18" s="5">
        <v>44562</v>
      </c>
      <c r="C18" s="2">
        <f>+'COVID Deferral - 2022'!E33</f>
        <v>43186712.640000001</v>
      </c>
      <c r="D18" s="30">
        <f>+'COVID Deferral - 2022'!E35</f>
        <v>20299.6826196</v>
      </c>
      <c r="E18" s="31">
        <f t="shared" ref="E18:E29" si="1">E17+D18</f>
        <v>86105.292226660284</v>
      </c>
    </row>
    <row r="19" spans="1:5" x14ac:dyDescent="0.3">
      <c r="B19" s="5">
        <v>44593</v>
      </c>
      <c r="C19" s="2">
        <f>+'COVID Deferral - 2022'!F33</f>
        <v>43477451.049999997</v>
      </c>
      <c r="D19" s="30">
        <f>+'COVID Deferral - 2022'!F35</f>
        <v>18883.833800942466</v>
      </c>
      <c r="E19" s="31">
        <f t="shared" si="1"/>
        <v>104989.12602760275</v>
      </c>
    </row>
    <row r="20" spans="1:5" x14ac:dyDescent="0.3">
      <c r="B20" s="5">
        <v>44621</v>
      </c>
      <c r="C20" s="2">
        <f>+'COVID Deferral - 2022'!G33</f>
        <v>47674656.509999998</v>
      </c>
      <c r="D20" s="30">
        <f>+'COVID Deferral - 2022'!G35</f>
        <v>21047.850960369862</v>
      </c>
      <c r="E20" s="31">
        <f t="shared" si="1"/>
        <v>126036.97698797261</v>
      </c>
    </row>
    <row r="21" spans="1:5" x14ac:dyDescent="0.3">
      <c r="B21" s="5">
        <v>44652</v>
      </c>
      <c r="C21" s="2">
        <f>+'COVID Deferral - 2022'!H33</f>
        <v>48322366.149999999</v>
      </c>
      <c r="D21" s="30">
        <f>+'COVID Deferral - 2022'!H35</f>
        <v>39968.342170027398</v>
      </c>
      <c r="E21" s="31">
        <f t="shared" si="1"/>
        <v>166005.319158</v>
      </c>
    </row>
    <row r="22" spans="1:5" x14ac:dyDescent="0.3">
      <c r="B22" s="5">
        <v>44682</v>
      </c>
      <c r="C22" s="2">
        <f>+'COVID Deferral - 2022'!I33</f>
        <v>48382360.189999998</v>
      </c>
      <c r="D22" s="30">
        <f>+'COVID Deferral - 2022'!I35</f>
        <v>41861.731990767126</v>
      </c>
      <c r="E22" s="31">
        <f t="shared" si="1"/>
        <v>207867.05114876712</v>
      </c>
    </row>
    <row r="23" spans="1:5" x14ac:dyDescent="0.3">
      <c r="B23" s="5">
        <v>44713</v>
      </c>
      <c r="C23" s="2">
        <f>+'COVID Deferral - 2022'!J33</f>
        <v>48431713.180000007</v>
      </c>
      <c r="D23" s="30">
        <f>+'COVID Deferral - 2022'!J35</f>
        <v>40561.649912712324</v>
      </c>
      <c r="E23" s="31">
        <f t="shared" si="1"/>
        <v>248428.70106147946</v>
      </c>
    </row>
    <row r="24" spans="1:5" x14ac:dyDescent="0.3">
      <c r="B24" s="5">
        <v>44743</v>
      </c>
      <c r="C24" s="2">
        <f>+'COVID Deferral - 2022'!K33</f>
        <v>49809037.460000001</v>
      </c>
      <c r="D24" s="30">
        <f>+'COVID Deferral - 2022'!K35</f>
        <v>90494.324352767129</v>
      </c>
      <c r="E24" s="31">
        <f t="shared" si="1"/>
        <v>338923.0254142466</v>
      </c>
    </row>
    <row r="25" spans="1:5" x14ac:dyDescent="0.3">
      <c r="B25" s="5">
        <v>44774</v>
      </c>
      <c r="C25" s="2">
        <f>+'COVID Deferral - 2022'!L33</f>
        <v>49861688.670000002</v>
      </c>
      <c r="D25" s="30">
        <f>+'COVID Deferral - 2022'!L35</f>
        <v>93067.845336219165</v>
      </c>
      <c r="E25" s="31">
        <f t="shared" si="1"/>
        <v>431990.87075046578</v>
      </c>
    </row>
    <row r="26" spans="1:5" x14ac:dyDescent="0.3">
      <c r="B26" s="5">
        <v>44805</v>
      </c>
      <c r="C26" s="2">
        <f>+'COVID Deferral - 2022'!M33</f>
        <v>50111552.769999996</v>
      </c>
      <c r="D26" s="30">
        <f>+'COVID Deferral - 2022'!M35</f>
        <v>90160.861704657524</v>
      </c>
      <c r="E26" s="31">
        <f t="shared" si="1"/>
        <v>522151.73245512333</v>
      </c>
    </row>
    <row r="27" spans="1:5" x14ac:dyDescent="0.3">
      <c r="B27" s="5">
        <v>44835</v>
      </c>
      <c r="C27" s="2">
        <f>+'COVID Deferral - 2022'!N33</f>
        <v>50155530.159999996</v>
      </c>
      <c r="D27" s="30">
        <f>+'COVID Deferral - 2022'!N35</f>
        <v>164709.12289909314</v>
      </c>
      <c r="E27" s="31">
        <f t="shared" si="1"/>
        <v>686860.85535421642</v>
      </c>
    </row>
    <row r="28" spans="1:5" x14ac:dyDescent="0.3">
      <c r="B28" s="5">
        <v>44866</v>
      </c>
      <c r="C28" s="2">
        <f>+'COVID Deferral - 2022'!O33</f>
        <v>50321851.120000005</v>
      </c>
      <c r="D28" s="30">
        <f>+'COVID Deferral - 2022'!O35</f>
        <v>159535.80963221914</v>
      </c>
      <c r="E28" s="31">
        <f t="shared" si="1"/>
        <v>846396.66498643556</v>
      </c>
    </row>
    <row r="29" spans="1:5" ht="15" thickBot="1" x14ac:dyDescent="0.35">
      <c r="B29" s="6">
        <v>44896</v>
      </c>
      <c r="C29" s="89">
        <f>+'COVID Deferral - 2022'!P33</f>
        <v>68174053.929999992</v>
      </c>
      <c r="D29" s="60">
        <f>+'COVID Deferral - 2022'!P35</f>
        <v>163379.34188675068</v>
      </c>
      <c r="E29" s="32">
        <f t="shared" si="1"/>
        <v>1009776.0068731862</v>
      </c>
    </row>
    <row r="32" spans="1:5" x14ac:dyDescent="0.3">
      <c r="A32" s="1" t="s">
        <v>63</v>
      </c>
      <c r="B32" s="1"/>
    </row>
    <row r="34" spans="2:5" x14ac:dyDescent="0.3">
      <c r="B34" s="18" t="s">
        <v>65</v>
      </c>
      <c r="D34" s="13">
        <f>C29</f>
        <v>68174053.929999992</v>
      </c>
    </row>
    <row r="35" spans="2:5" x14ac:dyDescent="0.3">
      <c r="B35" t="s">
        <v>7</v>
      </c>
      <c r="D35" s="13">
        <f>E29</f>
        <v>1009776.0068731862</v>
      </c>
    </row>
    <row r="36" spans="2:5" x14ac:dyDescent="0.3">
      <c r="B36" s="16"/>
      <c r="C36" s="16"/>
      <c r="D36" s="48">
        <f>+D34+D35</f>
        <v>69183829.936873183</v>
      </c>
    </row>
    <row r="38" spans="2:5" x14ac:dyDescent="0.3">
      <c r="B38" s="47" t="s">
        <v>66</v>
      </c>
      <c r="C38" s="33"/>
      <c r="D38" s="17">
        <v>69183830</v>
      </c>
      <c r="E38" s="13"/>
    </row>
    <row r="39" spans="2:5" x14ac:dyDescent="0.3">
      <c r="B39" s="33"/>
      <c r="C39" s="33"/>
      <c r="D39" s="33"/>
      <c r="E39" s="33"/>
    </row>
  </sheetData>
  <pageMargins left="0.7" right="0.7" top="0.75" bottom="0.75" header="0.3" footer="0.3"/>
  <pageSetup orientation="portrait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2782-A7E3-4E2F-9089-CF3122E5D299}">
  <dimension ref="A1:E64"/>
  <sheetViews>
    <sheetView view="pageBreakPreview" topLeftCell="A40" zoomScaleNormal="100" zoomScaleSheetLayoutView="100" workbookViewId="0">
      <selection activeCell="F60" sqref="F60"/>
    </sheetView>
  </sheetViews>
  <sheetFormatPr defaultRowHeight="14.4" x14ac:dyDescent="0.3"/>
  <cols>
    <col min="1" max="1" width="3.33203125" customWidth="1"/>
    <col min="2" max="2" width="14.44140625" customWidth="1"/>
    <col min="3" max="3" width="15.109375" bestFit="1" customWidth="1"/>
    <col min="4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67</v>
      </c>
    </row>
    <row r="3" spans="1:5" ht="15" thickBot="1" x14ac:dyDescent="0.35"/>
    <row r="4" spans="1:5" ht="43.2" x14ac:dyDescent="0.3">
      <c r="B4" s="49" t="s">
        <v>3</v>
      </c>
      <c r="C4" s="50" t="s">
        <v>64</v>
      </c>
      <c r="D4" s="50" t="s">
        <v>1</v>
      </c>
      <c r="E4" s="51" t="s">
        <v>2</v>
      </c>
    </row>
    <row r="5" spans="1:5" x14ac:dyDescent="0.3">
      <c r="B5" s="5">
        <v>43465</v>
      </c>
      <c r="C5" s="2">
        <v>108159.41</v>
      </c>
      <c r="D5" s="30">
        <v>0</v>
      </c>
      <c r="E5" s="31">
        <f>D5</f>
        <v>0</v>
      </c>
    </row>
    <row r="6" spans="1:5" x14ac:dyDescent="0.3">
      <c r="B6" s="5">
        <v>43496</v>
      </c>
      <c r="C6" s="2">
        <v>145056.54999999999</v>
      </c>
      <c r="D6" s="30">
        <v>225.06047094520548</v>
      </c>
      <c r="E6" s="31">
        <f>E5+D6</f>
        <v>225.06047094520548</v>
      </c>
    </row>
    <row r="7" spans="1:5" x14ac:dyDescent="0.3">
      <c r="B7" s="5">
        <v>43524</v>
      </c>
      <c r="C7" s="2">
        <v>172176.02000000002</v>
      </c>
      <c r="D7" s="30">
        <v>272.62683095890412</v>
      </c>
      <c r="E7" s="31">
        <f t="shared" ref="E7:E28" si="0">E6+D7</f>
        <v>497.68730190410963</v>
      </c>
    </row>
    <row r="8" spans="1:5" x14ac:dyDescent="0.3">
      <c r="B8" s="5">
        <v>43555</v>
      </c>
      <c r="C8" s="2">
        <v>272626.61</v>
      </c>
      <c r="D8" s="30">
        <v>358.26763613698637</v>
      </c>
      <c r="E8" s="31">
        <f t="shared" si="0"/>
        <v>855.95493804109606</v>
      </c>
    </row>
    <row r="9" spans="1:5" x14ac:dyDescent="0.3">
      <c r="B9" s="5">
        <v>43585</v>
      </c>
      <c r="C9" s="2">
        <v>303312.06</v>
      </c>
      <c r="D9" s="30">
        <v>488.48713134246572</v>
      </c>
      <c r="E9" s="31">
        <f t="shared" si="0"/>
        <v>1344.4420693835618</v>
      </c>
    </row>
    <row r="10" spans="1:5" x14ac:dyDescent="0.3">
      <c r="B10" s="5">
        <v>43616</v>
      </c>
      <c r="C10" s="2">
        <v>334938.12</v>
      </c>
      <c r="D10" s="30">
        <v>561.58435656986296</v>
      </c>
      <c r="E10" s="31">
        <f t="shared" si="0"/>
        <v>1906.0264259534247</v>
      </c>
    </row>
    <row r="11" spans="1:5" x14ac:dyDescent="0.3">
      <c r="B11" s="5">
        <v>43646</v>
      </c>
      <c r="C11" s="2">
        <v>355151.82</v>
      </c>
      <c r="D11" s="30">
        <v>600.13569994520537</v>
      </c>
      <c r="E11" s="31">
        <f t="shared" si="0"/>
        <v>2506.1621258986302</v>
      </c>
    </row>
    <row r="12" spans="1:5" x14ac:dyDescent="0.3">
      <c r="B12" s="5">
        <v>43677</v>
      </c>
      <c r="C12" s="2">
        <v>370571.84</v>
      </c>
      <c r="D12" s="30">
        <v>657.56602727671236</v>
      </c>
      <c r="E12" s="31">
        <f t="shared" si="0"/>
        <v>3163.7281531753424</v>
      </c>
    </row>
    <row r="13" spans="1:5" x14ac:dyDescent="0.3">
      <c r="B13" s="5">
        <v>43708</v>
      </c>
      <c r="C13" s="2">
        <v>711972.8600000001</v>
      </c>
      <c r="D13" s="30">
        <v>686.11629992328778</v>
      </c>
      <c r="E13" s="31">
        <f t="shared" si="0"/>
        <v>3849.8444530986303</v>
      </c>
    </row>
    <row r="14" spans="1:5" x14ac:dyDescent="0.3">
      <c r="B14" s="5">
        <v>43738</v>
      </c>
      <c r="C14" s="2">
        <v>726801.05</v>
      </c>
      <c r="D14" s="30">
        <v>1275.6993162739727</v>
      </c>
      <c r="E14" s="31">
        <f t="shared" si="0"/>
        <v>5125.5437693726035</v>
      </c>
    </row>
    <row r="15" spans="1:5" x14ac:dyDescent="0.3">
      <c r="B15" s="5">
        <v>43769</v>
      </c>
      <c r="C15" s="2">
        <v>751934.44</v>
      </c>
      <c r="D15" s="30">
        <v>1345.6771221643837</v>
      </c>
      <c r="E15" s="31">
        <f t="shared" si="0"/>
        <v>6471.2208915369874</v>
      </c>
    </row>
    <row r="16" spans="1:5" x14ac:dyDescent="0.3">
      <c r="B16" s="5">
        <v>43799</v>
      </c>
      <c r="C16" s="2">
        <v>1348533.77</v>
      </c>
      <c r="D16" s="30">
        <v>1347.3017089315067</v>
      </c>
      <c r="E16" s="31">
        <f t="shared" si="0"/>
        <v>7818.5226004684937</v>
      </c>
    </row>
    <row r="17" spans="2:5" x14ac:dyDescent="0.3">
      <c r="B17" s="5">
        <v>43830</v>
      </c>
      <c r="C17" s="2">
        <v>1623685.5499999998</v>
      </c>
      <c r="D17" s="30">
        <v>2496.8195116876714</v>
      </c>
      <c r="E17" s="31">
        <f t="shared" si="0"/>
        <v>10315.342112156166</v>
      </c>
    </row>
    <row r="18" spans="2:5" x14ac:dyDescent="0.3">
      <c r="B18" s="5">
        <v>43861</v>
      </c>
      <c r="C18" s="2">
        <v>1635676.96</v>
      </c>
      <c r="D18" s="30">
        <v>2998.0510783879777</v>
      </c>
      <c r="E18" s="31">
        <f t="shared" si="0"/>
        <v>13313.393190544144</v>
      </c>
    </row>
    <row r="19" spans="2:5" x14ac:dyDescent="0.3">
      <c r="B19" s="5">
        <v>43890</v>
      </c>
      <c r="C19" s="2">
        <v>1667863.6099999999</v>
      </c>
      <c r="D19" s="30">
        <v>2825.3414593224043</v>
      </c>
      <c r="E19" s="31">
        <f t="shared" si="0"/>
        <v>16138.734649866548</v>
      </c>
    </row>
    <row r="20" spans="2:5" x14ac:dyDescent="0.3">
      <c r="B20" s="5">
        <v>43921</v>
      </c>
      <c r="C20" s="2">
        <v>1718577.99</v>
      </c>
      <c r="D20" s="30">
        <v>3079.6235727814205</v>
      </c>
      <c r="E20" s="31">
        <f t="shared" si="0"/>
        <v>19218.35822264797</v>
      </c>
    </row>
    <row r="21" spans="2:5" x14ac:dyDescent="0.3">
      <c r="B21" s="5">
        <v>43951</v>
      </c>
      <c r="C21" s="2">
        <v>1747086.53</v>
      </c>
      <c r="D21" s="30">
        <v>3070.9016542622949</v>
      </c>
      <c r="E21" s="31">
        <f t="shared" si="0"/>
        <v>22289.259876910266</v>
      </c>
    </row>
    <row r="22" spans="2:5" x14ac:dyDescent="0.3">
      <c r="B22" s="5">
        <v>43982</v>
      </c>
      <c r="C22" s="2">
        <v>1846096.2899999998</v>
      </c>
      <c r="D22" s="30">
        <v>3225.9045818961749</v>
      </c>
      <c r="E22" s="31">
        <f t="shared" si="0"/>
        <v>25515.164458806441</v>
      </c>
    </row>
    <row r="23" spans="2:5" x14ac:dyDescent="0.3">
      <c r="B23" s="5">
        <v>44012</v>
      </c>
      <c r="C23" s="2">
        <v>1939259.67</v>
      </c>
      <c r="D23" s="30">
        <v>3298.7622231147534</v>
      </c>
      <c r="E23" s="31">
        <f t="shared" si="0"/>
        <v>28813.926681921195</v>
      </c>
    </row>
    <row r="24" spans="2:5" x14ac:dyDescent="0.3">
      <c r="B24" s="5">
        <v>44042</v>
      </c>
      <c r="C24" s="2">
        <v>1955308.02</v>
      </c>
      <c r="D24" s="30">
        <v>936.24913576229505</v>
      </c>
      <c r="E24" s="31">
        <f t="shared" si="0"/>
        <v>29750.175817683492</v>
      </c>
    </row>
    <row r="25" spans="2:5" x14ac:dyDescent="0.3">
      <c r="B25" s="5">
        <v>44074</v>
      </c>
      <c r="C25" s="2">
        <v>2221530.08</v>
      </c>
      <c r="D25" s="30">
        <v>943.99706867213115</v>
      </c>
      <c r="E25" s="31">
        <f t="shared" si="0"/>
        <v>30694.172886355624</v>
      </c>
    </row>
    <row r="26" spans="2:5" x14ac:dyDescent="0.3">
      <c r="B26" s="5">
        <v>44104</v>
      </c>
      <c r="C26" s="2">
        <v>2251947.5</v>
      </c>
      <c r="D26" s="30">
        <v>1037.9279881967213</v>
      </c>
      <c r="E26" s="31">
        <f t="shared" si="0"/>
        <v>31732.100874552343</v>
      </c>
    </row>
    <row r="27" spans="2:5" x14ac:dyDescent="0.3">
      <c r="B27" s="5">
        <v>44135</v>
      </c>
      <c r="C27" s="2">
        <v>2293724.35</v>
      </c>
      <c r="D27" s="30">
        <v>1087.210719262295</v>
      </c>
      <c r="E27" s="31">
        <f t="shared" si="0"/>
        <v>32819.311593814637</v>
      </c>
    </row>
    <row r="28" spans="2:5" x14ac:dyDescent="0.3">
      <c r="B28" s="5">
        <v>44165</v>
      </c>
      <c r="C28" s="2">
        <v>2329952.37</v>
      </c>
      <c r="D28" s="30">
        <v>1071.6580979508196</v>
      </c>
      <c r="E28" s="31">
        <f t="shared" si="0"/>
        <v>33890.969691765458</v>
      </c>
    </row>
    <row r="29" spans="2:5" x14ac:dyDescent="0.3">
      <c r="B29" s="5">
        <v>44196</v>
      </c>
      <c r="C29" s="2">
        <v>2011949.77</v>
      </c>
      <c r="D29" s="30">
        <v>1124.8704474836065</v>
      </c>
      <c r="E29" s="31">
        <f>E28+D29</f>
        <v>35015.840139249063</v>
      </c>
    </row>
    <row r="30" spans="2:5" x14ac:dyDescent="0.3">
      <c r="B30" s="5">
        <v>44227</v>
      </c>
      <c r="C30" s="2">
        <f>'Distribution Deferral - 2021'!E16+'Distribution Deferral - 2021'!E31</f>
        <v>2040934.87</v>
      </c>
      <c r="D30" s="2">
        <f>'Distribution Deferral - 2021'!E18+'Distribution Deferral - 2021'!E33</f>
        <v>969.4742951260273</v>
      </c>
      <c r="E30" s="31">
        <f t="shared" ref="E30:E40" si="1">E29+D30</f>
        <v>35985.31443437509</v>
      </c>
    </row>
    <row r="31" spans="2:5" x14ac:dyDescent="0.3">
      <c r="B31" s="5">
        <v>44255</v>
      </c>
      <c r="C31" s="2">
        <f>'Distribution Deferral - 2021'!F16+'Distribution Deferral - 2021'!F31</f>
        <v>2120369.88</v>
      </c>
      <c r="D31" s="2">
        <f>'Distribution Deferral - 2021'!F18+'Distribution Deferral - 2021'!F33</f>
        <v>892.41974041643846</v>
      </c>
      <c r="E31" s="31">
        <f t="shared" si="1"/>
        <v>36877.734174791527</v>
      </c>
    </row>
    <row r="32" spans="2:5" x14ac:dyDescent="0.3">
      <c r="B32" s="5">
        <v>44286</v>
      </c>
      <c r="C32" s="2">
        <f>'Distribution Deferral - 2021'!G16+'Distribution Deferral - 2021'!G31</f>
        <v>2152695.85</v>
      </c>
      <c r="D32" s="2">
        <f>'Distribution Deferral - 2021'!G18+'Distribution Deferral - 2021'!G33</f>
        <v>1026.4913912219176</v>
      </c>
      <c r="E32" s="31">
        <f t="shared" si="1"/>
        <v>37904.225566013447</v>
      </c>
    </row>
    <row r="33" spans="2:5" x14ac:dyDescent="0.3">
      <c r="B33" s="5">
        <v>44316</v>
      </c>
      <c r="C33" s="2">
        <f>'Distribution Deferral - 2021'!H16+'Distribution Deferral - 2021'!H31</f>
        <v>2184263.88</v>
      </c>
      <c r="D33" s="2">
        <f>'Distribution Deferral - 2021'!H18+'Distribution Deferral - 2021'!H33</f>
        <v>1008.5232612328767</v>
      </c>
      <c r="E33" s="31">
        <f t="shared" si="1"/>
        <v>38912.748827246323</v>
      </c>
    </row>
    <row r="34" spans="2:5" x14ac:dyDescent="0.3">
      <c r="B34" s="5">
        <v>44347</v>
      </c>
      <c r="C34" s="2">
        <f>'Distribution Deferral - 2021'!I16+'Distribution Deferral - 2021'!I31</f>
        <v>2238446.79</v>
      </c>
      <c r="D34" s="2">
        <f>'Distribution Deferral - 2021'!I18+'Distribution Deferral - 2021'!I33</f>
        <v>1057.4230893041095</v>
      </c>
      <c r="E34" s="31">
        <f t="shared" si="1"/>
        <v>39970.171916550433</v>
      </c>
    </row>
    <row r="35" spans="2:5" x14ac:dyDescent="0.3">
      <c r="B35" s="5">
        <v>44377</v>
      </c>
      <c r="C35" s="2">
        <f>'Distribution Deferral - 2021'!J16+'Distribution Deferral - 2021'!J31</f>
        <v>2259365.62</v>
      </c>
      <c r="D35" s="2">
        <f>'Distribution Deferral - 2021'!J18+'Distribution Deferral - 2021'!J33</f>
        <v>1048.6969892876712</v>
      </c>
      <c r="E35" s="31">
        <f t="shared" si="1"/>
        <v>41018.868905838106</v>
      </c>
    </row>
    <row r="36" spans="2:5" x14ac:dyDescent="0.3">
      <c r="B36" s="5">
        <v>44408</v>
      </c>
      <c r="C36" s="2">
        <f>'Distribution Deferral - 2021'!K16+'Distribution Deferral - 2021'!K31</f>
        <v>2484595.2800000003</v>
      </c>
      <c r="D36" s="2">
        <f>'Distribution Deferral - 2021'!K18+'Distribution Deferral - 2021'!K33</f>
        <v>1093.7805617917809</v>
      </c>
      <c r="E36" s="31">
        <f t="shared" si="1"/>
        <v>42112.64946762989</v>
      </c>
    </row>
    <row r="37" spans="2:5" x14ac:dyDescent="0.3">
      <c r="B37" s="5">
        <v>44439</v>
      </c>
      <c r="C37" s="2">
        <f>'Distribution Deferral - 2021'!L16+'Distribution Deferral - 2021'!L31</f>
        <v>2741691.7199999997</v>
      </c>
      <c r="D37" s="2">
        <f>'Distribution Deferral - 2021'!L18+'Distribution Deferral - 2021'!L33</f>
        <v>1202.8163999342466</v>
      </c>
      <c r="E37" s="31">
        <f t="shared" si="1"/>
        <v>43315.465867564133</v>
      </c>
    </row>
    <row r="38" spans="2:5" x14ac:dyDescent="0.3">
      <c r="B38" s="5">
        <v>44469</v>
      </c>
      <c r="C38" s="2">
        <f>'Distribution Deferral - 2021'!M16+'Distribution Deferral - 2021'!M31</f>
        <v>2934074.19</v>
      </c>
      <c r="D38" s="2">
        <f>'Distribution Deferral - 2021'!M18+'Distribution Deferral - 2021'!M33</f>
        <v>1284.4637921095889</v>
      </c>
      <c r="E38" s="31">
        <f t="shared" si="1"/>
        <v>44599.929659673719</v>
      </c>
    </row>
    <row r="39" spans="2:5" x14ac:dyDescent="0.3">
      <c r="B39" s="5">
        <v>44500</v>
      </c>
      <c r="C39" s="2">
        <f>'Distribution Deferral - 2021'!N16+'Distribution Deferral - 2021'!N31</f>
        <v>3133946.65</v>
      </c>
      <c r="D39" s="2">
        <f>'Distribution Deferral - 2021'!N18+'Distribution Deferral - 2021'!N33</f>
        <v>1420.4134503369864</v>
      </c>
      <c r="E39" s="31">
        <f t="shared" si="1"/>
        <v>46020.343110010705</v>
      </c>
    </row>
    <row r="40" spans="2:5" x14ac:dyDescent="0.3">
      <c r="B40" s="5">
        <v>44530</v>
      </c>
      <c r="C40" s="2">
        <f>'Distribution Deferral - 2021'!O16+'Distribution Deferral - 2021'!O31</f>
        <v>3156654.55</v>
      </c>
      <c r="D40" s="2">
        <f>'Distribution Deferral - 2021'!O18+'Distribution Deferral - 2021'!O33</f>
        <v>1468.2325401369862</v>
      </c>
      <c r="E40" s="31">
        <f t="shared" si="1"/>
        <v>47488.575650147694</v>
      </c>
    </row>
    <row r="41" spans="2:5" x14ac:dyDescent="0.3">
      <c r="B41" s="5">
        <v>44561</v>
      </c>
      <c r="C41" s="2">
        <f>'Distribution Deferral - 2021'!P16+'Distribution Deferral - 2021'!P31</f>
        <v>3194911.44</v>
      </c>
      <c r="D41" s="2">
        <f>'Distribution Deferral - 2021'!P18+'Distribution Deferral - 2021'!P33</f>
        <v>1528.1667369452055</v>
      </c>
      <c r="E41" s="31">
        <f>E40+D41</f>
        <v>49016.742387092898</v>
      </c>
    </row>
    <row r="42" spans="2:5" x14ac:dyDescent="0.3">
      <c r="B42" s="5">
        <v>44562</v>
      </c>
      <c r="C42" s="2">
        <f>+'Distribution Deferral - 2022'!E16+'Distribution Deferral - 2022'!E31</f>
        <v>3223707.33</v>
      </c>
      <c r="D42" s="2">
        <f>+'Distribution Deferral - 2022'!E18+'Distribution Deferral - 2022'!E33</f>
        <v>1539.3572642410959</v>
      </c>
      <c r="E42" s="31">
        <f t="shared" ref="E42:E53" si="2">E41+D42</f>
        <v>50556.099651333992</v>
      </c>
    </row>
    <row r="43" spans="2:5" x14ac:dyDescent="0.3">
      <c r="B43" s="5">
        <v>44593</v>
      </c>
      <c r="C43" s="2">
        <f>+'Distribution Deferral - 2022'!F16+'Distribution Deferral - 2022'!F31</f>
        <v>3301516.8600000003</v>
      </c>
      <c r="D43" s="2">
        <f>+'Distribution Deferral - 2022'!F18+'Distribution Deferral - 2022'!F33</f>
        <v>1409.5991503232879</v>
      </c>
      <c r="E43" s="31">
        <f t="shared" si="2"/>
        <v>51965.69880165728</v>
      </c>
    </row>
    <row r="44" spans="2:5" x14ac:dyDescent="0.3">
      <c r="B44" s="5">
        <v>44621</v>
      </c>
      <c r="C44" s="2">
        <f>+'Distribution Deferral - 2022'!G16+'Distribution Deferral - 2022'!G31</f>
        <v>3332428.8800000004</v>
      </c>
      <c r="D44" s="2">
        <f>+'Distribution Deferral - 2022'!G18+'Distribution Deferral - 2022'!G33</f>
        <v>1598.2959703068495</v>
      </c>
      <c r="E44" s="31">
        <f t="shared" si="2"/>
        <v>53563.994771964128</v>
      </c>
    </row>
    <row r="45" spans="2:5" x14ac:dyDescent="0.3">
      <c r="B45" s="5">
        <v>44652</v>
      </c>
      <c r="C45" s="2">
        <f>+'Distribution Deferral - 2022'!H16+'Distribution Deferral - 2022'!H31</f>
        <v>3533430.0999999996</v>
      </c>
      <c r="D45" s="2">
        <f>+'Distribution Deferral - 2022'!H18+'Distribution Deferral - 2022'!H33</f>
        <v>2793.7622939178082</v>
      </c>
      <c r="E45" s="31">
        <f t="shared" si="2"/>
        <v>56357.757065881939</v>
      </c>
    </row>
    <row r="46" spans="2:5" x14ac:dyDescent="0.3">
      <c r="B46" s="5">
        <v>44682</v>
      </c>
      <c r="C46" s="2">
        <f>+'Distribution Deferral - 2022'!I16+'Distribution Deferral - 2022'!I31</f>
        <v>3297209.8500000006</v>
      </c>
      <c r="D46" s="2">
        <f>+'Distribution Deferral - 2022'!I18+'Distribution Deferral - 2022'!I33</f>
        <v>3061.0153359452056</v>
      </c>
      <c r="E46" s="31">
        <f t="shared" si="2"/>
        <v>59418.772401827147</v>
      </c>
    </row>
    <row r="47" spans="2:5" x14ac:dyDescent="0.3">
      <c r="B47" s="5">
        <v>44713</v>
      </c>
      <c r="C47" s="2">
        <f>+'Distribution Deferral - 2022'!J16+'Distribution Deferral - 2022'!J31</f>
        <v>3067294.7699999996</v>
      </c>
      <c r="D47" s="2">
        <f>+'Distribution Deferral - 2022'!J18+'Distribution Deferral - 2022'!J33</f>
        <v>2764.2362030136987</v>
      </c>
      <c r="E47" s="31">
        <f t="shared" si="2"/>
        <v>62183.008604840848</v>
      </c>
    </row>
    <row r="48" spans="2:5" x14ac:dyDescent="0.3">
      <c r="B48" s="5">
        <v>44743</v>
      </c>
      <c r="C48" s="2">
        <f>+'Distribution Deferral - 2022'!K16+'Distribution Deferral - 2022'!K31</f>
        <v>3192718.4299999997</v>
      </c>
      <c r="D48" s="2">
        <f>+'Distribution Deferral - 2022'!K18+'Distribution Deferral - 2022'!K33</f>
        <v>5731.2192688767109</v>
      </c>
      <c r="E48" s="31">
        <f t="shared" si="2"/>
        <v>67914.227873717566</v>
      </c>
    </row>
    <row r="49" spans="1:5" x14ac:dyDescent="0.3">
      <c r="B49" s="5">
        <v>44774</v>
      </c>
      <c r="C49" s="2">
        <f>+'Distribution Deferral - 2022'!L16+'Distribution Deferral - 2022'!L31</f>
        <v>3014064.09</v>
      </c>
      <c r="D49" s="2">
        <f>+'Distribution Deferral - 2022'!L18+'Distribution Deferral - 2022'!L33</f>
        <v>5965.5725185205474</v>
      </c>
      <c r="E49" s="31">
        <f t="shared" si="2"/>
        <v>73879.800392238118</v>
      </c>
    </row>
    <row r="50" spans="1:5" x14ac:dyDescent="0.3">
      <c r="B50" s="5">
        <v>44805</v>
      </c>
      <c r="C50" s="2">
        <f>+'Distribution Deferral - 2022'!M16+'Distribution Deferral - 2022'!M31</f>
        <v>3488461.4699999997</v>
      </c>
      <c r="D50" s="2">
        <f>+'Distribution Deferral - 2022'!M18+'Distribution Deferral - 2022'!M33</f>
        <v>5450.0884915068482</v>
      </c>
      <c r="E50" s="31">
        <f t="shared" si="2"/>
        <v>79329.888883744963</v>
      </c>
    </row>
    <row r="51" spans="1:5" x14ac:dyDescent="0.3">
      <c r="B51" s="5">
        <v>44835</v>
      </c>
      <c r="C51" s="2">
        <f>+'Distribution Deferral - 2022'!N16+'Distribution Deferral - 2022'!N31</f>
        <v>3287959.96</v>
      </c>
      <c r="D51" s="2">
        <f>+'Distribution Deferral - 2022'!N18+'Distribution Deferral - 2022'!N33</f>
        <v>11466.04719331233</v>
      </c>
      <c r="E51" s="31">
        <f t="shared" si="2"/>
        <v>90795.936077057297</v>
      </c>
    </row>
    <row r="52" spans="1:5" x14ac:dyDescent="0.3">
      <c r="B52" s="5">
        <v>44866</v>
      </c>
      <c r="C52" s="2">
        <f>+'Distribution Deferral - 2022'!O16+'Distribution Deferral - 2022'!O31</f>
        <v>3057515.23</v>
      </c>
      <c r="D52" s="2">
        <f>+'Distribution Deferral - 2022'!O18+'Distribution Deferral - 2022'!O33</f>
        <v>10458.415105643835</v>
      </c>
      <c r="E52" s="31">
        <f t="shared" si="2"/>
        <v>101254.35118270112</v>
      </c>
    </row>
    <row r="53" spans="1:5" ht="15" thickBot="1" x14ac:dyDescent="0.35">
      <c r="B53" s="6">
        <v>44896</v>
      </c>
      <c r="C53" s="7">
        <f>+'Distribution Deferral - 2022'!P16+'Distribution Deferral - 2022'!P31</f>
        <v>2826419.78</v>
      </c>
      <c r="D53" s="7">
        <f>+'Distribution Deferral - 2022'!P18+'Distribution Deferral - 2022'!P33</f>
        <v>10049.591839536986</v>
      </c>
      <c r="E53" s="32">
        <f t="shared" si="2"/>
        <v>111303.94302223811</v>
      </c>
    </row>
    <row r="56" spans="1:5" x14ac:dyDescent="0.3">
      <c r="A56" s="1" t="s">
        <v>63</v>
      </c>
      <c r="B56" s="1"/>
    </row>
    <row r="58" spans="1:5" x14ac:dyDescent="0.3">
      <c r="B58" s="18" t="s">
        <v>65</v>
      </c>
      <c r="D58" s="13">
        <f>C53</f>
        <v>2826419.78</v>
      </c>
    </row>
    <row r="59" spans="1:5" x14ac:dyDescent="0.3">
      <c r="B59" t="s">
        <v>7</v>
      </c>
      <c r="D59" s="13">
        <f>E53</f>
        <v>111303.94302223811</v>
      </c>
    </row>
    <row r="60" spans="1:5" x14ac:dyDescent="0.3">
      <c r="B60" s="16"/>
      <c r="C60" s="16"/>
      <c r="D60" s="48">
        <f>+D58+D59</f>
        <v>2937723.7230222379</v>
      </c>
    </row>
    <row r="62" spans="1:5" x14ac:dyDescent="0.3">
      <c r="B62" s="47" t="s">
        <v>66</v>
      </c>
      <c r="C62" s="33"/>
      <c r="D62" s="17">
        <v>2937724</v>
      </c>
      <c r="E62" s="13"/>
    </row>
    <row r="63" spans="1:5" x14ac:dyDescent="0.3">
      <c r="B63" s="33"/>
      <c r="C63" s="33"/>
      <c r="D63" s="33"/>
      <c r="E63" s="33"/>
    </row>
    <row r="64" spans="1:5" x14ac:dyDescent="0.3">
      <c r="D64" s="13"/>
    </row>
  </sheetData>
  <pageMargins left="0.7" right="0.7" top="0.75" bottom="0.75" header="0.3" footer="0.3"/>
  <pageSetup scale="72" orientation="portrait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219D-75DB-4B66-BCC0-F7B53D6A42ED}">
  <dimension ref="A1:E27"/>
  <sheetViews>
    <sheetView view="pageBreakPreview" zoomScaleNormal="100" zoomScaleSheetLayoutView="100" workbookViewId="0">
      <selection activeCell="E20" sqref="E20"/>
    </sheetView>
  </sheetViews>
  <sheetFormatPr defaultRowHeight="14.4" x14ac:dyDescent="0.3"/>
  <cols>
    <col min="1" max="1" width="3.33203125" customWidth="1"/>
    <col min="2" max="2" width="14.44140625" customWidth="1"/>
    <col min="3" max="3" width="15.109375" bestFit="1" customWidth="1"/>
    <col min="4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118</v>
      </c>
    </row>
    <row r="3" spans="1:5" ht="15" thickBot="1" x14ac:dyDescent="0.35"/>
    <row r="4" spans="1:5" ht="43.2" x14ac:dyDescent="0.3">
      <c r="B4" s="49" t="s">
        <v>3</v>
      </c>
      <c r="C4" s="50" t="s">
        <v>64</v>
      </c>
      <c r="D4" s="50" t="s">
        <v>1</v>
      </c>
      <c r="E4" s="51" t="s">
        <v>2</v>
      </c>
    </row>
    <row r="5" spans="1:5" x14ac:dyDescent="0.3">
      <c r="B5" s="5">
        <v>44562</v>
      </c>
      <c r="C5" s="2">
        <f>+'CPICVA - 2022'!E26</f>
        <v>0</v>
      </c>
      <c r="D5" s="30">
        <f>+'CPICVA - 2022'!E34</f>
        <v>0</v>
      </c>
      <c r="E5" s="31">
        <f>D5</f>
        <v>0</v>
      </c>
    </row>
    <row r="6" spans="1:5" x14ac:dyDescent="0.3">
      <c r="B6" s="5">
        <v>44593</v>
      </c>
      <c r="C6" s="2">
        <f>+'CPICVA - 2022'!F26</f>
        <v>0</v>
      </c>
      <c r="D6" s="30">
        <f>+'CPICVA - 2022'!F34</f>
        <v>0</v>
      </c>
      <c r="E6" s="31">
        <f>E5+D6</f>
        <v>0</v>
      </c>
    </row>
    <row r="7" spans="1:5" x14ac:dyDescent="0.3">
      <c r="B7" s="5">
        <v>44621</v>
      </c>
      <c r="C7" s="2">
        <f>+'CPICVA - 2022'!G26</f>
        <v>0</v>
      </c>
      <c r="D7" s="30">
        <f>+'CPICVA - 2022'!G34</f>
        <v>0</v>
      </c>
      <c r="E7" s="31">
        <f t="shared" ref="E7:E16" si="0">E6+D7</f>
        <v>0</v>
      </c>
    </row>
    <row r="8" spans="1:5" x14ac:dyDescent="0.3">
      <c r="B8" s="5">
        <v>44652</v>
      </c>
      <c r="C8" s="2">
        <f>+'CPICVA - 2022'!H26</f>
        <v>0</v>
      </c>
      <c r="D8" s="30">
        <f>+'CPICVA - 2022'!H34</f>
        <v>0</v>
      </c>
      <c r="E8" s="31">
        <f t="shared" si="0"/>
        <v>0</v>
      </c>
    </row>
    <row r="9" spans="1:5" x14ac:dyDescent="0.3">
      <c r="B9" s="5">
        <v>44682</v>
      </c>
      <c r="C9" s="2">
        <f>+'CPICVA - 2022'!I26</f>
        <v>0</v>
      </c>
      <c r="D9" s="30">
        <f>+'CPICVA - 2022'!I34</f>
        <v>0</v>
      </c>
      <c r="E9" s="31">
        <f t="shared" si="0"/>
        <v>0</v>
      </c>
    </row>
    <row r="10" spans="1:5" x14ac:dyDescent="0.3">
      <c r="B10" s="5">
        <v>44713</v>
      </c>
      <c r="C10" s="2">
        <f>+'CPICVA - 2022'!J26</f>
        <v>30.973463270387015</v>
      </c>
      <c r="D10" s="30">
        <f>+'CPICVA - 2022'!J34</f>
        <v>0</v>
      </c>
      <c r="E10" s="31">
        <f t="shared" si="0"/>
        <v>0</v>
      </c>
    </row>
    <row r="11" spans="1:5" x14ac:dyDescent="0.3">
      <c r="B11" s="5">
        <v>44743</v>
      </c>
      <c r="C11" s="2">
        <f>+'CPICVA - 2022'!K26</f>
        <v>138.77958420524294</v>
      </c>
      <c r="D11" s="30">
        <f>+'CPICVA - 2022'!K34</f>
        <v>0.06</v>
      </c>
      <c r="E11" s="31">
        <f t="shared" si="0"/>
        <v>0.06</v>
      </c>
    </row>
    <row r="12" spans="1:5" x14ac:dyDescent="0.3">
      <c r="B12" s="5">
        <v>44774</v>
      </c>
      <c r="C12" s="2">
        <f>+'CPICVA - 2022'!L26</f>
        <v>144405.11801722276</v>
      </c>
      <c r="D12" s="30">
        <f>+'CPICVA - 2022'!L34</f>
        <v>0.26</v>
      </c>
      <c r="E12" s="31">
        <f t="shared" si="0"/>
        <v>0.32</v>
      </c>
    </row>
    <row r="13" spans="1:5" x14ac:dyDescent="0.3">
      <c r="B13" s="5">
        <v>44805</v>
      </c>
      <c r="C13" s="2">
        <f>+'CPICVA - 2022'!M26</f>
        <v>535444.51476723899</v>
      </c>
      <c r="D13" s="30">
        <f>+'CPICVA - 2022'!M34</f>
        <v>261.12</v>
      </c>
      <c r="E13" s="31">
        <f t="shared" si="0"/>
        <v>261.44</v>
      </c>
    </row>
    <row r="14" spans="1:5" x14ac:dyDescent="0.3">
      <c r="B14" s="5">
        <v>44835</v>
      </c>
      <c r="C14" s="2">
        <f>+'CPICVA - 2022'!N26</f>
        <v>1095332.8313787591</v>
      </c>
      <c r="D14" s="30">
        <f>+'CPICVA - 2022'!N34</f>
        <v>1759.93</v>
      </c>
      <c r="E14" s="31">
        <f t="shared" si="0"/>
        <v>2021.3700000000001</v>
      </c>
    </row>
    <row r="15" spans="1:5" x14ac:dyDescent="0.3">
      <c r="B15" s="5">
        <v>44866</v>
      </c>
      <c r="C15" s="2">
        <f>+'CPICVA - 2022'!O26</f>
        <v>2156946.4997070963</v>
      </c>
      <c r="D15" s="30">
        <f>+'CPICVA - 2022'!O34</f>
        <v>3484.06</v>
      </c>
      <c r="E15" s="31">
        <f t="shared" si="0"/>
        <v>5505.43</v>
      </c>
    </row>
    <row r="16" spans="1:5" ht="15" thickBot="1" x14ac:dyDescent="0.35">
      <c r="B16" s="6">
        <v>44896</v>
      </c>
      <c r="C16" s="7">
        <f>+'CPICVA - 2022'!P26</f>
        <v>3383187.02</v>
      </c>
      <c r="D16" s="60">
        <f>+'CPICVA - 2022'!P34</f>
        <v>7089.5599999999995</v>
      </c>
      <c r="E16" s="32">
        <f t="shared" si="0"/>
        <v>12594.99</v>
      </c>
    </row>
    <row r="19" spans="1:5" x14ac:dyDescent="0.3">
      <c r="A19" s="1" t="s">
        <v>63</v>
      </c>
      <c r="B19" s="1"/>
    </row>
    <row r="21" spans="1:5" x14ac:dyDescent="0.3">
      <c r="B21" s="18" t="s">
        <v>65</v>
      </c>
      <c r="D21" s="13">
        <f>+C16</f>
        <v>3383187.02</v>
      </c>
    </row>
    <row r="22" spans="1:5" x14ac:dyDescent="0.3">
      <c r="B22" t="s">
        <v>7</v>
      </c>
      <c r="D22" s="13">
        <f>+E16</f>
        <v>12594.99</v>
      </c>
    </row>
    <row r="23" spans="1:5" x14ac:dyDescent="0.3">
      <c r="B23" s="16"/>
      <c r="C23" s="16"/>
      <c r="D23" s="48">
        <f>+D21+D22</f>
        <v>3395782.0100000002</v>
      </c>
    </row>
    <row r="25" spans="1:5" x14ac:dyDescent="0.3">
      <c r="B25" s="47" t="s">
        <v>66</v>
      </c>
      <c r="C25" s="33"/>
      <c r="D25" s="17">
        <v>3395782</v>
      </c>
      <c r="E25" s="13"/>
    </row>
    <row r="26" spans="1:5" x14ac:dyDescent="0.3">
      <c r="B26" s="33"/>
      <c r="C26" s="33"/>
      <c r="D26" s="33"/>
      <c r="E26" s="33"/>
    </row>
    <row r="27" spans="1:5" x14ac:dyDescent="0.3">
      <c r="D27" s="13"/>
    </row>
  </sheetData>
  <pageMargins left="0.7" right="0.7" top="0.75" bottom="0.75" header="0.3" footer="0.3"/>
  <pageSetup scale="72" orientation="portrait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B62F-9A7E-4FC2-A6F2-BE0784079614}">
  <dimension ref="A1:E27"/>
  <sheetViews>
    <sheetView view="pageBreakPreview" zoomScaleNormal="100" zoomScaleSheetLayoutView="100" workbookViewId="0">
      <selection activeCell="D11" sqref="D11"/>
    </sheetView>
  </sheetViews>
  <sheetFormatPr defaultRowHeight="14.4" x14ac:dyDescent="0.3"/>
  <cols>
    <col min="1" max="1" width="3.33203125" customWidth="1"/>
    <col min="2" max="2" width="14.44140625" customWidth="1"/>
    <col min="3" max="3" width="15.109375" bestFit="1" customWidth="1"/>
    <col min="4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119</v>
      </c>
    </row>
    <row r="3" spans="1:5" ht="15" thickBot="1" x14ac:dyDescent="0.35"/>
    <row r="4" spans="1:5" ht="43.2" x14ac:dyDescent="0.3">
      <c r="B4" s="49" t="s">
        <v>3</v>
      </c>
      <c r="C4" s="50" t="s">
        <v>64</v>
      </c>
      <c r="D4" s="50" t="s">
        <v>1</v>
      </c>
      <c r="E4" s="51" t="s">
        <v>2</v>
      </c>
    </row>
    <row r="5" spans="1:5" x14ac:dyDescent="0.3">
      <c r="B5" s="5">
        <v>44562</v>
      </c>
      <c r="C5" s="2">
        <f>+'DCDA - 2022'!E26</f>
        <v>0</v>
      </c>
      <c r="D5" s="30">
        <f>+'DCDA - 2022'!E34</f>
        <v>0</v>
      </c>
      <c r="E5" s="31">
        <f>D5</f>
        <v>0</v>
      </c>
    </row>
    <row r="6" spans="1:5" x14ac:dyDescent="0.3">
      <c r="B6" s="5">
        <v>44593</v>
      </c>
      <c r="C6" s="2">
        <f>+'DCDA - 2022'!F26</f>
        <v>0</v>
      </c>
      <c r="D6" s="30">
        <f>+'DCDA - 2022'!F34</f>
        <v>0</v>
      </c>
      <c r="E6" s="31">
        <f>E5+D6</f>
        <v>0</v>
      </c>
    </row>
    <row r="7" spans="1:5" x14ac:dyDescent="0.3">
      <c r="B7" s="5">
        <v>44621</v>
      </c>
      <c r="C7" s="2">
        <f>+'DCDA - 2022'!G26</f>
        <v>0</v>
      </c>
      <c r="D7" s="30">
        <f>+'DCDA - 2022'!G34</f>
        <v>0</v>
      </c>
      <c r="E7" s="31">
        <f t="shared" ref="E7:E16" si="0">E6+D7</f>
        <v>0</v>
      </c>
    </row>
    <row r="8" spans="1:5" x14ac:dyDescent="0.3">
      <c r="B8" s="5">
        <v>44652</v>
      </c>
      <c r="C8" s="2">
        <f>+'DCDA - 2022'!H26</f>
        <v>0</v>
      </c>
      <c r="D8" s="30">
        <f>+'DCDA - 2022'!H34</f>
        <v>0</v>
      </c>
      <c r="E8" s="31">
        <f t="shared" si="0"/>
        <v>0</v>
      </c>
    </row>
    <row r="9" spans="1:5" x14ac:dyDescent="0.3">
      <c r="B9" s="5">
        <v>44682</v>
      </c>
      <c r="C9" s="2">
        <f>+'DCDA - 2022'!I26</f>
        <v>0</v>
      </c>
      <c r="D9" s="30">
        <f>+'DCDA - 2022'!I34</f>
        <v>0</v>
      </c>
      <c r="E9" s="31">
        <f t="shared" si="0"/>
        <v>0</v>
      </c>
    </row>
    <row r="10" spans="1:5" x14ac:dyDescent="0.3">
      <c r="B10" s="5">
        <v>44713</v>
      </c>
      <c r="C10" s="2"/>
      <c r="D10" s="30">
        <f>+'DCDA - 2022'!J34</f>
        <v>0</v>
      </c>
      <c r="E10" s="31">
        <f t="shared" si="0"/>
        <v>0</v>
      </c>
    </row>
    <row r="11" spans="1:5" x14ac:dyDescent="0.3">
      <c r="B11" s="5">
        <v>44743</v>
      </c>
      <c r="C11" s="2"/>
      <c r="D11" s="30"/>
      <c r="E11" s="31">
        <f t="shared" si="0"/>
        <v>0</v>
      </c>
    </row>
    <row r="12" spans="1:5" x14ac:dyDescent="0.3">
      <c r="B12" s="5">
        <v>44774</v>
      </c>
      <c r="C12" s="2"/>
      <c r="D12" s="30"/>
      <c r="E12" s="31">
        <f t="shared" si="0"/>
        <v>0</v>
      </c>
    </row>
    <row r="13" spans="1:5" x14ac:dyDescent="0.3">
      <c r="B13" s="5">
        <v>44805</v>
      </c>
      <c r="C13" s="2">
        <f>+'DCDA - 2022'!M26</f>
        <v>4044.449701362887</v>
      </c>
      <c r="D13" s="30">
        <v>0</v>
      </c>
      <c r="E13" s="31">
        <f t="shared" si="0"/>
        <v>0</v>
      </c>
    </row>
    <row r="14" spans="1:5" x14ac:dyDescent="0.3">
      <c r="B14" s="5">
        <v>44835</v>
      </c>
      <c r="C14" s="2">
        <f>+'DCDA - 2022'!N26</f>
        <v>9512.5923887736153</v>
      </c>
      <c r="D14" s="30">
        <v>8.5699999999999985</v>
      </c>
      <c r="E14" s="31">
        <f t="shared" si="0"/>
        <v>8.5699999999999985</v>
      </c>
    </row>
    <row r="15" spans="1:5" x14ac:dyDescent="0.3">
      <c r="B15" s="5">
        <v>44866</v>
      </c>
      <c r="C15" s="2">
        <f>+'DCDA - 2022'!O26</f>
        <v>14771.596232271333</v>
      </c>
      <c r="D15" s="30">
        <f>+'DCDA - 2022'!O34</f>
        <v>30.259999999999998</v>
      </c>
      <c r="E15" s="31">
        <f t="shared" si="0"/>
        <v>38.83</v>
      </c>
    </row>
    <row r="16" spans="1:5" ht="15" thickBot="1" x14ac:dyDescent="0.35">
      <c r="B16" s="6">
        <v>44896</v>
      </c>
      <c r="C16" s="7">
        <f>+'DCDA - 2022'!P26</f>
        <v>21994.14</v>
      </c>
      <c r="D16" s="60">
        <f>+'DCDA - 2022'!P34</f>
        <v>48.56</v>
      </c>
      <c r="E16" s="32">
        <f t="shared" si="0"/>
        <v>87.39</v>
      </c>
    </row>
    <row r="19" spans="1:5" x14ac:dyDescent="0.3">
      <c r="A19" s="1" t="s">
        <v>63</v>
      </c>
      <c r="B19" s="1"/>
    </row>
    <row r="21" spans="1:5" x14ac:dyDescent="0.3">
      <c r="B21" s="18" t="s">
        <v>65</v>
      </c>
      <c r="D21" s="13">
        <f>+C16</f>
        <v>21994.14</v>
      </c>
    </row>
    <row r="22" spans="1:5" x14ac:dyDescent="0.3">
      <c r="B22" t="s">
        <v>7</v>
      </c>
      <c r="D22" s="13">
        <f>+E16</f>
        <v>87.39</v>
      </c>
    </row>
    <row r="23" spans="1:5" x14ac:dyDescent="0.3">
      <c r="B23" s="16"/>
      <c r="C23" s="16"/>
      <c r="D23" s="48">
        <f>+D21+D22</f>
        <v>22081.53</v>
      </c>
    </row>
    <row r="25" spans="1:5" x14ac:dyDescent="0.3">
      <c r="B25" s="47" t="s">
        <v>66</v>
      </c>
      <c r="C25" s="33"/>
      <c r="D25" s="17">
        <v>22082</v>
      </c>
      <c r="E25" s="13"/>
    </row>
    <row r="26" spans="1:5" x14ac:dyDescent="0.3">
      <c r="B26" s="33"/>
      <c r="C26" s="33"/>
      <c r="D26" s="33"/>
      <c r="E26" s="33"/>
    </row>
    <row r="27" spans="1:5" x14ac:dyDescent="0.3">
      <c r="D27" s="13"/>
    </row>
  </sheetData>
  <pageMargins left="0.7" right="0.7" top="0.75" bottom="0.75" header="0.3" footer="0.3"/>
  <pageSetup scale="72" orientation="portrait" r:id="rId1"/>
  <headerFooter>
    <oddFooter>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54D8-94DB-4E8B-883B-D3370169DB29}">
  <dimension ref="A1:E27"/>
  <sheetViews>
    <sheetView view="pageBreakPreview" zoomScaleNormal="100" zoomScaleSheetLayoutView="100" workbookViewId="0">
      <selection activeCell="J22" sqref="J22"/>
    </sheetView>
  </sheetViews>
  <sheetFormatPr defaultRowHeight="14.4" x14ac:dyDescent="0.3"/>
  <cols>
    <col min="1" max="1" width="3.33203125" customWidth="1"/>
    <col min="2" max="2" width="14.44140625" customWidth="1"/>
    <col min="3" max="3" width="15.109375" bestFit="1" customWidth="1"/>
    <col min="4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120</v>
      </c>
    </row>
    <row r="3" spans="1:5" ht="15" thickBot="1" x14ac:dyDescent="0.35"/>
    <row r="4" spans="1:5" ht="43.2" x14ac:dyDescent="0.3">
      <c r="B4" s="49" t="s">
        <v>3</v>
      </c>
      <c r="C4" s="50" t="s">
        <v>64</v>
      </c>
      <c r="D4" s="50" t="s">
        <v>1</v>
      </c>
      <c r="E4" s="51" t="s">
        <v>2</v>
      </c>
    </row>
    <row r="5" spans="1:5" x14ac:dyDescent="0.3">
      <c r="B5" s="5">
        <v>44562</v>
      </c>
      <c r="C5" s="2">
        <f>+'ISDVA - 2022'!E26</f>
        <v>0</v>
      </c>
      <c r="D5" s="30">
        <f>+'ISDVA - 2022'!E34</f>
        <v>0</v>
      </c>
      <c r="E5" s="31">
        <f>D5</f>
        <v>0</v>
      </c>
    </row>
    <row r="6" spans="1:5" x14ac:dyDescent="0.3">
      <c r="B6" s="5">
        <v>44593</v>
      </c>
      <c r="C6" s="2">
        <f>+'ISDVA - 2022'!F26</f>
        <v>0</v>
      </c>
      <c r="D6" s="30">
        <f>+'ISDVA - 2022'!F34</f>
        <v>0</v>
      </c>
      <c r="E6" s="31">
        <f>E5+D6</f>
        <v>0</v>
      </c>
    </row>
    <row r="7" spans="1:5" x14ac:dyDescent="0.3">
      <c r="B7" s="5">
        <v>44621</v>
      </c>
      <c r="C7" s="2">
        <f>+'ISDVA - 2022'!G26</f>
        <v>0</v>
      </c>
      <c r="D7" s="30">
        <f>+'ISDVA - 2022'!G34</f>
        <v>0</v>
      </c>
      <c r="E7" s="31">
        <f t="shared" ref="E7:E16" si="0">E6+D7</f>
        <v>0</v>
      </c>
    </row>
    <row r="8" spans="1:5" x14ac:dyDescent="0.3">
      <c r="B8" s="5">
        <v>44652</v>
      </c>
      <c r="C8" s="2">
        <f>+'ISDVA - 2022'!H26</f>
        <v>-572293.69136813388</v>
      </c>
      <c r="D8" s="30">
        <f>+'ISDVA - 2022'!H34</f>
        <v>0</v>
      </c>
      <c r="E8" s="31">
        <f t="shared" si="0"/>
        <v>0</v>
      </c>
    </row>
    <row r="9" spans="1:5" x14ac:dyDescent="0.3">
      <c r="B9" s="5">
        <v>44682</v>
      </c>
      <c r="C9" s="2">
        <f>+'ISDVA - 2022'!I26</f>
        <v>-2250137.1715779402</v>
      </c>
      <c r="D9" s="30">
        <f>+'ISDVA - 2022'!I34</f>
        <v>-495.78</v>
      </c>
      <c r="E9" s="31">
        <f t="shared" si="0"/>
        <v>-495.78</v>
      </c>
    </row>
    <row r="10" spans="1:5" x14ac:dyDescent="0.3">
      <c r="B10" s="5">
        <v>44713</v>
      </c>
      <c r="C10" s="2">
        <f>+'ISDVA - 2022'!J26</f>
        <v>-4575239.9263424296</v>
      </c>
      <c r="D10" s="30">
        <f>+'ISDVA - 2022'!J34</f>
        <v>-1886.41</v>
      </c>
      <c r="E10" s="31">
        <f t="shared" si="0"/>
        <v>-2382.19</v>
      </c>
    </row>
    <row r="11" spans="1:5" x14ac:dyDescent="0.3">
      <c r="B11" s="5">
        <v>44743</v>
      </c>
      <c r="C11" s="2">
        <f>+'ISDVA - 2022'!K26</f>
        <v>-8144925.8219499793</v>
      </c>
      <c r="D11" s="30">
        <f>+'ISDVA - 2022'!K34</f>
        <v>-8548.8000000000011</v>
      </c>
      <c r="E11" s="31">
        <f t="shared" si="0"/>
        <v>-10930.990000000002</v>
      </c>
    </row>
    <row r="12" spans="1:5" x14ac:dyDescent="0.3">
      <c r="B12" s="5">
        <v>44774</v>
      </c>
      <c r="C12" s="2">
        <f>+'ISDVA - 2022'!L26</f>
        <v>-11190168.34312493</v>
      </c>
      <c r="D12" s="30">
        <f>+'ISDVA - 2022'!L34</f>
        <v>-15218.740000000002</v>
      </c>
      <c r="E12" s="31">
        <f t="shared" si="0"/>
        <v>-26149.730000000003</v>
      </c>
    </row>
    <row r="13" spans="1:5" x14ac:dyDescent="0.3">
      <c r="B13" s="5">
        <v>44805</v>
      </c>
      <c r="C13" s="2">
        <f>+'ISDVA - 2022'!M26</f>
        <v>-13210204.82317894</v>
      </c>
      <c r="D13" s="30">
        <f>+'ISDVA - 2022'!M34</f>
        <v>-20234.28</v>
      </c>
      <c r="E13" s="31">
        <f t="shared" si="0"/>
        <v>-46384.01</v>
      </c>
    </row>
    <row r="14" spans="1:5" x14ac:dyDescent="0.3">
      <c r="B14" s="5">
        <v>44835</v>
      </c>
      <c r="C14" s="2">
        <f>+'ISDVA - 2022'!N26</f>
        <v>-14687181.012920469</v>
      </c>
      <c r="D14" s="30">
        <f>+'ISDVA - 2022'!N34</f>
        <v>-43419.95</v>
      </c>
      <c r="E14" s="31">
        <f t="shared" si="0"/>
        <v>-89803.959999999992</v>
      </c>
    </row>
    <row r="15" spans="1:5" x14ac:dyDescent="0.3">
      <c r="B15" s="5">
        <v>44866</v>
      </c>
      <c r="C15" s="2">
        <f>+'ISDVA - 2022'!O26</f>
        <v>-15020399.97879876</v>
      </c>
      <c r="D15" s="30">
        <f>+'ISDVA - 2022'!O34</f>
        <v>-46717.31</v>
      </c>
      <c r="E15" s="31">
        <f t="shared" si="0"/>
        <v>-136521.26999999999</v>
      </c>
    </row>
    <row r="16" spans="1:5" ht="15" thickBot="1" x14ac:dyDescent="0.35">
      <c r="B16" s="6">
        <v>44896</v>
      </c>
      <c r="C16" s="7">
        <f>+'ISDVA - 2022'!P26</f>
        <v>-15009350.52</v>
      </c>
      <c r="D16" s="60">
        <f>+'ISDVA - 2022'!P34</f>
        <v>-49369.789999999994</v>
      </c>
      <c r="E16" s="32">
        <f t="shared" si="0"/>
        <v>-185891.06</v>
      </c>
    </row>
    <row r="19" spans="1:5" x14ac:dyDescent="0.3">
      <c r="A19" s="1" t="s">
        <v>63</v>
      </c>
      <c r="B19" s="1"/>
    </row>
    <row r="21" spans="1:5" x14ac:dyDescent="0.3">
      <c r="B21" s="18" t="s">
        <v>65</v>
      </c>
      <c r="D21" s="13">
        <f>+C16</f>
        <v>-15009350.52</v>
      </c>
    </row>
    <row r="22" spans="1:5" x14ac:dyDescent="0.3">
      <c r="B22" t="s">
        <v>7</v>
      </c>
      <c r="D22" s="13">
        <f>+E16</f>
        <v>-185891.06</v>
      </c>
    </row>
    <row r="23" spans="1:5" x14ac:dyDescent="0.3">
      <c r="B23" s="16"/>
      <c r="C23" s="16"/>
      <c r="D23" s="48">
        <f>+D21+D22</f>
        <v>-15195241.58</v>
      </c>
    </row>
    <row r="25" spans="1:5" x14ac:dyDescent="0.3">
      <c r="B25" s="47" t="s">
        <v>66</v>
      </c>
      <c r="C25" s="33"/>
      <c r="D25" s="17">
        <v>-15195242</v>
      </c>
      <c r="E25" s="13"/>
    </row>
    <row r="26" spans="1:5" x14ac:dyDescent="0.3">
      <c r="B26" s="33"/>
      <c r="C26" s="33"/>
      <c r="D26" s="33"/>
      <c r="E26" s="33"/>
    </row>
    <row r="27" spans="1:5" x14ac:dyDescent="0.3">
      <c r="D27" s="13"/>
    </row>
  </sheetData>
  <pageMargins left="0.7" right="0.7" top="0.75" bottom="0.75" header="0.3" footer="0.3"/>
  <pageSetup scale="72" orientation="portrait" r:id="rId1"/>
  <headerFooter>
    <oddFooter>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14D1-C619-4947-92C4-4F719654ACF6}">
  <dimension ref="A1:S39"/>
  <sheetViews>
    <sheetView workbookViewId="0">
      <selection activeCell="P13" sqref="P13"/>
    </sheetView>
  </sheetViews>
  <sheetFormatPr defaultColWidth="13.6640625" defaultRowHeight="14.4" x14ac:dyDescent="0.3"/>
  <cols>
    <col min="1" max="1" width="59" style="66" bestFit="1" customWidth="1"/>
    <col min="2" max="2" width="3.33203125" style="66" customWidth="1"/>
    <col min="3" max="3" width="8.88671875" style="66" customWidth="1"/>
    <col min="4" max="4" width="16.33203125" style="66" customWidth="1"/>
    <col min="5" max="5" width="16" style="66" customWidth="1"/>
    <col min="6" max="6" width="15.44140625" style="66" customWidth="1"/>
    <col min="7" max="7" width="16.88671875" style="66" customWidth="1"/>
    <col min="8" max="8" width="17.109375" style="66" customWidth="1"/>
    <col min="9" max="9" width="17.6640625" style="66" customWidth="1"/>
    <col min="10" max="16" width="15.6640625" style="66" customWidth="1"/>
    <col min="17" max="17" width="13.6640625" style="66"/>
    <col min="18" max="18" width="3" style="66" customWidth="1"/>
    <col min="19" max="19" width="13.6640625" style="56"/>
    <col min="20" max="16384" width="13.6640625" style="66"/>
  </cols>
  <sheetData>
    <row r="1" spans="1:19" x14ac:dyDescent="0.3">
      <c r="A1" s="64" t="s">
        <v>0</v>
      </c>
      <c r="B1" s="65"/>
      <c r="S1" s="67" t="s">
        <v>101</v>
      </c>
    </row>
    <row r="2" spans="1:19" x14ac:dyDescent="0.3">
      <c r="A2" s="64" t="s">
        <v>102</v>
      </c>
      <c r="B2" s="65"/>
      <c r="E2" s="68" t="s">
        <v>103</v>
      </c>
    </row>
    <row r="3" spans="1:19" x14ac:dyDescent="0.3">
      <c r="A3" s="69" t="s">
        <v>90</v>
      </c>
      <c r="B3" s="70"/>
    </row>
    <row r="4" spans="1:19" x14ac:dyDescent="0.3">
      <c r="A4" s="70"/>
      <c r="B4" s="70"/>
      <c r="G4" s="61"/>
    </row>
    <row r="5" spans="1:19" x14ac:dyDescent="0.3">
      <c r="A5" s="70" t="s">
        <v>104</v>
      </c>
      <c r="B5" s="68"/>
      <c r="D5" s="68"/>
      <c r="P5" s="61"/>
    </row>
    <row r="6" spans="1:19" ht="16.2" x14ac:dyDescent="0.45">
      <c r="A6" s="70"/>
      <c r="B6" s="70"/>
      <c r="C6" s="68"/>
      <c r="D6" s="71" t="str">
        <f>CONCATENATE("Dec"," - ",((VALUE(YEAR(A3)))-1))</f>
        <v>Dec - 2021</v>
      </c>
      <c r="E6" s="87" t="str">
        <f>CONCATENATE("Quarter 1", " - ", YEAR($A$3))</f>
        <v>Quarter 1 - 2022</v>
      </c>
      <c r="F6" s="87"/>
      <c r="G6" s="87"/>
      <c r="H6" s="87" t="str">
        <f>CONCATENATE("Quarter 2", " - ", YEAR($A$3))</f>
        <v>Quarter 2 - 2022</v>
      </c>
      <c r="I6" s="87"/>
      <c r="J6" s="87"/>
      <c r="K6" s="87" t="str">
        <f>CONCATENATE("Quarter 3", " - ", YEAR($A$3))</f>
        <v>Quarter 3 - 2022</v>
      </c>
      <c r="L6" s="87"/>
      <c r="M6" s="87"/>
      <c r="N6" s="87" t="str">
        <f>CONCATENATE("Quarter 4", " - ", YEAR($A$3))</f>
        <v>Quarter 4 - 2022</v>
      </c>
      <c r="O6" s="87"/>
      <c r="P6" s="87"/>
    </row>
    <row r="7" spans="1:19" x14ac:dyDescent="0.3">
      <c r="A7" s="72" t="s">
        <v>25</v>
      </c>
      <c r="B7" s="72"/>
      <c r="C7" s="73"/>
      <c r="D7" s="74"/>
      <c r="E7" s="74">
        <v>5.7000000000000002E-3</v>
      </c>
      <c r="F7" s="73">
        <f>E7</f>
        <v>5.7000000000000002E-3</v>
      </c>
      <c r="G7" s="73">
        <f>F7</f>
        <v>5.7000000000000002E-3</v>
      </c>
      <c r="H7" s="74">
        <v>1.0200000000000001E-2</v>
      </c>
      <c r="I7" s="73">
        <f>H7</f>
        <v>1.0200000000000001E-2</v>
      </c>
      <c r="J7" s="73">
        <f>I7</f>
        <v>1.0200000000000001E-2</v>
      </c>
      <c r="K7" s="74">
        <v>2.1999999999999999E-2</v>
      </c>
      <c r="L7" s="73">
        <f>K7</f>
        <v>2.1999999999999999E-2</v>
      </c>
      <c r="M7" s="73">
        <f>L7</f>
        <v>2.1999999999999999E-2</v>
      </c>
      <c r="N7" s="74">
        <v>3.8699999999999998E-2</v>
      </c>
      <c r="O7" s="73">
        <f>N7</f>
        <v>3.8699999999999998E-2</v>
      </c>
      <c r="P7" s="73">
        <f>O7</f>
        <v>3.8699999999999998E-2</v>
      </c>
    </row>
    <row r="8" spans="1:19" x14ac:dyDescent="0.3">
      <c r="A8" s="72" t="s">
        <v>105</v>
      </c>
      <c r="B8" s="72"/>
      <c r="C8" s="73"/>
      <c r="D8" s="74"/>
      <c r="E8" s="74">
        <f>((E7)*(E9/$Q$9))</f>
        <v>4.8410958904109588E-4</v>
      </c>
      <c r="F8" s="74">
        <f t="shared" ref="F8:P8" si="0">((F7)*(F9/$Q$9))</f>
        <v>4.3726027397260277E-4</v>
      </c>
      <c r="G8" s="74">
        <f t="shared" si="0"/>
        <v>4.8410958904109588E-4</v>
      </c>
      <c r="H8" s="74">
        <f t="shared" si="0"/>
        <v>8.3835616438356162E-4</v>
      </c>
      <c r="I8" s="74">
        <f t="shared" si="0"/>
        <v>8.6630136986301379E-4</v>
      </c>
      <c r="J8" s="74">
        <f t="shared" si="0"/>
        <v>8.3835616438356162E-4</v>
      </c>
      <c r="K8" s="74">
        <f t="shared" si="0"/>
        <v>1.8684931506849313E-3</v>
      </c>
      <c r="L8" s="74">
        <f t="shared" si="0"/>
        <v>1.8684931506849313E-3</v>
      </c>
      <c r="M8" s="74">
        <f t="shared" si="0"/>
        <v>1.8082191780821916E-3</v>
      </c>
      <c r="N8" s="74">
        <f t="shared" si="0"/>
        <v>3.2868493150684931E-3</v>
      </c>
      <c r="O8" s="74">
        <f t="shared" si="0"/>
        <v>3.1808219178082187E-3</v>
      </c>
      <c r="P8" s="74">
        <f t="shared" si="0"/>
        <v>3.2868493150684931E-3</v>
      </c>
    </row>
    <row r="9" spans="1:19" x14ac:dyDescent="0.3">
      <c r="A9" s="72" t="s">
        <v>27</v>
      </c>
      <c r="B9" s="72"/>
      <c r="D9" s="56"/>
      <c r="E9" s="56">
        <v>31</v>
      </c>
      <c r="F9" s="56">
        <v>28</v>
      </c>
      <c r="G9" s="56">
        <v>31</v>
      </c>
      <c r="H9" s="56">
        <v>30</v>
      </c>
      <c r="I9" s="56">
        <v>31</v>
      </c>
      <c r="J9" s="56">
        <v>30</v>
      </c>
      <c r="K9" s="56">
        <v>31</v>
      </c>
      <c r="L9" s="56">
        <v>31</v>
      </c>
      <c r="M9" s="56">
        <v>30</v>
      </c>
      <c r="N9" s="56">
        <v>31</v>
      </c>
      <c r="O9" s="56">
        <v>30</v>
      </c>
      <c r="P9" s="56">
        <v>31</v>
      </c>
      <c r="Q9" s="56">
        <f>SUM(E9:P9)</f>
        <v>365</v>
      </c>
    </row>
    <row r="10" spans="1:19" x14ac:dyDescent="0.3">
      <c r="A10" s="75" t="s">
        <v>106</v>
      </c>
      <c r="B10" s="75"/>
      <c r="C10" s="75" t="s">
        <v>107</v>
      </c>
      <c r="D10" s="76" t="str">
        <f>D6</f>
        <v>Dec - 2021</v>
      </c>
      <c r="E10" s="77">
        <v>44562</v>
      </c>
      <c r="F10" s="77">
        <v>44593</v>
      </c>
      <c r="G10" s="77">
        <v>44621</v>
      </c>
      <c r="H10" s="77">
        <v>44652</v>
      </c>
      <c r="I10" s="77">
        <v>44682</v>
      </c>
      <c r="J10" s="77">
        <v>44713</v>
      </c>
      <c r="K10" s="77">
        <v>44743</v>
      </c>
      <c r="L10" s="77">
        <v>44774</v>
      </c>
      <c r="M10" s="77">
        <v>44805</v>
      </c>
      <c r="N10" s="77">
        <v>44835</v>
      </c>
      <c r="O10" s="77">
        <v>44866</v>
      </c>
      <c r="P10" s="77">
        <v>44896</v>
      </c>
      <c r="S10" s="56" t="s">
        <v>108</v>
      </c>
    </row>
    <row r="11" spans="1:19" x14ac:dyDescent="0.3">
      <c r="A11" s="62" t="s">
        <v>109</v>
      </c>
      <c r="B11" s="78"/>
      <c r="C11" s="56">
        <v>190023</v>
      </c>
      <c r="D11" s="61">
        <v>0</v>
      </c>
      <c r="E11" s="61">
        <v>0</v>
      </c>
      <c r="F11" s="61">
        <v>0</v>
      </c>
      <c r="G11" s="61">
        <v>0</v>
      </c>
      <c r="H11" s="61">
        <v>-520557.01547070401</v>
      </c>
      <c r="I11" s="61">
        <v>-2044709.30276551</v>
      </c>
      <c r="J11" s="61">
        <v>-3566924.5963959298</v>
      </c>
      <c r="K11" s="61">
        <v>-5085389.8239034098</v>
      </c>
      <c r="L11" s="61">
        <v>-6081752.4848582298</v>
      </c>
      <c r="M11" s="61">
        <v>-6074787.3953655502</v>
      </c>
      <c r="N11" s="61">
        <v>-6067822.3058728697</v>
      </c>
      <c r="O11" s="61">
        <v>-6060857.2163801901</v>
      </c>
      <c r="P11" s="61">
        <v>-6053892.1200000001</v>
      </c>
      <c r="S11" s="56">
        <v>1508005</v>
      </c>
    </row>
    <row r="12" spans="1:19" x14ac:dyDescent="0.3">
      <c r="A12" s="62" t="s">
        <v>110</v>
      </c>
      <c r="B12" s="78"/>
      <c r="C12" s="56">
        <v>190024</v>
      </c>
      <c r="D12" s="61">
        <v>0</v>
      </c>
      <c r="E12" s="61">
        <v>0</v>
      </c>
      <c r="F12" s="61">
        <v>0</v>
      </c>
      <c r="G12" s="61">
        <v>0</v>
      </c>
      <c r="H12" s="61">
        <v>-51736.675897429901</v>
      </c>
      <c r="I12" s="61">
        <v>-205427.86881243001</v>
      </c>
      <c r="J12" s="61">
        <v>-1008315.3299465</v>
      </c>
      <c r="K12" s="61">
        <v>-3059535.99804657</v>
      </c>
      <c r="L12" s="61">
        <v>-5108415.8582667001</v>
      </c>
      <c r="M12" s="61">
        <v>-7135417.4278133903</v>
      </c>
      <c r="N12" s="61">
        <v>-8619358.7070476003</v>
      </c>
      <c r="O12" s="61">
        <v>-8959542.76241857</v>
      </c>
      <c r="P12" s="61">
        <v>-8955458.4000000004</v>
      </c>
      <c r="S12" s="56">
        <v>1508005</v>
      </c>
    </row>
    <row r="13" spans="1:19" x14ac:dyDescent="0.3">
      <c r="A13" s="79"/>
      <c r="B13" s="78"/>
      <c r="C13" s="5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S13" s="56">
        <v>1508005</v>
      </c>
    </row>
    <row r="14" spans="1:19" x14ac:dyDescent="0.3">
      <c r="A14" s="79"/>
      <c r="B14" s="78"/>
      <c r="C14" s="5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S14" s="56">
        <v>1508005</v>
      </c>
    </row>
    <row r="15" spans="1:19" x14ac:dyDescent="0.3">
      <c r="A15" s="79"/>
      <c r="B15" s="78"/>
      <c r="C15" s="5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S15" s="56">
        <v>1508005</v>
      </c>
    </row>
    <row r="16" spans="1:19" x14ac:dyDescent="0.3">
      <c r="A16" s="79"/>
      <c r="B16" s="78"/>
      <c r="C16" s="56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S16" s="56">
        <v>1508005</v>
      </c>
    </row>
    <row r="17" spans="1:19" x14ac:dyDescent="0.3">
      <c r="A17" s="79"/>
      <c r="B17" s="78"/>
      <c r="C17" s="5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S17" s="56">
        <v>1508005</v>
      </c>
    </row>
    <row r="18" spans="1:19" x14ac:dyDescent="0.3">
      <c r="A18" s="79"/>
      <c r="C18" s="5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S18" s="56">
        <v>1508005</v>
      </c>
    </row>
    <row r="19" spans="1:19" x14ac:dyDescent="0.3"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S19" s="66"/>
    </row>
    <row r="21" spans="1:19" x14ac:dyDescent="0.3">
      <c r="A21" s="66" t="s">
        <v>46</v>
      </c>
      <c r="D21" s="66">
        <f>SUM(D11:D19)</f>
        <v>0</v>
      </c>
      <c r="E21" s="66">
        <f>SUM(E11:E19)</f>
        <v>0</v>
      </c>
      <c r="F21" s="66">
        <f>SUM(F11:F19)</f>
        <v>0</v>
      </c>
      <c r="G21" s="66">
        <f t="shared" ref="G21:P21" si="1">SUM(G11:G19)</f>
        <v>0</v>
      </c>
      <c r="H21" s="66">
        <f t="shared" si="1"/>
        <v>-572293.69136813388</v>
      </c>
      <c r="I21" s="66">
        <f>SUM(I11:I19)</f>
        <v>-2250137.1715779402</v>
      </c>
      <c r="J21" s="66">
        <f>SUM(J11:J19)</f>
        <v>-4575239.9263424296</v>
      </c>
      <c r="K21" s="66">
        <f t="shared" si="1"/>
        <v>-8144925.8219499793</v>
      </c>
      <c r="L21" s="66">
        <f t="shared" si="1"/>
        <v>-11190168.34312493</v>
      </c>
      <c r="M21" s="66">
        <f t="shared" si="1"/>
        <v>-13210204.82317894</v>
      </c>
      <c r="N21" s="66">
        <f t="shared" si="1"/>
        <v>-14687181.012920469</v>
      </c>
      <c r="O21" s="66">
        <f t="shared" si="1"/>
        <v>-15020399.97879876</v>
      </c>
      <c r="P21" s="66">
        <f t="shared" si="1"/>
        <v>-15009350.52</v>
      </c>
      <c r="S21" s="66"/>
    </row>
    <row r="23" spans="1:19" x14ac:dyDescent="0.3">
      <c r="A23" s="66" t="s">
        <v>111</v>
      </c>
      <c r="S23" s="66"/>
    </row>
    <row r="24" spans="1:19" x14ac:dyDescent="0.3"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S24" s="66"/>
    </row>
    <row r="25" spans="1:19" x14ac:dyDescent="0.3">
      <c r="S25" s="66"/>
    </row>
    <row r="26" spans="1:19" x14ac:dyDescent="0.3">
      <c r="A26" s="66" t="s">
        <v>48</v>
      </c>
      <c r="D26" s="66">
        <f>SUM(D20:D24)</f>
        <v>0</v>
      </c>
      <c r="E26" s="66">
        <f>SUM(E20:E24)</f>
        <v>0</v>
      </c>
      <c r="F26" s="66">
        <f t="shared" ref="F26:P26" si="2">SUM(F20:F24)</f>
        <v>0</v>
      </c>
      <c r="G26" s="66">
        <f t="shared" si="2"/>
        <v>0</v>
      </c>
      <c r="H26" s="66">
        <f t="shared" si="2"/>
        <v>-572293.69136813388</v>
      </c>
      <c r="I26" s="66">
        <f t="shared" si="2"/>
        <v>-2250137.1715779402</v>
      </c>
      <c r="J26" s="66">
        <f t="shared" si="2"/>
        <v>-4575239.9263424296</v>
      </c>
      <c r="K26" s="66">
        <f t="shared" si="2"/>
        <v>-8144925.8219499793</v>
      </c>
      <c r="L26" s="66">
        <f t="shared" si="2"/>
        <v>-11190168.34312493</v>
      </c>
      <c r="M26" s="66">
        <f t="shared" si="2"/>
        <v>-13210204.82317894</v>
      </c>
      <c r="N26" s="66">
        <f t="shared" si="2"/>
        <v>-14687181.012920469</v>
      </c>
      <c r="O26" s="66">
        <f t="shared" si="2"/>
        <v>-15020399.97879876</v>
      </c>
      <c r="P26" s="66">
        <f t="shared" si="2"/>
        <v>-15009350.52</v>
      </c>
      <c r="S26" s="66"/>
    </row>
    <row r="28" spans="1:19" x14ac:dyDescent="0.3">
      <c r="A28" s="66" t="s">
        <v>105</v>
      </c>
      <c r="D28" s="80"/>
      <c r="E28" s="80">
        <f t="shared" ref="E28:P28" si="3">E8</f>
        <v>4.8410958904109588E-4</v>
      </c>
      <c r="F28" s="80">
        <f t="shared" si="3"/>
        <v>4.3726027397260277E-4</v>
      </c>
      <c r="G28" s="80">
        <f t="shared" si="3"/>
        <v>4.8410958904109588E-4</v>
      </c>
      <c r="H28" s="81">
        <f t="shared" si="3"/>
        <v>8.3835616438356162E-4</v>
      </c>
      <c r="I28" s="81">
        <f t="shared" si="3"/>
        <v>8.6630136986301379E-4</v>
      </c>
      <c r="J28" s="81">
        <f t="shared" si="3"/>
        <v>8.3835616438356162E-4</v>
      </c>
      <c r="K28" s="81">
        <f t="shared" si="3"/>
        <v>1.8684931506849313E-3</v>
      </c>
      <c r="L28" s="81">
        <f t="shared" si="3"/>
        <v>1.8684931506849313E-3</v>
      </c>
      <c r="M28" s="80">
        <f t="shared" si="3"/>
        <v>1.8082191780821916E-3</v>
      </c>
      <c r="N28" s="80">
        <f>N8</f>
        <v>3.2868493150684931E-3</v>
      </c>
      <c r="O28" s="80">
        <f t="shared" si="3"/>
        <v>3.1808219178082187E-3</v>
      </c>
      <c r="P28" s="80">
        <f t="shared" si="3"/>
        <v>3.2868493150684931E-3</v>
      </c>
      <c r="S28" s="66"/>
    </row>
    <row r="30" spans="1:19" x14ac:dyDescent="0.3">
      <c r="A30" s="82" t="s">
        <v>112</v>
      </c>
      <c r="C30" s="56"/>
    </row>
    <row r="31" spans="1:19" x14ac:dyDescent="0.3">
      <c r="A31" s="62" t="s">
        <v>113</v>
      </c>
      <c r="B31" s="78"/>
      <c r="C31" s="56">
        <v>190025</v>
      </c>
      <c r="D31" s="66">
        <v>0</v>
      </c>
      <c r="E31" s="66">
        <f>ROUND(D11*E$28,2)</f>
        <v>0</v>
      </c>
      <c r="F31" s="66">
        <f t="shared" ref="F31:P32" si="4">ROUND(E11*F$28,2)</f>
        <v>0</v>
      </c>
      <c r="G31" s="66">
        <f t="shared" si="4"/>
        <v>0</v>
      </c>
      <c r="H31" s="66">
        <f t="shared" si="4"/>
        <v>0</v>
      </c>
      <c r="I31" s="66">
        <f t="shared" si="4"/>
        <v>-450.96</v>
      </c>
      <c r="J31" s="66">
        <f t="shared" si="4"/>
        <v>-1714.19</v>
      </c>
      <c r="K31" s="66">
        <f t="shared" si="4"/>
        <v>-6664.77</v>
      </c>
      <c r="L31" s="66">
        <f t="shared" si="4"/>
        <v>-9502.02</v>
      </c>
      <c r="M31" s="66">
        <f t="shared" si="4"/>
        <v>-10997.14</v>
      </c>
      <c r="N31" s="66">
        <f t="shared" si="4"/>
        <v>-19966.91</v>
      </c>
      <c r="O31" s="66">
        <f t="shared" si="4"/>
        <v>-19300.66</v>
      </c>
      <c r="P31" s="66">
        <f t="shared" si="4"/>
        <v>-19921.12</v>
      </c>
      <c r="Q31" s="66">
        <f>SUM(E31:P31)</f>
        <v>-88517.77</v>
      </c>
      <c r="S31" s="83"/>
    </row>
    <row r="32" spans="1:19" x14ac:dyDescent="0.3">
      <c r="A32" s="62" t="s">
        <v>114</v>
      </c>
      <c r="B32" s="78"/>
      <c r="C32" s="56">
        <v>190026</v>
      </c>
      <c r="D32" s="66">
        <v>0</v>
      </c>
      <c r="E32" s="66">
        <f>ROUND(D12*E$28,2)</f>
        <v>0</v>
      </c>
      <c r="F32" s="66">
        <f t="shared" si="4"/>
        <v>0</v>
      </c>
      <c r="G32" s="66">
        <f t="shared" si="4"/>
        <v>0</v>
      </c>
      <c r="H32" s="66">
        <f t="shared" si="4"/>
        <v>0</v>
      </c>
      <c r="I32" s="66">
        <f t="shared" si="4"/>
        <v>-44.82</v>
      </c>
      <c r="J32" s="66">
        <f t="shared" si="4"/>
        <v>-172.22</v>
      </c>
      <c r="K32" s="66">
        <f t="shared" si="4"/>
        <v>-1884.03</v>
      </c>
      <c r="L32" s="66">
        <f t="shared" si="4"/>
        <v>-5716.72</v>
      </c>
      <c r="M32" s="66">
        <f t="shared" si="4"/>
        <v>-9237.14</v>
      </c>
      <c r="N32" s="66">
        <f t="shared" si="4"/>
        <v>-23453.040000000001</v>
      </c>
      <c r="O32" s="66">
        <f t="shared" si="4"/>
        <v>-27416.65</v>
      </c>
      <c r="P32" s="66">
        <f t="shared" si="4"/>
        <v>-29448.67</v>
      </c>
      <c r="Q32" s="66">
        <f>SUM(E32:P32)</f>
        <v>-97373.29</v>
      </c>
      <c r="S32" s="83"/>
    </row>
    <row r="33" spans="1:17" x14ac:dyDescent="0.3">
      <c r="B33" s="78"/>
      <c r="C33" s="56"/>
    </row>
    <row r="34" spans="1:17" ht="15" thickBot="1" x14ac:dyDescent="0.35">
      <c r="A34" s="66" t="s">
        <v>115</v>
      </c>
      <c r="C34" s="56"/>
      <c r="D34" s="82"/>
      <c r="E34" s="84">
        <f>SUM(E31:E32)</f>
        <v>0</v>
      </c>
      <c r="F34" s="84">
        <f t="shared" ref="F34:Q34" si="5">SUM(F31:F32)</f>
        <v>0</v>
      </c>
      <c r="G34" s="84">
        <f t="shared" si="5"/>
        <v>0</v>
      </c>
      <c r="H34" s="84">
        <f t="shared" si="5"/>
        <v>0</v>
      </c>
      <c r="I34" s="84">
        <f t="shared" si="5"/>
        <v>-495.78</v>
      </c>
      <c r="J34" s="84">
        <f t="shared" si="5"/>
        <v>-1886.41</v>
      </c>
      <c r="K34" s="84">
        <f t="shared" si="5"/>
        <v>-8548.8000000000011</v>
      </c>
      <c r="L34" s="84">
        <f t="shared" si="5"/>
        <v>-15218.740000000002</v>
      </c>
      <c r="M34" s="84">
        <f t="shared" si="5"/>
        <v>-20234.28</v>
      </c>
      <c r="N34" s="84">
        <f t="shared" si="5"/>
        <v>-43419.95</v>
      </c>
      <c r="O34" s="84">
        <f t="shared" si="5"/>
        <v>-46717.31</v>
      </c>
      <c r="P34" s="84">
        <f t="shared" si="5"/>
        <v>-49369.789999999994</v>
      </c>
      <c r="Q34" s="84">
        <f t="shared" si="5"/>
        <v>-185891.06</v>
      </c>
    </row>
    <row r="35" spans="1:17" ht="15" thickTop="1" x14ac:dyDescent="0.3">
      <c r="C35" s="56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</row>
    <row r="36" spans="1:17" x14ac:dyDescent="0.3">
      <c r="A36" s="66" t="s">
        <v>116</v>
      </c>
      <c r="C36" s="56"/>
      <c r="D36" s="66">
        <v>0</v>
      </c>
      <c r="E36" s="66">
        <f>D36+E34</f>
        <v>0</v>
      </c>
      <c r="F36" s="66">
        <f>E36+F34</f>
        <v>0</v>
      </c>
      <c r="G36" s="66">
        <f t="shared" ref="G36:P36" si="6">F36+G34</f>
        <v>0</v>
      </c>
      <c r="H36" s="66">
        <f t="shared" si="6"/>
        <v>0</v>
      </c>
      <c r="I36" s="66">
        <f t="shared" si="6"/>
        <v>-495.78</v>
      </c>
      <c r="J36" s="66">
        <f t="shared" si="6"/>
        <v>-2382.19</v>
      </c>
      <c r="K36" s="66">
        <f t="shared" si="6"/>
        <v>-10930.990000000002</v>
      </c>
      <c r="L36" s="66">
        <f t="shared" si="6"/>
        <v>-26149.730000000003</v>
      </c>
      <c r="M36" s="66">
        <f t="shared" si="6"/>
        <v>-46384.01</v>
      </c>
      <c r="N36" s="66">
        <f t="shared" si="6"/>
        <v>-89803.959999999992</v>
      </c>
      <c r="O36" s="66">
        <f t="shared" si="6"/>
        <v>-136521.26999999999</v>
      </c>
      <c r="P36" s="66">
        <f t="shared" si="6"/>
        <v>-185891.06</v>
      </c>
    </row>
    <row r="37" spans="1:17" x14ac:dyDescent="0.3">
      <c r="C37" s="56"/>
    </row>
    <row r="38" spans="1:17" ht="15" thickBot="1" x14ac:dyDescent="0.35">
      <c r="A38" s="66" t="s">
        <v>117</v>
      </c>
      <c r="C38" s="56"/>
      <c r="D38" s="85">
        <f>SUM(D36:D37)</f>
        <v>0</v>
      </c>
      <c r="E38" s="85">
        <f t="shared" ref="E38:P38" si="7">SUM(E36:E37)</f>
        <v>0</v>
      </c>
      <c r="F38" s="85">
        <f t="shared" si="7"/>
        <v>0</v>
      </c>
      <c r="G38" s="85">
        <f t="shared" si="7"/>
        <v>0</v>
      </c>
      <c r="H38" s="85">
        <f t="shared" si="7"/>
        <v>0</v>
      </c>
      <c r="I38" s="85">
        <f t="shared" si="7"/>
        <v>-495.78</v>
      </c>
      <c r="J38" s="85">
        <f t="shared" si="7"/>
        <v>-2382.19</v>
      </c>
      <c r="K38" s="85">
        <f t="shared" si="7"/>
        <v>-10930.990000000002</v>
      </c>
      <c r="L38" s="85">
        <f t="shared" si="7"/>
        <v>-26149.730000000003</v>
      </c>
      <c r="M38" s="85">
        <f t="shared" si="7"/>
        <v>-46384.01</v>
      </c>
      <c r="N38" s="85">
        <f t="shared" si="7"/>
        <v>-89803.959999999992</v>
      </c>
      <c r="O38" s="85">
        <f t="shared" si="7"/>
        <v>-136521.26999999999</v>
      </c>
      <c r="P38" s="85">
        <f t="shared" si="7"/>
        <v>-185891.06</v>
      </c>
    </row>
    <row r="39" spans="1:17" ht="15" thickTop="1" x14ac:dyDescent="0.3">
      <c r="C39" s="56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</sheetData>
  <mergeCells count="4">
    <mergeCell ref="E6:G6"/>
    <mergeCell ref="H6:J6"/>
    <mergeCell ref="K6:M6"/>
    <mergeCell ref="N6:P6"/>
  </mergeCells>
  <conditionalFormatting sqref="D11:D12">
    <cfRule type="containsBlanks" dxfId="14" priority="5">
      <formula>LEN(TRIM(D11))=0</formula>
    </cfRule>
  </conditionalFormatting>
  <conditionalFormatting sqref="E7 H7 K7 N7 F9">
    <cfRule type="containsBlanks" dxfId="13" priority="4">
      <formula>LEN(TRIM(E7))=0</formula>
    </cfRule>
  </conditionalFormatting>
  <conditionalFormatting sqref="D36">
    <cfRule type="containsBlanks" dxfId="12" priority="3">
      <formula>LEN(TRIM(D36))=0</formula>
    </cfRule>
  </conditionalFormatting>
  <conditionalFormatting sqref="E11:O11">
    <cfRule type="containsBlanks" dxfId="11" priority="2">
      <formula>LEN(TRIM(E11))=0</formula>
    </cfRule>
  </conditionalFormatting>
  <conditionalFormatting sqref="E12:O12">
    <cfRule type="containsBlanks" dxfId="10" priority="1">
      <formula>LEN(TRIM(E12))=0</formula>
    </cfRule>
  </conditionalFormatting>
  <hyperlinks>
    <hyperlink ref="E2" r:id="rId1" xr:uid="{1BD8DA69-0BC7-40B4-B6E2-EAB05148382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8454-801A-43B3-9FB1-602042547067}">
  <dimension ref="A1:S39"/>
  <sheetViews>
    <sheetView workbookViewId="0">
      <selection activeCell="P13" sqref="P13"/>
    </sheetView>
  </sheetViews>
  <sheetFormatPr defaultColWidth="13.6640625" defaultRowHeight="14.4" x14ac:dyDescent="0.3"/>
  <cols>
    <col min="1" max="1" width="59" style="66" bestFit="1" customWidth="1"/>
    <col min="2" max="2" width="3.33203125" style="66" customWidth="1"/>
    <col min="3" max="3" width="8.88671875" style="66" customWidth="1"/>
    <col min="4" max="4" width="16.33203125" style="66" customWidth="1"/>
    <col min="5" max="5" width="16" style="66" customWidth="1"/>
    <col min="6" max="6" width="15.44140625" style="66" customWidth="1"/>
    <col min="7" max="7" width="16.88671875" style="66" customWidth="1"/>
    <col min="8" max="8" width="17.109375" style="66" customWidth="1"/>
    <col min="9" max="9" width="17.6640625" style="66" customWidth="1"/>
    <col min="10" max="16" width="15.6640625" style="66" customWidth="1"/>
    <col min="17" max="17" width="13.6640625" style="66"/>
    <col min="18" max="18" width="3" style="66" customWidth="1"/>
    <col min="19" max="19" width="13.6640625" style="56"/>
    <col min="20" max="16384" width="13.6640625" style="66"/>
  </cols>
  <sheetData>
    <row r="1" spans="1:19" x14ac:dyDescent="0.3">
      <c r="A1" s="64" t="s">
        <v>0</v>
      </c>
      <c r="B1" s="65"/>
      <c r="S1" s="67" t="s">
        <v>101</v>
      </c>
    </row>
    <row r="2" spans="1:19" x14ac:dyDescent="0.3">
      <c r="A2" s="64" t="s">
        <v>102</v>
      </c>
      <c r="B2" s="65"/>
      <c r="E2" s="68" t="s">
        <v>103</v>
      </c>
    </row>
    <row r="3" spans="1:19" x14ac:dyDescent="0.3">
      <c r="A3" s="69" t="s">
        <v>90</v>
      </c>
      <c r="B3" s="70"/>
    </row>
    <row r="4" spans="1:19" x14ac:dyDescent="0.3">
      <c r="A4" s="70"/>
      <c r="B4" s="70"/>
      <c r="G4" s="61"/>
    </row>
    <row r="5" spans="1:19" x14ac:dyDescent="0.3">
      <c r="A5" s="70" t="s">
        <v>104</v>
      </c>
      <c r="B5" s="68"/>
      <c r="D5" s="68"/>
      <c r="P5" s="61"/>
    </row>
    <row r="6" spans="1:19" ht="16.2" x14ac:dyDescent="0.45">
      <c r="A6" s="70"/>
      <c r="B6" s="70"/>
      <c r="C6" s="68"/>
      <c r="D6" s="71" t="str">
        <f>CONCATENATE("Dec"," - ",((VALUE(YEAR(A3)))-1))</f>
        <v>Dec - 2021</v>
      </c>
      <c r="E6" s="87" t="str">
        <f>CONCATENATE("Quarter 1", " - ", YEAR($A$3))</f>
        <v>Quarter 1 - 2022</v>
      </c>
      <c r="F6" s="87"/>
      <c r="G6" s="87"/>
      <c r="H6" s="87" t="str">
        <f>CONCATENATE("Quarter 2", " - ", YEAR($A$3))</f>
        <v>Quarter 2 - 2022</v>
      </c>
      <c r="I6" s="87"/>
      <c r="J6" s="87"/>
      <c r="K6" s="87" t="str">
        <f>CONCATENATE("Quarter 3", " - ", YEAR($A$3))</f>
        <v>Quarter 3 - 2022</v>
      </c>
      <c r="L6" s="87"/>
      <c r="M6" s="87"/>
      <c r="N6" s="87" t="str">
        <f>CONCATENATE("Quarter 4", " - ", YEAR($A$3))</f>
        <v>Quarter 4 - 2022</v>
      </c>
      <c r="O6" s="87"/>
      <c r="P6" s="87"/>
    </row>
    <row r="7" spans="1:19" x14ac:dyDescent="0.3">
      <c r="A7" s="72" t="s">
        <v>25</v>
      </c>
      <c r="B7" s="72"/>
      <c r="C7" s="73"/>
      <c r="D7" s="74"/>
      <c r="E7" s="74">
        <v>5.7000000000000002E-3</v>
      </c>
      <c r="F7" s="73">
        <f>E7</f>
        <v>5.7000000000000002E-3</v>
      </c>
      <c r="G7" s="73">
        <f>F7</f>
        <v>5.7000000000000002E-3</v>
      </c>
      <c r="H7" s="74">
        <v>1.0200000000000001E-2</v>
      </c>
      <c r="I7" s="73">
        <f>H7</f>
        <v>1.0200000000000001E-2</v>
      </c>
      <c r="J7" s="73">
        <f>I7</f>
        <v>1.0200000000000001E-2</v>
      </c>
      <c r="K7" s="74">
        <v>2.1999999999999999E-2</v>
      </c>
      <c r="L7" s="73">
        <f>K7</f>
        <v>2.1999999999999999E-2</v>
      </c>
      <c r="M7" s="73">
        <f>L7</f>
        <v>2.1999999999999999E-2</v>
      </c>
      <c r="N7" s="74">
        <v>3.8699999999999998E-2</v>
      </c>
      <c r="O7" s="73">
        <f>N7</f>
        <v>3.8699999999999998E-2</v>
      </c>
      <c r="P7" s="73">
        <f>O7</f>
        <v>3.8699999999999998E-2</v>
      </c>
    </row>
    <row r="8" spans="1:19" x14ac:dyDescent="0.3">
      <c r="A8" s="72" t="s">
        <v>105</v>
      </c>
      <c r="B8" s="72"/>
      <c r="C8" s="73"/>
      <c r="D8" s="74"/>
      <c r="E8" s="74">
        <f>((E7)*(E9/$Q$9))</f>
        <v>4.8410958904109588E-4</v>
      </c>
      <c r="F8" s="74">
        <f t="shared" ref="F8:P8" si="0">((F7)*(F9/$Q$9))</f>
        <v>4.3726027397260277E-4</v>
      </c>
      <c r="G8" s="74">
        <f t="shared" si="0"/>
        <v>4.8410958904109588E-4</v>
      </c>
      <c r="H8" s="74">
        <f t="shared" si="0"/>
        <v>8.3835616438356162E-4</v>
      </c>
      <c r="I8" s="74">
        <f t="shared" si="0"/>
        <v>8.6630136986301379E-4</v>
      </c>
      <c r="J8" s="74">
        <f t="shared" si="0"/>
        <v>8.3835616438356162E-4</v>
      </c>
      <c r="K8" s="74">
        <f t="shared" si="0"/>
        <v>1.8684931506849313E-3</v>
      </c>
      <c r="L8" s="74">
        <f t="shared" si="0"/>
        <v>1.8684931506849313E-3</v>
      </c>
      <c r="M8" s="74">
        <f t="shared" si="0"/>
        <v>1.8082191780821916E-3</v>
      </c>
      <c r="N8" s="74">
        <f t="shared" si="0"/>
        <v>3.2868493150684931E-3</v>
      </c>
      <c r="O8" s="74">
        <f t="shared" si="0"/>
        <v>3.1808219178082187E-3</v>
      </c>
      <c r="P8" s="74">
        <f t="shared" si="0"/>
        <v>3.2868493150684931E-3</v>
      </c>
    </row>
    <row r="9" spans="1:19" x14ac:dyDescent="0.3">
      <c r="A9" s="72" t="s">
        <v>27</v>
      </c>
      <c r="B9" s="72"/>
      <c r="D9" s="56"/>
      <c r="E9" s="56">
        <v>31</v>
      </c>
      <c r="F9" s="56">
        <v>28</v>
      </c>
      <c r="G9" s="56">
        <v>31</v>
      </c>
      <c r="H9" s="56">
        <v>30</v>
      </c>
      <c r="I9" s="56">
        <v>31</v>
      </c>
      <c r="J9" s="56">
        <v>30</v>
      </c>
      <c r="K9" s="56">
        <v>31</v>
      </c>
      <c r="L9" s="56">
        <v>31</v>
      </c>
      <c r="M9" s="56">
        <v>30</v>
      </c>
      <c r="N9" s="56">
        <v>31</v>
      </c>
      <c r="O9" s="56">
        <v>30</v>
      </c>
      <c r="P9" s="56">
        <v>31</v>
      </c>
      <c r="Q9" s="56">
        <f>SUM(E9:P9)</f>
        <v>365</v>
      </c>
    </row>
    <row r="10" spans="1:19" x14ac:dyDescent="0.3">
      <c r="A10" s="75" t="s">
        <v>106</v>
      </c>
      <c r="B10" s="75"/>
      <c r="C10" s="75" t="s">
        <v>107</v>
      </c>
      <c r="D10" s="76" t="str">
        <f>D6</f>
        <v>Dec - 2021</v>
      </c>
      <c r="E10" s="77">
        <v>44562</v>
      </c>
      <c r="F10" s="77">
        <v>44593</v>
      </c>
      <c r="G10" s="77">
        <v>44621</v>
      </c>
      <c r="H10" s="77">
        <v>44652</v>
      </c>
      <c r="I10" s="77">
        <v>44682</v>
      </c>
      <c r="J10" s="77">
        <v>44713</v>
      </c>
      <c r="K10" s="77">
        <v>44743</v>
      </c>
      <c r="L10" s="77">
        <v>44774</v>
      </c>
      <c r="M10" s="77">
        <v>44805</v>
      </c>
      <c r="N10" s="77">
        <v>44835</v>
      </c>
      <c r="O10" s="77">
        <v>44866</v>
      </c>
      <c r="P10" s="77">
        <v>44896</v>
      </c>
      <c r="S10" s="56" t="s">
        <v>108</v>
      </c>
    </row>
    <row r="11" spans="1:19" x14ac:dyDescent="0.3">
      <c r="A11" s="62" t="s">
        <v>109</v>
      </c>
      <c r="B11" s="78"/>
      <c r="C11" s="56">
        <v>190035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-59.567880849711813</v>
      </c>
      <c r="K11" s="61">
        <v>-732.78531943893267</v>
      </c>
      <c r="L11" s="61">
        <v>546.95395962871612</v>
      </c>
      <c r="M11" s="61">
        <v>5390.1378913256631</v>
      </c>
      <c r="N11" s="61">
        <v>10229.519419156646</v>
      </c>
      <c r="O11" s="61">
        <v>15065.098543121345</v>
      </c>
      <c r="P11" s="61">
        <v>19896.900000000001</v>
      </c>
      <c r="S11" s="56">
        <v>1508005</v>
      </c>
    </row>
    <row r="12" spans="1:19" x14ac:dyDescent="0.3">
      <c r="A12" s="62" t="s">
        <v>110</v>
      </c>
      <c r="B12" s="78"/>
      <c r="C12" s="56">
        <v>190036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-63.106213209349875</v>
      </c>
      <c r="K12" s="61">
        <v>-772.85323702332209</v>
      </c>
      <c r="L12" s="61">
        <v>-1480.4967229464032</v>
      </c>
      <c r="M12" s="61">
        <v>-1345.6881899627758</v>
      </c>
      <c r="N12" s="61">
        <v>-716.9270303830308</v>
      </c>
      <c r="O12" s="61">
        <v>-293.5023108500111</v>
      </c>
      <c r="P12" s="61">
        <v>2097.2399999999998</v>
      </c>
      <c r="S12" s="56">
        <v>1508005</v>
      </c>
    </row>
    <row r="13" spans="1:19" x14ac:dyDescent="0.3">
      <c r="A13" s="79"/>
      <c r="B13" s="78"/>
      <c r="C13" s="5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S13" s="56">
        <v>1508005</v>
      </c>
    </row>
    <row r="14" spans="1:19" x14ac:dyDescent="0.3">
      <c r="A14" s="79"/>
      <c r="B14" s="78"/>
      <c r="C14" s="5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S14" s="56">
        <v>1508005</v>
      </c>
    </row>
    <row r="15" spans="1:19" x14ac:dyDescent="0.3">
      <c r="A15" s="79"/>
      <c r="B15" s="78"/>
      <c r="C15" s="5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S15" s="56">
        <v>1508005</v>
      </c>
    </row>
    <row r="16" spans="1:19" x14ac:dyDescent="0.3">
      <c r="A16" s="79"/>
      <c r="B16" s="78"/>
      <c r="C16" s="56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S16" s="56">
        <v>1508005</v>
      </c>
    </row>
    <row r="17" spans="1:19" x14ac:dyDescent="0.3">
      <c r="A17" s="79"/>
      <c r="B17" s="78"/>
      <c r="C17" s="5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S17" s="56">
        <v>1508005</v>
      </c>
    </row>
    <row r="18" spans="1:19" x14ac:dyDescent="0.3">
      <c r="A18" s="79"/>
      <c r="C18" s="5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S18" s="56">
        <v>1508005</v>
      </c>
    </row>
    <row r="19" spans="1:19" x14ac:dyDescent="0.3"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S19" s="66"/>
    </row>
    <row r="21" spans="1:19" x14ac:dyDescent="0.3">
      <c r="A21" s="66" t="s">
        <v>46</v>
      </c>
      <c r="D21" s="66">
        <f>SUM(D11:D19)</f>
        <v>0</v>
      </c>
      <c r="E21" s="66">
        <f>SUM(E11:E19)</f>
        <v>0</v>
      </c>
      <c r="F21" s="66">
        <f>SUM(F11:F19)</f>
        <v>0</v>
      </c>
      <c r="G21" s="66">
        <f t="shared" ref="G21:P21" si="1">SUM(G11:G19)</f>
        <v>0</v>
      </c>
      <c r="H21" s="66">
        <f t="shared" si="1"/>
        <v>0</v>
      </c>
      <c r="I21" s="66">
        <f>SUM(I11:I19)</f>
        <v>0</v>
      </c>
      <c r="J21" s="66">
        <f>SUM(J11:J19)</f>
        <v>-122.67409405906169</v>
      </c>
      <c r="K21" s="66">
        <f t="shared" si="1"/>
        <v>-1505.6385564622547</v>
      </c>
      <c r="L21" s="66">
        <f t="shared" si="1"/>
        <v>-933.5427633176871</v>
      </c>
      <c r="M21" s="66">
        <f t="shared" si="1"/>
        <v>4044.449701362887</v>
      </c>
      <c r="N21" s="66">
        <f t="shared" si="1"/>
        <v>9512.5923887736153</v>
      </c>
      <c r="O21" s="66">
        <f t="shared" si="1"/>
        <v>14771.596232271333</v>
      </c>
      <c r="P21" s="66">
        <f t="shared" si="1"/>
        <v>21994.14</v>
      </c>
      <c r="S21" s="66"/>
    </row>
    <row r="23" spans="1:19" x14ac:dyDescent="0.3">
      <c r="A23" s="66" t="s">
        <v>111</v>
      </c>
      <c r="S23" s="66"/>
    </row>
    <row r="24" spans="1:19" x14ac:dyDescent="0.3"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S24" s="66"/>
    </row>
    <row r="25" spans="1:19" x14ac:dyDescent="0.3">
      <c r="S25" s="66"/>
    </row>
    <row r="26" spans="1:19" x14ac:dyDescent="0.3">
      <c r="A26" s="66" t="s">
        <v>48</v>
      </c>
      <c r="D26" s="66">
        <f>SUM(D20:D24)</f>
        <v>0</v>
      </c>
      <c r="E26" s="66">
        <f>SUM(E20:E24)</f>
        <v>0</v>
      </c>
      <c r="F26" s="66">
        <f t="shared" ref="F26:P26" si="2">SUM(F20:F24)</f>
        <v>0</v>
      </c>
      <c r="G26" s="66">
        <f t="shared" si="2"/>
        <v>0</v>
      </c>
      <c r="H26" s="66">
        <f t="shared" si="2"/>
        <v>0</v>
      </c>
      <c r="I26" s="66">
        <f t="shared" si="2"/>
        <v>0</v>
      </c>
      <c r="J26" s="66">
        <f t="shared" si="2"/>
        <v>-122.67409405906169</v>
      </c>
      <c r="K26" s="66">
        <f t="shared" si="2"/>
        <v>-1505.6385564622547</v>
      </c>
      <c r="L26" s="66">
        <f t="shared" si="2"/>
        <v>-933.5427633176871</v>
      </c>
      <c r="M26" s="66">
        <f t="shared" si="2"/>
        <v>4044.449701362887</v>
      </c>
      <c r="N26" s="66">
        <f t="shared" si="2"/>
        <v>9512.5923887736153</v>
      </c>
      <c r="O26" s="66">
        <f t="shared" si="2"/>
        <v>14771.596232271333</v>
      </c>
      <c r="P26" s="66">
        <f t="shared" si="2"/>
        <v>21994.14</v>
      </c>
      <c r="S26" s="66"/>
    </row>
    <row r="28" spans="1:19" x14ac:dyDescent="0.3">
      <c r="A28" s="66" t="s">
        <v>105</v>
      </c>
      <c r="D28" s="80"/>
      <c r="E28" s="80">
        <f t="shared" ref="E28:P28" si="3">E8</f>
        <v>4.8410958904109588E-4</v>
      </c>
      <c r="F28" s="80">
        <f t="shared" si="3"/>
        <v>4.3726027397260277E-4</v>
      </c>
      <c r="G28" s="80">
        <f t="shared" si="3"/>
        <v>4.8410958904109588E-4</v>
      </c>
      <c r="H28" s="81">
        <f t="shared" si="3"/>
        <v>8.3835616438356162E-4</v>
      </c>
      <c r="I28" s="81">
        <f t="shared" si="3"/>
        <v>8.6630136986301379E-4</v>
      </c>
      <c r="J28" s="81">
        <f t="shared" si="3"/>
        <v>8.3835616438356162E-4</v>
      </c>
      <c r="K28" s="81">
        <f t="shared" si="3"/>
        <v>1.8684931506849313E-3</v>
      </c>
      <c r="L28" s="81">
        <f t="shared" si="3"/>
        <v>1.8684931506849313E-3</v>
      </c>
      <c r="M28" s="80">
        <f t="shared" si="3"/>
        <v>1.8082191780821916E-3</v>
      </c>
      <c r="N28" s="80">
        <f>N8</f>
        <v>3.2868493150684931E-3</v>
      </c>
      <c r="O28" s="80">
        <f t="shared" si="3"/>
        <v>3.1808219178082187E-3</v>
      </c>
      <c r="P28" s="80">
        <f t="shared" si="3"/>
        <v>3.2868493150684931E-3</v>
      </c>
      <c r="S28" s="66"/>
    </row>
    <row r="30" spans="1:19" x14ac:dyDescent="0.3">
      <c r="A30" s="82" t="s">
        <v>112</v>
      </c>
      <c r="C30" s="56"/>
    </row>
    <row r="31" spans="1:19" x14ac:dyDescent="0.3">
      <c r="A31" s="62" t="s">
        <v>113</v>
      </c>
      <c r="B31" s="78"/>
      <c r="C31" s="56">
        <v>190037</v>
      </c>
      <c r="D31" s="66">
        <v>0</v>
      </c>
      <c r="E31" s="66">
        <f>ROUND(D11*E$28,2)</f>
        <v>0</v>
      </c>
      <c r="F31" s="66">
        <f t="shared" ref="F31:P32" si="4">ROUND(E11*F$28,2)</f>
        <v>0</v>
      </c>
      <c r="G31" s="66">
        <f t="shared" si="4"/>
        <v>0</v>
      </c>
      <c r="H31" s="66">
        <f t="shared" si="4"/>
        <v>0</v>
      </c>
      <c r="I31" s="66">
        <f t="shared" si="4"/>
        <v>0</v>
      </c>
      <c r="J31" s="66">
        <f t="shared" si="4"/>
        <v>0</v>
      </c>
      <c r="K31" s="66">
        <f t="shared" si="4"/>
        <v>-0.11</v>
      </c>
      <c r="L31" s="66">
        <f t="shared" si="4"/>
        <v>-1.37</v>
      </c>
      <c r="M31" s="66">
        <f t="shared" si="4"/>
        <v>0.99</v>
      </c>
      <c r="N31" s="66">
        <f t="shared" si="4"/>
        <v>17.72</v>
      </c>
      <c r="O31" s="66">
        <f t="shared" si="4"/>
        <v>32.54</v>
      </c>
      <c r="P31" s="66">
        <f t="shared" si="4"/>
        <v>49.52</v>
      </c>
      <c r="Q31" s="66">
        <f>SUM(E31:P31)</f>
        <v>99.289999999999992</v>
      </c>
      <c r="S31" s="83"/>
    </row>
    <row r="32" spans="1:19" x14ac:dyDescent="0.3">
      <c r="A32" s="62" t="s">
        <v>114</v>
      </c>
      <c r="B32" s="78"/>
      <c r="C32" s="56">
        <v>190038</v>
      </c>
      <c r="D32" s="66">
        <v>0</v>
      </c>
      <c r="E32" s="66">
        <f>ROUND(D12*E$28,2)</f>
        <v>0</v>
      </c>
      <c r="F32" s="66">
        <f t="shared" si="4"/>
        <v>0</v>
      </c>
      <c r="G32" s="66">
        <f t="shared" si="4"/>
        <v>0</v>
      </c>
      <c r="H32" s="66">
        <f t="shared" si="4"/>
        <v>0</v>
      </c>
      <c r="I32" s="66">
        <f t="shared" si="4"/>
        <v>0</v>
      </c>
      <c r="J32" s="66">
        <f t="shared" si="4"/>
        <v>0</v>
      </c>
      <c r="K32" s="66">
        <f t="shared" si="4"/>
        <v>-0.12</v>
      </c>
      <c r="L32" s="66">
        <f t="shared" si="4"/>
        <v>-1.44</v>
      </c>
      <c r="M32" s="66">
        <f t="shared" si="4"/>
        <v>-2.68</v>
      </c>
      <c r="N32" s="66">
        <f t="shared" si="4"/>
        <v>-4.42</v>
      </c>
      <c r="O32" s="66">
        <f t="shared" si="4"/>
        <v>-2.2799999999999998</v>
      </c>
      <c r="P32" s="66">
        <f t="shared" si="4"/>
        <v>-0.96</v>
      </c>
      <c r="Q32" s="66">
        <f>SUM(E32:P32)</f>
        <v>-11.899999999999999</v>
      </c>
      <c r="S32" s="83"/>
    </row>
    <row r="33" spans="1:17" x14ac:dyDescent="0.3">
      <c r="B33" s="78"/>
      <c r="C33" s="56"/>
    </row>
    <row r="34" spans="1:17" ht="15" thickBot="1" x14ac:dyDescent="0.35">
      <c r="A34" s="66" t="s">
        <v>115</v>
      </c>
      <c r="C34" s="56"/>
      <c r="D34" s="82"/>
      <c r="E34" s="84">
        <f>SUM(E31:E32)</f>
        <v>0</v>
      </c>
      <c r="F34" s="84">
        <f t="shared" ref="F34:Q34" si="5">SUM(F31:F32)</f>
        <v>0</v>
      </c>
      <c r="G34" s="84">
        <f t="shared" si="5"/>
        <v>0</v>
      </c>
      <c r="H34" s="84">
        <f t="shared" si="5"/>
        <v>0</v>
      </c>
      <c r="I34" s="84">
        <f t="shared" si="5"/>
        <v>0</v>
      </c>
      <c r="J34" s="84">
        <f t="shared" si="5"/>
        <v>0</v>
      </c>
      <c r="K34" s="84">
        <f t="shared" si="5"/>
        <v>-0.22999999999999998</v>
      </c>
      <c r="L34" s="84">
        <f t="shared" si="5"/>
        <v>-2.81</v>
      </c>
      <c r="M34" s="84">
        <f t="shared" si="5"/>
        <v>-1.6900000000000002</v>
      </c>
      <c r="N34" s="84">
        <f t="shared" si="5"/>
        <v>13.299999999999999</v>
      </c>
      <c r="O34" s="84">
        <f t="shared" si="5"/>
        <v>30.259999999999998</v>
      </c>
      <c r="P34" s="84">
        <f t="shared" si="5"/>
        <v>48.56</v>
      </c>
      <c r="Q34" s="84">
        <f t="shared" si="5"/>
        <v>87.389999999999986</v>
      </c>
    </row>
    <row r="35" spans="1:17" ht="15" thickTop="1" x14ac:dyDescent="0.3">
      <c r="C35" s="56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</row>
    <row r="36" spans="1:17" x14ac:dyDescent="0.3">
      <c r="A36" s="66" t="s">
        <v>116</v>
      </c>
      <c r="C36" s="56"/>
      <c r="D36" s="66">
        <v>0</v>
      </c>
      <c r="E36" s="66">
        <f>D36+E34</f>
        <v>0</v>
      </c>
      <c r="F36" s="66">
        <f>E36+F34</f>
        <v>0</v>
      </c>
      <c r="G36" s="66">
        <f t="shared" ref="G36:P36" si="6">F36+G34</f>
        <v>0</v>
      </c>
      <c r="H36" s="66">
        <f t="shared" si="6"/>
        <v>0</v>
      </c>
      <c r="I36" s="66">
        <f t="shared" si="6"/>
        <v>0</v>
      </c>
      <c r="J36" s="66">
        <f t="shared" si="6"/>
        <v>0</v>
      </c>
      <c r="K36" s="66">
        <f t="shared" si="6"/>
        <v>-0.22999999999999998</v>
      </c>
      <c r="L36" s="66">
        <f t="shared" si="6"/>
        <v>-3.04</v>
      </c>
      <c r="M36" s="66">
        <f t="shared" si="6"/>
        <v>-4.7300000000000004</v>
      </c>
      <c r="N36" s="66">
        <f t="shared" si="6"/>
        <v>8.5699999999999985</v>
      </c>
      <c r="O36" s="66">
        <f t="shared" si="6"/>
        <v>38.83</v>
      </c>
      <c r="P36" s="66">
        <f t="shared" si="6"/>
        <v>87.39</v>
      </c>
    </row>
    <row r="37" spans="1:17" x14ac:dyDescent="0.3">
      <c r="C37" s="56"/>
    </row>
    <row r="38" spans="1:17" ht="15" thickBot="1" x14ac:dyDescent="0.35">
      <c r="A38" s="66" t="s">
        <v>117</v>
      </c>
      <c r="C38" s="56"/>
      <c r="D38" s="85">
        <f>SUM(D36:D37)</f>
        <v>0</v>
      </c>
      <c r="E38" s="85">
        <f t="shared" ref="E38:P38" si="7">SUM(E36:E37)</f>
        <v>0</v>
      </c>
      <c r="F38" s="85">
        <f t="shared" si="7"/>
        <v>0</v>
      </c>
      <c r="G38" s="85">
        <f t="shared" si="7"/>
        <v>0</v>
      </c>
      <c r="H38" s="85">
        <f t="shared" si="7"/>
        <v>0</v>
      </c>
      <c r="I38" s="85">
        <f t="shared" si="7"/>
        <v>0</v>
      </c>
      <c r="J38" s="85">
        <f t="shared" si="7"/>
        <v>0</v>
      </c>
      <c r="K38" s="85">
        <f t="shared" si="7"/>
        <v>-0.22999999999999998</v>
      </c>
      <c r="L38" s="85">
        <f t="shared" si="7"/>
        <v>-3.04</v>
      </c>
      <c r="M38" s="85">
        <f t="shared" si="7"/>
        <v>-4.7300000000000004</v>
      </c>
      <c r="N38" s="85">
        <f t="shared" si="7"/>
        <v>8.5699999999999985</v>
      </c>
      <c r="O38" s="85">
        <f t="shared" si="7"/>
        <v>38.83</v>
      </c>
      <c r="P38" s="85">
        <f t="shared" si="7"/>
        <v>87.39</v>
      </c>
    </row>
    <row r="39" spans="1:17" ht="15" thickTop="1" x14ac:dyDescent="0.3">
      <c r="C39" s="56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</sheetData>
  <mergeCells count="4">
    <mergeCell ref="E6:G6"/>
    <mergeCell ref="H6:J6"/>
    <mergeCell ref="K6:M6"/>
    <mergeCell ref="N6:P6"/>
  </mergeCells>
  <conditionalFormatting sqref="D11:D12">
    <cfRule type="containsBlanks" dxfId="9" priority="5">
      <formula>LEN(TRIM(D11))=0</formula>
    </cfRule>
  </conditionalFormatting>
  <conditionalFormatting sqref="E7 H7 K7 N7 F9">
    <cfRule type="containsBlanks" dxfId="8" priority="4">
      <formula>LEN(TRIM(E7))=0</formula>
    </cfRule>
  </conditionalFormatting>
  <conditionalFormatting sqref="D36">
    <cfRule type="containsBlanks" dxfId="7" priority="3">
      <formula>LEN(TRIM(D36))=0</formula>
    </cfRule>
  </conditionalFormatting>
  <conditionalFormatting sqref="E11:O11">
    <cfRule type="containsBlanks" dxfId="6" priority="2">
      <formula>LEN(TRIM(E11))=0</formula>
    </cfRule>
  </conditionalFormatting>
  <conditionalFormatting sqref="E12:O12">
    <cfRule type="containsBlanks" dxfId="5" priority="1">
      <formula>LEN(TRIM(E12))=0</formula>
    </cfRule>
  </conditionalFormatting>
  <hyperlinks>
    <hyperlink ref="E2" r:id="rId1" xr:uid="{35CB44D7-CB07-4C2D-9381-967F4578694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CWIP - Summary</vt:lpstr>
      <vt:lpstr>COVID 2020 Deferral - Summary</vt:lpstr>
      <vt:lpstr>COVID 2021-2023 Def Summary</vt:lpstr>
      <vt:lpstr>Distribution Deferral - Summary</vt:lpstr>
      <vt:lpstr>CPICVA - Summary</vt:lpstr>
      <vt:lpstr>DCDA - Summary</vt:lpstr>
      <vt:lpstr>ISDVA - Summary</vt:lpstr>
      <vt:lpstr>ISDVA - 2022</vt:lpstr>
      <vt:lpstr>DCDA - 2022</vt:lpstr>
      <vt:lpstr>CPICVA - 2022</vt:lpstr>
      <vt:lpstr>COVID Deferral - 2022</vt:lpstr>
      <vt:lpstr>COVID Deferral - 2021</vt:lpstr>
      <vt:lpstr>Distribution Deferral - 2022</vt:lpstr>
      <vt:lpstr>Distribution Deferral - 2021</vt:lpstr>
      <vt:lpstr>Distribution Deferral - 2020</vt:lpstr>
      <vt:lpstr>Distribution Deferral - 2019</vt:lpstr>
      <vt:lpstr>Distribution Deferral - 2018</vt:lpstr>
      <vt:lpstr>'COVID Deferral - 2022'!Print_Area</vt:lpstr>
      <vt:lpstr>'CWIP - Summary'!Print_Area</vt:lpstr>
      <vt:lpstr>'COVID Deferral - 2021'!Print_Titles</vt:lpstr>
      <vt:lpstr>'COVID Deferral - 2022'!Print_Titles</vt:lpstr>
      <vt:lpstr>'Distribution Deferral - 2021'!Print_Titles</vt:lpstr>
      <vt:lpstr>'Distribution Deferral - 2022'!Print_Titles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Stacey</dc:creator>
  <cp:lastModifiedBy>Pavlov, Tim</cp:lastModifiedBy>
  <cp:lastPrinted>2022-06-29T22:56:57Z</cp:lastPrinted>
  <dcterms:created xsi:type="dcterms:W3CDTF">2021-03-17T14:00:39Z</dcterms:created>
  <dcterms:modified xsi:type="dcterms:W3CDTF">2023-06-17T18:41:03Z</dcterms:modified>
</cp:coreProperties>
</file>