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1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ablair\Documents\IESO CA Model\2023-25 Model\Separate\"/>
    </mc:Choice>
  </mc:AlternateContent>
  <xr:revisionPtr revIDLastSave="0" documentId="13_ncr:1_{56D47546-F3B4-45D5-83AC-978BE40826DF}" xr6:coauthVersionLast="47" xr6:coauthVersionMax="47" xr10:uidLastSave="{00000000-0000-0000-0000-000000000000}"/>
  <bookViews>
    <workbookView xWindow="-17715" yWindow="5850" windowWidth="15330" windowHeight="10890" tabRatio="818" firstSheet="5" activeTab="5" xr2:uid="{00000000-000D-0000-FFFF-FFFF00000000}"/>
  </bookViews>
  <sheets>
    <sheet name="Cover Page" sheetId="85" r:id="rId1"/>
    <sheet name="Functionalized Accounts" sheetId="31" r:id="rId2"/>
    <sheet name="Assets" sheetId="63" r:id="rId3"/>
    <sheet name="Revenue" sheetId="79" r:id="rId4"/>
    <sheet name="Energy Throughput" sheetId="35" r:id="rId5"/>
    <sheet name="Revenue to Cost|RR" sheetId="57" r:id="rId6"/>
    <sheet name="Summary by Class &amp; Accounts" sheetId="56" r:id="rId7"/>
    <sheet name="Source Data for Allocators" sheetId="82" r:id="rId8"/>
    <sheet name="Allocators" sheetId="36" r:id="rId9"/>
    <sheet name="TB Allocation Details" sheetId="40" r:id="rId10"/>
    <sheet name="Reconciliation" sheetId="44" r:id="rId11"/>
  </sheets>
  <definedNames>
    <definedName name="_xlnm._FilterDatabase" localSheetId="6" hidden="1">'Summary by Class &amp; Accounts'!#REF!</definedName>
    <definedName name="EV__LASTREFTIME__" hidden="1">42156.4315740741</definedName>
    <definedName name="_xlnm.Print_Area" localSheetId="8">Allocators!$A$1:$E$33</definedName>
    <definedName name="_xlnm.Print_Area" localSheetId="2">Assets!$B$1:$I$31</definedName>
    <definedName name="_xlnm.Print_Area" localSheetId="0">'Cover Page'!$A$1:$O$78</definedName>
    <definedName name="_xlnm.Print_Area" localSheetId="4">'Energy Throughput'!$A$1:$E$17</definedName>
    <definedName name="_xlnm.Print_Area" localSheetId="1">'Functionalized Accounts'!$B$1:$G$35</definedName>
    <definedName name="_xlnm.Print_Area" localSheetId="10">Reconciliation!$A$1:$E$57</definedName>
    <definedName name="_xlnm.Print_Area" localSheetId="3">Revenue!$A$1:$D$23</definedName>
    <definedName name="_xlnm.Print_Area" localSheetId="5">'Revenue to Cost|RR'!$A$1:$E$51</definedName>
    <definedName name="_xlnm.Print_Area" localSheetId="7">'Source Data for Allocators'!$A$1:$E$66</definedName>
    <definedName name="_xlnm.Print_Area" localSheetId="6">'Summary by Class &amp; Accounts'!$B$1:$F$59</definedName>
    <definedName name="_xlnm.Print_Area" localSheetId="9">'TB Allocation Details'!$A$1:$F$59</definedName>
    <definedName name="_xlnm.Print_Titles" localSheetId="2">Assets!$A:$B,Assets!$1:$6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85" l="1"/>
  <c r="E1" i="31"/>
  <c r="C1" i="44" l="1"/>
  <c r="C1" i="40"/>
  <c r="D1" i="36"/>
  <c r="E1" i="82"/>
  <c r="E1" i="56"/>
  <c r="E1" i="57"/>
  <c r="E1" i="35"/>
  <c r="D1" i="79"/>
  <c r="E1" i="63"/>
  <c r="K36" i="57"/>
  <c r="K35" i="57"/>
  <c r="J36" i="57"/>
  <c r="J35" i="57"/>
  <c r="H33" i="57"/>
  <c r="I36" i="57" s="1"/>
  <c r="H32" i="57"/>
  <c r="I35" i="57" s="1"/>
  <c r="C9" i="35" l="1"/>
  <c r="C47" i="40"/>
  <c r="C48" i="40"/>
  <c r="C44" i="40"/>
  <c r="C45" i="40"/>
  <c r="C46" i="40"/>
  <c r="C30" i="40"/>
  <c r="C31" i="40"/>
  <c r="C32" i="40"/>
  <c r="C33" i="40"/>
  <c r="C34" i="40"/>
  <c r="C35" i="40"/>
  <c r="C36" i="40"/>
  <c r="C37" i="40"/>
  <c r="C38" i="40"/>
  <c r="C39" i="40"/>
  <c r="C40" i="40"/>
  <c r="C41" i="40"/>
  <c r="C42" i="40"/>
  <c r="C43" i="40"/>
  <c r="C15" i="40"/>
  <c r="C16" i="40"/>
  <c r="C17" i="40"/>
  <c r="C18" i="40"/>
  <c r="C19" i="40"/>
  <c r="C20" i="40"/>
  <c r="C21" i="40"/>
  <c r="C22" i="40"/>
  <c r="C23" i="40"/>
  <c r="C24" i="40"/>
  <c r="C25" i="40"/>
  <c r="C26" i="40"/>
  <c r="C27" i="40"/>
  <c r="C28" i="40"/>
  <c r="C29" i="40"/>
  <c r="C10" i="40"/>
  <c r="C11" i="40"/>
  <c r="C12" i="40"/>
  <c r="C13" i="40"/>
  <c r="C14" i="40"/>
  <c r="C7" i="40"/>
  <c r="C8" i="40"/>
  <c r="C9" i="40"/>
  <c r="C6" i="40"/>
  <c r="B29" i="40" l="1"/>
  <c r="B28" i="56"/>
  <c r="B21" i="40"/>
  <c r="B17" i="40"/>
  <c r="B13" i="40"/>
  <c r="B12" i="44"/>
  <c r="B31" i="40"/>
  <c r="B27" i="40"/>
  <c r="B47" i="40"/>
  <c r="B51" i="56"/>
  <c r="B11" i="44"/>
  <c r="B30" i="44"/>
  <c r="B31" i="44"/>
  <c r="B47" i="56"/>
  <c r="B40" i="40"/>
  <c r="B44" i="40"/>
  <c r="B43" i="44"/>
  <c r="B47" i="44"/>
  <c r="B45" i="56"/>
  <c r="B10" i="56"/>
  <c r="B39" i="82" s="1"/>
  <c r="B48" i="44"/>
  <c r="B24" i="56"/>
  <c r="B16" i="56"/>
  <c r="B42" i="40"/>
  <c r="B42" i="44"/>
  <c r="B44" i="44"/>
  <c r="B30" i="40"/>
  <c r="B29" i="44"/>
  <c r="B49" i="44"/>
  <c r="B9" i="40"/>
  <c r="B25" i="40"/>
  <c r="B35" i="40"/>
  <c r="B34" i="44"/>
  <c r="B38" i="44"/>
  <c r="B51" i="44"/>
  <c r="B50" i="56"/>
  <c r="B7" i="40"/>
  <c r="B23" i="40"/>
  <c r="B19" i="40"/>
  <c r="B22" i="44"/>
  <c r="B18" i="44"/>
  <c r="B26" i="56"/>
  <c r="B22" i="56"/>
  <c r="B14" i="56"/>
  <c r="B37" i="56"/>
  <c r="B61" i="82" s="1"/>
  <c r="B33" i="56"/>
  <c r="B29" i="56"/>
  <c r="B41" i="56"/>
  <c r="B8" i="40"/>
  <c r="B14" i="40"/>
  <c r="B12" i="40"/>
  <c r="B10" i="40"/>
  <c r="B28" i="40"/>
  <c r="B26" i="40"/>
  <c r="B24" i="40"/>
  <c r="B22" i="40"/>
  <c r="B20" i="40"/>
  <c r="B18" i="40"/>
  <c r="B16" i="40"/>
  <c r="B43" i="40"/>
  <c r="B41" i="40"/>
  <c r="B39" i="40"/>
  <c r="B37" i="40"/>
  <c r="B14" i="44"/>
  <c r="B10" i="44"/>
  <c r="B32" i="44"/>
  <c r="B28" i="44"/>
  <c r="B24" i="44"/>
  <c r="B20" i="44"/>
  <c r="B16" i="44"/>
  <c r="B41" i="44"/>
  <c r="B36" i="44"/>
  <c r="B46" i="44"/>
  <c r="B50" i="44"/>
  <c r="B20" i="56"/>
  <c r="B49" i="82" s="1"/>
  <c r="B12" i="56"/>
  <c r="B35" i="56"/>
  <c r="B31" i="56"/>
  <c r="B55" i="82" s="1"/>
  <c r="B43" i="56"/>
  <c r="B63" i="82" s="1"/>
  <c r="B39" i="56"/>
  <c r="B49" i="56"/>
  <c r="B11" i="40"/>
  <c r="B15" i="40"/>
  <c r="B38" i="40"/>
  <c r="B26" i="44"/>
  <c r="B18" i="56"/>
  <c r="B33" i="40"/>
  <c r="B46" i="40"/>
  <c r="B33" i="44"/>
  <c r="B25" i="44"/>
  <c r="B21" i="44"/>
  <c r="B17" i="44"/>
  <c r="B37" i="44"/>
  <c r="B25" i="56"/>
  <c r="B21" i="56"/>
  <c r="B17" i="56"/>
  <c r="B13" i="56"/>
  <c r="B36" i="56"/>
  <c r="B32" i="56"/>
  <c r="B44" i="56"/>
  <c r="B40" i="56"/>
  <c r="B34" i="40"/>
  <c r="B32" i="40"/>
  <c r="B45" i="40"/>
  <c r="B48" i="40"/>
  <c r="B13" i="44"/>
  <c r="B35" i="44"/>
  <c r="B27" i="44"/>
  <c r="B23" i="44"/>
  <c r="B19" i="44"/>
  <c r="B15" i="44"/>
  <c r="B40" i="44"/>
  <c r="B45" i="44"/>
  <c r="B27" i="56"/>
  <c r="B23" i="56"/>
  <c r="B19" i="56"/>
  <c r="B15" i="56"/>
  <c r="B44" i="82" s="1"/>
  <c r="B11" i="56"/>
  <c r="B34" i="56"/>
  <c r="B30" i="56"/>
  <c r="B54" i="82" s="1"/>
  <c r="B46" i="56"/>
  <c r="B42" i="56"/>
  <c r="B38" i="56"/>
  <c r="B62" i="82" s="1"/>
  <c r="B48" i="56"/>
  <c r="B64" i="82" s="1"/>
  <c r="B36" i="40"/>
  <c r="B39" i="44"/>
  <c r="B52" i="44"/>
  <c r="B53" i="44"/>
  <c r="B54" i="44"/>
  <c r="B55" i="44"/>
  <c r="B56" i="44"/>
  <c r="F33" i="31" l="1"/>
  <c r="D33" i="56" s="1"/>
  <c r="F46" i="31"/>
  <c r="F50" i="31"/>
  <c r="F47" i="31"/>
  <c r="F49" i="31"/>
  <c r="F51" i="31"/>
  <c r="F48" i="31"/>
  <c r="I14" i="63"/>
  <c r="B58" i="82"/>
  <c r="C33" i="44" l="1"/>
  <c r="D49" i="56"/>
  <c r="C49" i="44"/>
  <c r="D51" i="56"/>
  <c r="C51" i="44"/>
  <c r="D50" i="56"/>
  <c r="C50" i="44"/>
  <c r="C47" i="44"/>
  <c r="D47" i="56"/>
  <c r="C48" i="44"/>
  <c r="D48" i="56"/>
  <c r="C64" i="82" s="1"/>
  <c r="C46" i="44"/>
  <c r="D46" i="56"/>
  <c r="B47" i="82" l="1"/>
  <c r="F16" i="31"/>
  <c r="D16" i="56" s="1"/>
  <c r="F17" i="31"/>
  <c r="D17" i="56" s="1"/>
  <c r="F18" i="31"/>
  <c r="D18" i="56" s="1"/>
  <c r="F19" i="31"/>
  <c r="D19" i="56" s="1"/>
  <c r="F20" i="31"/>
  <c r="D20" i="56" s="1"/>
  <c r="C49" i="82" s="1"/>
  <c r="F21" i="31"/>
  <c r="D21" i="56" s="1"/>
  <c r="F22" i="31"/>
  <c r="D22" i="56" s="1"/>
  <c r="F23" i="31"/>
  <c r="D23" i="56" s="1"/>
  <c r="F24" i="31"/>
  <c r="D24" i="56" s="1"/>
  <c r="F25" i="31"/>
  <c r="D25" i="56" s="1"/>
  <c r="F26" i="31"/>
  <c r="D26" i="56" s="1"/>
  <c r="F27" i="31"/>
  <c r="D27" i="56" s="1"/>
  <c r="F28" i="31"/>
  <c r="D28" i="56" s="1"/>
  <c r="C21" i="44" l="1"/>
  <c r="C28" i="44"/>
  <c r="C16" i="44"/>
  <c r="C19" i="44"/>
  <c r="C25" i="44"/>
  <c r="C17" i="44"/>
  <c r="C24" i="44"/>
  <c r="C20" i="44"/>
  <c r="C27" i="44"/>
  <c r="C23" i="44"/>
  <c r="C26" i="44"/>
  <c r="C22" i="44"/>
  <c r="C18" i="44"/>
  <c r="C47" i="82"/>
  <c r="F8" i="63" l="1"/>
  <c r="D11" i="35" l="1"/>
  <c r="D12" i="63" l="1"/>
  <c r="D10" i="35" l="1"/>
  <c r="D12" i="35" s="1"/>
  <c r="E10" i="35"/>
  <c r="E12" i="35" s="1"/>
  <c r="F9" i="63"/>
  <c r="C12" i="35" l="1"/>
  <c r="C15" i="35" s="1"/>
  <c r="F41" i="57" s="1"/>
  <c r="C20" i="82"/>
  <c r="F60" i="31" l="1"/>
  <c r="C55" i="44" s="1"/>
  <c r="F59" i="31"/>
  <c r="C54" i="44" s="1"/>
  <c r="F58" i="31"/>
  <c r="C53" i="44" s="1"/>
  <c r="F57" i="31"/>
  <c r="C52" i="44" s="1"/>
  <c r="B53" i="56"/>
  <c r="B54" i="56"/>
  <c r="B55" i="56"/>
  <c r="B52" i="56"/>
  <c r="B59" i="82"/>
  <c r="B60" i="82"/>
  <c r="B56" i="56"/>
  <c r="B51" i="82" l="1"/>
  <c r="B56" i="82"/>
  <c r="B57" i="82"/>
  <c r="B52" i="82"/>
  <c r="B46" i="82"/>
  <c r="B45" i="82"/>
  <c r="B50" i="82"/>
  <c r="B53" i="82"/>
  <c r="B48" i="82"/>
  <c r="B43" i="82"/>
  <c r="B1" i="63" l="1"/>
  <c r="B7" i="63"/>
  <c r="B8" i="63"/>
  <c r="B9" i="63"/>
  <c r="B10" i="63"/>
  <c r="E8" i="57" l="1"/>
  <c r="D8" i="57"/>
  <c r="E5" i="35"/>
  <c r="D5" i="35"/>
  <c r="D5" i="82" l="1"/>
  <c r="G25" i="57"/>
  <c r="E9" i="36"/>
  <c r="G26" i="57"/>
  <c r="E8" i="56"/>
  <c r="D9" i="36"/>
  <c r="E5" i="82"/>
  <c r="F8" i="56"/>
  <c r="E62" i="31"/>
  <c r="D62" i="31"/>
  <c r="E52" i="31"/>
  <c r="D52" i="31"/>
  <c r="F15" i="31"/>
  <c r="D15" i="56" s="1"/>
  <c r="C44" i="82" s="1"/>
  <c r="F14" i="31"/>
  <c r="D14" i="56" s="1"/>
  <c r="F13" i="31"/>
  <c r="D13" i="56" s="1"/>
  <c r="F12" i="31"/>
  <c r="D12" i="56" s="1"/>
  <c r="F11" i="31"/>
  <c r="D11" i="56" s="1"/>
  <c r="F51" i="56" l="1"/>
  <c r="E34" i="57" s="1"/>
  <c r="F24" i="56"/>
  <c r="E53" i="82" s="1"/>
  <c r="F23" i="56"/>
  <c r="F17" i="56"/>
  <c r="F18" i="56"/>
  <c r="E47" i="82" s="1"/>
  <c r="F16" i="56"/>
  <c r="F22" i="56"/>
  <c r="F21" i="56"/>
  <c r="F19" i="56"/>
  <c r="E51" i="56"/>
  <c r="E24" i="56"/>
  <c r="D53" i="82" s="1"/>
  <c r="E23" i="56"/>
  <c r="E17" i="56"/>
  <c r="E18" i="56"/>
  <c r="D47" i="82" s="1"/>
  <c r="E21" i="56"/>
  <c r="E19" i="56"/>
  <c r="E16" i="56"/>
  <c r="E22" i="56"/>
  <c r="C13" i="44"/>
  <c r="C12" i="44"/>
  <c r="C14" i="44"/>
  <c r="C11" i="44"/>
  <c r="C15" i="44"/>
  <c r="C43" i="82"/>
  <c r="C42" i="82"/>
  <c r="C48" i="82"/>
  <c r="C46" i="82"/>
  <c r="C45" i="82"/>
  <c r="B42" i="82"/>
  <c r="B41" i="82"/>
  <c r="D34" i="57" l="1"/>
  <c r="C34" i="57" s="1"/>
  <c r="D51" i="44"/>
  <c r="D22" i="44"/>
  <c r="E22" i="44" s="1"/>
  <c r="D21" i="44"/>
  <c r="E21" i="44" s="1"/>
  <c r="D18" i="44"/>
  <c r="E18" i="44" s="1"/>
  <c r="D17" i="44"/>
  <c r="E17" i="44" s="1"/>
  <c r="E29" i="36"/>
  <c r="F20" i="56" s="1"/>
  <c r="E49" i="82" s="1"/>
  <c r="D23" i="44"/>
  <c r="E23" i="44" s="1"/>
  <c r="D19" i="44"/>
  <c r="E19" i="44" s="1"/>
  <c r="D29" i="36"/>
  <c r="E20" i="56" s="1"/>
  <c r="D49" i="82" s="1"/>
  <c r="D24" i="44"/>
  <c r="E24" i="44" s="1"/>
  <c r="D16" i="44"/>
  <c r="E16" i="44" s="1"/>
  <c r="D28" i="36"/>
  <c r="E15" i="56" s="1"/>
  <c r="D44" i="82" s="1"/>
  <c r="C41" i="82"/>
  <c r="C10" i="63"/>
  <c r="E10" i="63" s="1"/>
  <c r="C9" i="63"/>
  <c r="C8" i="63"/>
  <c r="E8" i="63" s="1"/>
  <c r="G8" i="63" s="1"/>
  <c r="C7" i="63"/>
  <c r="F45" i="31"/>
  <c r="F44" i="31"/>
  <c r="F43" i="31"/>
  <c r="F42" i="31"/>
  <c r="F41" i="31"/>
  <c r="F37" i="31"/>
  <c r="F39" i="31"/>
  <c r="F38" i="31"/>
  <c r="F36" i="31"/>
  <c r="F35" i="31"/>
  <c r="F34" i="31"/>
  <c r="F32" i="31"/>
  <c r="D32" i="56" s="1"/>
  <c r="F31" i="31"/>
  <c r="D31" i="56" s="1"/>
  <c r="C55" i="82" s="1"/>
  <c r="F30" i="31"/>
  <c r="D30" i="56" s="1"/>
  <c r="C54" i="82" s="1"/>
  <c r="F29" i="31"/>
  <c r="D29" i="56" s="1"/>
  <c r="F10" i="31"/>
  <c r="F40" i="31"/>
  <c r="F9" i="31"/>
  <c r="F61" i="31"/>
  <c r="C56" i="44" s="1"/>
  <c r="A1" i="44"/>
  <c r="G61" i="31"/>
  <c r="G57" i="31"/>
  <c r="C29" i="44" l="1"/>
  <c r="D39" i="56"/>
  <c r="C39" i="44"/>
  <c r="C30" i="44"/>
  <c r="C35" i="44"/>
  <c r="D35" i="56"/>
  <c r="C37" i="44"/>
  <c r="D37" i="56"/>
  <c r="C61" i="82" s="1"/>
  <c r="C44" i="44"/>
  <c r="D44" i="56"/>
  <c r="D43" i="56"/>
  <c r="C63" i="82" s="1"/>
  <c r="C43" i="44"/>
  <c r="C34" i="44"/>
  <c r="D34" i="56"/>
  <c r="C58" i="82" s="1"/>
  <c r="C40" i="44"/>
  <c r="D40" i="56"/>
  <c r="C31" i="44"/>
  <c r="C36" i="44"/>
  <c r="D36" i="56"/>
  <c r="C41" i="44"/>
  <c r="D41" i="56"/>
  <c r="C45" i="44"/>
  <c r="D45" i="56"/>
  <c r="C10" i="44"/>
  <c r="D10" i="56"/>
  <c r="C39" i="82" s="1"/>
  <c r="C32" i="44"/>
  <c r="C38" i="44"/>
  <c r="D38" i="56"/>
  <c r="C62" i="82" s="1"/>
  <c r="C42" i="44"/>
  <c r="D42" i="56"/>
  <c r="D14" i="63"/>
  <c r="E9" i="63"/>
  <c r="G9" i="63" s="1"/>
  <c r="E7" i="63"/>
  <c r="C12" i="63"/>
  <c r="F52" i="31"/>
  <c r="F4" i="31" s="1"/>
  <c r="F62" i="31"/>
  <c r="E14" i="63" s="1"/>
  <c r="F35" i="56" l="1"/>
  <c r="E35" i="56"/>
  <c r="C59" i="82"/>
  <c r="E36" i="56"/>
  <c r="F36" i="56"/>
  <c r="G7" i="63"/>
  <c r="E12" i="63"/>
  <c r="F5" i="31"/>
  <c r="D35" i="44" l="1"/>
  <c r="E35" i="44" s="1"/>
  <c r="D36" i="44"/>
  <c r="E36" i="44" s="1"/>
  <c r="G12" i="63"/>
  <c r="H8" i="63" s="1"/>
  <c r="E41" i="57"/>
  <c r="C50" i="40"/>
  <c r="A1" i="57"/>
  <c r="A1" i="35"/>
  <c r="A1" i="79"/>
  <c r="A1" i="40"/>
  <c r="A1" i="36"/>
  <c r="C19" i="82"/>
  <c r="C18" i="82"/>
  <c r="C17" i="82"/>
  <c r="B40" i="82"/>
  <c r="B11" i="82"/>
  <c r="B10" i="82"/>
  <c r="B9" i="82"/>
  <c r="B18" i="82" s="1"/>
  <c r="B8" i="82"/>
  <c r="B17" i="82" s="1"/>
  <c r="B53" i="40"/>
  <c r="B52" i="40"/>
  <c r="B51" i="40"/>
  <c r="B50" i="40"/>
  <c r="B49" i="40"/>
  <c r="I7" i="63" l="1"/>
  <c r="I8" i="63"/>
  <c r="I10" i="63"/>
  <c r="I9" i="63"/>
  <c r="H7" i="63"/>
  <c r="H9" i="63"/>
  <c r="H10" i="63"/>
  <c r="C51" i="40"/>
  <c r="G58" i="31"/>
  <c r="D55" i="56"/>
  <c r="D54" i="56"/>
  <c r="B20" i="82"/>
  <c r="B32" i="82"/>
  <c r="B19" i="82"/>
  <c r="B31" i="82"/>
  <c r="D53" i="56"/>
  <c r="B29" i="82"/>
  <c r="D56" i="56"/>
  <c r="D52" i="56"/>
  <c r="B30" i="82"/>
  <c r="I12" i="63" l="1"/>
  <c r="C52" i="40"/>
  <c r="G59" i="31"/>
  <c r="G60" i="31" l="1"/>
  <c r="B1" i="31"/>
  <c r="D10" i="79" l="1"/>
  <c r="D14" i="79" s="1"/>
  <c r="B6" i="40"/>
  <c r="C52" i="82" l="1"/>
  <c r="C51" i="82"/>
  <c r="D51" i="82"/>
  <c r="E51" i="82"/>
  <c r="C53" i="82"/>
  <c r="B19" i="79"/>
  <c r="C20" i="79" s="1"/>
  <c r="E10" i="57"/>
  <c r="D20" i="79" l="1"/>
  <c r="D21" i="79" s="1"/>
  <c r="E14" i="57" s="1"/>
  <c r="C40" i="82" l="1"/>
  <c r="D9" i="56"/>
  <c r="C50" i="82" l="1"/>
  <c r="C56" i="82"/>
  <c r="E50" i="82" l="1"/>
  <c r="D50" i="82"/>
  <c r="C24" i="36"/>
  <c r="C23" i="36"/>
  <c r="C29" i="36" l="1"/>
  <c r="D20" i="44"/>
  <c r="E20" i="44" s="1"/>
  <c r="B9" i="44"/>
  <c r="B9" i="56" l="1"/>
  <c r="E60" i="82" l="1"/>
  <c r="D60" i="82"/>
  <c r="C60" i="82"/>
  <c r="E46" i="82"/>
  <c r="D46" i="82"/>
  <c r="C9" i="44"/>
  <c r="C57" i="44" l="1"/>
  <c r="C31" i="82" l="1"/>
  <c r="C29" i="82"/>
  <c r="C32" i="82"/>
  <c r="C30" i="82"/>
  <c r="C25" i="36" l="1"/>
  <c r="C57" i="82" l="1"/>
  <c r="C66" i="82" s="1"/>
  <c r="D58" i="56"/>
  <c r="D13" i="35" l="1"/>
  <c r="C10" i="79" l="1"/>
  <c r="C14" i="79" s="1"/>
  <c r="D41" i="57"/>
  <c r="E13" i="36"/>
  <c r="F14" i="56" l="1"/>
  <c r="F31" i="56"/>
  <c r="F12" i="56"/>
  <c r="F33" i="56"/>
  <c r="F11" i="56"/>
  <c r="F48" i="56"/>
  <c r="E64" i="82" s="1"/>
  <c r="F13" i="56"/>
  <c r="F32" i="56"/>
  <c r="F49" i="56"/>
  <c r="F50" i="56"/>
  <c r="F34" i="56"/>
  <c r="F53" i="56"/>
  <c r="E9" i="82" s="1"/>
  <c r="F54" i="56"/>
  <c r="E10" i="82" s="1"/>
  <c r="F52" i="56"/>
  <c r="E8" i="82" s="1"/>
  <c r="F55" i="56"/>
  <c r="E11" i="82" s="1"/>
  <c r="E52" i="82"/>
  <c r="E59" i="82"/>
  <c r="C41" i="57"/>
  <c r="C13" i="35"/>
  <c r="E14" i="36" s="1"/>
  <c r="D13" i="36"/>
  <c r="C21" i="79"/>
  <c r="D14" i="57" s="1"/>
  <c r="E55" i="82" l="1"/>
  <c r="E58" i="82"/>
  <c r="E29" i="57"/>
  <c r="E30" i="57"/>
  <c r="E27" i="36"/>
  <c r="E50" i="56"/>
  <c r="E13" i="56"/>
  <c r="D42" i="82" s="1"/>
  <c r="E11" i="56"/>
  <c r="D11" i="44" s="1"/>
  <c r="E11" i="44" s="1"/>
  <c r="E14" i="56"/>
  <c r="D43" i="82" s="1"/>
  <c r="E31" i="56"/>
  <c r="E12" i="56"/>
  <c r="D12" i="44" s="1"/>
  <c r="E12" i="44" s="1"/>
  <c r="E33" i="56"/>
  <c r="E32" i="56"/>
  <c r="E49" i="56"/>
  <c r="E48" i="56"/>
  <c r="E34" i="56"/>
  <c r="E51" i="44"/>
  <c r="E43" i="82"/>
  <c r="E57" i="82"/>
  <c r="E42" i="82"/>
  <c r="E45" i="82"/>
  <c r="E48" i="82"/>
  <c r="E54" i="56"/>
  <c r="D54" i="44" s="1"/>
  <c r="E54" i="44" s="1"/>
  <c r="E53" i="56"/>
  <c r="D53" i="44" s="1"/>
  <c r="E53" i="44" s="1"/>
  <c r="E52" i="56"/>
  <c r="D52" i="44" s="1"/>
  <c r="E52" i="44" s="1"/>
  <c r="E55" i="56"/>
  <c r="D55" i="44" s="1"/>
  <c r="E55" i="44" s="1"/>
  <c r="D52" i="82"/>
  <c r="D59" i="82"/>
  <c r="E41" i="82"/>
  <c r="B14" i="79"/>
  <c r="D10" i="57"/>
  <c r="D14" i="36"/>
  <c r="C14" i="36" s="1"/>
  <c r="C14" i="57"/>
  <c r="E26" i="57"/>
  <c r="C13" i="36"/>
  <c r="D55" i="82" l="1"/>
  <c r="D34" i="44"/>
  <c r="E34" i="44" s="1"/>
  <c r="D50" i="44"/>
  <c r="E50" i="44" s="1"/>
  <c r="D33" i="44"/>
  <c r="E33" i="44" s="1"/>
  <c r="D49" i="44"/>
  <c r="E49" i="44" s="1"/>
  <c r="D13" i="44"/>
  <c r="E13" i="44" s="1"/>
  <c r="D27" i="36"/>
  <c r="D14" i="44"/>
  <c r="E14" i="44" s="1"/>
  <c r="D64" i="82"/>
  <c r="D48" i="44"/>
  <c r="E48" i="44" s="1"/>
  <c r="E56" i="82"/>
  <c r="E28" i="36"/>
  <c r="F15" i="56" s="1"/>
  <c r="D45" i="82"/>
  <c r="D57" i="82"/>
  <c r="D58" i="82"/>
  <c r="D48" i="82"/>
  <c r="D10" i="82"/>
  <c r="D8" i="82"/>
  <c r="D32" i="44"/>
  <c r="E32" i="44" s="1"/>
  <c r="D41" i="82"/>
  <c r="D26" i="57"/>
  <c r="D29" i="57"/>
  <c r="C29" i="57" s="1"/>
  <c r="D9" i="82"/>
  <c r="D30" i="57"/>
  <c r="C10" i="57"/>
  <c r="D11" i="82"/>
  <c r="E20" i="57" l="1"/>
  <c r="E44" i="82"/>
  <c r="D56" i="82"/>
  <c r="C26" i="57"/>
  <c r="C30" i="57"/>
  <c r="C11" i="82"/>
  <c r="C8" i="82"/>
  <c r="D29" i="82" s="1"/>
  <c r="C9" i="82"/>
  <c r="D18" i="82" s="1"/>
  <c r="C10" i="82"/>
  <c r="D19" i="82" s="1"/>
  <c r="C28" i="36" l="1"/>
  <c r="D15" i="44"/>
  <c r="E15" i="44" s="1"/>
  <c r="D30" i="82"/>
  <c r="D17" i="82"/>
  <c r="D31" i="82"/>
  <c r="E32" i="82"/>
  <c r="E20" i="82"/>
  <c r="E18" i="82"/>
  <c r="E30" i="82"/>
  <c r="D20" i="82"/>
  <c r="E19" i="82"/>
  <c r="E31" i="82"/>
  <c r="D20" i="57"/>
  <c r="E17" i="82"/>
  <c r="E29" i="82"/>
  <c r="D32" i="82"/>
  <c r="C20" i="57" l="1"/>
  <c r="D34" i="82"/>
  <c r="D40" i="82" l="1"/>
  <c r="D13" i="82" l="1"/>
  <c r="E40" i="82" l="1"/>
  <c r="E13" i="82" l="1"/>
  <c r="C13" i="82" l="1"/>
  <c r="D19" i="36" s="1"/>
  <c r="E19" i="36" l="1"/>
  <c r="C19" i="36" s="1"/>
  <c r="D22" i="82"/>
  <c r="E34" i="82"/>
  <c r="E22" i="82"/>
  <c r="F56" i="56" s="1"/>
  <c r="D24" i="82" l="1"/>
  <c r="E56" i="56"/>
  <c r="D56" i="44" s="1"/>
  <c r="E56" i="44" s="1"/>
  <c r="C22" i="82"/>
  <c r="E24" i="82"/>
  <c r="C34" i="82"/>
  <c r="C24" i="82" l="1"/>
  <c r="D20" i="36" s="1"/>
  <c r="E20" i="36" l="1"/>
  <c r="C20" i="36" s="1"/>
  <c r="D31" i="36" l="1"/>
  <c r="E30" i="56" s="1"/>
  <c r="E31" i="36"/>
  <c r="F30" i="56" s="1"/>
  <c r="E54" i="82" l="1"/>
  <c r="D54" i="82"/>
  <c r="D31" i="44"/>
  <c r="E31" i="44" s="1"/>
  <c r="E37" i="56"/>
  <c r="F37" i="56"/>
  <c r="E38" i="56"/>
  <c r="F38" i="56"/>
  <c r="E43" i="56"/>
  <c r="F43" i="56"/>
  <c r="D63" i="82" l="1"/>
  <c r="D61" i="82"/>
  <c r="E62" i="82"/>
  <c r="D62" i="82"/>
  <c r="E63" i="82"/>
  <c r="E61" i="82"/>
  <c r="C31" i="36"/>
  <c r="E25" i="57"/>
  <c r="D25" i="57"/>
  <c r="D37" i="44"/>
  <c r="E37" i="44" s="1"/>
  <c r="D43" i="44"/>
  <c r="E43" i="44" s="1"/>
  <c r="D38" i="44"/>
  <c r="E38" i="44" s="1"/>
  <c r="D30" i="44" l="1"/>
  <c r="E30" i="44" s="1"/>
  <c r="C25" i="57"/>
  <c r="E21" i="57" l="1"/>
  <c r="D21" i="57" l="1"/>
  <c r="C21" i="57" l="1"/>
  <c r="D23" i="57" l="1"/>
  <c r="E23" i="57" l="1"/>
  <c r="C23" i="57" s="1"/>
  <c r="E10" i="56"/>
  <c r="D39" i="82" s="1"/>
  <c r="D66" i="82" s="1"/>
  <c r="D21" i="36" s="1"/>
  <c r="E9" i="56" l="1"/>
  <c r="E46" i="56"/>
  <c r="E47" i="56"/>
  <c r="E44" i="56"/>
  <c r="E27" i="56"/>
  <c r="E45" i="56"/>
  <c r="E40" i="56"/>
  <c r="E41" i="56"/>
  <c r="E42" i="56"/>
  <c r="E29" i="56"/>
  <c r="E26" i="56"/>
  <c r="E28" i="56"/>
  <c r="D19" i="57"/>
  <c r="D32" i="36" l="1"/>
  <c r="D28" i="57"/>
  <c r="D30" i="36"/>
  <c r="D27" i="57"/>
  <c r="D18" i="57"/>
  <c r="E39" i="56" l="1"/>
  <c r="E25" i="56"/>
  <c r="D22" i="57" l="1"/>
  <c r="E58" i="56"/>
  <c r="D24" i="57"/>
  <c r="D31" i="57" l="1"/>
  <c r="D36" i="57" s="1"/>
  <c r="C27" i="36"/>
  <c r="F10" i="56"/>
  <c r="D43" i="57" l="1"/>
  <c r="D39" i="57"/>
  <c r="E39" i="82"/>
  <c r="E66" i="82" s="1"/>
  <c r="E21" i="36" s="1"/>
  <c r="E19" i="57"/>
  <c r="D10" i="44"/>
  <c r="F9" i="56" l="1"/>
  <c r="F26" i="56"/>
  <c r="F44" i="56"/>
  <c r="F28" i="56"/>
  <c r="F42" i="56"/>
  <c r="F29" i="56"/>
  <c r="F47" i="56"/>
  <c r="F27" i="56"/>
  <c r="F41" i="56"/>
  <c r="F45" i="56"/>
  <c r="F46" i="56"/>
  <c r="F40" i="56"/>
  <c r="C21" i="36"/>
  <c r="H25" i="57"/>
  <c r="D49" i="57"/>
  <c r="D50" i="57" s="1"/>
  <c r="D51" i="57" s="1"/>
  <c r="C19" i="57"/>
  <c r="E10" i="44"/>
  <c r="D27" i="44" l="1"/>
  <c r="E27" i="44" s="1"/>
  <c r="E27" i="57"/>
  <c r="C27" i="57" s="1"/>
  <c r="D46" i="44"/>
  <c r="E46" i="44" s="1"/>
  <c r="E28" i="57"/>
  <c r="C28" i="57" s="1"/>
  <c r="D47" i="44"/>
  <c r="E47" i="44" s="1"/>
  <c r="D44" i="44"/>
  <c r="E44" i="44" s="1"/>
  <c r="D28" i="44"/>
  <c r="E28" i="44" s="1"/>
  <c r="D45" i="44"/>
  <c r="E45" i="44" s="1"/>
  <c r="D29" i="44"/>
  <c r="E29" i="44" s="1"/>
  <c r="E30" i="36"/>
  <c r="D26" i="44"/>
  <c r="E26" i="44" s="1"/>
  <c r="E32" i="36"/>
  <c r="D40" i="44"/>
  <c r="E40" i="44" s="1"/>
  <c r="D41" i="44"/>
  <c r="E41" i="44" s="1"/>
  <c r="D42" i="44"/>
  <c r="E42" i="44" s="1"/>
  <c r="E18" i="57"/>
  <c r="D9" i="44"/>
  <c r="F25" i="56" l="1"/>
  <c r="C30" i="36"/>
  <c r="E9" i="44"/>
  <c r="F39" i="56"/>
  <c r="C32" i="36"/>
  <c r="C18" i="57"/>
  <c r="E24" i="57" l="1"/>
  <c r="C24" i="57" s="1"/>
  <c r="D39" i="44"/>
  <c r="E39" i="44" s="1"/>
  <c r="E22" i="57"/>
  <c r="D25" i="44"/>
  <c r="F58" i="56"/>
  <c r="D59" i="56" s="1"/>
  <c r="C22" i="57" l="1"/>
  <c r="C31" i="57" s="1"/>
  <c r="C36" i="57" s="1"/>
  <c r="E31" i="57"/>
  <c r="E36" i="57" s="1"/>
  <c r="E25" i="44"/>
  <c r="E57" i="44" s="1"/>
  <c r="D57" i="44"/>
  <c r="E39" i="57" l="1"/>
  <c r="E43" i="57"/>
  <c r="C32" i="57"/>
  <c r="C11" i="57"/>
  <c r="D12" i="57" l="1"/>
  <c r="D38" i="57" s="1"/>
  <c r="E12" i="57"/>
  <c r="E38" i="57" s="1"/>
  <c r="E45" i="57"/>
  <c r="E49" i="57"/>
  <c r="E50" i="57" s="1"/>
  <c r="H26" i="57"/>
  <c r="C12" i="57" l="1"/>
  <c r="C50" i="57"/>
  <c r="C51" i="57" s="1"/>
  <c r="E51" i="57"/>
</calcChain>
</file>

<file path=xl/sharedStrings.xml><?xml version="1.0" encoding="utf-8"?>
<sst xmlns="http://schemas.openxmlformats.org/spreadsheetml/2006/main" count="311" uniqueCount="178">
  <si>
    <t>Version:</t>
  </si>
  <si>
    <t>May 5, 2023</t>
  </si>
  <si>
    <t>Revenue Requirement ($)</t>
  </si>
  <si>
    <t>Net Fixed Assets ($)</t>
  </si>
  <si>
    <t>Expense Accounts (Revenue Requirement)</t>
  </si>
  <si>
    <t>Accounts</t>
  </si>
  <si>
    <t>Forecast Financial Statement</t>
  </si>
  <si>
    <t>Reclassify accounts</t>
  </si>
  <si>
    <t>Reclassified Balance</t>
  </si>
  <si>
    <t>Allocator</t>
  </si>
  <si>
    <t>CEO Office</t>
  </si>
  <si>
    <t>O&amp;A</t>
  </si>
  <si>
    <t xml:space="preserve">Markets &amp; Reliability -  VP Office </t>
  </si>
  <si>
    <t>M&amp;R</t>
  </si>
  <si>
    <t xml:space="preserve">Markets &amp; Reliability -  Power System Assessments </t>
  </si>
  <si>
    <t>TWh</t>
  </si>
  <si>
    <t xml:space="preserve">Markets &amp; Reliability -  Market Operations </t>
  </si>
  <si>
    <t xml:space="preserve">Markets &amp; Reliability -  Wholesale Market Development </t>
  </si>
  <si>
    <t xml:space="preserve">Markets &amp; Reliability -  Reliability Assurance &amp; Operational Assessments </t>
  </si>
  <si>
    <t xml:space="preserve">Planning, Conservation and Resource Adequacy -  VP Office and Planning Projects &amp; Sustainability </t>
  </si>
  <si>
    <t>PCRA</t>
  </si>
  <si>
    <t xml:space="preserve">Planning, Conservation and Resource Adequacy -  Resource Planning </t>
  </si>
  <si>
    <t>DOM</t>
  </si>
  <si>
    <t xml:space="preserve">Planning, Conservation and Resource Adequacy -  Transmission Planning </t>
  </si>
  <si>
    <t xml:space="preserve">Planning, Conservation and Resource Adequacy -  Resource &amp; System Adequacy </t>
  </si>
  <si>
    <t xml:space="preserve">Planning, Conservation and Resource Adequacy -  Energy Efficiency </t>
  </si>
  <si>
    <t xml:space="preserve">Corporate Relations, Stakeholder Engagement and Innovation -  VP Office </t>
  </si>
  <si>
    <t>CRSEI</t>
  </si>
  <si>
    <t xml:space="preserve">Corporate Relations, Stakeholder Engagement and Innovation -  Government Affairs </t>
  </si>
  <si>
    <t xml:space="preserve">Corporate Relations, Stakeholder Engagement and Innovation -  Corporate Communications </t>
  </si>
  <si>
    <t xml:space="preserve">Corporate Relations, Stakeholder Engagement and Innovation -  Stakeholder and Community Engagement </t>
  </si>
  <si>
    <t xml:space="preserve">Corporate Relations, Stakeholder Engagement and Innovation -  Innovation, Research &amp; Development </t>
  </si>
  <si>
    <t>Information and Technology Services - VP Office</t>
  </si>
  <si>
    <t>ITS</t>
  </si>
  <si>
    <t>Information and Technology Services - CIO Office (Organizational Governance Support)</t>
  </si>
  <si>
    <t>Information and Technology Services - Information Security</t>
  </si>
  <si>
    <t>Information and Technology Services - Business Services &amp; Solution Delivery</t>
  </si>
  <si>
    <t>Information and Technology Services - IT Infrastructure &amp; Operations (Technology Services)</t>
  </si>
  <si>
    <t xml:space="preserve">Legal Resources and Corporate Governance -  VP Office </t>
  </si>
  <si>
    <t>LRCG</t>
  </si>
  <si>
    <t xml:space="preserve">Legal Resources and Corporate Governance -  General Counsel </t>
  </si>
  <si>
    <t xml:space="preserve">Legal Resources and Corporate Governance -  Market Rules and Regulatory Affairs </t>
  </si>
  <si>
    <t xml:space="preserve">Legal Resources and Corporate Governance -  OEB Assessment Fees </t>
  </si>
  <si>
    <t xml:space="preserve">Legal Resources and Corporate Governance -  Board </t>
  </si>
  <si>
    <t xml:space="preserve">Legal Resources and Corporate Governance -  NERC and NPCC Membership </t>
  </si>
  <si>
    <t>HALF</t>
  </si>
  <si>
    <t xml:space="preserve">Legal Resources and Corporate Governance -  Contract Management </t>
  </si>
  <si>
    <t xml:space="preserve">Market Assessment and Compliance Division -  Market Assessment and Compliance Division </t>
  </si>
  <si>
    <t xml:space="preserve">Market Assessment and Compliance Division -  OEB Assessment Fees </t>
  </si>
  <si>
    <t>Corporate Services - VP Office</t>
  </si>
  <si>
    <t>CS</t>
  </si>
  <si>
    <t>Corporate Services - Corporate Finance</t>
  </si>
  <si>
    <t>Corporate Services - Procurement</t>
  </si>
  <si>
    <t>Corporate Services - Risk, Performance &amp; Reliance and Internal Audit</t>
  </si>
  <si>
    <t>Corporate Services - Settlements</t>
  </si>
  <si>
    <t>Corporate Services - Facilities</t>
  </si>
  <si>
    <t>Corporate Services - Enterprise Change</t>
  </si>
  <si>
    <t>Human Resources</t>
  </si>
  <si>
    <t>Corporate Adjustment - General</t>
  </si>
  <si>
    <t>Market Renewal</t>
  </si>
  <si>
    <t>Interest, Amortization and Registration Fees - Amortization</t>
  </si>
  <si>
    <t>Interest, Amortization and Registration Fees - Interest</t>
  </si>
  <si>
    <t>Interest, Amortization and Registration Fees - Registration Fees</t>
  </si>
  <si>
    <t>Total Expenses (Revenue Requirement)</t>
  </si>
  <si>
    <t>Fixed Asset Accounts</t>
  </si>
  <si>
    <t>Assets - Assets</t>
  </si>
  <si>
    <t>Assets - Market systems &amp; applications</t>
  </si>
  <si>
    <t>Assets - Infrastructure &amp; other assets</t>
  </si>
  <si>
    <t>Assets - Assets Under Construction</t>
  </si>
  <si>
    <t>Accumulated Amortization</t>
  </si>
  <si>
    <t>Net Fixed Assets</t>
  </si>
  <si>
    <t>Note: The IESO does not have a Rate Base similar to rate regulated utilities.  Fixed Assets are allocated to test the assumption that TWh is a sensible allocator for Interest and Amortization.</t>
  </si>
  <si>
    <t>FIXED ASSETS</t>
  </si>
  <si>
    <t>BALANCE SHEET ITEMS</t>
  </si>
  <si>
    <t>EXPENSE ITEMS</t>
  </si>
  <si>
    <t>Description</t>
  </si>
  <si>
    <t>Break out Functions</t>
  </si>
  <si>
    <t>Accumulated Depreciation - Fixed Assets Only</t>
  </si>
  <si>
    <t>Asset net of Accumulated Depreciation and Contributed Capital</t>
  </si>
  <si>
    <t>Estimated Average Service Life (Years)</t>
  </si>
  <si>
    <t>Amortization Share</t>
  </si>
  <si>
    <t>Amortization Expense - Property, Plant, and Equipment</t>
  </si>
  <si>
    <t>Total</t>
  </si>
  <si>
    <t xml:space="preserve"> </t>
  </si>
  <si>
    <t>Functionalized Accounts</t>
  </si>
  <si>
    <t>Domestic</t>
  </si>
  <si>
    <t>Export</t>
  </si>
  <si>
    <t>Billing Data</t>
  </si>
  <si>
    <t>Gross MWh</t>
  </si>
  <si>
    <t>IESO MWh Rate</t>
  </si>
  <si>
    <t>Net Class Revenue</t>
  </si>
  <si>
    <t>Single Charge Scenario</t>
  </si>
  <si>
    <t>Single Charge</t>
  </si>
  <si>
    <t>Revenue Requirement</t>
  </si>
  <si>
    <t>Uniform Rate</t>
  </si>
  <si>
    <t>Revenue at Uniform Rate</t>
  </si>
  <si>
    <t>Customer Classes</t>
  </si>
  <si>
    <t>Volume</t>
  </si>
  <si>
    <t>Demand</t>
  </si>
  <si>
    <t>Less Transmission Line Losses</t>
  </si>
  <si>
    <t>Embedded Generation</t>
  </si>
  <si>
    <t>Domestic MWh</t>
  </si>
  <si>
    <t>DTWh</t>
  </si>
  <si>
    <t>Revenue at Existing Rates</t>
  </si>
  <si>
    <t>Factor required to recover Revenue Requirement</t>
  </si>
  <si>
    <t>Revenue at Status Quo Rates</t>
  </si>
  <si>
    <t>Revenue at Single Rate</t>
  </si>
  <si>
    <t>Expenses</t>
  </si>
  <si>
    <t>CEO</t>
  </si>
  <si>
    <t xml:space="preserve"> Markets &amp; Reliability </t>
  </si>
  <si>
    <t xml:space="preserve"> Planning, Conservation and Resource Adequacy </t>
  </si>
  <si>
    <t xml:space="preserve"> Corporate Relations, Stakeholder Engagement and Innovation </t>
  </si>
  <si>
    <t xml:space="preserve"> Information and Technology Services </t>
  </si>
  <si>
    <t>Year</t>
  </si>
  <si>
    <t xml:space="preserve"> Legal Resources and Corporate Governance </t>
  </si>
  <si>
    <t>Corporate Services</t>
  </si>
  <si>
    <t>$/MWh</t>
  </si>
  <si>
    <t>MACD</t>
  </si>
  <si>
    <t>Market Assessment and Compliance Division</t>
  </si>
  <si>
    <t>MR</t>
  </si>
  <si>
    <t>HR</t>
  </si>
  <si>
    <t>Other</t>
  </si>
  <si>
    <t>Int</t>
  </si>
  <si>
    <t>Corporate Adjustment - Interest</t>
  </si>
  <si>
    <t>Dep</t>
  </si>
  <si>
    <t>Corporate Adjustment - Depreciation on fixed assets</t>
  </si>
  <si>
    <t>RF</t>
  </si>
  <si>
    <t>Other Revenues</t>
  </si>
  <si>
    <t>Domestic Annual % Change</t>
  </si>
  <si>
    <t>Rate Revenue Required</t>
  </si>
  <si>
    <t>Export Annual % Change</t>
  </si>
  <si>
    <t>Revenue to Expense at Status Quo Rates</t>
  </si>
  <si>
    <t>Revenue to Expense at Single Rate</t>
  </si>
  <si>
    <t>Volume (MWh)</t>
  </si>
  <si>
    <t>Separate Rates</t>
  </si>
  <si>
    <t>Rate Weight (percent of domestic rate)</t>
  </si>
  <si>
    <t>Rounded Rates</t>
  </si>
  <si>
    <t>Revenue at Rounded Rates</t>
  </si>
  <si>
    <t>Surplus (Shortfall) - Rounded Rates</t>
  </si>
  <si>
    <t>Summary of Allocation by Class &amp; Accounts</t>
  </si>
  <si>
    <t>ALLOCATION BY RATE CLASSIFICATION</t>
  </si>
  <si>
    <t>O1 Grouping</t>
  </si>
  <si>
    <t>rb</t>
  </si>
  <si>
    <t>Total Allocation</t>
  </si>
  <si>
    <t>Check</t>
  </si>
  <si>
    <t xml:space="preserve">   Composite Allocator Detail Worksheet</t>
  </si>
  <si>
    <t>Demand Total</t>
  </si>
  <si>
    <t>Fixed Assets</t>
  </si>
  <si>
    <t>Gross Fixed Assets</t>
  </si>
  <si>
    <t>Amortization Expense</t>
  </si>
  <si>
    <t>Accumulated Amortization Total</t>
  </si>
  <si>
    <t>Identifiable O&amp;A</t>
  </si>
  <si>
    <t>O&amp;A Total</t>
  </si>
  <si>
    <t>Explanation</t>
  </si>
  <si>
    <t>ID and Factors</t>
  </si>
  <si>
    <t>Energy</t>
  </si>
  <si>
    <t>System TWh</t>
  </si>
  <si>
    <t>Domestic TWh</t>
  </si>
  <si>
    <t>CUSTOMER ALLOCATORS</t>
  </si>
  <si>
    <t>Composite Allocators</t>
  </si>
  <si>
    <t>Gross Assets</t>
  </si>
  <si>
    <t>GA</t>
  </si>
  <si>
    <t>NFA</t>
  </si>
  <si>
    <t>Dedicated to Domestic</t>
  </si>
  <si>
    <t>Dedicated to Export</t>
  </si>
  <si>
    <t>EXP</t>
  </si>
  <si>
    <t>Equal Halves</t>
  </si>
  <si>
    <t xml:space="preserve">Markets &amp; Reliability </t>
  </si>
  <si>
    <t xml:space="preserve">Planning, Conservation and Resource Adequacy </t>
  </si>
  <si>
    <t xml:space="preserve">Corporate Relations, Stakeholder Engagement and Innovation </t>
  </si>
  <si>
    <t>Information and Technology Services</t>
  </si>
  <si>
    <t>Legal Resources and Corporate Governance</t>
  </si>
  <si>
    <t>This sheet shows what accounts are included in the COSS and how the categorized costs are allocated.</t>
  </si>
  <si>
    <t>Classification and Allocation</t>
  </si>
  <si>
    <t>Assets</t>
  </si>
  <si>
    <t>Financial Statement</t>
  </si>
  <si>
    <t>Balance in Summary by Class and Accounts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</si>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</sst>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_-* #,##0_-;\-* #,##0_-;_-* &quot;-&quot;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* #,##0_-;\-* #,##0_-;_-* &quot;-&quot;??_-;_-@_-"/>
    <numFmt numFmtId="169" formatCode="_(&quot;$&quot;* #,##0_);_(&quot;$&quot;* \(#,##0\);_(&quot;$&quot;* &quot;-&quot;??_);_(@_)"/>
    <numFmt numFmtId="170" formatCode="&quot;$&quot;#,##0.0000_);[Red]\(&quot;$&quot;#,##0.0000\)"/>
    <numFmt numFmtId="171" formatCode="&quot;$&quot;#,##0;\(&quot;$&quot;#,##0\)\ "/>
    <numFmt numFmtId="172" formatCode="&quot;$&quot;#,##0;[Red]&quot;$&quot;#,##0"/>
    <numFmt numFmtId="173" formatCode="_-&quot;$&quot;* #,##0_-;\-&quot;$&quot;* #,##0_-;_-&quot;$&quot;* &quot;-&quot;??_-;_-@_-"/>
    <numFmt numFmtId="174" formatCode="0.00000"/>
    <numFmt numFmtId="175" formatCode="0.0%"/>
    <numFmt numFmtId="176" formatCode="_-* #,##0.000000_-;\-* #,##0.000000_-;_-* &quot;-&quot;??_-;_-@_-"/>
    <numFmt numFmtId="177" formatCode="&quot;$&quot;#,##0.00;[Red]&quot;$&quot;#,##0.00"/>
    <numFmt numFmtId="178" formatCode="_-* #,##0.0_-;\-* #,##0.0_-;_-* &quot;-&quot;_-;_-@_-"/>
    <numFmt numFmtId="179" formatCode="_(* #,##0.0_);_(* \(#,##0.0\);_(* &quot;-&quot;??_);_(@_)"/>
    <numFmt numFmtId="180" formatCode="_-* #,##0.00_-;\-* #,##0.00_-;_-* &quot;-&quot;_-;_-@_-"/>
    <numFmt numFmtId="181" formatCode="_-* #,##0.000_-;\-* #,##0.000_-;_-* &quot;-&quot;_-;_-@_-"/>
    <numFmt numFmtId="182" formatCode="_-* #,##0.0000_-;\-* #,##0.0000_-;_-* &quot;-&quot;_-;_-@_-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16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8"/>
      <color indexed="6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6"/>
      <color indexed="10"/>
      <name val="Cooper Black"/>
      <family val="1"/>
    </font>
    <font>
      <b/>
      <sz val="14"/>
      <name val="Arial"/>
      <family val="2"/>
    </font>
    <font>
      <b/>
      <sz val="16"/>
      <name val="Cooper Black"/>
      <family val="1"/>
    </font>
    <font>
      <b/>
      <u/>
      <sz val="12"/>
      <name val="Arial"/>
      <family val="2"/>
    </font>
    <font>
      <b/>
      <sz val="12"/>
      <color indexed="12"/>
      <name val="Arial"/>
      <family val="2"/>
    </font>
    <font>
      <sz val="10"/>
      <color indexed="16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sz val="8"/>
      <color indexed="9"/>
      <name val="Arial"/>
      <family val="2"/>
    </font>
    <font>
      <b/>
      <sz val="10"/>
      <color indexed="17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8"/>
      <color rgb="FF0000FF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8"/>
      <name val="Arial"/>
      <family val="2"/>
    </font>
    <font>
      <sz val="26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1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17">
    <xf numFmtId="0" fontId="0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9" fontId="2" fillId="0" borderId="0" applyFont="0" applyFill="0" applyBorder="0" applyAlignment="0" applyProtection="0"/>
    <xf numFmtId="0" fontId="2" fillId="0" borderId="1" applyNumberFormat="0" applyFont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166" fontId="33" fillId="0" borderId="0" applyFont="0" applyFill="0" applyBorder="0" applyAlignment="0" applyProtection="0"/>
    <xf numFmtId="0" fontId="1" fillId="0" borderId="0"/>
  </cellStyleXfs>
  <cellXfs count="444">
    <xf numFmtId="0" fontId="0" fillId="0" borderId="0" xfId="0"/>
    <xf numFmtId="0" fontId="7" fillId="2" borderId="0" xfId="0" applyFont="1" applyFill="1"/>
    <xf numFmtId="0" fontId="21" fillId="2" borderId="0" xfId="0" applyFont="1" applyFill="1" applyAlignment="1">
      <alignment horizontal="left"/>
    </xf>
    <xf numFmtId="0" fontId="5" fillId="2" borderId="0" xfId="0" applyFont="1" applyFill="1"/>
    <xf numFmtId="0" fontId="7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left" vertical="center" wrapText="1"/>
    </xf>
    <xf numFmtId="6" fontId="6" fillId="2" borderId="0" xfId="1" applyNumberFormat="1" applyFont="1" applyFill="1" applyBorder="1"/>
    <xf numFmtId="0" fontId="19" fillId="2" borderId="0" xfId="0" applyFont="1" applyFill="1" applyAlignment="1">
      <alignment horizontal="left" indent="5"/>
    </xf>
    <xf numFmtId="0" fontId="5" fillId="2" borderId="0" xfId="0" applyFont="1" applyFill="1" applyAlignment="1">
      <alignment horizontal="right" vertical="top"/>
    </xf>
    <xf numFmtId="6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wrapText="1"/>
    </xf>
    <xf numFmtId="0" fontId="11" fillId="2" borderId="8" xfId="0" applyFont="1" applyFill="1" applyBorder="1" applyAlignment="1">
      <alignment horizontal="left" vertical="center" wrapText="1"/>
    </xf>
    <xf numFmtId="6" fontId="11" fillId="0" borderId="13" xfId="1" applyNumberFormat="1" applyFont="1" applyFill="1" applyBorder="1" applyAlignment="1" applyProtection="1">
      <alignment horizontal="center" vertical="center" wrapText="1"/>
    </xf>
    <xf numFmtId="6" fontId="11" fillId="2" borderId="8" xfId="1" applyNumberFormat="1" applyFont="1" applyFill="1" applyBorder="1" applyAlignment="1" applyProtection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6" fontId="7" fillId="2" borderId="0" xfId="0" applyNumberFormat="1" applyFont="1" applyFill="1"/>
    <xf numFmtId="0" fontId="11" fillId="0" borderId="14" xfId="0" applyFont="1" applyBorder="1" applyAlignment="1">
      <alignment horizontal="center" vertical="center" wrapText="1"/>
    </xf>
    <xf numFmtId="6" fontId="11" fillId="0" borderId="7" xfId="2" applyNumberFormat="1" applyFont="1" applyFill="1" applyBorder="1" applyAlignment="1" applyProtection="1">
      <alignment horizontal="center" vertical="center" wrapText="1"/>
    </xf>
    <xf numFmtId="169" fontId="11" fillId="0" borderId="8" xfId="2" applyNumberFormat="1" applyFont="1" applyFill="1" applyBorder="1" applyAlignment="1" applyProtection="1">
      <alignment horizontal="center" vertical="center" wrapText="1"/>
    </xf>
    <xf numFmtId="6" fontId="11" fillId="0" borderId="8" xfId="2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5" fillId="2" borderId="0" xfId="0" applyFont="1" applyFill="1"/>
    <xf numFmtId="0" fontId="11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165" fontId="7" fillId="2" borderId="0" xfId="0" applyNumberFormat="1" applyFont="1" applyFill="1"/>
    <xf numFmtId="165" fontId="7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 indent="10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6" fontId="7" fillId="2" borderId="0" xfId="0" applyNumberFormat="1" applyFont="1" applyFill="1" applyAlignment="1">
      <alignment horizontal="right"/>
    </xf>
    <xf numFmtId="0" fontId="11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6" fillId="2" borderId="0" xfId="0" applyFont="1" applyFill="1"/>
    <xf numFmtId="0" fontId="16" fillId="2" borderId="0" xfId="0" applyFont="1" applyFill="1" applyProtection="1">
      <protection locked="0"/>
    </xf>
    <xf numFmtId="0" fontId="6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wrapText="1"/>
    </xf>
    <xf numFmtId="165" fontId="7" fillId="2" borderId="0" xfId="0" applyNumberFormat="1" applyFont="1" applyFill="1" applyAlignment="1">
      <alignment horizontal="center"/>
    </xf>
    <xf numFmtId="165" fontId="8" fillId="2" borderId="29" xfId="0" applyNumberFormat="1" applyFont="1" applyFill="1" applyBorder="1" applyAlignment="1">
      <alignment horizontal="center" wrapText="1"/>
    </xf>
    <xf numFmtId="0" fontId="11" fillId="2" borderId="38" xfId="0" applyFont="1" applyFill="1" applyBorder="1" applyAlignment="1">
      <alignment horizontal="center"/>
    </xf>
    <xf numFmtId="0" fontId="11" fillId="2" borderId="37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 vertical="center" wrapText="1"/>
    </xf>
    <xf numFmtId="6" fontId="5" fillId="2" borderId="0" xfId="0" applyNumberFormat="1" applyFont="1" applyFill="1"/>
    <xf numFmtId="6" fontId="6" fillId="2" borderId="0" xfId="0" applyNumberFormat="1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11" fillId="2" borderId="28" xfId="0" applyFont="1" applyFill="1" applyBorder="1"/>
    <xf numFmtId="0" fontId="11" fillId="3" borderId="28" xfId="0" applyFont="1" applyFill="1" applyBorder="1"/>
    <xf numFmtId="6" fontId="11" fillId="3" borderId="43" xfId="0" applyNumberFormat="1" applyFont="1" applyFill="1" applyBorder="1"/>
    <xf numFmtId="0" fontId="13" fillId="2" borderId="0" xfId="0" applyFont="1" applyFill="1"/>
    <xf numFmtId="0" fontId="5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6" fontId="18" fillId="2" borderId="0" xfId="0" applyNumberFormat="1" applyFont="1" applyFill="1"/>
    <xf numFmtId="0" fontId="11" fillId="2" borderId="38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6" fontId="5" fillId="2" borderId="4" xfId="1" applyNumberFormat="1" applyFont="1" applyFill="1" applyBorder="1" applyAlignment="1" applyProtection="1">
      <alignment horizontal="center" vertical="center" wrapText="1"/>
    </xf>
    <xf numFmtId="9" fontId="6" fillId="2" borderId="0" xfId="9" applyFont="1" applyFill="1" applyBorder="1" applyAlignment="1"/>
    <xf numFmtId="9" fontId="6" fillId="2" borderId="0" xfId="9" applyFont="1" applyFill="1" applyBorder="1"/>
    <xf numFmtId="0" fontId="16" fillId="2" borderId="0" xfId="0" applyFont="1" applyFill="1" applyAlignment="1">
      <alignment vertical="center"/>
    </xf>
    <xf numFmtId="9" fontId="9" fillId="2" borderId="0" xfId="9" applyFont="1" applyFill="1" applyBorder="1" applyAlignment="1">
      <alignment horizontal="left"/>
    </xf>
    <xf numFmtId="9" fontId="18" fillId="2" borderId="0" xfId="9" applyFont="1" applyFill="1" applyBorder="1" applyAlignment="1">
      <alignment horizontal="left" wrapText="1"/>
    </xf>
    <xf numFmtId="9" fontId="18" fillId="2" borderId="0" xfId="9" applyFont="1" applyFill="1" applyBorder="1" applyAlignment="1">
      <alignment wrapText="1"/>
    </xf>
    <xf numFmtId="9" fontId="18" fillId="2" borderId="0" xfId="9" applyFont="1" applyFill="1" applyBorder="1" applyAlignment="1">
      <alignment horizontal="left"/>
    </xf>
    <xf numFmtId="10" fontId="18" fillId="2" borderId="0" xfId="9" applyNumberFormat="1" applyFont="1" applyFill="1" applyBorder="1" applyAlignment="1" applyProtection="1">
      <alignment horizontal="center"/>
    </xf>
    <xf numFmtId="9" fontId="18" fillId="2" borderId="0" xfId="9" applyFont="1" applyFill="1" applyBorder="1" applyAlignment="1">
      <alignment horizontal="center"/>
    </xf>
    <xf numFmtId="0" fontId="26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3" borderId="29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1" fillId="3" borderId="29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165" fontId="17" fillId="0" borderId="8" xfId="0" applyNumberFormat="1" applyFont="1" applyBorder="1" applyAlignment="1">
      <alignment horizontal="center" vertical="center" wrapText="1"/>
    </xf>
    <xf numFmtId="0" fontId="2" fillId="7" borderId="8" xfId="0" applyFont="1" applyFill="1" applyBorder="1" applyAlignment="1">
      <alignment horizontal="left"/>
    </xf>
    <xf numFmtId="0" fontId="2" fillId="0" borderId="8" xfId="0" applyFont="1" applyBorder="1" applyAlignment="1">
      <alignment horizontal="left" wrapText="1"/>
    </xf>
    <xf numFmtId="165" fontId="18" fillId="7" borderId="8" xfId="0" applyNumberFormat="1" applyFont="1" applyFill="1" applyBorder="1" applyAlignment="1">
      <alignment horizontal="right"/>
    </xf>
    <xf numFmtId="6" fontId="18" fillId="0" borderId="8" xfId="0" applyNumberFormat="1" applyFont="1" applyBorder="1" applyAlignment="1">
      <alignment horizontal="right"/>
    </xf>
    <xf numFmtId="0" fontId="6" fillId="9" borderId="0" xfId="0" applyFont="1" applyFill="1"/>
    <xf numFmtId="0" fontId="2" fillId="4" borderId="14" xfId="0" applyFont="1" applyFill="1" applyBorder="1" applyAlignment="1">
      <alignment horizontal="left" vertical="center" wrapText="1"/>
    </xf>
    <xf numFmtId="0" fontId="9" fillId="2" borderId="0" xfId="0" applyFont="1" applyFill="1"/>
    <xf numFmtId="165" fontId="11" fillId="2" borderId="2" xfId="0" applyNumberFormat="1" applyFont="1" applyFill="1" applyBorder="1" applyAlignment="1">
      <alignment horizontal="left"/>
    </xf>
    <xf numFmtId="0" fontId="6" fillId="2" borderId="0" xfId="14" applyFont="1" applyFill="1"/>
    <xf numFmtId="0" fontId="6" fillId="2" borderId="0" xfId="14" applyFont="1" applyFill="1" applyAlignment="1">
      <alignment horizontal="left" indent="10"/>
    </xf>
    <xf numFmtId="0" fontId="6" fillId="2" borderId="0" xfId="14" applyFont="1" applyFill="1" applyAlignment="1">
      <alignment horizontal="center"/>
    </xf>
    <xf numFmtId="0" fontId="6" fillId="3" borderId="0" xfId="14" applyFont="1" applyFill="1"/>
    <xf numFmtId="0" fontId="6" fillId="3" borderId="0" xfId="14" applyFont="1" applyFill="1" applyAlignment="1">
      <alignment horizontal="center"/>
    </xf>
    <xf numFmtId="0" fontId="6" fillId="2" borderId="0" xfId="14" applyFont="1" applyFill="1" applyAlignment="1">
      <alignment horizontal="left" wrapText="1"/>
    </xf>
    <xf numFmtId="0" fontId="8" fillId="2" borderId="0" xfId="14" applyFont="1" applyFill="1"/>
    <xf numFmtId="6" fontId="6" fillId="2" borderId="0" xfId="14" applyNumberFormat="1" applyFont="1" applyFill="1"/>
    <xf numFmtId="0" fontId="6" fillId="2" borderId="0" xfId="14" applyFont="1" applyFill="1" applyAlignment="1">
      <alignment horizontal="left"/>
    </xf>
    <xf numFmtId="0" fontId="2" fillId="2" borderId="0" xfId="14" applyFill="1"/>
    <xf numFmtId="0" fontId="27" fillId="2" borderId="0" xfId="14" applyFont="1" applyFill="1"/>
    <xf numFmtId="0" fontId="15" fillId="2" borderId="0" xfId="14" applyFont="1" applyFill="1" applyAlignment="1">
      <alignment horizontal="left"/>
    </xf>
    <xf numFmtId="0" fontId="15" fillId="2" borderId="0" xfId="14" applyFont="1" applyFill="1" applyAlignment="1">
      <alignment horizontal="left" wrapText="1"/>
    </xf>
    <xf numFmtId="0" fontId="15" fillId="2" borderId="0" xfId="14" applyFont="1" applyFill="1"/>
    <xf numFmtId="0" fontId="31" fillId="2" borderId="0" xfId="14" applyFont="1" applyFill="1"/>
    <xf numFmtId="0" fontId="2" fillId="2" borderId="0" xfId="14" applyFill="1" applyAlignment="1">
      <alignment horizontal="left"/>
    </xf>
    <xf numFmtId="0" fontId="2" fillId="2" borderId="0" xfId="14" applyFill="1" applyAlignment="1">
      <alignment horizontal="left" wrapText="1"/>
    </xf>
    <xf numFmtId="0" fontId="11" fillId="2" borderId="14" xfId="14" applyFont="1" applyFill="1" applyBorder="1" applyAlignment="1">
      <alignment horizontal="center"/>
    </xf>
    <xf numFmtId="0" fontId="32" fillId="2" borderId="0" xfId="14" applyFont="1" applyFill="1"/>
    <xf numFmtId="6" fontId="2" fillId="2" borderId="0" xfId="14" applyNumberFormat="1" applyFill="1"/>
    <xf numFmtId="6" fontId="18" fillId="2" borderId="0" xfId="14" applyNumberFormat="1" applyFont="1" applyFill="1"/>
    <xf numFmtId="0" fontId="22" fillId="2" borderId="0" xfId="14" applyFont="1" applyFill="1" applyAlignment="1">
      <alignment horizontal="left" vertical="top"/>
    </xf>
    <xf numFmtId="0" fontId="32" fillId="2" borderId="0" xfId="14" applyFont="1" applyFill="1" applyAlignment="1">
      <alignment horizontal="left"/>
    </xf>
    <xf numFmtId="0" fontId="17" fillId="2" borderId="0" xfId="0" applyFont="1" applyFill="1" applyAlignment="1">
      <alignment vertical="center" wrapText="1"/>
    </xf>
    <xf numFmtId="164" fontId="29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left" vertical="top"/>
    </xf>
    <xf numFmtId="0" fontId="2" fillId="2" borderId="28" xfId="0" applyFont="1" applyFill="1" applyBorder="1"/>
    <xf numFmtId="0" fontId="11" fillId="2" borderId="29" xfId="0" applyFont="1" applyFill="1" applyBorder="1" applyAlignment="1">
      <alignment horizontal="center" vertical="center" wrapText="1"/>
    </xf>
    <xf numFmtId="0" fontId="2" fillId="12" borderId="28" xfId="0" applyFont="1" applyFill="1" applyBorder="1"/>
    <xf numFmtId="0" fontId="11" fillId="2" borderId="2" xfId="0" applyFont="1" applyFill="1" applyBorder="1" applyAlignment="1">
      <alignment horizontal="center" vertical="top" wrapText="1"/>
    </xf>
    <xf numFmtId="0" fontId="11" fillId="2" borderId="33" xfId="0" applyFont="1" applyFill="1" applyBorder="1" applyAlignment="1">
      <alignment horizontal="center" vertical="top" wrapText="1"/>
    </xf>
    <xf numFmtId="6" fontId="18" fillId="2" borderId="34" xfId="0" applyNumberFormat="1" applyFont="1" applyFill="1" applyBorder="1"/>
    <xf numFmtId="0" fontId="11" fillId="2" borderId="2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65" fontId="11" fillId="2" borderId="44" xfId="0" applyNumberFormat="1" applyFont="1" applyFill="1" applyBorder="1" applyAlignment="1">
      <alignment horizontal="center" vertical="center" wrapText="1"/>
    </xf>
    <xf numFmtId="165" fontId="11" fillId="2" borderId="48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wrapText="1"/>
    </xf>
    <xf numFmtId="9" fontId="6" fillId="2" borderId="28" xfId="9" applyFont="1" applyFill="1" applyBorder="1"/>
    <xf numFmtId="9" fontId="18" fillId="2" borderId="28" xfId="9" applyFont="1" applyFill="1" applyBorder="1" applyAlignment="1">
      <alignment wrapText="1"/>
    </xf>
    <xf numFmtId="0" fontId="2" fillId="2" borderId="2" xfId="0" applyFont="1" applyFill="1" applyBorder="1" applyAlignment="1">
      <alignment horizontal="left" wrapText="1"/>
    </xf>
    <xf numFmtId="10" fontId="18" fillId="2" borderId="28" xfId="9" applyNumberFormat="1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6" borderId="2" xfId="0" applyFont="1" applyFill="1" applyBorder="1" applyAlignment="1">
      <alignment horizontal="left" wrapText="1"/>
    </xf>
    <xf numFmtId="6" fontId="11" fillId="0" borderId="43" xfId="0" applyNumberFormat="1" applyFont="1" applyBorder="1"/>
    <xf numFmtId="0" fontId="11" fillId="2" borderId="28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174" fontId="11" fillId="2" borderId="28" xfId="0" applyNumberFormat="1" applyFont="1" applyFill="1" applyBorder="1" applyAlignment="1">
      <alignment horizontal="right" vertical="center"/>
    </xf>
    <xf numFmtId="10" fontId="11" fillId="2" borderId="29" xfId="9" applyNumberFormat="1" applyFont="1" applyFill="1" applyBorder="1"/>
    <xf numFmtId="168" fontId="17" fillId="2" borderId="28" xfId="1" applyNumberFormat="1" applyFont="1" applyFill="1" applyBorder="1"/>
    <xf numFmtId="168" fontId="11" fillId="2" borderId="29" xfId="1" applyNumberFormat="1" applyFont="1" applyFill="1" applyBorder="1"/>
    <xf numFmtId="175" fontId="11" fillId="2" borderId="29" xfId="9" applyNumberFormat="1" applyFont="1" applyFill="1" applyBorder="1"/>
    <xf numFmtId="165" fontId="8" fillId="2" borderId="32" xfId="0" applyNumberFormat="1" applyFont="1" applyFill="1" applyBorder="1" applyAlignment="1">
      <alignment horizontal="center"/>
    </xf>
    <xf numFmtId="0" fontId="11" fillId="2" borderId="34" xfId="0" applyFont="1" applyFill="1" applyBorder="1" applyAlignment="1">
      <alignment horizontal="left"/>
    </xf>
    <xf numFmtId="10" fontId="17" fillId="2" borderId="0" xfId="9" applyNumberFormat="1" applyFont="1" applyFill="1" applyBorder="1" applyAlignment="1" applyProtection="1">
      <alignment horizontal="left"/>
      <protection locked="0"/>
    </xf>
    <xf numFmtId="9" fontId="17" fillId="2" borderId="0" xfId="9" applyFont="1" applyFill="1" applyBorder="1" applyAlignment="1">
      <alignment horizontal="center"/>
    </xf>
    <xf numFmtId="9" fontId="17" fillId="2" borderId="28" xfId="9" applyFont="1" applyFill="1" applyBorder="1" applyAlignment="1">
      <alignment horizontal="center"/>
    </xf>
    <xf numFmtId="10" fontId="17" fillId="2" borderId="0" xfId="9" applyNumberFormat="1" applyFont="1" applyFill="1" applyBorder="1" applyAlignment="1">
      <alignment horizontal="center"/>
    </xf>
    <xf numFmtId="10" fontId="17" fillId="2" borderId="28" xfId="9" applyNumberFormat="1" applyFont="1" applyFill="1" applyBorder="1" applyAlignment="1">
      <alignment horizontal="center"/>
    </xf>
    <xf numFmtId="0" fontId="2" fillId="2" borderId="8" xfId="0" applyFont="1" applyFill="1" applyBorder="1"/>
    <xf numFmtId="0" fontId="2" fillId="2" borderId="21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horizontal="center" wrapText="1"/>
    </xf>
    <xf numFmtId="6" fontId="11" fillId="2" borderId="34" xfId="0" applyNumberFormat="1" applyFont="1" applyFill="1" applyBorder="1"/>
    <xf numFmtId="6" fontId="11" fillId="2" borderId="35" xfId="0" applyNumberFormat="1" applyFont="1" applyFill="1" applyBorder="1"/>
    <xf numFmtId="0" fontId="2" fillId="2" borderId="52" xfId="14" applyFill="1" applyBorder="1" applyAlignment="1">
      <alignment horizontal="left" wrapText="1"/>
    </xf>
    <xf numFmtId="6" fontId="18" fillId="2" borderId="52" xfId="14" applyNumberFormat="1" applyFont="1" applyFill="1" applyBorder="1" applyAlignment="1">
      <alignment vertical="center"/>
    </xf>
    <xf numFmtId="6" fontId="2" fillId="2" borderId="53" xfId="14" applyNumberFormat="1" applyFill="1" applyBorder="1" applyAlignment="1">
      <alignment vertical="center"/>
    </xf>
    <xf numFmtId="6" fontId="2" fillId="2" borderId="54" xfId="14" applyNumberFormat="1" applyFill="1" applyBorder="1" applyAlignment="1">
      <alignment vertical="center"/>
    </xf>
    <xf numFmtId="0" fontId="2" fillId="2" borderId="55" xfId="14" applyFill="1" applyBorder="1" applyAlignment="1">
      <alignment horizontal="left" wrapText="1"/>
    </xf>
    <xf numFmtId="6" fontId="18" fillId="2" borderId="55" xfId="14" applyNumberFormat="1" applyFont="1" applyFill="1" applyBorder="1" applyAlignment="1">
      <alignment vertical="center"/>
    </xf>
    <xf numFmtId="6" fontId="2" fillId="2" borderId="56" xfId="14" applyNumberFormat="1" applyFill="1" applyBorder="1" applyAlignment="1">
      <alignment vertical="center"/>
    </xf>
    <xf numFmtId="6" fontId="2" fillId="2" borderId="57" xfId="14" applyNumberFormat="1" applyFill="1" applyBorder="1" applyAlignment="1">
      <alignment vertical="center"/>
    </xf>
    <xf numFmtId="0" fontId="2" fillId="2" borderId="58" xfId="14" applyFill="1" applyBorder="1" applyAlignment="1">
      <alignment horizontal="left" wrapText="1"/>
    </xf>
    <xf numFmtId="6" fontId="18" fillId="2" borderId="58" xfId="14" applyNumberFormat="1" applyFont="1" applyFill="1" applyBorder="1" applyAlignment="1">
      <alignment vertical="center"/>
    </xf>
    <xf numFmtId="6" fontId="2" fillId="2" borderId="59" xfId="14" applyNumberFormat="1" applyFill="1" applyBorder="1" applyAlignment="1">
      <alignment vertical="center"/>
    </xf>
    <xf numFmtId="6" fontId="2" fillId="2" borderId="60" xfId="14" applyNumberFormat="1" applyFill="1" applyBorder="1" applyAlignment="1">
      <alignment vertical="center"/>
    </xf>
    <xf numFmtId="0" fontId="2" fillId="2" borderId="15" xfId="14" applyFill="1" applyBorder="1" applyAlignment="1">
      <alignment horizontal="left" wrapText="1"/>
    </xf>
    <xf numFmtId="6" fontId="18" fillId="2" borderId="16" xfId="14" applyNumberFormat="1" applyFont="1" applyFill="1" applyBorder="1"/>
    <xf numFmtId="6" fontId="2" fillId="2" borderId="16" xfId="14" applyNumberFormat="1" applyFill="1" applyBorder="1"/>
    <xf numFmtId="6" fontId="2" fillId="2" borderId="17" xfId="14" applyNumberFormat="1" applyFill="1" applyBorder="1"/>
    <xf numFmtId="6" fontId="2" fillId="2" borderId="16" xfId="14" applyNumberFormat="1" applyFill="1" applyBorder="1" applyAlignment="1">
      <alignment horizontal="right"/>
    </xf>
    <xf numFmtId="6" fontId="2" fillId="2" borderId="17" xfId="14" applyNumberForma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6" fontId="2" fillId="0" borderId="11" xfId="1" applyNumberFormat="1" applyFont="1" applyFill="1" applyBorder="1" applyAlignment="1" applyProtection="1">
      <alignment horizontal="right" vertical="center"/>
      <protection locked="0"/>
    </xf>
    <xf numFmtId="6" fontId="2" fillId="2" borderId="0" xfId="0" applyNumberFormat="1" applyFont="1" applyFill="1" applyAlignment="1">
      <alignment horizontal="left"/>
    </xf>
    <xf numFmtId="6" fontId="2" fillId="0" borderId="12" xfId="1" applyNumberFormat="1" applyFont="1" applyFill="1" applyBorder="1" applyAlignment="1" applyProtection="1">
      <alignment horizontal="right" vertical="center"/>
      <protection locked="0"/>
    </xf>
    <xf numFmtId="6" fontId="2" fillId="2" borderId="0" xfId="1" applyNumberFormat="1" applyFont="1" applyFill="1" applyBorder="1" applyAlignment="1">
      <alignment horizontal="left" wrapText="1"/>
    </xf>
    <xf numFmtId="6" fontId="2" fillId="2" borderId="0" xfId="1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Alignment="1">
      <alignment horizontal="center" wrapText="1"/>
    </xf>
    <xf numFmtId="0" fontId="2" fillId="2" borderId="22" xfId="0" applyFont="1" applyFill="1" applyBorder="1" applyAlignment="1">
      <alignment horizontal="left" vertical="center" wrapText="1"/>
    </xf>
    <xf numFmtId="6" fontId="2" fillId="8" borderId="8" xfId="1" applyNumberFormat="1" applyFont="1" applyFill="1" applyBorder="1" applyAlignment="1" applyProtection="1">
      <alignment horizontal="right"/>
      <protection locked="0"/>
    </xf>
    <xf numFmtId="6" fontId="18" fillId="0" borderId="8" xfId="1" applyNumberFormat="1" applyFont="1" applyFill="1" applyBorder="1" applyAlignment="1" applyProtection="1">
      <alignment horizontal="right"/>
    </xf>
    <xf numFmtId="0" fontId="2" fillId="2" borderId="0" xfId="0" applyFont="1" applyFill="1"/>
    <xf numFmtId="6" fontId="2" fillId="8" borderId="8" xfId="1" applyNumberFormat="1" applyFont="1" applyFill="1" applyBorder="1" applyAlignment="1" applyProtection="1">
      <alignment horizontal="right"/>
    </xf>
    <xf numFmtId="0" fontId="18" fillId="2" borderId="0" xfId="14" applyFont="1" applyFill="1" applyAlignment="1">
      <alignment horizontal="center"/>
    </xf>
    <xf numFmtId="165" fontId="17" fillId="2" borderId="8" xfId="14" applyNumberFormat="1" applyFont="1" applyFill="1" applyBorder="1" applyAlignment="1">
      <alignment horizontal="center" vertical="center"/>
    </xf>
    <xf numFmtId="165" fontId="11" fillId="2" borderId="8" xfId="14" applyNumberFormat="1" applyFont="1" applyFill="1" applyBorder="1" applyAlignment="1">
      <alignment horizontal="center" vertical="center" wrapText="1"/>
    </xf>
    <xf numFmtId="0" fontId="11" fillId="2" borderId="13" xfId="14" applyFont="1" applyFill="1" applyBorder="1" applyAlignment="1">
      <alignment horizontal="center"/>
    </xf>
    <xf numFmtId="6" fontId="11" fillId="0" borderId="50" xfId="2" applyNumberFormat="1" applyFont="1" applyFill="1" applyBorder="1" applyAlignment="1" applyProtection="1">
      <alignment horizontal="center" vertical="center" wrapText="1"/>
    </xf>
    <xf numFmtId="169" fontId="6" fillId="8" borderId="10" xfId="2" applyNumberFormat="1" applyFont="1" applyFill="1" applyBorder="1" applyAlignment="1" applyProtection="1">
      <protection locked="0"/>
    </xf>
    <xf numFmtId="6" fontId="11" fillId="2" borderId="8" xfId="1" applyNumberFormat="1" applyFont="1" applyFill="1" applyBorder="1" applyAlignment="1">
      <alignment wrapText="1"/>
    </xf>
    <xf numFmtId="6" fontId="11" fillId="2" borderId="0" xfId="1" applyNumberFormat="1" applyFont="1" applyFill="1" applyBorder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11" fillId="2" borderId="15" xfId="0" applyFont="1" applyFill="1" applyBorder="1" applyAlignment="1">
      <alignment wrapText="1"/>
    </xf>
    <xf numFmtId="169" fontId="11" fillId="2" borderId="38" xfId="2" applyNumberFormat="1" applyFont="1" applyFill="1" applyBorder="1" applyAlignment="1" applyProtection="1">
      <alignment horizontal="left" vertical="center" wrapText="1"/>
    </xf>
    <xf numFmtId="6" fontId="24" fillId="2" borderId="25" xfId="2" applyNumberFormat="1" applyFont="1" applyFill="1" applyBorder="1" applyAlignment="1" applyProtection="1">
      <alignment horizontal="right" vertical="center" wrapText="1"/>
    </xf>
    <xf numFmtId="6" fontId="24" fillId="2" borderId="37" xfId="2" applyNumberFormat="1" applyFont="1" applyFill="1" applyBorder="1" applyAlignment="1" applyProtection="1">
      <alignment horizontal="right" vertical="center" wrapText="1"/>
    </xf>
    <xf numFmtId="6" fontId="8" fillId="2" borderId="16" xfId="2" applyNumberFormat="1" applyFont="1" applyFill="1" applyBorder="1" applyAlignment="1" applyProtection="1">
      <alignment horizontal="right"/>
    </xf>
    <xf numFmtId="6" fontId="11" fillId="2" borderId="17" xfId="0" applyNumberFormat="1" applyFont="1" applyFill="1" applyBorder="1" applyAlignment="1">
      <alignment horizontal="right"/>
    </xf>
    <xf numFmtId="165" fontId="11" fillId="0" borderId="14" xfId="0" applyNumberFormat="1" applyFont="1" applyBorder="1" applyAlignment="1">
      <alignment horizontal="center" vertical="center" wrapText="1"/>
    </xf>
    <xf numFmtId="165" fontId="11" fillId="0" borderId="8" xfId="0" applyNumberFormat="1" applyFont="1" applyBorder="1" applyAlignment="1">
      <alignment horizontal="center" vertical="center" wrapText="1"/>
    </xf>
    <xf numFmtId="165" fontId="11" fillId="2" borderId="40" xfId="0" applyNumberFormat="1" applyFont="1" applyFill="1" applyBorder="1" applyAlignment="1">
      <alignment horizontal="center" vertical="center" wrapText="1"/>
    </xf>
    <xf numFmtId="165" fontId="11" fillId="2" borderId="27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horizontal="center" vertical="center" wrapText="1"/>
    </xf>
    <xf numFmtId="179" fontId="0" fillId="9" borderId="7" xfId="1" applyNumberFormat="1" applyFont="1" applyFill="1" applyBorder="1"/>
    <xf numFmtId="179" fontId="0" fillId="9" borderId="28" xfId="1" applyNumberFormat="1" applyFont="1" applyFill="1" applyBorder="1"/>
    <xf numFmtId="178" fontId="2" fillId="9" borderId="9" xfId="0" applyNumberFormat="1" applyFont="1" applyFill="1" applyBorder="1" applyAlignment="1" applyProtection="1">
      <alignment horizontal="center" wrapText="1"/>
      <protection locked="0"/>
    </xf>
    <xf numFmtId="178" fontId="2" fillId="9" borderId="49" xfId="0" applyNumberFormat="1" applyFont="1" applyFill="1" applyBorder="1" applyAlignment="1" applyProtection="1">
      <alignment horizontal="center" wrapText="1"/>
      <protection locked="0"/>
    </xf>
    <xf numFmtId="6" fontId="34" fillId="0" borderId="8" xfId="1" applyNumberFormat="1" applyFont="1" applyFill="1" applyBorder="1" applyAlignment="1" applyProtection="1">
      <alignment horizontal="right"/>
    </xf>
    <xf numFmtId="168" fontId="34" fillId="0" borderId="11" xfId="2" applyNumberFormat="1" applyFont="1" applyFill="1" applyBorder="1" applyAlignment="1" applyProtection="1">
      <alignment vertical="center"/>
    </xf>
    <xf numFmtId="6" fontId="34" fillId="0" borderId="7" xfId="2" applyNumberFormat="1" applyFont="1" applyFill="1" applyBorder="1" applyAlignment="1">
      <alignment vertical="center"/>
    </xf>
    <xf numFmtId="6" fontId="34" fillId="0" borderId="9" xfId="2" applyNumberFormat="1" applyFont="1" applyFill="1" applyBorder="1" applyAlignment="1">
      <alignment vertical="center"/>
    </xf>
    <xf numFmtId="0" fontId="35" fillId="8" borderId="7" xfId="0" applyFont="1" applyFill="1" applyBorder="1"/>
    <xf numFmtId="0" fontId="35" fillId="8" borderId="9" xfId="0" applyFont="1" applyFill="1" applyBorder="1"/>
    <xf numFmtId="6" fontId="6" fillId="9" borderId="12" xfId="0" applyNumberFormat="1" applyFont="1" applyFill="1" applyBorder="1" applyAlignment="1" applyProtection="1">
      <alignment wrapText="1"/>
      <protection locked="0"/>
    </xf>
    <xf numFmtId="6" fontId="2" fillId="2" borderId="27" xfId="2" applyNumberFormat="1" applyFont="1" applyFill="1" applyBorder="1" applyAlignment="1" applyProtection="1"/>
    <xf numFmtId="169" fontId="2" fillId="2" borderId="27" xfId="2" applyNumberFormat="1" applyFont="1" applyFill="1" applyBorder="1" applyAlignment="1" applyProtection="1"/>
    <xf numFmtId="168" fontId="2" fillId="2" borderId="27" xfId="2" applyNumberFormat="1" applyFont="1" applyFill="1" applyBorder="1" applyAlignment="1" applyProtection="1"/>
    <xf numFmtId="6" fontId="2" fillId="2" borderId="37" xfId="2" applyNumberFormat="1" applyFont="1" applyFill="1" applyBorder="1" applyAlignment="1" applyProtection="1">
      <alignment horizontal="right"/>
    </xf>
    <xf numFmtId="168" fontId="11" fillId="0" borderId="11" xfId="2" applyNumberFormat="1" applyFont="1" applyFill="1" applyBorder="1" applyAlignment="1" applyProtection="1">
      <alignment horizontal="center" vertical="center" wrapText="1"/>
    </xf>
    <xf numFmtId="170" fontId="35" fillId="8" borderId="8" xfId="0" applyNumberFormat="1" applyFont="1" applyFill="1" applyBorder="1" applyAlignment="1" applyProtection="1">
      <alignment horizontal="right"/>
      <protection locked="0"/>
    </xf>
    <xf numFmtId="6" fontId="2" fillId="0" borderId="8" xfId="0" applyNumberFormat="1" applyFont="1" applyBorder="1" applyAlignment="1">
      <alignment horizontal="right"/>
    </xf>
    <xf numFmtId="181" fontId="2" fillId="2" borderId="51" xfId="0" applyNumberFormat="1" applyFont="1" applyFill="1" applyBorder="1" applyAlignment="1">
      <alignment horizontal="center" wrapText="1"/>
    </xf>
    <xf numFmtId="180" fontId="2" fillId="2" borderId="51" xfId="0" applyNumberFormat="1" applyFont="1" applyFill="1" applyBorder="1" applyAlignment="1">
      <alignment horizontal="center" wrapText="1"/>
    </xf>
    <xf numFmtId="178" fontId="2" fillId="2" borderId="61" xfId="0" applyNumberFormat="1" applyFont="1" applyFill="1" applyBorder="1" applyAlignment="1">
      <alignment horizontal="center" wrapText="1"/>
    </xf>
    <xf numFmtId="168" fontId="18" fillId="8" borderId="8" xfId="2" applyNumberFormat="1" applyFont="1" applyFill="1" applyBorder="1" applyAlignment="1" applyProtection="1">
      <alignment vertical="center"/>
    </xf>
    <xf numFmtId="169" fontId="36" fillId="8" borderId="8" xfId="2" applyNumberFormat="1" applyFont="1" applyFill="1" applyBorder="1" applyAlignment="1" applyProtection="1">
      <protection locked="0"/>
    </xf>
    <xf numFmtId="8" fontId="6" fillId="9" borderId="11" xfId="0" applyNumberFormat="1" applyFont="1" applyFill="1" applyBorder="1" applyAlignment="1" applyProtection="1">
      <alignment wrapText="1"/>
      <protection locked="0"/>
    </xf>
    <xf numFmtId="165" fontId="18" fillId="10" borderId="8" xfId="0" applyNumberFormat="1" applyFont="1" applyFill="1" applyBorder="1" applyAlignment="1">
      <alignment horizontal="right"/>
    </xf>
    <xf numFmtId="178" fontId="35" fillId="8" borderId="7" xfId="0" applyNumberFormat="1" applyFont="1" applyFill="1" applyBorder="1" applyAlignment="1" applyProtection="1">
      <alignment horizontal="center" wrapText="1"/>
      <protection locked="0"/>
    </xf>
    <xf numFmtId="179" fontId="18" fillId="8" borderId="51" xfId="0" applyNumberFormat="1" applyFont="1" applyFill="1" applyBorder="1" applyAlignment="1">
      <alignment horizontal="center" wrapText="1"/>
    </xf>
    <xf numFmtId="170" fontId="6" fillId="2" borderId="0" xfId="0" applyNumberFormat="1" applyFont="1" applyFill="1"/>
    <xf numFmtId="0" fontId="2" fillId="0" borderId="8" xfId="0" applyFont="1" applyBorder="1"/>
    <xf numFmtId="168" fontId="34" fillId="0" borderId="12" xfId="2" applyNumberFormat="1" applyFont="1" applyFill="1" applyBorder="1" applyAlignment="1" applyProtection="1">
      <alignment vertical="center"/>
    </xf>
    <xf numFmtId="6" fontId="18" fillId="2" borderId="29" xfId="0" applyNumberFormat="1" applyFont="1" applyFill="1" applyBorder="1"/>
    <xf numFmtId="6" fontId="5" fillId="2" borderId="3" xfId="0" applyNumberFormat="1" applyFont="1" applyFill="1" applyBorder="1"/>
    <xf numFmtId="6" fontId="6" fillId="2" borderId="3" xfId="0" applyNumberFormat="1" applyFont="1" applyFill="1" applyBorder="1"/>
    <xf numFmtId="6" fontId="17" fillId="2" borderId="41" xfId="0" applyNumberFormat="1" applyFont="1" applyFill="1" applyBorder="1"/>
    <xf numFmtId="6" fontId="11" fillId="2" borderId="41" xfId="0" applyNumberFormat="1" applyFont="1" applyFill="1" applyBorder="1"/>
    <xf numFmtId="0" fontId="0" fillId="0" borderId="19" xfId="0" applyBorder="1"/>
    <xf numFmtId="0" fontId="0" fillId="0" borderId="64" xfId="0" applyBorder="1"/>
    <xf numFmtId="0" fontId="0" fillId="0" borderId="23" xfId="0" applyBorder="1"/>
    <xf numFmtId="0" fontId="0" fillId="0" borderId="30" xfId="0" applyBorder="1"/>
    <xf numFmtId="178" fontId="35" fillId="8" borderId="11" xfId="0" applyNumberFormat="1" applyFont="1" applyFill="1" applyBorder="1" applyAlignment="1" applyProtection="1">
      <alignment horizontal="center" wrapText="1"/>
      <protection locked="0"/>
    </xf>
    <xf numFmtId="6" fontId="11" fillId="2" borderId="16" xfId="1" applyNumberFormat="1" applyFont="1" applyFill="1" applyBorder="1" applyAlignment="1" applyProtection="1">
      <alignment horizontal="right" vertical="center" wrapText="1"/>
    </xf>
    <xf numFmtId="6" fontId="11" fillId="2" borderId="15" xfId="0" applyNumberFormat="1" applyFont="1" applyFill="1" applyBorder="1" applyAlignment="1">
      <alignment horizontal="right" vertical="center"/>
    </xf>
    <xf numFmtId="0" fontId="37" fillId="2" borderId="0" xfId="0" applyFont="1" applyFill="1"/>
    <xf numFmtId="0" fontId="11" fillId="2" borderId="41" xfId="0" applyFont="1" applyFill="1" applyBorder="1" applyAlignment="1">
      <alignment horizontal="left" vertical="center" wrapText="1"/>
    </xf>
    <xf numFmtId="0" fontId="11" fillId="2" borderId="41" xfId="0" applyFont="1" applyFill="1" applyBorder="1" applyAlignment="1">
      <alignment horizontal="center" vertical="center"/>
    </xf>
    <xf numFmtId="0" fontId="38" fillId="2" borderId="31" xfId="0" applyFont="1" applyFill="1" applyBorder="1" applyAlignment="1">
      <alignment horizontal="center"/>
    </xf>
    <xf numFmtId="170" fontId="38" fillId="2" borderId="31" xfId="0" applyNumberFormat="1" applyFont="1" applyFill="1" applyBorder="1" applyAlignment="1">
      <alignment horizontal="center"/>
    </xf>
    <xf numFmtId="170" fontId="38" fillId="2" borderId="35" xfId="0" applyNumberFormat="1" applyFont="1" applyFill="1" applyBorder="1" applyAlignment="1">
      <alignment horizontal="center"/>
    </xf>
    <xf numFmtId="0" fontId="39" fillId="2" borderId="21" xfId="0" applyFont="1" applyFill="1" applyBorder="1"/>
    <xf numFmtId="165" fontId="39" fillId="2" borderId="21" xfId="0" applyNumberFormat="1" applyFont="1" applyFill="1" applyBorder="1"/>
    <xf numFmtId="165" fontId="39" fillId="2" borderId="33" xfId="0" applyNumberFormat="1" applyFont="1" applyFill="1" applyBorder="1"/>
    <xf numFmtId="0" fontId="38" fillId="2" borderId="15" xfId="0" applyFont="1" applyFill="1" applyBorder="1"/>
    <xf numFmtId="0" fontId="38" fillId="14" borderId="4" xfId="0" applyFont="1" applyFill="1" applyBorder="1" applyAlignment="1">
      <alignment horizontal="center"/>
    </xf>
    <xf numFmtId="0" fontId="11" fillId="3" borderId="29" xfId="0" applyFont="1" applyFill="1" applyBorder="1" applyAlignment="1">
      <alignment horizontal="left" vertical="center"/>
    </xf>
    <xf numFmtId="0" fontId="11" fillId="2" borderId="0" xfId="0" applyFont="1" applyFill="1" applyAlignment="1" applyProtection="1">
      <alignment horizontal="left" wrapText="1"/>
      <protection locked="0"/>
    </xf>
    <xf numFmtId="165" fontId="39" fillId="2" borderId="0" xfId="0" applyNumberFormat="1" applyFont="1" applyFill="1"/>
    <xf numFmtId="170" fontId="38" fillId="2" borderId="0" xfId="0" applyNumberFormat="1" applyFont="1" applyFill="1" applyAlignment="1">
      <alignment horizontal="center"/>
    </xf>
    <xf numFmtId="0" fontId="2" fillId="10" borderId="14" xfId="0" applyFont="1" applyFill="1" applyBorder="1" applyAlignment="1">
      <alignment horizontal="left" vertical="center" wrapText="1"/>
    </xf>
    <xf numFmtId="0" fontId="38" fillId="2" borderId="32" xfId="0" applyFont="1" applyFill="1" applyBorder="1" applyAlignment="1">
      <alignment horizontal="center"/>
    </xf>
    <xf numFmtId="170" fontId="38" fillId="2" borderId="32" xfId="0" applyNumberFormat="1" applyFont="1" applyFill="1" applyBorder="1" applyAlignment="1">
      <alignment horizontal="center"/>
    </xf>
    <xf numFmtId="170" fontId="38" fillId="2" borderId="41" xfId="0" applyNumberFormat="1" applyFont="1" applyFill="1" applyBorder="1" applyAlignment="1">
      <alignment horizontal="center"/>
    </xf>
    <xf numFmtId="0" fontId="39" fillId="2" borderId="13" xfId="0" applyFont="1" applyFill="1" applyBorder="1"/>
    <xf numFmtId="175" fontId="39" fillId="2" borderId="8" xfId="9" applyNumberFormat="1" applyFont="1" applyFill="1" applyBorder="1"/>
    <xf numFmtId="0" fontId="6" fillId="2" borderId="2" xfId="0" applyFont="1" applyFill="1" applyBorder="1"/>
    <xf numFmtId="0" fontId="6" fillId="2" borderId="28" xfId="0" applyFont="1" applyFill="1" applyBorder="1"/>
    <xf numFmtId="0" fontId="39" fillId="2" borderId="66" xfId="0" applyFont="1" applyFill="1" applyBorder="1"/>
    <xf numFmtId="175" fontId="39" fillId="2" borderId="11" xfId="9" applyNumberFormat="1" applyFont="1" applyFill="1" applyBorder="1"/>
    <xf numFmtId="0" fontId="39" fillId="2" borderId="67" xfId="0" applyFont="1" applyFill="1" applyBorder="1"/>
    <xf numFmtId="0" fontId="39" fillId="2" borderId="68" xfId="0" applyFont="1" applyFill="1" applyBorder="1"/>
    <xf numFmtId="175" fontId="39" fillId="2" borderId="10" xfId="9" applyNumberFormat="1" applyFont="1" applyFill="1" applyBorder="1"/>
    <xf numFmtId="175" fontId="39" fillId="2" borderId="12" xfId="9" applyNumberFormat="1" applyFont="1" applyFill="1" applyBorder="1"/>
    <xf numFmtId="10" fontId="6" fillId="2" borderId="0" xfId="0" applyNumberFormat="1" applyFont="1" applyFill="1"/>
    <xf numFmtId="0" fontId="2" fillId="13" borderId="4" xfId="0" applyFont="1" applyFill="1" applyBorder="1" applyAlignment="1">
      <alignment horizontal="center"/>
    </xf>
    <xf numFmtId="0" fontId="38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 indent="1"/>
    </xf>
    <xf numFmtId="0" fontId="19" fillId="2" borderId="0" xfId="14" applyFont="1" applyFill="1"/>
    <xf numFmtId="165" fontId="2" fillId="2" borderId="28" xfId="0" applyNumberFormat="1" applyFont="1" applyFill="1" applyBorder="1" applyAlignment="1">
      <alignment horizontal="left" wrapText="1"/>
    </xf>
    <xf numFmtId="165" fontId="11" fillId="2" borderId="33" xfId="0" applyNumberFormat="1" applyFont="1" applyFill="1" applyBorder="1" applyAlignment="1">
      <alignment horizontal="left"/>
    </xf>
    <xf numFmtId="165" fontId="2" fillId="2" borderId="35" xfId="0" applyNumberFormat="1" applyFont="1" applyFill="1" applyBorder="1" applyAlignment="1">
      <alignment horizontal="left" wrapText="1"/>
    </xf>
    <xf numFmtId="0" fontId="6" fillId="2" borderId="0" xfId="0" applyFont="1" applyFill="1" applyAlignment="1">
      <alignment horizontal="center"/>
    </xf>
    <xf numFmtId="0" fontId="0" fillId="0" borderId="63" xfId="0" applyBorder="1"/>
    <xf numFmtId="0" fontId="0" fillId="0" borderId="62" xfId="0" applyBorder="1"/>
    <xf numFmtId="0" fontId="40" fillId="0" borderId="0" xfId="0" applyFont="1"/>
    <xf numFmtId="0" fontId="40" fillId="0" borderId="0" xfId="0" quotePrefix="1" applyFont="1"/>
    <xf numFmtId="0" fontId="0" fillId="0" borderId="65" xfId="0" applyBorder="1"/>
    <xf numFmtId="0" fontId="0" fillId="0" borderId="24" xfId="0" applyBorder="1"/>
    <xf numFmtId="165" fontId="6" fillId="2" borderId="0" xfId="0" applyNumberFormat="1" applyFont="1" applyFill="1" applyAlignment="1">
      <alignment horizontal="center"/>
    </xf>
    <xf numFmtId="0" fontId="41" fillId="0" borderId="62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23" xfId="0" applyFont="1" applyBorder="1" applyAlignment="1">
      <alignment horizontal="center"/>
    </xf>
    <xf numFmtId="6" fontId="11" fillId="2" borderId="9" xfId="1" applyNumberFormat="1" applyFont="1" applyFill="1" applyBorder="1" applyAlignment="1">
      <alignment horizontal="left" vertical="center" wrapText="1"/>
    </xf>
    <xf numFmtId="6" fontId="11" fillId="2" borderId="10" xfId="1" applyNumberFormat="1" applyFont="1" applyFill="1" applyBorder="1" applyAlignment="1">
      <alignment horizontal="left" vertical="center" wrapText="1"/>
    </xf>
    <xf numFmtId="6" fontId="11" fillId="2" borderId="7" xfId="1" applyNumberFormat="1" applyFont="1" applyFill="1" applyBorder="1" applyAlignment="1">
      <alignment horizontal="left" vertical="center" wrapText="1"/>
    </xf>
    <xf numFmtId="6" fontId="11" fillId="2" borderId="8" xfId="1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6" fontId="23" fillId="2" borderId="15" xfId="2" applyNumberFormat="1" applyFont="1" applyFill="1" applyBorder="1" applyAlignment="1" applyProtection="1">
      <alignment horizontal="center" vertical="center"/>
    </xf>
    <xf numFmtId="6" fontId="23" fillId="2" borderId="16" xfId="2" applyNumberFormat="1" applyFont="1" applyFill="1" applyBorder="1" applyAlignment="1" applyProtection="1">
      <alignment horizontal="center" vertical="center"/>
    </xf>
    <xf numFmtId="6" fontId="23" fillId="2" borderId="17" xfId="2" applyNumberFormat="1" applyFont="1" applyFill="1" applyBorder="1" applyAlignment="1" applyProtection="1">
      <alignment horizontal="center" vertical="center"/>
    </xf>
    <xf numFmtId="0" fontId="17" fillId="2" borderId="28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left" vertical="center"/>
    </xf>
    <xf numFmtId="165" fontId="11" fillId="2" borderId="69" xfId="0" applyNumberFormat="1" applyFont="1" applyFill="1" applyBorder="1" applyAlignment="1">
      <alignment horizontal="center"/>
    </xf>
    <xf numFmtId="165" fontId="6" fillId="2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11" fillId="10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1" fillId="5" borderId="28" xfId="0" applyFont="1" applyFill="1" applyBorder="1" applyAlignment="1">
      <alignment horizontal="center"/>
    </xf>
    <xf numFmtId="6" fontId="5" fillId="2" borderId="0" xfId="0" applyNumberFormat="1" applyFont="1" applyFill="1" applyAlignment="1">
      <alignment horizontal="center"/>
    </xf>
    <xf numFmtId="0" fontId="20" fillId="2" borderId="0" xfId="14" applyFont="1" applyFill="1" applyAlignment="1">
      <alignment horizontal="left" vertical="justify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indent="5"/>
    </xf>
    <xf numFmtId="0" fontId="6" fillId="3" borderId="0" xfId="0" applyFont="1" applyFill="1"/>
    <xf numFmtId="6" fontId="6" fillId="2" borderId="0" xfId="2" applyNumberFormat="1" applyFont="1" applyFill="1" applyBorder="1" applyAlignment="1" applyProtection="1">
      <alignment horizontal="right"/>
    </xf>
    <xf numFmtId="6" fontId="6" fillId="2" borderId="0" xfId="2" applyNumberFormat="1" applyFont="1" applyFill="1" applyBorder="1" applyAlignment="1" applyProtection="1"/>
    <xf numFmtId="0" fontId="6" fillId="2" borderId="45" xfId="2" applyNumberFormat="1" applyFont="1" applyFill="1" applyBorder="1" applyAlignment="1" applyProtection="1">
      <alignment horizontal="center" wrapText="1"/>
    </xf>
    <xf numFmtId="0" fontId="6" fillId="2" borderId="46" xfId="2" applyNumberFormat="1" applyFont="1" applyFill="1" applyBorder="1" applyAlignment="1" applyProtection="1">
      <alignment horizontal="center" wrapText="1"/>
    </xf>
    <xf numFmtId="0" fontId="6" fillId="2" borderId="47" xfId="2" applyNumberFormat="1" applyFont="1" applyFill="1" applyBorder="1" applyAlignment="1" applyProtection="1">
      <alignment horizontal="center" wrapText="1"/>
    </xf>
    <xf numFmtId="0" fontId="17" fillId="2" borderId="18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177" fontId="2" fillId="9" borderId="8" xfId="0" applyNumberFormat="1" applyFont="1" applyFill="1" applyBorder="1" applyAlignment="1">
      <alignment vertical="center"/>
    </xf>
    <xf numFmtId="175" fontId="2" fillId="2" borderId="8" xfId="9" applyNumberFormat="1" applyFont="1" applyFill="1" applyBorder="1" applyAlignment="1"/>
    <xf numFmtId="171" fontId="2" fillId="2" borderId="0" xfId="0" applyNumberFormat="1" applyFont="1" applyFill="1"/>
    <xf numFmtId="177" fontId="2" fillId="9" borderId="10" xfId="0" applyNumberFormat="1" applyFont="1" applyFill="1" applyBorder="1" applyAlignment="1">
      <alignment vertical="center"/>
    </xf>
    <xf numFmtId="175" fontId="2" fillId="2" borderId="10" xfId="9" applyNumberFormat="1" applyFont="1" applyFill="1" applyBorder="1" applyAlignment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6" fontId="2" fillId="2" borderId="0" xfId="2" applyNumberFormat="1" applyFont="1" applyFill="1" applyBorder="1" applyAlignment="1">
      <alignment horizontal="right" vertical="center" wrapText="1"/>
    </xf>
    <xf numFmtId="169" fontId="2" fillId="2" borderId="0" xfId="2" applyNumberFormat="1" applyFont="1" applyFill="1" applyBorder="1" applyAlignment="1">
      <alignment wrapText="1"/>
    </xf>
    <xf numFmtId="168" fontId="18" fillId="2" borderId="0" xfId="2" applyNumberFormat="1" applyFont="1" applyFill="1" applyBorder="1" applyAlignment="1" applyProtection="1"/>
    <xf numFmtId="6" fontId="2" fillId="2" borderId="0" xfId="0" applyNumberFormat="1" applyFont="1" applyFill="1" applyAlignment="1">
      <alignment wrapText="1"/>
    </xf>
    <xf numFmtId="0" fontId="6" fillId="2" borderId="0" xfId="0" applyFont="1" applyFill="1" applyAlignment="1">
      <alignment vertical="top" wrapText="1"/>
    </xf>
    <xf numFmtId="169" fontId="18" fillId="2" borderId="16" xfId="2" applyNumberFormat="1" applyFont="1" applyFill="1" applyBorder="1" applyAlignment="1" applyProtection="1"/>
    <xf numFmtId="6" fontId="18" fillId="2" borderId="16" xfId="0" applyNumberFormat="1" applyFont="1" applyFill="1" applyBorder="1"/>
    <xf numFmtId="6" fontId="18" fillId="2" borderId="3" xfId="0" applyNumberFormat="1" applyFont="1" applyFill="1" applyBorder="1"/>
    <xf numFmtId="0" fontId="6" fillId="2" borderId="16" xfId="0" applyFont="1" applyFill="1" applyBorder="1"/>
    <xf numFmtId="0" fontId="6" fillId="2" borderId="0" xfId="0" applyFont="1" applyFill="1" applyAlignment="1">
      <alignment horizontal="left" indent="10"/>
    </xf>
    <xf numFmtId="165" fontId="6" fillId="2" borderId="0" xfId="0" applyNumberFormat="1" applyFont="1" applyFill="1"/>
    <xf numFmtId="165" fontId="6" fillId="2" borderId="0" xfId="0" applyNumberFormat="1" applyFont="1" applyFill="1" applyAlignment="1">
      <alignment horizontal="left"/>
    </xf>
    <xf numFmtId="165" fontId="11" fillId="2" borderId="0" xfId="0" applyNumberFormat="1" applyFont="1" applyFill="1" applyAlignment="1">
      <alignment horizontal="left" vertical="center" wrapText="1"/>
    </xf>
    <xf numFmtId="0" fontId="5" fillId="2" borderId="19" xfId="0" applyFont="1" applyFill="1" applyBorder="1" applyAlignment="1">
      <alignment horizontal="center"/>
    </xf>
    <xf numFmtId="0" fontId="22" fillId="0" borderId="24" xfId="0" applyFont="1" applyBorder="1" applyAlignment="1">
      <alignment horizontal="left" vertical="center"/>
    </xf>
    <xf numFmtId="0" fontId="5" fillId="2" borderId="30" xfId="0" applyFont="1" applyFill="1" applyBorder="1" applyAlignment="1">
      <alignment horizontal="center"/>
    </xf>
    <xf numFmtId="165" fontId="2" fillId="0" borderId="8" xfId="0" applyNumberFormat="1" applyFont="1" applyBorder="1" applyAlignment="1" applyProtection="1">
      <alignment horizontal="right"/>
      <protection locked="0"/>
    </xf>
    <xf numFmtId="165" fontId="2" fillId="2" borderId="0" xfId="0" applyNumberFormat="1" applyFont="1" applyFill="1" applyAlignment="1">
      <alignment horizontal="left"/>
    </xf>
    <xf numFmtId="6" fontId="2" fillId="2" borderId="0" xfId="0" applyNumberFormat="1" applyFont="1" applyFill="1" applyAlignment="1">
      <alignment horizontal="right"/>
    </xf>
    <xf numFmtId="6" fontId="2" fillId="0" borderId="8" xfId="0" applyNumberFormat="1" applyFont="1" applyBorder="1" applyAlignment="1" applyProtection="1">
      <alignment horizontal="right"/>
      <protection locked="0"/>
    </xf>
    <xf numFmtId="165" fontId="2" fillId="7" borderId="8" xfId="0" applyNumberFormat="1" applyFont="1" applyFill="1" applyBorder="1" applyAlignment="1" applyProtection="1">
      <alignment horizontal="right"/>
      <protection locked="0"/>
    </xf>
    <xf numFmtId="170" fontId="2" fillId="0" borderId="8" xfId="0" applyNumberFormat="1" applyFont="1" applyBorder="1" applyAlignment="1" applyProtection="1">
      <alignment horizontal="right"/>
      <protection locked="0"/>
    </xf>
    <xf numFmtId="0" fontId="22" fillId="2" borderId="0" xfId="0" applyFont="1" applyFill="1" applyAlignment="1">
      <alignment horizontal="left"/>
    </xf>
    <xf numFmtId="165" fontId="11" fillId="2" borderId="4" xfId="0" applyNumberFormat="1" applyFont="1" applyFill="1" applyBorder="1" applyAlignment="1">
      <alignment horizontal="center" vertical="center"/>
    </xf>
    <xf numFmtId="165" fontId="11" fillId="2" borderId="15" xfId="0" applyNumberFormat="1" applyFont="1" applyFill="1" applyBorder="1" applyAlignment="1">
      <alignment horizontal="center" vertical="center" wrapText="1"/>
    </xf>
    <xf numFmtId="165" fontId="6" fillId="2" borderId="21" xfId="0" applyNumberFormat="1" applyFont="1" applyFill="1" applyBorder="1" applyAlignment="1" applyProtection="1">
      <alignment horizontal="center"/>
      <protection locked="0"/>
    </xf>
    <xf numFmtId="165" fontId="6" fillId="2" borderId="31" xfId="0" applyNumberFormat="1" applyFont="1" applyFill="1" applyBorder="1" applyAlignment="1" applyProtection="1">
      <alignment horizontal="center"/>
      <protection locked="0"/>
    </xf>
    <xf numFmtId="165" fontId="11" fillId="2" borderId="70" xfId="0" applyNumberFormat="1" applyFont="1" applyFill="1" applyBorder="1" applyAlignment="1">
      <alignment horizontal="center"/>
    </xf>
    <xf numFmtId="165" fontId="6" fillId="2" borderId="2" xfId="0" applyNumberFormat="1" applyFont="1" applyFill="1" applyBorder="1" applyAlignment="1" applyProtection="1">
      <alignment horizontal="center" wrapText="1"/>
      <protection locked="0"/>
    </xf>
    <xf numFmtId="165" fontId="6" fillId="2" borderId="28" xfId="0" applyNumberFormat="1" applyFont="1" applyFill="1" applyBorder="1" applyAlignment="1" applyProtection="1">
      <alignment horizontal="center"/>
      <protection locked="0"/>
    </xf>
    <xf numFmtId="165" fontId="6" fillId="2" borderId="21" xfId="0" applyNumberFormat="1" applyFont="1" applyFill="1" applyBorder="1" applyAlignment="1">
      <alignment horizontal="left"/>
    </xf>
    <xf numFmtId="165" fontId="6" fillId="2" borderId="31" xfId="0" applyNumberFormat="1" applyFont="1" applyFill="1" applyBorder="1" applyAlignment="1">
      <alignment horizontal="left" wrapText="1"/>
    </xf>
    <xf numFmtId="165" fontId="6" fillId="2" borderId="28" xfId="0" applyNumberFormat="1" applyFont="1" applyFill="1" applyBorder="1" applyAlignment="1">
      <alignment horizontal="left" wrapText="1"/>
    </xf>
    <xf numFmtId="178" fontId="2" fillId="9" borderId="7" xfId="0" applyNumberFormat="1" applyFont="1" applyFill="1" applyBorder="1" applyAlignment="1" applyProtection="1">
      <alignment horizontal="center" wrapText="1"/>
      <protection locked="0"/>
    </xf>
    <xf numFmtId="178" fontId="2" fillId="9" borderId="11" xfId="0" applyNumberFormat="1" applyFont="1" applyFill="1" applyBorder="1" applyAlignment="1" applyProtection="1">
      <alignment horizontal="center"/>
      <protection locked="0"/>
    </xf>
    <xf numFmtId="178" fontId="6" fillId="2" borderId="0" xfId="0" applyNumberFormat="1" applyFont="1" applyFill="1" applyAlignment="1">
      <alignment horizontal="center"/>
    </xf>
    <xf numFmtId="182" fontId="6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6" fontId="17" fillId="2" borderId="28" xfId="0" applyNumberFormat="1" applyFont="1" applyFill="1" applyBorder="1"/>
    <xf numFmtId="6" fontId="2" fillId="2" borderId="29" xfId="0" applyNumberFormat="1" applyFont="1" applyFill="1" applyBorder="1"/>
    <xf numFmtId="6" fontId="17" fillId="0" borderId="42" xfId="0" applyNumberFormat="1" applyFont="1" applyBorder="1"/>
    <xf numFmtId="10" fontId="2" fillId="2" borderId="29" xfId="9" applyNumberFormat="1" applyFont="1" applyFill="1" applyBorder="1"/>
    <xf numFmtId="10" fontId="17" fillId="2" borderId="28" xfId="9" applyNumberFormat="1" applyFont="1" applyFill="1" applyBorder="1"/>
    <xf numFmtId="173" fontId="17" fillId="2" borderId="28" xfId="15" applyNumberFormat="1" applyFont="1" applyFill="1" applyBorder="1"/>
    <xf numFmtId="172" fontId="2" fillId="2" borderId="29" xfId="0" applyNumberFormat="1" applyFont="1" applyFill="1" applyBorder="1"/>
    <xf numFmtId="168" fontId="2" fillId="2" borderId="29" xfId="1" applyNumberFormat="1" applyFont="1" applyFill="1" applyBorder="1"/>
    <xf numFmtId="168" fontId="17" fillId="2" borderId="41" xfId="1" applyNumberFormat="1" applyFont="1" applyFill="1" applyBorder="1"/>
    <xf numFmtId="168" fontId="2" fillId="2" borderId="41" xfId="1" applyNumberFormat="1" applyFont="1" applyFill="1" applyBorder="1"/>
    <xf numFmtId="173" fontId="17" fillId="12" borderId="41" xfId="15" applyNumberFormat="1" applyFont="1" applyFill="1" applyBorder="1"/>
    <xf numFmtId="170" fontId="2" fillId="12" borderId="41" xfId="0" applyNumberFormat="1" applyFont="1" applyFill="1" applyBorder="1"/>
    <xf numFmtId="176" fontId="2" fillId="2" borderId="41" xfId="1" applyNumberFormat="1" applyFont="1" applyFill="1" applyBorder="1"/>
    <xf numFmtId="6" fontId="17" fillId="2" borderId="32" xfId="0" applyNumberFormat="1" applyFont="1" applyFill="1" applyBorder="1"/>
    <xf numFmtId="170" fontId="2" fillId="2" borderId="32" xfId="0" applyNumberFormat="1" applyFont="1" applyFill="1" applyBorder="1"/>
    <xf numFmtId="6" fontId="2" fillId="2" borderId="3" xfId="0" applyNumberFormat="1" applyFont="1" applyFill="1" applyBorder="1"/>
    <xf numFmtId="0" fontId="2" fillId="2" borderId="38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left" vertical="center" wrapText="1"/>
    </xf>
    <xf numFmtId="6" fontId="2" fillId="2" borderId="0" xfId="0" applyNumberFormat="1" applyFont="1" applyFill="1"/>
    <xf numFmtId="6" fontId="2" fillId="2" borderId="28" xfId="0" applyNumberFormat="1" applyFont="1" applyFill="1" applyBorder="1"/>
    <xf numFmtId="0" fontId="2" fillId="4" borderId="29" xfId="0" applyFont="1" applyFill="1" applyBorder="1" applyAlignment="1">
      <alignment horizontal="left" vertical="center" wrapText="1"/>
    </xf>
    <xf numFmtId="0" fontId="2" fillId="4" borderId="41" xfId="0" applyFont="1" applyFill="1" applyBorder="1" applyAlignment="1">
      <alignment horizontal="left" vertical="center" wrapText="1"/>
    </xf>
    <xf numFmtId="6" fontId="2" fillId="2" borderId="34" xfId="0" applyNumberFormat="1" applyFont="1" applyFill="1" applyBorder="1"/>
    <xf numFmtId="6" fontId="2" fillId="2" borderId="35" xfId="0" applyNumberFormat="1" applyFont="1" applyFill="1" applyBorder="1"/>
    <xf numFmtId="0" fontId="17" fillId="2" borderId="3" xfId="0" applyFont="1" applyFill="1" applyBorder="1" applyAlignment="1">
      <alignment horizontal="center" wrapText="1"/>
    </xf>
    <xf numFmtId="6" fontId="17" fillId="2" borderId="3" xfId="0" applyNumberFormat="1" applyFont="1" applyFill="1" applyBorder="1"/>
    <xf numFmtId="6" fontId="17" fillId="2" borderId="31" xfId="0" applyNumberFormat="1" applyFont="1" applyFill="1" applyBorder="1"/>
    <xf numFmtId="6" fontId="17" fillId="2" borderId="34" xfId="0" applyNumberFormat="1" applyFont="1" applyFill="1" applyBorder="1"/>
    <xf numFmtId="0" fontId="15" fillId="2" borderId="0" xfId="0" applyFont="1" applyFill="1" applyAlignment="1">
      <alignment horizontal="left"/>
    </xf>
    <xf numFmtId="9" fontId="15" fillId="2" borderId="0" xfId="9" applyFont="1" applyFill="1" applyBorder="1"/>
    <xf numFmtId="9" fontId="8" fillId="2" borderId="0" xfId="9" applyFont="1" applyFill="1" applyBorder="1" applyAlignment="1">
      <alignment horizontal="left"/>
    </xf>
    <xf numFmtId="9" fontId="2" fillId="2" borderId="0" xfId="9" applyFont="1" applyFill="1" applyBorder="1" applyAlignment="1">
      <alignment horizontal="left"/>
    </xf>
    <xf numFmtId="0" fontId="17" fillId="2" borderId="0" xfId="9" applyNumberFormat="1" applyFont="1" applyFill="1" applyBorder="1" applyAlignment="1">
      <alignment horizontal="center" vertical="center"/>
    </xf>
    <xf numFmtId="9" fontId="17" fillId="2" borderId="6" xfId="9" applyFont="1" applyFill="1" applyBorder="1" applyAlignment="1">
      <alignment horizontal="center" vertical="center"/>
    </xf>
    <xf numFmtId="10" fontId="17" fillId="2" borderId="0" xfId="9" applyNumberFormat="1" applyFont="1" applyFill="1" applyBorder="1" applyAlignment="1">
      <alignment horizontal="left"/>
    </xf>
    <xf numFmtId="10" fontId="17" fillId="2" borderId="0" xfId="9" applyNumberFormat="1" applyFont="1" applyFill="1" applyBorder="1" applyAlignment="1" applyProtection="1">
      <alignment horizontal="center"/>
    </xf>
    <xf numFmtId="10" fontId="17" fillId="2" borderId="28" xfId="9" applyNumberFormat="1" applyFont="1" applyFill="1" applyBorder="1" applyAlignment="1" applyProtection="1">
      <alignment horizontal="center"/>
    </xf>
    <xf numFmtId="0" fontId="2" fillId="4" borderId="2" xfId="0" applyFont="1" applyFill="1" applyBorder="1" applyAlignment="1">
      <alignment horizontal="left" wrapText="1"/>
    </xf>
    <xf numFmtId="0" fontId="2" fillId="2" borderId="0" xfId="0" applyFont="1" applyFill="1" applyProtection="1">
      <protection locked="0"/>
    </xf>
    <xf numFmtId="10" fontId="17" fillId="2" borderId="0" xfId="9" applyNumberFormat="1" applyFont="1" applyFill="1" applyBorder="1" applyAlignment="1" applyProtection="1">
      <alignment horizontal="left"/>
    </xf>
    <xf numFmtId="10" fontId="17" fillId="2" borderId="0" xfId="9" applyNumberFormat="1" applyFont="1" applyFill="1" applyBorder="1" applyAlignment="1" applyProtection="1">
      <alignment horizontal="center"/>
      <protection locked="0"/>
    </xf>
    <xf numFmtId="10" fontId="17" fillId="2" borderId="28" xfId="9" applyNumberFormat="1" applyFont="1" applyFill="1" applyBorder="1" applyAlignment="1" applyProtection="1">
      <alignment horizontal="center"/>
      <protection locked="0"/>
    </xf>
    <xf numFmtId="0" fontId="2" fillId="2" borderId="33" xfId="0" applyFont="1" applyFill="1" applyBorder="1" applyAlignment="1">
      <alignment horizontal="left" wrapText="1"/>
    </xf>
    <xf numFmtId="10" fontId="17" fillId="2" borderId="34" xfId="9" applyNumberFormat="1" applyFont="1" applyFill="1" applyBorder="1" applyAlignment="1" applyProtection="1">
      <alignment horizontal="left"/>
      <protection locked="0"/>
    </xf>
    <xf numFmtId="10" fontId="17" fillId="2" borderId="34" xfId="9" applyNumberFormat="1" applyFont="1" applyFill="1" applyBorder="1" applyAlignment="1">
      <alignment horizontal="center"/>
    </xf>
    <xf numFmtId="10" fontId="17" fillId="2" borderId="35" xfId="9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wrapText="1"/>
    </xf>
    <xf numFmtId="0" fontId="2" fillId="4" borderId="32" xfId="0" applyFont="1" applyFill="1" applyBorder="1" applyAlignment="1">
      <alignment horizontal="left" vertical="top"/>
    </xf>
    <xf numFmtId="6" fontId="2" fillId="2" borderId="0" xfId="1" applyNumberFormat="1" applyFont="1" applyFill="1" applyBorder="1" applyAlignment="1">
      <alignment horizontal="right"/>
    </xf>
    <xf numFmtId="6" fontId="2" fillId="4" borderId="2" xfId="0" applyNumberFormat="1" applyFont="1" applyFill="1" applyBorder="1" applyAlignment="1">
      <alignment horizontal="right"/>
    </xf>
    <xf numFmtId="6" fontId="2" fillId="11" borderId="28" xfId="0" applyNumberFormat="1" applyFont="1" applyFill="1" applyBorder="1" applyAlignment="1">
      <alignment horizontal="right"/>
    </xf>
    <xf numFmtId="0" fontId="2" fillId="4" borderId="29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wrapText="1"/>
    </xf>
    <xf numFmtId="6" fontId="2" fillId="2" borderId="0" xfId="1" applyNumberFormat="1" applyFont="1" applyFill="1" applyBorder="1" applyAlignment="1">
      <alignment horizontal="left"/>
    </xf>
  </cellXfs>
  <cellStyles count="17">
    <cellStyle name="Comma" xfId="1" builtinId="3"/>
    <cellStyle name="Comma 2" xfId="12" xr:uid="{00000000-0005-0000-0000-000001000000}"/>
    <cellStyle name="Comma_Changes" xfId="2" xr:uid="{00000000-0005-0000-0000-000002000000}"/>
    <cellStyle name="Comma0" xfId="3" xr:uid="{00000000-0005-0000-0000-000003000000}"/>
    <cellStyle name="Currency" xfId="15" builtinId="4"/>
    <cellStyle name="Currency 2" xfId="13" xr:uid="{00000000-0005-0000-0000-000005000000}"/>
    <cellStyle name="Currency0" xfId="4" xr:uid="{00000000-0005-0000-0000-000006000000}"/>
    <cellStyle name="Date" xfId="5" xr:uid="{00000000-0005-0000-0000-000007000000}"/>
    <cellStyle name="Fixed" xfId="6" xr:uid="{00000000-0005-0000-0000-000008000000}"/>
    <cellStyle name="Heading 1" xfId="7" builtinId="16" customBuiltin="1"/>
    <cellStyle name="Heading 2" xfId="8" builtinId="17" customBuiltin="1"/>
    <cellStyle name="Normal" xfId="0" builtinId="0"/>
    <cellStyle name="Normal 2" xfId="14" xr:uid="{00000000-0005-0000-0000-00000C000000}"/>
    <cellStyle name="Normal 3" xfId="16" xr:uid="{00000000-0005-0000-0000-000038000000}"/>
    <cellStyle name="Percent" xfId="9" builtinId="5"/>
    <cellStyle name="Percent 2" xfId="11" xr:uid="{00000000-0005-0000-0000-00000E000000}"/>
    <cellStyle name="Total" xfId="10" builtinId="25" customBuiltin="1"/>
  </cellStyles>
  <dxfs count="3">
    <dxf>
      <fill>
        <patternFill>
          <bgColor theme="5" tint="0.79998168889431442"/>
        </patternFill>
      </fill>
    </dxf>
    <dxf>
      <fill>
        <patternFill>
          <bgColor indexed="10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0000FF"/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47625</xdr:rowOff>
    </xdr:from>
    <xdr:to>
      <xdr:col>1</xdr:col>
      <xdr:colOff>1760220</xdr:colOff>
      <xdr:row>4</xdr:row>
      <xdr:rowOff>127635</xdr:rowOff>
    </xdr:to>
    <xdr:grpSp>
      <xdr:nvGrpSpPr>
        <xdr:cNvPr id="35844" name="Group 13">
          <a:extLst>
            <a:ext uri="{FF2B5EF4-FFF2-40B4-BE49-F238E27FC236}">
              <a16:creationId xmlns:a16="http://schemas.microsoft.com/office/drawing/2014/main" id="{00000000-0008-0000-0400-0000048C0000}"/>
            </a:ext>
          </a:extLst>
        </xdr:cNvPr>
        <xdr:cNvGrpSpPr>
          <a:grpSpLocks/>
        </xdr:cNvGrpSpPr>
      </xdr:nvGrpSpPr>
      <xdr:grpSpPr bwMode="auto">
        <a:xfrm>
          <a:off x="104775" y="390525"/>
          <a:ext cx="2360295" cy="384810"/>
          <a:chOff x="11" y="147"/>
          <a:chExt cx="521" cy="83"/>
        </a:xfrm>
      </xdr:grpSpPr>
      <xdr:sp macro="" textlink="">
        <xdr:nvSpPr>
          <xdr:cNvPr id="35848" name="AutoShape 14">
            <a:extLst>
              <a:ext uri="{FF2B5EF4-FFF2-40B4-BE49-F238E27FC236}">
                <a16:creationId xmlns:a16="http://schemas.microsoft.com/office/drawing/2014/main" id="{00000000-0008-0000-0400-0000088C0000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5855" name="Text Box 15">
            <a:extLst>
              <a:ext uri="{FF2B5EF4-FFF2-40B4-BE49-F238E27FC236}">
                <a16:creationId xmlns:a16="http://schemas.microsoft.com/office/drawing/2014/main" id="{00000000-0008-0000-0400-00000F8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1"/>
            <a:ext cx="498" cy="75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C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Class Revenue, Cost Analysis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2</xdr:col>
      <xdr:colOff>161925</xdr:colOff>
      <xdr:row>5</xdr:row>
      <xdr:rowOff>85725</xdr:rowOff>
    </xdr:to>
    <xdr:grpSp>
      <xdr:nvGrpSpPr>
        <xdr:cNvPr id="24584" name="Group 11">
          <a:extLst>
            <a:ext uri="{FF2B5EF4-FFF2-40B4-BE49-F238E27FC236}">
              <a16:creationId xmlns:a16="http://schemas.microsoft.com/office/drawing/2014/main" id="{00000000-0008-0000-0700-000008600000}"/>
            </a:ext>
          </a:extLst>
        </xdr:cNvPr>
        <xdr:cNvGrpSpPr>
          <a:grpSpLocks/>
        </xdr:cNvGrpSpPr>
      </xdr:nvGrpSpPr>
      <xdr:grpSpPr bwMode="auto">
        <a:xfrm>
          <a:off x="38100" y="381000"/>
          <a:ext cx="5514975" cy="542925"/>
          <a:chOff x="11" y="147"/>
          <a:chExt cx="521" cy="83"/>
        </a:xfrm>
      </xdr:grpSpPr>
      <xdr:sp macro="" textlink="">
        <xdr:nvSpPr>
          <xdr:cNvPr id="24585" name="AutoShape 12">
            <a:extLst>
              <a:ext uri="{FF2B5EF4-FFF2-40B4-BE49-F238E27FC236}">
                <a16:creationId xmlns:a16="http://schemas.microsoft.com/office/drawing/2014/main" id="{00000000-0008-0000-0700-000009600000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589" name="Text Box 13">
            <a:extLst>
              <a:ext uri="{FF2B5EF4-FFF2-40B4-BE49-F238E27FC236}">
                <a16:creationId xmlns:a16="http://schemas.microsoft.com/office/drawing/2014/main" id="{00000000-0008-0000-0700-00000D6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0"/>
            <a:ext cx="498" cy="75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CA" sz="1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Details:</a:t>
            </a:r>
            <a:endParaRPr lang="en-C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C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The worksheet below details how allocators are derived.</a:t>
            </a:r>
          </a:p>
          <a:p>
            <a:pPr algn="l" rtl="0"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38100</xdr:rowOff>
    </xdr:from>
    <xdr:to>
      <xdr:col>3</xdr:col>
      <xdr:colOff>0</xdr:colOff>
      <xdr:row>6</xdr:row>
      <xdr:rowOff>0</xdr:rowOff>
    </xdr:to>
    <xdr:grpSp>
      <xdr:nvGrpSpPr>
        <xdr:cNvPr id="26629" name="Group 8">
          <a:extLst>
            <a:ext uri="{FF2B5EF4-FFF2-40B4-BE49-F238E27FC236}">
              <a16:creationId xmlns:a16="http://schemas.microsoft.com/office/drawing/2014/main" id="{00000000-0008-0000-0900-000005680000}"/>
            </a:ext>
          </a:extLst>
        </xdr:cNvPr>
        <xdr:cNvGrpSpPr>
          <a:grpSpLocks/>
        </xdr:cNvGrpSpPr>
      </xdr:nvGrpSpPr>
      <xdr:grpSpPr bwMode="auto">
        <a:xfrm>
          <a:off x="66675" y="381000"/>
          <a:ext cx="6677025" cy="533400"/>
          <a:chOff x="11" y="147"/>
          <a:chExt cx="521" cy="83"/>
        </a:xfrm>
      </xdr:grpSpPr>
      <xdr:sp macro="" textlink="">
        <xdr:nvSpPr>
          <xdr:cNvPr id="26630" name="AutoShape 9">
            <a:extLst>
              <a:ext uri="{FF2B5EF4-FFF2-40B4-BE49-F238E27FC236}">
                <a16:creationId xmlns:a16="http://schemas.microsoft.com/office/drawing/2014/main" id="{00000000-0008-0000-0900-000006680000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634" name="Text Box 10">
            <a:extLst>
              <a:ext uri="{FF2B5EF4-FFF2-40B4-BE49-F238E27FC236}">
                <a16:creationId xmlns:a16="http://schemas.microsoft.com/office/drawing/2014/main" id="{00000000-0008-0000-0900-00000A6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1"/>
            <a:ext cx="498" cy="74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CA" sz="1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Details:</a:t>
            </a:r>
            <a:endParaRPr lang="en-C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C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The worksheet below shows reconciliation of costs included and excluded in the Trial Balance.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92165-CD67-4AD4-9508-55F8D6A5BC8A}">
  <sheetPr>
    <tabColor indexed="42"/>
  </sheetPr>
  <dimension ref="A1:O78"/>
  <sheetViews>
    <sheetView topLeftCell="A59" zoomScaleNormal="100" workbookViewId="0">
      <selection activeCell="Q28" sqref="Q28"/>
    </sheetView>
  </sheetViews>
  <sheetFormatPr defaultRowHeight="12.75"/>
  <cols>
    <col min="12" max="12" width="13.140625" customWidth="1"/>
  </cols>
  <sheetData>
    <row r="1" spans="1:15">
      <c r="A1" s="301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5"/>
    </row>
    <row r="2" spans="1:15">
      <c r="A2" s="302"/>
      <c r="O2" s="256"/>
    </row>
    <row r="3" spans="1:15">
      <c r="A3" s="302"/>
      <c r="O3" s="256"/>
    </row>
    <row r="4" spans="1:15">
      <c r="A4" s="302"/>
      <c r="O4" s="256"/>
    </row>
    <row r="5" spans="1:15">
      <c r="A5" s="302"/>
      <c r="O5" s="256"/>
    </row>
    <row r="6" spans="1:15">
      <c r="A6" s="302"/>
      <c r="O6" s="256"/>
    </row>
    <row r="7" spans="1:15">
      <c r="A7" s="302"/>
      <c r="O7" s="256"/>
    </row>
    <row r="8" spans="1:15">
      <c r="A8" s="302"/>
      <c r="O8" s="256"/>
    </row>
    <row r="9" spans="1:15">
      <c r="A9" s="302"/>
      <c r="O9" s="256"/>
    </row>
    <row r="10" spans="1:15">
      <c r="A10" s="302"/>
      <c r="O10" s="256"/>
    </row>
    <row r="11" spans="1:15">
      <c r="A11" s="302"/>
      <c r="O11" s="256"/>
    </row>
    <row r="12" spans="1:15">
      <c r="A12" s="302"/>
      <c r="O12" s="256"/>
    </row>
    <row r="13" spans="1:15">
      <c r="A13" s="302"/>
      <c r="O13" s="256"/>
    </row>
    <row r="14" spans="1:15">
      <c r="A14" s="302"/>
      <c r="O14" s="256"/>
    </row>
    <row r="15" spans="1:15">
      <c r="A15" s="302"/>
      <c r="O15" s="256"/>
    </row>
    <row r="16" spans="1:15">
      <c r="A16" s="302"/>
      <c r="O16" s="256"/>
    </row>
    <row r="17" spans="1:15">
      <c r="A17" s="302"/>
      <c r="O17" s="256"/>
    </row>
    <row r="18" spans="1:15">
      <c r="A18" s="302"/>
      <c r="O18" s="256"/>
    </row>
    <row r="19" spans="1:15">
      <c r="A19" s="302"/>
      <c r="O19" s="256"/>
    </row>
    <row r="20" spans="1:15">
      <c r="A20" s="302"/>
      <c r="O20" s="256"/>
    </row>
    <row r="21" spans="1:15">
      <c r="A21" s="302"/>
      <c r="O21" s="256"/>
    </row>
    <row r="22" spans="1:15">
      <c r="A22" s="302"/>
      <c r="O22" s="256"/>
    </row>
    <row r="23" spans="1:15">
      <c r="A23" s="302"/>
      <c r="O23" s="256"/>
    </row>
    <row r="24" spans="1:15" ht="33">
      <c r="A24" s="308" t="str">
        <f>"IESO "&amp;'Revenue to Cost|RR'!H22&amp;" Cost Allocation &amp; Fee Model"</f>
        <v>IESO 2024 Cost Allocation &amp; Fee Model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10"/>
    </row>
    <row r="25" spans="1:15">
      <c r="A25" s="302"/>
      <c r="O25" s="256"/>
    </row>
    <row r="26" spans="1:15">
      <c r="A26" s="302"/>
      <c r="O26" s="256"/>
    </row>
    <row r="27" spans="1:15">
      <c r="A27" s="302"/>
      <c r="O27" s="256"/>
    </row>
    <row r="28" spans="1:15">
      <c r="A28" s="302"/>
      <c r="O28" s="256"/>
    </row>
    <row r="29" spans="1:15">
      <c r="A29" s="302"/>
      <c r="O29" s="256"/>
    </row>
    <row r="30" spans="1:15">
      <c r="A30" s="302"/>
      <c r="O30" s="256"/>
    </row>
    <row r="31" spans="1:15">
      <c r="A31" s="302"/>
      <c r="O31" s="256"/>
    </row>
    <row r="32" spans="1:15">
      <c r="A32" s="302"/>
      <c r="O32" s="256"/>
    </row>
    <row r="33" spans="1:15">
      <c r="A33" s="302"/>
      <c r="O33" s="256"/>
    </row>
    <row r="34" spans="1:15">
      <c r="A34" s="302"/>
      <c r="O34" s="256"/>
    </row>
    <row r="35" spans="1:15">
      <c r="A35" s="302"/>
      <c r="O35" s="256"/>
    </row>
    <row r="36" spans="1:15">
      <c r="A36" s="302"/>
      <c r="O36" s="256"/>
    </row>
    <row r="37" spans="1:15">
      <c r="A37" s="302"/>
      <c r="O37" s="256"/>
    </row>
    <row r="38" spans="1:15">
      <c r="A38" s="302"/>
      <c r="O38" s="256"/>
    </row>
    <row r="39" spans="1:15">
      <c r="A39" s="302"/>
      <c r="O39" s="256"/>
    </row>
    <row r="40" spans="1:15">
      <c r="A40" s="302"/>
      <c r="O40" s="256"/>
    </row>
    <row r="41" spans="1:15">
      <c r="A41" s="302"/>
      <c r="O41" s="256"/>
    </row>
    <row r="42" spans="1:15">
      <c r="A42" s="302"/>
      <c r="O42" s="256"/>
    </row>
    <row r="43" spans="1:15">
      <c r="A43" s="302"/>
      <c r="O43" s="256"/>
    </row>
    <row r="44" spans="1:15">
      <c r="A44" s="302"/>
      <c r="O44" s="256"/>
    </row>
    <row r="45" spans="1:15">
      <c r="A45" s="302"/>
      <c r="O45" s="256"/>
    </row>
    <row r="46" spans="1:15">
      <c r="A46" s="302"/>
      <c r="O46" s="256"/>
    </row>
    <row r="47" spans="1:15">
      <c r="A47" s="302"/>
      <c r="O47" s="256"/>
    </row>
    <row r="48" spans="1:15">
      <c r="A48" s="302"/>
      <c r="O48" s="256"/>
    </row>
    <row r="49" spans="1:15">
      <c r="A49" s="302"/>
      <c r="O49" s="256"/>
    </row>
    <row r="50" spans="1:15">
      <c r="A50" s="302"/>
      <c r="O50" s="256"/>
    </row>
    <row r="51" spans="1:15">
      <c r="A51" s="302"/>
      <c r="O51" s="256"/>
    </row>
    <row r="52" spans="1:15">
      <c r="A52" s="302"/>
      <c r="O52" s="256"/>
    </row>
    <row r="53" spans="1:15">
      <c r="A53" s="302"/>
      <c r="O53" s="256"/>
    </row>
    <row r="54" spans="1:15">
      <c r="A54" s="302"/>
      <c r="O54" s="256"/>
    </row>
    <row r="55" spans="1:15">
      <c r="A55" s="302"/>
      <c r="O55" s="256"/>
    </row>
    <row r="56" spans="1:15">
      <c r="A56" s="302"/>
      <c r="O56" s="256"/>
    </row>
    <row r="57" spans="1:15">
      <c r="A57" s="302"/>
      <c r="O57" s="256"/>
    </row>
    <row r="58" spans="1:15">
      <c r="A58" s="302"/>
      <c r="O58" s="256"/>
    </row>
    <row r="59" spans="1:15">
      <c r="A59" s="302"/>
      <c r="O59" s="256"/>
    </row>
    <row r="60" spans="1:15">
      <c r="A60" s="302"/>
      <c r="O60" s="256"/>
    </row>
    <row r="61" spans="1:15">
      <c r="A61" s="302"/>
      <c r="O61" s="256"/>
    </row>
    <row r="62" spans="1:15">
      <c r="A62" s="302"/>
      <c r="O62" s="256"/>
    </row>
    <row r="63" spans="1:15">
      <c r="A63" s="302"/>
      <c r="O63" s="256"/>
    </row>
    <row r="64" spans="1:15">
      <c r="A64" s="302"/>
      <c r="O64" s="256"/>
    </row>
    <row r="65" spans="1:15">
      <c r="A65" s="302"/>
      <c r="O65" s="256"/>
    </row>
    <row r="66" spans="1:15">
      <c r="A66" s="302"/>
      <c r="O66" s="256"/>
    </row>
    <row r="67" spans="1:15">
      <c r="A67" s="302"/>
      <c r="O67" s="256"/>
    </row>
    <row r="68" spans="1:15">
      <c r="A68" s="302"/>
      <c r="O68" s="256"/>
    </row>
    <row r="69" spans="1:15">
      <c r="A69" s="302"/>
      <c r="O69" s="256"/>
    </row>
    <row r="70" spans="1:15">
      <c r="A70" s="302"/>
      <c r="O70" s="256"/>
    </row>
    <row r="71" spans="1:15">
      <c r="A71" s="302"/>
      <c r="O71" s="256"/>
    </row>
    <row r="72" spans="1:15">
      <c r="A72" s="302"/>
      <c r="O72" s="256"/>
    </row>
    <row r="73" spans="1:15">
      <c r="A73" s="302"/>
      <c r="O73" s="256"/>
    </row>
    <row r="74" spans="1:15">
      <c r="A74" s="302"/>
      <c r="O74" s="256"/>
    </row>
    <row r="75" spans="1:15" ht="23.25">
      <c r="A75" s="302"/>
      <c r="L75" s="303" t="s">
        <v>0</v>
      </c>
      <c r="M75" s="304" t="s">
        <v>1</v>
      </c>
      <c r="O75" s="256"/>
    </row>
    <row r="76" spans="1:15">
      <c r="A76" s="302"/>
      <c r="O76" s="256"/>
    </row>
    <row r="77" spans="1:15">
      <c r="A77" s="302"/>
      <c r="O77" s="256"/>
    </row>
    <row r="78" spans="1:15">
      <c r="A78" s="305"/>
      <c r="B78" s="257"/>
      <c r="C78" s="257"/>
      <c r="D78" s="257"/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306"/>
    </row>
  </sheetData>
  <mergeCells count="1">
    <mergeCell ref="A24:O24"/>
  </mergeCells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4">
    <tabColor indexed="34"/>
  </sheetPr>
  <dimension ref="A1:E54"/>
  <sheetViews>
    <sheetView topLeftCell="A37" zoomScale="90" zoomScaleNormal="90" workbookViewId="0">
      <selection activeCell="H22" sqref="H22"/>
    </sheetView>
  </sheetViews>
  <sheetFormatPr defaultColWidth="9.140625" defaultRowHeight="11.25"/>
  <cols>
    <col min="1" max="1" width="2.7109375" style="72" customWidth="1"/>
    <col min="2" max="2" width="78" style="72" customWidth="1"/>
    <col min="3" max="3" width="16.5703125" style="40" customWidth="1"/>
    <col min="4" max="16384" width="9.140625" style="40"/>
  </cols>
  <sheetData>
    <row r="1" spans="1:5" s="1" customFormat="1" ht="20.25">
      <c r="A1" s="30" t="str">
        <f>"Allocation Detail Worksheet "</f>
        <v xml:space="preserve">Allocation Detail Worksheet </v>
      </c>
      <c r="B1" s="357"/>
      <c r="C1" s="294" t="str">
        <f>"IESO "&amp;'Revenue to Cost|RR'!H22&amp;" Fee Model"</f>
        <v>IESO 2024 Fee Model</v>
      </c>
      <c r="D1" s="5"/>
      <c r="E1" s="293"/>
    </row>
    <row r="2" spans="1:5" s="1" customFormat="1">
      <c r="A2" s="333"/>
      <c r="B2" s="333"/>
      <c r="C2" s="333"/>
      <c r="D2" s="5"/>
      <c r="E2" s="5"/>
    </row>
    <row r="3" spans="1:5">
      <c r="A3" s="331" t="s">
        <v>172</v>
      </c>
      <c r="B3" s="331"/>
      <c r="C3" s="331"/>
    </row>
    <row r="4" spans="1:5" s="54" customFormat="1" ht="13.5" thickBot="1">
      <c r="A4" s="83"/>
      <c r="B4" s="84"/>
    </row>
    <row r="5" spans="1:5" s="84" customFormat="1" ht="26.25" thickBot="1">
      <c r="A5" s="25"/>
      <c r="B5" s="71" t="s">
        <v>5</v>
      </c>
      <c r="C5" s="71" t="s">
        <v>173</v>
      </c>
    </row>
    <row r="6" spans="1:5" s="54" customFormat="1" ht="12.75">
      <c r="A6" s="25"/>
      <c r="B6" s="272" t="str">
        <f>'Functionalized Accounts'!B9</f>
        <v>CEO Office</v>
      </c>
      <c r="C6" s="87" t="str">
        <f>'Functionalized Accounts'!G9</f>
        <v>O&amp;A</v>
      </c>
    </row>
    <row r="7" spans="1:5" s="54" customFormat="1" ht="12.75">
      <c r="A7" s="25"/>
      <c r="B7" s="86" t="str">
        <f>'Functionalized Accounts'!B10</f>
        <v xml:space="preserve">Markets &amp; Reliability -  VP Office </v>
      </c>
      <c r="C7" s="88" t="str">
        <f>'Functionalized Accounts'!G10</f>
        <v>M&amp;R</v>
      </c>
    </row>
    <row r="8" spans="1:5" s="54" customFormat="1" ht="12.75">
      <c r="A8" s="25"/>
      <c r="B8" s="85" t="str">
        <f>'Functionalized Accounts'!B11</f>
        <v xml:space="preserve">Markets &amp; Reliability -  Power System Assessments </v>
      </c>
      <c r="C8" s="87" t="str">
        <f>'Functionalized Accounts'!G11</f>
        <v>TWh</v>
      </c>
    </row>
    <row r="9" spans="1:5" s="54" customFormat="1" ht="12.75">
      <c r="A9" s="25"/>
      <c r="B9" s="86" t="str">
        <f>'Functionalized Accounts'!B12</f>
        <v xml:space="preserve">Markets &amp; Reliability -  Market Operations </v>
      </c>
      <c r="C9" s="88" t="str">
        <f>'Functionalized Accounts'!G12</f>
        <v>TWh</v>
      </c>
    </row>
    <row r="10" spans="1:5" s="54" customFormat="1" ht="12.75">
      <c r="A10" s="25"/>
      <c r="B10" s="85" t="str">
        <f>'Functionalized Accounts'!B13</f>
        <v xml:space="preserve">Markets &amp; Reliability -  Wholesale Market Development </v>
      </c>
      <c r="C10" s="87" t="str">
        <f>'Functionalized Accounts'!G13</f>
        <v>TWh</v>
      </c>
    </row>
    <row r="11" spans="1:5" s="54" customFormat="1" ht="12.75">
      <c r="A11" s="25"/>
      <c r="B11" s="86" t="str">
        <f>'Functionalized Accounts'!B14</f>
        <v xml:space="preserve">Markets &amp; Reliability -  Reliability Assurance &amp; Operational Assessments </v>
      </c>
      <c r="C11" s="88" t="str">
        <f>'Functionalized Accounts'!G14</f>
        <v>TWh</v>
      </c>
    </row>
    <row r="12" spans="1:5" s="54" customFormat="1" ht="25.5">
      <c r="A12" s="25"/>
      <c r="B12" s="85" t="str">
        <f>'Functionalized Accounts'!B15</f>
        <v xml:space="preserve">Planning, Conservation and Resource Adequacy -  VP Office and Planning Projects &amp; Sustainability </v>
      </c>
      <c r="C12" s="87" t="str">
        <f>'Functionalized Accounts'!G15</f>
        <v>PCRA</v>
      </c>
    </row>
    <row r="13" spans="1:5" s="54" customFormat="1" ht="12.75">
      <c r="A13" s="25"/>
      <c r="B13" s="86" t="str">
        <f>'Functionalized Accounts'!B16</f>
        <v xml:space="preserve">Planning, Conservation and Resource Adequacy -  Resource Planning </v>
      </c>
      <c r="C13" s="88" t="str">
        <f>'Functionalized Accounts'!G16</f>
        <v>DOM</v>
      </c>
    </row>
    <row r="14" spans="1:5" s="54" customFormat="1" ht="12.75">
      <c r="A14" s="25"/>
      <c r="B14" s="85" t="str">
        <f>'Functionalized Accounts'!B17</f>
        <v xml:space="preserve">Planning, Conservation and Resource Adequacy -  Transmission Planning </v>
      </c>
      <c r="C14" s="87" t="str">
        <f>'Functionalized Accounts'!G17</f>
        <v>DOM</v>
      </c>
    </row>
    <row r="15" spans="1:5" s="54" customFormat="1" ht="12.75">
      <c r="A15" s="25"/>
      <c r="B15" s="86" t="str">
        <f>'Functionalized Accounts'!B18</f>
        <v xml:space="preserve">Planning, Conservation and Resource Adequacy -  Resource &amp; System Adequacy </v>
      </c>
      <c r="C15" s="88" t="str">
        <f>'Functionalized Accounts'!G18</f>
        <v>DOM</v>
      </c>
    </row>
    <row r="16" spans="1:5" s="54" customFormat="1" ht="12.75">
      <c r="A16" s="25"/>
      <c r="B16" s="85" t="str">
        <f>'Functionalized Accounts'!B19</f>
        <v xml:space="preserve">Planning, Conservation and Resource Adequacy -  Energy Efficiency </v>
      </c>
      <c r="C16" s="87" t="str">
        <f>'Functionalized Accounts'!G19</f>
        <v>DOM</v>
      </c>
    </row>
    <row r="17" spans="1:3" s="54" customFormat="1" ht="12.75">
      <c r="A17" s="25"/>
      <c r="B17" s="86" t="str">
        <f>'Functionalized Accounts'!B20</f>
        <v xml:space="preserve">Corporate Relations, Stakeholder Engagement and Innovation -  VP Office </v>
      </c>
      <c r="C17" s="88" t="str">
        <f>'Functionalized Accounts'!G20</f>
        <v>CRSEI</v>
      </c>
    </row>
    <row r="18" spans="1:3" s="54" customFormat="1" ht="25.5">
      <c r="A18" s="25"/>
      <c r="B18" s="85" t="str">
        <f>'Functionalized Accounts'!B21</f>
        <v xml:space="preserve">Corporate Relations, Stakeholder Engagement and Innovation -  Government Affairs </v>
      </c>
      <c r="C18" s="87" t="str">
        <f>'Functionalized Accounts'!G21</f>
        <v>DOM</v>
      </c>
    </row>
    <row r="19" spans="1:3" s="54" customFormat="1" ht="25.5">
      <c r="A19" s="25"/>
      <c r="B19" s="86" t="str">
        <f>'Functionalized Accounts'!B22</f>
        <v xml:space="preserve">Corporate Relations, Stakeholder Engagement and Innovation -  Corporate Communications </v>
      </c>
      <c r="C19" s="88" t="str">
        <f>'Functionalized Accounts'!G22</f>
        <v>DOM</v>
      </c>
    </row>
    <row r="20" spans="1:3" s="54" customFormat="1" ht="25.5">
      <c r="A20" s="25"/>
      <c r="B20" s="85" t="str">
        <f>'Functionalized Accounts'!B23</f>
        <v xml:space="preserve">Corporate Relations, Stakeholder Engagement and Innovation -  Stakeholder and Community Engagement </v>
      </c>
      <c r="C20" s="87" t="str">
        <f>'Functionalized Accounts'!G23</f>
        <v>DOM</v>
      </c>
    </row>
    <row r="21" spans="1:3" s="54" customFormat="1" ht="25.5">
      <c r="A21" s="25"/>
      <c r="B21" s="86" t="str">
        <f>'Functionalized Accounts'!B24</f>
        <v xml:space="preserve">Corporate Relations, Stakeholder Engagement and Innovation -  Innovation, Research &amp; Development </v>
      </c>
      <c r="C21" s="88" t="str">
        <f>'Functionalized Accounts'!G24</f>
        <v>DOM</v>
      </c>
    </row>
    <row r="22" spans="1:3" s="54" customFormat="1" ht="12.75">
      <c r="A22" s="25"/>
      <c r="B22" s="85" t="str">
        <f>'Functionalized Accounts'!B25</f>
        <v>Information and Technology Services - VP Office</v>
      </c>
      <c r="C22" s="87" t="str">
        <f>'Functionalized Accounts'!G25</f>
        <v>ITS</v>
      </c>
    </row>
    <row r="23" spans="1:3" s="54" customFormat="1" ht="25.5">
      <c r="A23" s="25"/>
      <c r="B23" s="86" t="str">
        <f>'Functionalized Accounts'!B26</f>
        <v>Information and Technology Services - CIO Office (Organizational Governance Support)</v>
      </c>
      <c r="C23" s="88" t="str">
        <f>'Functionalized Accounts'!G26</f>
        <v>O&amp;A</v>
      </c>
    </row>
    <row r="24" spans="1:3" s="54" customFormat="1" ht="12.75">
      <c r="A24" s="25"/>
      <c r="B24" s="85" t="str">
        <f>'Functionalized Accounts'!B27</f>
        <v>Information and Technology Services - Information Security</v>
      </c>
      <c r="C24" s="87" t="str">
        <f>'Functionalized Accounts'!G27</f>
        <v>O&amp;A</v>
      </c>
    </row>
    <row r="25" spans="1:3" s="54" customFormat="1" ht="12.75">
      <c r="A25" s="25"/>
      <c r="B25" s="86" t="str">
        <f>'Functionalized Accounts'!B28</f>
        <v>Information and Technology Services - Business Services &amp; Solution Delivery</v>
      </c>
      <c r="C25" s="88" t="str">
        <f>'Functionalized Accounts'!G28</f>
        <v>O&amp;A</v>
      </c>
    </row>
    <row r="26" spans="1:3" s="54" customFormat="1" ht="25.5">
      <c r="A26" s="25"/>
      <c r="B26" s="85" t="str">
        <f>'Functionalized Accounts'!B29</f>
        <v>Information and Technology Services - IT Infrastructure &amp; Operations (Technology Services)</v>
      </c>
      <c r="C26" s="87" t="str">
        <f>'Functionalized Accounts'!G29</f>
        <v>O&amp;A</v>
      </c>
    </row>
    <row r="27" spans="1:3" s="54" customFormat="1" ht="12.75">
      <c r="A27" s="25"/>
      <c r="B27" s="86" t="str">
        <f>'Functionalized Accounts'!B30</f>
        <v xml:space="preserve">Legal Resources and Corporate Governance -  VP Office </v>
      </c>
      <c r="C27" s="88" t="str">
        <f>'Functionalized Accounts'!G30</f>
        <v>LRCG</v>
      </c>
    </row>
    <row r="28" spans="1:3" s="54" customFormat="1" ht="12.75">
      <c r="A28" s="25"/>
      <c r="B28" s="85" t="str">
        <f>'Functionalized Accounts'!B31</f>
        <v xml:space="preserve">Legal Resources and Corporate Governance -  General Counsel </v>
      </c>
      <c r="C28" s="87" t="str">
        <f>'Functionalized Accounts'!G31</f>
        <v>TWh</v>
      </c>
    </row>
    <row r="29" spans="1:3" s="54" customFormat="1" ht="25.5">
      <c r="A29" s="25"/>
      <c r="B29" s="86" t="str">
        <f>'Functionalized Accounts'!B32</f>
        <v xml:space="preserve">Legal Resources and Corporate Governance -  Market Rules and Regulatory Affairs </v>
      </c>
      <c r="C29" s="88" t="str">
        <f>'Functionalized Accounts'!G32</f>
        <v>TWh</v>
      </c>
    </row>
    <row r="30" spans="1:3" s="54" customFormat="1" ht="12.75">
      <c r="A30" s="25"/>
      <c r="B30" s="85" t="str">
        <f>'Functionalized Accounts'!B33</f>
        <v xml:space="preserve">Legal Resources and Corporate Governance -  OEB Assessment Fees </v>
      </c>
      <c r="C30" s="87" t="str">
        <f>'Functionalized Accounts'!G33</f>
        <v>TWh</v>
      </c>
    </row>
    <row r="31" spans="1:3" s="54" customFormat="1" ht="12.75">
      <c r="A31" s="25"/>
      <c r="B31" s="86" t="str">
        <f>'Functionalized Accounts'!B34</f>
        <v xml:space="preserve">Legal Resources and Corporate Governance -  Board </v>
      </c>
      <c r="C31" s="88" t="str">
        <f>'Functionalized Accounts'!G34</f>
        <v>TWh</v>
      </c>
    </row>
    <row r="32" spans="1:3" s="54" customFormat="1" ht="12.75">
      <c r="A32" s="25"/>
      <c r="B32" s="85" t="str">
        <f>'Functionalized Accounts'!B35</f>
        <v xml:space="preserve">Legal Resources and Corporate Governance -  NERC and NPCC Membership </v>
      </c>
      <c r="C32" s="87" t="str">
        <f>'Functionalized Accounts'!G35</f>
        <v>HALF</v>
      </c>
    </row>
    <row r="33" spans="1:3" s="54" customFormat="1" ht="12.75">
      <c r="A33" s="25"/>
      <c r="B33" s="86" t="str">
        <f>'Functionalized Accounts'!B36</f>
        <v xml:space="preserve">Legal Resources and Corporate Governance -  Contract Management </v>
      </c>
      <c r="C33" s="88" t="str">
        <f>'Functionalized Accounts'!G36</f>
        <v>DOM</v>
      </c>
    </row>
    <row r="34" spans="1:3" s="54" customFormat="1" ht="25.5">
      <c r="A34" s="25"/>
      <c r="B34" s="85" t="str">
        <f>'Functionalized Accounts'!B37</f>
        <v xml:space="preserve">Market Assessment and Compliance Division -  Market Assessment and Compliance Division </v>
      </c>
      <c r="C34" s="87" t="str">
        <f>'Functionalized Accounts'!G37</f>
        <v>TWh</v>
      </c>
    </row>
    <row r="35" spans="1:3" s="54" customFormat="1" ht="12.75">
      <c r="A35" s="25"/>
      <c r="B35" s="86" t="str">
        <f>'Functionalized Accounts'!B38</f>
        <v xml:space="preserve">Market Assessment and Compliance Division -  OEB Assessment Fees </v>
      </c>
      <c r="C35" s="88" t="str">
        <f>'Functionalized Accounts'!G38</f>
        <v>TWh</v>
      </c>
    </row>
    <row r="36" spans="1:3" s="54" customFormat="1" ht="12.75">
      <c r="A36" s="25"/>
      <c r="B36" s="85" t="str">
        <f>'Functionalized Accounts'!B39</f>
        <v>Corporate Services - VP Office</v>
      </c>
      <c r="C36" s="87" t="str">
        <f>'Functionalized Accounts'!G39</f>
        <v>CS</v>
      </c>
    </row>
    <row r="37" spans="1:3" s="54" customFormat="1" ht="12.75">
      <c r="A37" s="25"/>
      <c r="B37" s="86" t="str">
        <f>'Functionalized Accounts'!B40</f>
        <v>Corporate Services - Corporate Finance</v>
      </c>
      <c r="C37" s="88" t="str">
        <f>'Functionalized Accounts'!G40</f>
        <v>O&amp;A</v>
      </c>
    </row>
    <row r="38" spans="1:3" s="54" customFormat="1" ht="12.75">
      <c r="A38" s="25"/>
      <c r="B38" s="85" t="str">
        <f>'Functionalized Accounts'!B41</f>
        <v>Corporate Services - Procurement</v>
      </c>
      <c r="C38" s="87" t="str">
        <f>'Functionalized Accounts'!G41</f>
        <v>O&amp;A</v>
      </c>
    </row>
    <row r="39" spans="1:3" s="54" customFormat="1" ht="12.75">
      <c r="A39" s="25"/>
      <c r="B39" s="86" t="str">
        <f>'Functionalized Accounts'!B42</f>
        <v>Corporate Services - Risk, Performance &amp; Reliance and Internal Audit</v>
      </c>
      <c r="C39" s="88" t="str">
        <f>'Functionalized Accounts'!G42</f>
        <v>O&amp;A</v>
      </c>
    </row>
    <row r="40" spans="1:3" s="54" customFormat="1" ht="12.75">
      <c r="A40" s="25"/>
      <c r="B40" s="85" t="str">
        <f>'Functionalized Accounts'!B43</f>
        <v>Corporate Services - Settlements</v>
      </c>
      <c r="C40" s="87" t="str">
        <f>'Functionalized Accounts'!G43</f>
        <v>TWh</v>
      </c>
    </row>
    <row r="41" spans="1:3" s="54" customFormat="1" ht="12.75">
      <c r="A41" s="25"/>
      <c r="B41" s="86" t="str">
        <f>'Functionalized Accounts'!B44</f>
        <v>Corporate Services - Facilities</v>
      </c>
      <c r="C41" s="88" t="str">
        <f>'Functionalized Accounts'!G44</f>
        <v>O&amp;A</v>
      </c>
    </row>
    <row r="42" spans="1:3" s="54" customFormat="1" ht="12.75">
      <c r="A42" s="25"/>
      <c r="B42" s="85" t="str">
        <f>'Functionalized Accounts'!B45</f>
        <v>Corporate Services - Enterprise Change</v>
      </c>
      <c r="C42" s="87" t="str">
        <f>'Functionalized Accounts'!G45</f>
        <v>O&amp;A</v>
      </c>
    </row>
    <row r="43" spans="1:3" s="54" customFormat="1" ht="12.75">
      <c r="A43" s="25"/>
      <c r="B43" s="86" t="str">
        <f>'Functionalized Accounts'!B46</f>
        <v>Human Resources</v>
      </c>
      <c r="C43" s="88" t="str">
        <f>'Functionalized Accounts'!G46</f>
        <v>O&amp;A</v>
      </c>
    </row>
    <row r="44" spans="1:3" s="54" customFormat="1" ht="12.75">
      <c r="A44" s="25"/>
      <c r="B44" s="85" t="str">
        <f>'Functionalized Accounts'!B47</f>
        <v>Corporate Adjustment - General</v>
      </c>
      <c r="C44" s="87" t="str">
        <f>'Functionalized Accounts'!G47</f>
        <v>O&amp;A</v>
      </c>
    </row>
    <row r="45" spans="1:3" s="54" customFormat="1" ht="12.75">
      <c r="A45" s="25"/>
      <c r="B45" s="86" t="str">
        <f>'Functionalized Accounts'!B48</f>
        <v>Market Renewal</v>
      </c>
      <c r="C45" s="88" t="str">
        <f>'Functionalized Accounts'!G48</f>
        <v>TWh</v>
      </c>
    </row>
    <row r="46" spans="1:3" s="54" customFormat="1" ht="12.75">
      <c r="A46" s="25"/>
      <c r="B46" s="85" t="str">
        <f>'Functionalized Accounts'!B49</f>
        <v>Interest, Amortization and Registration Fees - Amortization</v>
      </c>
      <c r="C46" s="87" t="str">
        <f>'Functionalized Accounts'!G49</f>
        <v>TWh</v>
      </c>
    </row>
    <row r="47" spans="1:3" s="54" customFormat="1" ht="12.75">
      <c r="A47" s="25"/>
      <c r="B47" s="86" t="str">
        <f>'Functionalized Accounts'!B50</f>
        <v>Interest, Amortization and Registration Fees - Interest</v>
      </c>
      <c r="C47" s="88" t="str">
        <f>'Functionalized Accounts'!G50</f>
        <v>TWh</v>
      </c>
    </row>
    <row r="48" spans="1:3" s="54" customFormat="1" ht="12.75">
      <c r="A48" s="25"/>
      <c r="B48" s="85" t="str">
        <f>'Functionalized Accounts'!B51</f>
        <v>Interest, Amortization and Registration Fees - Registration Fees</v>
      </c>
      <c r="C48" s="87" t="str">
        <f>'Functionalized Accounts'!G51</f>
        <v>DOM</v>
      </c>
    </row>
    <row r="49" spans="1:3" s="54" customFormat="1" ht="12.75">
      <c r="A49" s="25"/>
      <c r="B49" s="86" t="str">
        <f>'Functionalized Accounts'!B57</f>
        <v>Assets - Assets</v>
      </c>
      <c r="C49" s="88" t="s">
        <v>15</v>
      </c>
    </row>
    <row r="50" spans="1:3" s="54" customFormat="1" ht="12.75">
      <c r="A50" s="25"/>
      <c r="B50" s="85" t="str">
        <f>'Functionalized Accounts'!B58</f>
        <v>Assets - Market systems &amp; applications</v>
      </c>
      <c r="C50" s="87" t="str">
        <f t="shared" ref="C50:C52" si="0">C49</f>
        <v>TWh</v>
      </c>
    </row>
    <row r="51" spans="1:3" s="54" customFormat="1" ht="12.75">
      <c r="A51" s="25"/>
      <c r="B51" s="86" t="str">
        <f>'Functionalized Accounts'!B59</f>
        <v>Assets - Infrastructure &amp; other assets</v>
      </c>
      <c r="C51" s="88" t="str">
        <f t="shared" si="0"/>
        <v>TWh</v>
      </c>
    </row>
    <row r="52" spans="1:3" s="54" customFormat="1" ht="12.75">
      <c r="A52" s="25"/>
      <c r="B52" s="85" t="str">
        <f>'Functionalized Accounts'!B60</f>
        <v>Assets - Assets Under Construction</v>
      </c>
      <c r="C52" s="87" t="str">
        <f t="shared" si="0"/>
        <v>TWh</v>
      </c>
    </row>
    <row r="53" spans="1:3" s="54" customFormat="1" ht="13.5" thickBot="1">
      <c r="A53" s="25"/>
      <c r="B53" s="262" t="str">
        <f>'Functionalized Accounts'!B61</f>
        <v>Accumulated Amortization</v>
      </c>
      <c r="C53" s="263" t="s">
        <v>174</v>
      </c>
    </row>
    <row r="54" spans="1:3" s="54" customFormat="1" ht="12.75">
      <c r="A54" s="25"/>
      <c r="B54" s="25"/>
      <c r="C54" s="31"/>
    </row>
  </sheetData>
  <mergeCells count="1">
    <mergeCell ref="A3:C3"/>
  </mergeCells>
  <phoneticPr fontId="0" type="noConversion"/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5">
    <tabColor indexed="34"/>
  </sheetPr>
  <dimension ref="A1:E58"/>
  <sheetViews>
    <sheetView workbookViewId="0">
      <selection activeCell="H22" sqref="H22"/>
    </sheetView>
  </sheetViews>
  <sheetFormatPr defaultColWidth="9.140625" defaultRowHeight="11.25"/>
  <cols>
    <col min="1" max="1" width="2.7109375" style="11" customWidth="1"/>
    <col min="2" max="2" width="83" style="38" bestFit="1" customWidth="1"/>
    <col min="3" max="3" width="15.42578125" style="10" bestFit="1" customWidth="1"/>
    <col min="4" max="4" width="15.42578125" style="5" bestFit="1" customWidth="1"/>
    <col min="5" max="5" width="13.5703125" style="5" customWidth="1"/>
    <col min="6" max="16384" width="9.140625" style="5"/>
  </cols>
  <sheetData>
    <row r="1" spans="1:5" s="1" customFormat="1" ht="21" customHeight="1">
      <c r="A1" s="30" t="str">
        <f>"Reconciliation Worksheet"</f>
        <v>Reconciliation Worksheet</v>
      </c>
      <c r="B1" s="357"/>
      <c r="C1" s="293" t="str">
        <f>"IESO "&amp;'Revenue to Cost|RR'!H22&amp;" Fee Model"</f>
        <v>IESO 2024 Fee Model</v>
      </c>
      <c r="D1" s="5"/>
      <c r="E1" s="5"/>
    </row>
    <row r="2" spans="1:5" s="1" customFormat="1" ht="6" customHeight="1">
      <c r="A2" s="333"/>
      <c r="B2" s="333"/>
      <c r="C2" s="333"/>
      <c r="D2" s="333"/>
      <c r="E2" s="333"/>
    </row>
    <row r="3" spans="1:5">
      <c r="A3" s="66"/>
      <c r="B3" s="72"/>
    </row>
    <row r="4" spans="1:5">
      <c r="B4" s="72"/>
    </row>
    <row r="5" spans="1:5">
      <c r="A5" s="27"/>
      <c r="B5" s="72"/>
    </row>
    <row r="6" spans="1:5">
      <c r="B6" s="72"/>
    </row>
    <row r="7" spans="1:5" ht="12" thickBot="1">
      <c r="A7" s="52"/>
      <c r="B7" s="72"/>
      <c r="C7" s="89"/>
    </row>
    <row r="8" spans="1:5" s="90" customFormat="1" ht="34.5" thickBot="1">
      <c r="A8" s="52"/>
      <c r="B8" s="91" t="s">
        <v>5</v>
      </c>
      <c r="C8" s="73" t="s">
        <v>175</v>
      </c>
      <c r="D8" s="92" t="s">
        <v>176</v>
      </c>
      <c r="E8" s="92" t="s">
        <v>177</v>
      </c>
    </row>
    <row r="9" spans="1:5" ht="12.75">
      <c r="A9" s="52"/>
      <c r="B9" s="437" t="str">
        <f>'Functionalized Accounts'!B9</f>
        <v>CEO Office</v>
      </c>
      <c r="C9" s="438">
        <f>'Functionalized Accounts'!F9</f>
        <v>1500000.0000000002</v>
      </c>
      <c r="D9" s="439">
        <f ca="1">+SUM('Summary by Class &amp; Accounts'!E9:'Summary by Class &amp; Accounts'!F9)</f>
        <v>1500000.0000000002</v>
      </c>
      <c r="E9" s="440">
        <f ca="1">+C9-D9</f>
        <v>0</v>
      </c>
    </row>
    <row r="10" spans="1:5" ht="12.75">
      <c r="A10" s="52"/>
      <c r="B10" s="441" t="str">
        <f>'Functionalized Accounts'!B10</f>
        <v xml:space="preserve">Markets &amp; Reliability -  VP Office </v>
      </c>
      <c r="C10" s="438">
        <f>'Functionalized Accounts'!F10</f>
        <v>1102820.512820513</v>
      </c>
      <c r="D10" s="439">
        <f ca="1">+SUM('Summary by Class &amp; Accounts'!E10:'Summary by Class &amp; Accounts'!F10)</f>
        <v>1102820.512820513</v>
      </c>
      <c r="E10" s="440">
        <f t="shared" ref="E10:E14" ca="1" si="0">+C10-D10</f>
        <v>0</v>
      </c>
    </row>
    <row r="11" spans="1:5" ht="12.75">
      <c r="A11" s="52"/>
      <c r="B11" s="441" t="str">
        <f>'Functionalized Accounts'!B11</f>
        <v xml:space="preserve">Markets &amp; Reliability -  Power System Assessments </v>
      </c>
      <c r="C11" s="438">
        <f>'Functionalized Accounts'!F11</f>
        <v>11629743.589743592</v>
      </c>
      <c r="D11" s="439">
        <f ca="1">+SUM('Summary by Class &amp; Accounts'!E11:'Summary by Class &amp; Accounts'!F11)</f>
        <v>11629743.589743592</v>
      </c>
      <c r="E11" s="440">
        <f t="shared" ca="1" si="0"/>
        <v>0</v>
      </c>
    </row>
    <row r="12" spans="1:5" ht="12.75">
      <c r="A12" s="52"/>
      <c r="B12" s="441" t="str">
        <f>'Functionalized Accounts'!B12</f>
        <v xml:space="preserve">Markets &amp; Reliability -  Market Operations </v>
      </c>
      <c r="C12" s="438">
        <f>'Functionalized Accounts'!F12</f>
        <v>17143846.153846156</v>
      </c>
      <c r="D12" s="439">
        <f ca="1">+SUM('Summary by Class &amp; Accounts'!E12:'Summary by Class &amp; Accounts'!F12)</f>
        <v>17143846.153846156</v>
      </c>
      <c r="E12" s="440">
        <f t="shared" ca="1" si="0"/>
        <v>0</v>
      </c>
    </row>
    <row r="13" spans="1:5" ht="12.75">
      <c r="A13" s="52"/>
      <c r="B13" s="441" t="str">
        <f>'Functionalized Accounts'!B13</f>
        <v xml:space="preserve">Markets &amp; Reliability -  Wholesale Market Development </v>
      </c>
      <c r="C13" s="438">
        <f>'Functionalized Accounts'!F13</f>
        <v>3709487.1794871804</v>
      </c>
      <c r="D13" s="439">
        <f ca="1">+SUM('Summary by Class &amp; Accounts'!E13:'Summary by Class &amp; Accounts'!F13)</f>
        <v>3709487.1794871809</v>
      </c>
      <c r="E13" s="440">
        <f t="shared" ca="1" si="0"/>
        <v>0</v>
      </c>
    </row>
    <row r="14" spans="1:5" ht="12.75">
      <c r="A14" s="52"/>
      <c r="B14" s="441" t="str">
        <f>'Functionalized Accounts'!B14</f>
        <v xml:space="preserve">Markets &amp; Reliability -  Reliability Assurance &amp; Operational Assessments </v>
      </c>
      <c r="C14" s="438">
        <f>'Functionalized Accounts'!F14</f>
        <v>5514102.5641025649</v>
      </c>
      <c r="D14" s="439">
        <f ca="1">+SUM('Summary by Class &amp; Accounts'!E14:'Summary by Class &amp; Accounts'!F14)</f>
        <v>5514102.5641025659</v>
      </c>
      <c r="E14" s="440">
        <f t="shared" ca="1" si="0"/>
        <v>0</v>
      </c>
    </row>
    <row r="15" spans="1:5" ht="12.75">
      <c r="A15" s="52"/>
      <c r="B15" s="441" t="str">
        <f>'Functionalized Accounts'!B15</f>
        <v xml:space="preserve">Planning, Conservation and Resource Adequacy -  VP Office and Planning Projects &amp; Sustainability </v>
      </c>
      <c r="C15" s="438">
        <f>'Functionalized Accounts'!F15</f>
        <v>1100000.0000000002</v>
      </c>
      <c r="D15" s="439">
        <f ca="1">+SUM('Summary by Class &amp; Accounts'!E15:'Summary by Class &amp; Accounts'!F15)</f>
        <v>1100000.0000000002</v>
      </c>
      <c r="E15" s="440">
        <f t="shared" ref="E15:E37" ca="1" si="1">+C15-D15</f>
        <v>0</v>
      </c>
    </row>
    <row r="16" spans="1:5" ht="12.75">
      <c r="A16" s="52"/>
      <c r="B16" s="441" t="str">
        <f>'Functionalized Accounts'!B16</f>
        <v xml:space="preserve">Planning, Conservation and Resource Adequacy -  Resource Planning </v>
      </c>
      <c r="C16" s="438">
        <f>'Functionalized Accounts'!F16</f>
        <v>6400000.0000000019</v>
      </c>
      <c r="D16" s="439">
        <f ca="1">+SUM('Summary by Class &amp; Accounts'!E16:'Summary by Class &amp; Accounts'!F16)</f>
        <v>6400000.0000000019</v>
      </c>
      <c r="E16" s="440">
        <f t="shared" ca="1" si="1"/>
        <v>0</v>
      </c>
    </row>
    <row r="17" spans="1:5" ht="12.75">
      <c r="A17" s="52"/>
      <c r="B17" s="441" t="str">
        <f>'Functionalized Accounts'!B17</f>
        <v xml:space="preserve">Planning, Conservation and Resource Adequacy -  Transmission Planning </v>
      </c>
      <c r="C17" s="438">
        <f>'Functionalized Accounts'!F17</f>
        <v>5200000.0000000009</v>
      </c>
      <c r="D17" s="439">
        <f ca="1">+SUM('Summary by Class &amp; Accounts'!E17:'Summary by Class &amp; Accounts'!F17)</f>
        <v>5200000.0000000009</v>
      </c>
      <c r="E17" s="440">
        <f t="shared" ca="1" si="1"/>
        <v>0</v>
      </c>
    </row>
    <row r="18" spans="1:5" ht="12.75">
      <c r="A18" s="52"/>
      <c r="B18" s="441" t="str">
        <f>'Functionalized Accounts'!B18</f>
        <v xml:space="preserve">Planning, Conservation and Resource Adequacy -  Resource &amp; System Adequacy </v>
      </c>
      <c r="C18" s="438">
        <f>'Functionalized Accounts'!F18</f>
        <v>7100000.0000000019</v>
      </c>
      <c r="D18" s="439">
        <f ca="1">+SUM('Summary by Class &amp; Accounts'!E18:'Summary by Class &amp; Accounts'!F18)</f>
        <v>7100000.0000000019</v>
      </c>
      <c r="E18" s="440">
        <f t="shared" ca="1" si="1"/>
        <v>0</v>
      </c>
    </row>
    <row r="19" spans="1:5" ht="12.75">
      <c r="A19" s="52"/>
      <c r="B19" s="441" t="str">
        <f>'Functionalized Accounts'!B19</f>
        <v xml:space="preserve">Planning, Conservation and Resource Adequacy -  Energy Efficiency </v>
      </c>
      <c r="C19" s="438">
        <f>'Functionalized Accounts'!F19</f>
        <v>6400000.0000000019</v>
      </c>
      <c r="D19" s="439">
        <f ca="1">+SUM('Summary by Class &amp; Accounts'!E19:'Summary by Class &amp; Accounts'!F19)</f>
        <v>6400000.0000000019</v>
      </c>
      <c r="E19" s="440">
        <f t="shared" ca="1" si="1"/>
        <v>0</v>
      </c>
    </row>
    <row r="20" spans="1:5" ht="12.75">
      <c r="A20" s="52"/>
      <c r="B20" s="441" t="str">
        <f>'Functionalized Accounts'!B20</f>
        <v xml:space="preserve">Corporate Relations, Stakeholder Engagement and Innovation -  VP Office </v>
      </c>
      <c r="C20" s="438">
        <f>'Functionalized Accounts'!F20</f>
        <v>700000.00000000012</v>
      </c>
      <c r="D20" s="439">
        <f ca="1">+SUM('Summary by Class &amp; Accounts'!E20:'Summary by Class &amp; Accounts'!F20)</f>
        <v>700000.00000000012</v>
      </c>
      <c r="E20" s="440">
        <f t="shared" ca="1" si="1"/>
        <v>0</v>
      </c>
    </row>
    <row r="21" spans="1:5" ht="12.75">
      <c r="A21" s="52"/>
      <c r="B21" s="441" t="str">
        <f>'Functionalized Accounts'!B21</f>
        <v xml:space="preserve">Corporate Relations, Stakeholder Engagement and Innovation -  Government Affairs </v>
      </c>
      <c r="C21" s="438">
        <f>'Functionalized Accounts'!F21</f>
        <v>500000.00000000012</v>
      </c>
      <c r="D21" s="439">
        <f ca="1">+SUM('Summary by Class &amp; Accounts'!E21:'Summary by Class &amp; Accounts'!F21)</f>
        <v>500000.00000000012</v>
      </c>
      <c r="E21" s="440">
        <f t="shared" ca="1" si="1"/>
        <v>0</v>
      </c>
    </row>
    <row r="22" spans="1:5" ht="12.75">
      <c r="A22" s="52"/>
      <c r="B22" s="441" t="str">
        <f>'Functionalized Accounts'!B22</f>
        <v xml:space="preserve">Corporate Relations, Stakeholder Engagement and Innovation -  Corporate Communications </v>
      </c>
      <c r="C22" s="438">
        <f>'Functionalized Accounts'!F22</f>
        <v>4000000.0000000009</v>
      </c>
      <c r="D22" s="439">
        <f ca="1">+SUM('Summary by Class &amp; Accounts'!E22:'Summary by Class &amp; Accounts'!F22)</f>
        <v>4000000.0000000009</v>
      </c>
      <c r="E22" s="440">
        <f t="shared" ca="1" si="1"/>
        <v>0</v>
      </c>
    </row>
    <row r="23" spans="1:5" ht="12.75">
      <c r="A23" s="52"/>
      <c r="B23" s="441" t="str">
        <f>'Functionalized Accounts'!B23</f>
        <v xml:space="preserve">Corporate Relations, Stakeholder Engagement and Innovation -  Stakeholder and Community Engagement </v>
      </c>
      <c r="C23" s="438">
        <f>'Functionalized Accounts'!F23</f>
        <v>6300000.0000000019</v>
      </c>
      <c r="D23" s="439">
        <f ca="1">+SUM('Summary by Class &amp; Accounts'!E23:'Summary by Class &amp; Accounts'!F23)</f>
        <v>6300000.0000000019</v>
      </c>
      <c r="E23" s="440">
        <f t="shared" ca="1" si="1"/>
        <v>0</v>
      </c>
    </row>
    <row r="24" spans="1:5" ht="12.75">
      <c r="A24" s="52"/>
      <c r="B24" s="441" t="str">
        <f>'Functionalized Accounts'!B24</f>
        <v xml:space="preserve">Corporate Relations, Stakeholder Engagement and Innovation -  Innovation, Research &amp; Development </v>
      </c>
      <c r="C24" s="438">
        <f>'Functionalized Accounts'!F24</f>
        <v>4300000.0000000009</v>
      </c>
      <c r="D24" s="439">
        <f ca="1">+SUM('Summary by Class &amp; Accounts'!E24:'Summary by Class &amp; Accounts'!F24)</f>
        <v>4300000.0000000009</v>
      </c>
      <c r="E24" s="440">
        <f t="shared" ca="1" si="1"/>
        <v>0</v>
      </c>
    </row>
    <row r="25" spans="1:5" ht="12.75">
      <c r="A25" s="52"/>
      <c r="B25" s="441" t="str">
        <f>'Functionalized Accounts'!B25</f>
        <v>Information and Technology Services - VP Office</v>
      </c>
      <c r="C25" s="438">
        <f>'Functionalized Accounts'!F25</f>
        <v>900000.00000000023</v>
      </c>
      <c r="D25" s="439">
        <f ca="1">+SUM('Summary by Class &amp; Accounts'!E25:'Summary by Class &amp; Accounts'!F25)</f>
        <v>900000.00000000023</v>
      </c>
      <c r="E25" s="440">
        <f t="shared" ca="1" si="1"/>
        <v>0</v>
      </c>
    </row>
    <row r="26" spans="1:5" ht="12.75">
      <c r="A26" s="52"/>
      <c r="B26" s="441" t="str">
        <f>'Functionalized Accounts'!B26</f>
        <v>Information and Technology Services - CIO Office (Organizational Governance Support)</v>
      </c>
      <c r="C26" s="438">
        <f>'Functionalized Accounts'!F26</f>
        <v>2200000.0000000005</v>
      </c>
      <c r="D26" s="439">
        <f ca="1">+SUM('Summary by Class &amp; Accounts'!E26:'Summary by Class &amp; Accounts'!F26)</f>
        <v>2200000.0000000009</v>
      </c>
      <c r="E26" s="440">
        <f t="shared" ca="1" si="1"/>
        <v>0</v>
      </c>
    </row>
    <row r="27" spans="1:5" ht="12.75">
      <c r="A27" s="52"/>
      <c r="B27" s="441" t="str">
        <f>'Functionalized Accounts'!B27</f>
        <v>Information and Technology Services - Information Security</v>
      </c>
      <c r="C27" s="438">
        <f>'Functionalized Accounts'!F27</f>
        <v>5600000.0000000009</v>
      </c>
      <c r="D27" s="439">
        <f ca="1">+SUM('Summary by Class &amp; Accounts'!E27:'Summary by Class &amp; Accounts'!F27)</f>
        <v>5600000.0000000009</v>
      </c>
      <c r="E27" s="440">
        <f t="shared" ca="1" si="1"/>
        <v>0</v>
      </c>
    </row>
    <row r="28" spans="1:5" ht="12.75">
      <c r="A28" s="52"/>
      <c r="B28" s="441" t="str">
        <f>'Functionalized Accounts'!B28</f>
        <v>Information and Technology Services - Business Services &amp; Solution Delivery</v>
      </c>
      <c r="C28" s="438">
        <f>'Functionalized Accounts'!F28</f>
        <v>19100000.000000004</v>
      </c>
      <c r="D28" s="439">
        <f ca="1">+SUM('Summary by Class &amp; Accounts'!E28:'Summary by Class &amp; Accounts'!F28)</f>
        <v>19100000.000000007</v>
      </c>
      <c r="E28" s="440">
        <f t="shared" ca="1" si="1"/>
        <v>0</v>
      </c>
    </row>
    <row r="29" spans="1:5" ht="12.75">
      <c r="A29" s="52"/>
      <c r="B29" s="441" t="str">
        <f>'Functionalized Accounts'!B29</f>
        <v>Information and Technology Services - IT Infrastructure &amp; Operations (Technology Services)</v>
      </c>
      <c r="C29" s="438">
        <f>'Functionalized Accounts'!F29</f>
        <v>21600000.000000004</v>
      </c>
      <c r="D29" s="439">
        <f ca="1">+SUM('Summary by Class &amp; Accounts'!E29:'Summary by Class &amp; Accounts'!F29)</f>
        <v>21600000.000000007</v>
      </c>
      <c r="E29" s="440">
        <f t="shared" ca="1" si="1"/>
        <v>0</v>
      </c>
    </row>
    <row r="30" spans="1:5" ht="12.75">
      <c r="A30" s="52"/>
      <c r="B30" s="441" t="str">
        <f>'Functionalized Accounts'!B30</f>
        <v xml:space="preserve">Legal Resources and Corporate Governance -  VP Office </v>
      </c>
      <c r="C30" s="438">
        <f>'Functionalized Accounts'!F30</f>
        <v>1495098.0392156865</v>
      </c>
      <c r="D30" s="439">
        <f ca="1">+SUM('Summary by Class &amp; Accounts'!E30:'Summary by Class &amp; Accounts'!F30)</f>
        <v>1495098.0392156865</v>
      </c>
      <c r="E30" s="440">
        <f t="shared" ca="1" si="1"/>
        <v>0</v>
      </c>
    </row>
    <row r="31" spans="1:5" ht="12.75">
      <c r="A31" s="52"/>
      <c r="B31" s="441" t="str">
        <f>'Functionalized Accounts'!B31</f>
        <v xml:space="preserve">Legal Resources and Corporate Governance -  General Counsel </v>
      </c>
      <c r="C31" s="438">
        <f>'Functionalized Accounts'!F31</f>
        <v>10764705.882352943</v>
      </c>
      <c r="D31" s="439">
        <f ca="1">+SUM('Summary by Class &amp; Accounts'!E31:'Summary by Class &amp; Accounts'!F31)</f>
        <v>10764705.882352943</v>
      </c>
      <c r="E31" s="440">
        <f t="shared" ca="1" si="1"/>
        <v>0</v>
      </c>
    </row>
    <row r="32" spans="1:5" ht="12.75">
      <c r="A32" s="52"/>
      <c r="B32" s="441" t="str">
        <f>'Functionalized Accounts'!B32</f>
        <v xml:space="preserve">Legal Resources and Corporate Governance -  Market Rules and Regulatory Affairs </v>
      </c>
      <c r="C32" s="438">
        <f>'Functionalized Accounts'!F32</f>
        <v>2890522.8758169939</v>
      </c>
      <c r="D32" s="439">
        <f ca="1">+SUM('Summary by Class &amp; Accounts'!E32:'Summary by Class &amp; Accounts'!F32)</f>
        <v>2890522.8758169939</v>
      </c>
      <c r="E32" s="440">
        <f t="shared" ca="1" si="1"/>
        <v>0</v>
      </c>
    </row>
    <row r="33" spans="1:5" ht="12.75">
      <c r="A33" s="52"/>
      <c r="B33" s="441" t="str">
        <f>'Functionalized Accounts'!B33</f>
        <v xml:space="preserve">Legal Resources and Corporate Governance -  OEB Assessment Fees </v>
      </c>
      <c r="C33" s="438">
        <f>'Functionalized Accounts'!F33</f>
        <v>697712.41830065369</v>
      </c>
      <c r="D33" s="439">
        <f ca="1">+SUM('Summary by Class &amp; Accounts'!E33:'Summary by Class &amp; Accounts'!F33)</f>
        <v>697712.41830065369</v>
      </c>
      <c r="E33" s="440">
        <f t="shared" ca="1" si="1"/>
        <v>0</v>
      </c>
    </row>
    <row r="34" spans="1:5" ht="12.75">
      <c r="A34" s="52"/>
      <c r="B34" s="441" t="str">
        <f>'Functionalized Accounts'!B34</f>
        <v xml:space="preserve">Legal Resources and Corporate Governance -  Board </v>
      </c>
      <c r="C34" s="438">
        <f>'Functionalized Accounts'!F34</f>
        <v>797385.62091503292</v>
      </c>
      <c r="D34" s="439">
        <f ca="1">+SUM('Summary by Class &amp; Accounts'!E34:'Summary by Class &amp; Accounts'!F34)</f>
        <v>797385.62091503292</v>
      </c>
      <c r="E34" s="440">
        <f t="shared" ca="1" si="1"/>
        <v>0</v>
      </c>
    </row>
    <row r="35" spans="1:5" ht="12.75">
      <c r="A35" s="52"/>
      <c r="B35" s="441" t="str">
        <f>'Functionalized Accounts'!B35</f>
        <v xml:space="preserve">Legal Resources and Corporate Governance -  NERC and NPCC Membership </v>
      </c>
      <c r="C35" s="438">
        <f>'Functionalized Accounts'!F35</f>
        <v>5282679.7385620922</v>
      </c>
      <c r="D35" s="439">
        <f ca="1">+SUM('Summary by Class &amp; Accounts'!E35:'Summary by Class &amp; Accounts'!F35)</f>
        <v>5282679.7385620922</v>
      </c>
      <c r="E35" s="440">
        <f t="shared" ca="1" si="1"/>
        <v>0</v>
      </c>
    </row>
    <row r="36" spans="1:5" ht="12.75">
      <c r="A36" s="52"/>
      <c r="B36" s="441" t="str">
        <f>'Functionalized Accounts'!B36</f>
        <v xml:space="preserve">Legal Resources and Corporate Governance -  Contract Management </v>
      </c>
      <c r="C36" s="438">
        <f>'Functionalized Accounts'!F36</f>
        <v>8571895.4248366039</v>
      </c>
      <c r="D36" s="439">
        <f ca="1">+SUM('Summary by Class &amp; Accounts'!E36:'Summary by Class &amp; Accounts'!F36)</f>
        <v>8571895.4248366039</v>
      </c>
      <c r="E36" s="440">
        <f t="shared" ca="1" si="1"/>
        <v>0</v>
      </c>
    </row>
    <row r="37" spans="1:5" ht="12.75">
      <c r="A37" s="52"/>
      <c r="B37" s="441" t="str">
        <f>'Functionalized Accounts'!B37</f>
        <v xml:space="preserve">Market Assessment and Compliance Division -  Market Assessment and Compliance Division </v>
      </c>
      <c r="C37" s="438">
        <f>'Functionalized Accounts'!F37</f>
        <v>1800000.0000000005</v>
      </c>
      <c r="D37" s="439">
        <f ca="1">+SUM('Summary by Class &amp; Accounts'!E37:'Summary by Class &amp; Accounts'!F37)</f>
        <v>1800000.0000000005</v>
      </c>
      <c r="E37" s="440">
        <f t="shared" ca="1" si="1"/>
        <v>0</v>
      </c>
    </row>
    <row r="38" spans="1:5" ht="12.75">
      <c r="A38" s="52"/>
      <c r="B38" s="441" t="str">
        <f>'Functionalized Accounts'!B38</f>
        <v xml:space="preserve">Market Assessment and Compliance Division -  OEB Assessment Fees </v>
      </c>
      <c r="C38" s="438">
        <f>'Functionalized Accounts'!F38</f>
        <v>700000.00000000012</v>
      </c>
      <c r="D38" s="439">
        <f ca="1">+SUM('Summary by Class &amp; Accounts'!E38:'Summary by Class &amp; Accounts'!F38)</f>
        <v>700000.00000000012</v>
      </c>
      <c r="E38" s="440">
        <f t="shared" ref="E38:E49" ca="1" si="2">+C38-D38</f>
        <v>0</v>
      </c>
    </row>
    <row r="39" spans="1:5" ht="12.75">
      <c r="A39" s="52"/>
      <c r="B39" s="441" t="str">
        <f>'Functionalized Accounts'!B39</f>
        <v>Corporate Services - VP Office</v>
      </c>
      <c r="C39" s="438">
        <f>'Functionalized Accounts'!F39</f>
        <v>598019.80198019813</v>
      </c>
      <c r="D39" s="439">
        <f ca="1">+SUM('Summary by Class &amp; Accounts'!E39:'Summary by Class &amp; Accounts'!F39)</f>
        <v>598019.80198019813</v>
      </c>
      <c r="E39" s="440">
        <f t="shared" ca="1" si="2"/>
        <v>0</v>
      </c>
    </row>
    <row r="40" spans="1:5" ht="12.75">
      <c r="A40" s="52"/>
      <c r="B40" s="441" t="str">
        <f>'Functionalized Accounts'!B40</f>
        <v>Corporate Services - Corporate Finance</v>
      </c>
      <c r="C40" s="438">
        <f>'Functionalized Accounts'!F40</f>
        <v>5880528.0528052812</v>
      </c>
      <c r="D40" s="439">
        <f ca="1">+SUM('Summary by Class &amp; Accounts'!E40:'Summary by Class &amp; Accounts'!F40)</f>
        <v>5880528.0528052822</v>
      </c>
      <c r="E40" s="440">
        <f t="shared" ca="1" si="2"/>
        <v>0</v>
      </c>
    </row>
    <row r="41" spans="1:5" ht="12.75">
      <c r="A41" s="52"/>
      <c r="B41" s="441" t="str">
        <f>'Functionalized Accounts'!B41</f>
        <v>Corporate Services - Procurement</v>
      </c>
      <c r="C41" s="438">
        <f>'Functionalized Accounts'!F41</f>
        <v>1794059.4059405944</v>
      </c>
      <c r="D41" s="439">
        <f ca="1">+SUM('Summary by Class &amp; Accounts'!E41:'Summary by Class &amp; Accounts'!F41)</f>
        <v>1794059.4059405944</v>
      </c>
      <c r="E41" s="440">
        <f t="shared" ca="1" si="2"/>
        <v>0</v>
      </c>
    </row>
    <row r="42" spans="1:5" ht="12.75">
      <c r="A42" s="52"/>
      <c r="B42" s="441" t="str">
        <f>'Functionalized Accounts'!B42</f>
        <v>Corporate Services - Risk, Performance &amp; Reliance and Internal Audit</v>
      </c>
      <c r="C42" s="438">
        <f>'Functionalized Accounts'!F42</f>
        <v>2292409.2409240929</v>
      </c>
      <c r="D42" s="439">
        <f ca="1">+SUM('Summary by Class &amp; Accounts'!E42:'Summary by Class &amp; Accounts'!F42)</f>
        <v>2292409.2409240929</v>
      </c>
      <c r="E42" s="440">
        <f t="shared" ca="1" si="2"/>
        <v>0</v>
      </c>
    </row>
    <row r="43" spans="1:5" ht="12.75">
      <c r="A43" s="52"/>
      <c r="B43" s="441" t="str">
        <f>'Functionalized Accounts'!B43</f>
        <v>Corporate Services - Settlements</v>
      </c>
      <c r="C43" s="438">
        <f>'Functionalized Accounts'!F43</f>
        <v>5880528.0528052812</v>
      </c>
      <c r="D43" s="439">
        <f ca="1">+SUM('Summary by Class &amp; Accounts'!E43:'Summary by Class &amp; Accounts'!F43)</f>
        <v>5880528.0528052822</v>
      </c>
      <c r="E43" s="440">
        <f t="shared" ca="1" si="2"/>
        <v>0</v>
      </c>
    </row>
    <row r="44" spans="1:5" ht="12.75">
      <c r="A44" s="52"/>
      <c r="B44" s="441" t="str">
        <f>'Functionalized Accounts'!B44</f>
        <v>Corporate Services - Facilities</v>
      </c>
      <c r="C44" s="438">
        <f>'Functionalized Accounts'!F44</f>
        <v>10166336.633663367</v>
      </c>
      <c r="D44" s="439">
        <f ca="1">+SUM('Summary by Class &amp; Accounts'!E44:'Summary by Class &amp; Accounts'!F44)</f>
        <v>10166336.633663369</v>
      </c>
      <c r="E44" s="440">
        <f t="shared" ca="1" si="2"/>
        <v>0</v>
      </c>
    </row>
    <row r="45" spans="1:5" ht="12.75">
      <c r="A45" s="52"/>
      <c r="B45" s="441" t="str">
        <f>'Functionalized Accounts'!B45</f>
        <v>Corporate Services - Enterprise Change</v>
      </c>
      <c r="C45" s="438">
        <f>'Functionalized Accounts'!F45</f>
        <v>3588118.8118811888</v>
      </c>
      <c r="D45" s="439">
        <f ca="1">+SUM('Summary by Class &amp; Accounts'!E45:'Summary by Class &amp; Accounts'!F45)</f>
        <v>3588118.8118811888</v>
      </c>
      <c r="E45" s="440">
        <f t="shared" ca="1" si="2"/>
        <v>0</v>
      </c>
    </row>
    <row r="46" spans="1:5" ht="12.75">
      <c r="A46" s="52"/>
      <c r="B46" s="441" t="str">
        <f>'Functionalized Accounts'!B46</f>
        <v>Human Resources</v>
      </c>
      <c r="C46" s="438">
        <f>'Functionalized Accounts'!F46</f>
        <v>6400000.0000000019</v>
      </c>
      <c r="D46" s="439">
        <f ca="1">+SUM('Summary by Class &amp; Accounts'!E46:'Summary by Class &amp; Accounts'!F46)</f>
        <v>6400000.0000000028</v>
      </c>
      <c r="E46" s="440">
        <f t="shared" ca="1" si="2"/>
        <v>0</v>
      </c>
    </row>
    <row r="47" spans="1:5" ht="12.75">
      <c r="A47" s="52"/>
      <c r="B47" s="441" t="str">
        <f>'Functionalized Accounts'!B47</f>
        <v>Corporate Adjustment - General</v>
      </c>
      <c r="C47" s="438">
        <f>'Functionalized Accounts'!F47</f>
        <v>600000.00000000012</v>
      </c>
      <c r="D47" s="439">
        <f ca="1">+SUM('Summary by Class &amp; Accounts'!E47:'Summary by Class &amp; Accounts'!F47)</f>
        <v>600000.00000000012</v>
      </c>
      <c r="E47" s="440">
        <f t="shared" ca="1" si="2"/>
        <v>0</v>
      </c>
    </row>
    <row r="48" spans="1:5" ht="12.75">
      <c r="A48" s="52"/>
      <c r="B48" s="441" t="str">
        <f>'Functionalized Accounts'!B48</f>
        <v>Market Renewal</v>
      </c>
      <c r="C48" s="438">
        <f>'Functionalized Accounts'!F48</f>
        <v>4400000.0000000009</v>
      </c>
      <c r="D48" s="439">
        <f ca="1">+SUM('Summary by Class &amp; Accounts'!E48:'Summary by Class &amp; Accounts'!F48)</f>
        <v>4400000.0000000009</v>
      </c>
      <c r="E48" s="440">
        <f t="shared" ca="1" si="2"/>
        <v>0</v>
      </c>
    </row>
    <row r="49" spans="1:5" ht="12.75">
      <c r="A49" s="52"/>
      <c r="B49" s="441" t="str">
        <f>'Functionalized Accounts'!B49</f>
        <v>Interest, Amortization and Registration Fees - Amortization</v>
      </c>
      <c r="C49" s="438">
        <f>'Functionalized Accounts'!F49</f>
        <v>22000000.000000004</v>
      </c>
      <c r="D49" s="439">
        <f ca="1">+SUM('Summary by Class &amp; Accounts'!E49:'Summary by Class &amp; Accounts'!F49)</f>
        <v>22000000.000000004</v>
      </c>
      <c r="E49" s="440">
        <f t="shared" ca="1" si="2"/>
        <v>0</v>
      </c>
    </row>
    <row r="50" spans="1:5" ht="12.75">
      <c r="A50" s="52"/>
      <c r="B50" s="441" t="str">
        <f>'Functionalized Accounts'!B50</f>
        <v>Interest, Amortization and Registration Fees - Interest</v>
      </c>
      <c r="C50" s="438">
        <f>'Functionalized Accounts'!F50</f>
        <v>-9700000.0000000019</v>
      </c>
      <c r="D50" s="439">
        <f ca="1">+SUM('Summary by Class &amp; Accounts'!E50:'Summary by Class &amp; Accounts'!F50)</f>
        <v>-9700000.0000000037</v>
      </c>
      <c r="E50" s="440">
        <f t="shared" ref="E50:E51" ca="1" si="3">+C50-D50</f>
        <v>0</v>
      </c>
    </row>
    <row r="51" spans="1:5" ht="12.75">
      <c r="A51" s="52"/>
      <c r="B51" s="441" t="str">
        <f>'Functionalized Accounts'!B51</f>
        <v>Interest, Amortization and Registration Fees - Registration Fees</v>
      </c>
      <c r="C51" s="438">
        <f>'Functionalized Accounts'!F51</f>
        <v>-500000.00000000012</v>
      </c>
      <c r="D51" s="439">
        <f ca="1">+SUM('Summary by Class &amp; Accounts'!E51:'Summary by Class &amp; Accounts'!F51)</f>
        <v>-500000.00000000012</v>
      </c>
      <c r="E51" s="440">
        <f t="shared" ca="1" si="3"/>
        <v>0</v>
      </c>
    </row>
    <row r="52" spans="1:5" ht="12.75">
      <c r="A52" s="52"/>
      <c r="B52" s="441" t="str">
        <f>'Functionalized Accounts'!B57</f>
        <v>Assets - Assets</v>
      </c>
      <c r="C52" s="438">
        <f>'Functionalized Accounts'!F57</f>
        <v>56423729.439999998</v>
      </c>
      <c r="D52" s="439">
        <f ca="1">+SUM('Summary by Class &amp; Accounts'!E52:'Summary by Class &amp; Accounts'!F52)</f>
        <v>56423729.440000005</v>
      </c>
      <c r="E52" s="440">
        <f t="shared" ref="E52:E56" ca="1" si="4">+C52-D52</f>
        <v>0</v>
      </c>
    </row>
    <row r="53" spans="1:5" ht="12.75">
      <c r="A53" s="52"/>
      <c r="B53" s="441" t="str">
        <f>'Functionalized Accounts'!B58</f>
        <v>Assets - Market systems &amp; applications</v>
      </c>
      <c r="C53" s="438">
        <f>'Functionalized Accounts'!F58</f>
        <v>338405073.16000003</v>
      </c>
      <c r="D53" s="439">
        <f ca="1">+SUM('Summary by Class &amp; Accounts'!E53:'Summary by Class &amp; Accounts'!F53)</f>
        <v>338405073.16000003</v>
      </c>
      <c r="E53" s="440">
        <f t="shared" ca="1" si="4"/>
        <v>0</v>
      </c>
    </row>
    <row r="54" spans="1:5" ht="12.75">
      <c r="A54" s="52"/>
      <c r="B54" s="441" t="str">
        <f>'Functionalized Accounts'!B59</f>
        <v>Assets - Infrastructure &amp; other assets</v>
      </c>
      <c r="C54" s="438">
        <f>'Functionalized Accounts'!F59</f>
        <v>77009333.519999996</v>
      </c>
      <c r="D54" s="439">
        <f ca="1">+SUM('Summary by Class &amp; Accounts'!E54:'Summary by Class &amp; Accounts'!F54)</f>
        <v>77009333.519999996</v>
      </c>
      <c r="E54" s="440">
        <f t="shared" ca="1" si="4"/>
        <v>0</v>
      </c>
    </row>
    <row r="55" spans="1:5" ht="12.75">
      <c r="A55" s="52"/>
      <c r="B55" s="441" t="str">
        <f>'Functionalized Accounts'!B60</f>
        <v>Assets - Assets Under Construction</v>
      </c>
      <c r="C55" s="438">
        <f>'Functionalized Accounts'!F60</f>
        <v>26492185.140000001</v>
      </c>
      <c r="D55" s="439">
        <f ca="1">+SUM('Summary by Class &amp; Accounts'!E55:'Summary by Class &amp; Accounts'!F55)</f>
        <v>26492185.140000004</v>
      </c>
      <c r="E55" s="440">
        <f t="shared" ca="1" si="4"/>
        <v>0</v>
      </c>
    </row>
    <row r="56" spans="1:5" ht="13.5" thickBot="1">
      <c r="A56" s="52"/>
      <c r="B56" s="441" t="str">
        <f>'Functionalized Accounts'!B61</f>
        <v>Accumulated Amortization</v>
      </c>
      <c r="C56" s="438">
        <f>'Functionalized Accounts'!F61</f>
        <v>-395683331.63999999</v>
      </c>
      <c r="D56" s="439">
        <f ca="1">+SUM('Summary by Class &amp; Accounts'!E56:'Summary by Class &amp; Accounts'!F56)</f>
        <v>-395683331.64000005</v>
      </c>
      <c r="E56" s="440">
        <f t="shared" ca="1" si="4"/>
        <v>0</v>
      </c>
    </row>
    <row r="57" spans="1:5" s="3" customFormat="1" ht="16.5" thickBot="1">
      <c r="A57" s="128"/>
      <c r="B57" s="442" t="s">
        <v>82</v>
      </c>
      <c r="C57" s="259">
        <f>IF(ISERROR(SUM(C9:C56)), "-", SUM(C9:C56))</f>
        <v>321046989.62</v>
      </c>
      <c r="D57" s="260">
        <f ca="1">IF(ISERROR(SUM(D9:D56)), "-", SUM(D9:D56))</f>
        <v>321046989.61999995</v>
      </c>
      <c r="E57" s="213">
        <f ca="1">IF(ISERROR(SUM(E9:E56)), "-", SUM(E9:E56))</f>
        <v>0</v>
      </c>
    </row>
    <row r="58" spans="1:5" ht="12.75">
      <c r="A58" s="346"/>
      <c r="B58" s="436"/>
      <c r="C58" s="443"/>
      <c r="D58" s="197"/>
      <c r="E58" s="197"/>
    </row>
  </sheetData>
  <phoneticPr fontId="7" type="noConversion"/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42"/>
  </sheetPr>
  <dimension ref="A1:J63"/>
  <sheetViews>
    <sheetView zoomScaleNormal="100" workbookViewId="0">
      <selection activeCell="H22" sqref="H22"/>
    </sheetView>
  </sheetViews>
  <sheetFormatPr defaultColWidth="9.140625" defaultRowHeight="11.25"/>
  <cols>
    <col min="1" max="1" width="2.7109375" style="5" customWidth="1"/>
    <col min="2" max="2" width="81.28515625" style="6" customWidth="1"/>
    <col min="3" max="3" width="3" style="6" customWidth="1"/>
    <col min="4" max="4" width="19.42578125" style="7" customWidth="1"/>
    <col min="5" max="5" width="11.140625" style="7" customWidth="1"/>
    <col min="6" max="6" width="17.7109375" style="7" customWidth="1"/>
    <col min="7" max="7" width="9.140625" style="7" bestFit="1" customWidth="1"/>
    <col min="8" max="8" width="10.7109375" style="5" bestFit="1" customWidth="1"/>
    <col min="9" max="9" width="9.140625" style="1"/>
    <col min="10" max="10" width="9.140625" style="99"/>
    <col min="11" max="16384" width="9.140625" style="5"/>
  </cols>
  <sheetData>
    <row r="1" spans="1:10" s="1" customFormat="1" ht="20.25">
      <c r="A1" s="5"/>
      <c r="B1" s="8" t="str">
        <f>"Functionalized Accounts"</f>
        <v>Functionalized Accounts</v>
      </c>
      <c r="C1" s="332"/>
      <c r="D1" s="332"/>
      <c r="E1" s="292" t="str">
        <f>"IESO "&amp;'Revenue to Cost|RR'!H22&amp;" Fee Model"</f>
        <v>IESO 2024 Fee Model</v>
      </c>
      <c r="F1" s="2"/>
      <c r="G1" s="5"/>
      <c r="H1" s="5"/>
      <c r="I1" s="5"/>
      <c r="J1" s="99"/>
    </row>
    <row r="2" spans="1:10" s="1" customFormat="1">
      <c r="A2" s="333"/>
      <c r="B2" s="333"/>
      <c r="C2" s="333"/>
      <c r="D2" s="333"/>
      <c r="E2" s="333"/>
      <c r="F2" s="333"/>
      <c r="G2" s="333"/>
      <c r="H2" s="5"/>
      <c r="I2" s="5"/>
      <c r="J2" s="99"/>
    </row>
    <row r="3" spans="1:10">
      <c r="D3" s="6"/>
      <c r="E3" s="6"/>
      <c r="F3" s="6"/>
      <c r="G3" s="5"/>
      <c r="I3" s="5"/>
      <c r="J3" s="5"/>
    </row>
    <row r="4" spans="1:10" s="11" customFormat="1" ht="13.15" customHeight="1">
      <c r="A4" s="9"/>
      <c r="B4" s="41"/>
      <c r="C4" s="25"/>
      <c r="D4" s="313" t="s">
        <v>2</v>
      </c>
      <c r="E4" s="314"/>
      <c r="F4" s="188">
        <f>F52</f>
        <v>218400000</v>
      </c>
      <c r="G4" s="189"/>
    </row>
    <row r="5" spans="1:10" s="11" customFormat="1" ht="13.5" thickBot="1">
      <c r="A5" s="12"/>
      <c r="B5" s="25"/>
      <c r="C5" s="25"/>
      <c r="D5" s="311" t="s">
        <v>3</v>
      </c>
      <c r="E5" s="312"/>
      <c r="F5" s="190">
        <f>F62</f>
        <v>102646989.62</v>
      </c>
      <c r="G5" s="189"/>
      <c r="H5" s="189"/>
    </row>
    <row r="6" spans="1:10" s="11" customFormat="1" ht="12.75">
      <c r="A6" s="12"/>
      <c r="B6" s="25"/>
      <c r="C6" s="25"/>
      <c r="D6" s="191"/>
      <c r="E6" s="191"/>
      <c r="F6" s="192"/>
      <c r="G6" s="56"/>
      <c r="H6" s="187"/>
      <c r="I6" s="187"/>
    </row>
    <row r="7" spans="1:10" s="11" customFormat="1" ht="16.149999999999999" customHeight="1">
      <c r="A7" s="12"/>
      <c r="B7" s="207" t="s">
        <v>4</v>
      </c>
      <c r="C7" s="25"/>
      <c r="D7" s="191"/>
      <c r="E7" s="191"/>
      <c r="F7" s="192"/>
      <c r="G7" s="56"/>
      <c r="H7" s="187"/>
      <c r="I7" s="187"/>
    </row>
    <row r="8" spans="1:10" s="13" customFormat="1" ht="25.5">
      <c r="A8" s="12"/>
      <c r="B8" s="17" t="s">
        <v>5</v>
      </c>
      <c r="C8" s="14"/>
      <c r="D8" s="15" t="s">
        <v>6</v>
      </c>
      <c r="E8" s="16" t="s">
        <v>7</v>
      </c>
      <c r="F8" s="16" t="s">
        <v>8</v>
      </c>
      <c r="G8" s="16" t="s">
        <v>9</v>
      </c>
      <c r="H8" s="193"/>
      <c r="I8" s="193"/>
    </row>
    <row r="9" spans="1:10" s="36" customFormat="1" ht="12.75">
      <c r="A9" s="12"/>
      <c r="B9" s="100" t="s">
        <v>10</v>
      </c>
      <c r="C9" s="194"/>
      <c r="D9" s="240">
        <v>1500000.0000000002</v>
      </c>
      <c r="E9" s="195"/>
      <c r="F9" s="223">
        <f t="shared" ref="F9:F51" si="0">+D9+E9</f>
        <v>1500000.0000000002</v>
      </c>
      <c r="G9" s="163" t="s">
        <v>11</v>
      </c>
      <c r="H9" s="197"/>
      <c r="I9" s="197"/>
      <c r="J9" s="197"/>
    </row>
    <row r="10" spans="1:10" s="36" customFormat="1" ht="12.75">
      <c r="A10" s="12"/>
      <c r="B10" s="100" t="s">
        <v>12</v>
      </c>
      <c r="C10" s="194"/>
      <c r="D10" s="240">
        <v>1102820.512820513</v>
      </c>
      <c r="E10" s="195"/>
      <c r="F10" s="223">
        <f t="shared" si="0"/>
        <v>1102820.512820513</v>
      </c>
      <c r="G10" s="163" t="s">
        <v>13</v>
      </c>
      <c r="H10" s="197"/>
      <c r="I10" s="197"/>
      <c r="J10" s="197"/>
    </row>
    <row r="11" spans="1:10" s="36" customFormat="1" ht="12.75">
      <c r="A11" s="12"/>
      <c r="B11" s="100" t="s">
        <v>14</v>
      </c>
      <c r="C11" s="194"/>
      <c r="D11" s="240">
        <v>11629743.589743592</v>
      </c>
      <c r="E11" s="195"/>
      <c r="F11" s="223">
        <f t="shared" ref="F11:F28" si="1">+D11+E11</f>
        <v>11629743.589743592</v>
      </c>
      <c r="G11" s="163" t="s">
        <v>15</v>
      </c>
      <c r="H11" s="197"/>
      <c r="I11" s="197"/>
      <c r="J11" s="197"/>
    </row>
    <row r="12" spans="1:10" s="36" customFormat="1" ht="12.75">
      <c r="A12" s="12"/>
      <c r="B12" s="100" t="s">
        <v>16</v>
      </c>
      <c r="C12" s="194"/>
      <c r="D12" s="240">
        <v>17143846.153846156</v>
      </c>
      <c r="E12" s="195"/>
      <c r="F12" s="223">
        <f t="shared" si="1"/>
        <v>17143846.153846156</v>
      </c>
      <c r="G12" s="163" t="s">
        <v>15</v>
      </c>
      <c r="H12" s="197"/>
      <c r="I12" s="197"/>
      <c r="J12" s="197"/>
    </row>
    <row r="13" spans="1:10" s="36" customFormat="1" ht="12.75">
      <c r="A13" s="12"/>
      <c r="B13" s="100" t="s">
        <v>17</v>
      </c>
      <c r="C13" s="194"/>
      <c r="D13" s="240">
        <v>3709487.1794871804</v>
      </c>
      <c r="E13" s="195"/>
      <c r="F13" s="223">
        <f t="shared" si="1"/>
        <v>3709487.1794871804</v>
      </c>
      <c r="G13" s="163" t="s">
        <v>15</v>
      </c>
      <c r="H13" s="197"/>
      <c r="I13" s="197"/>
      <c r="J13" s="197"/>
    </row>
    <row r="14" spans="1:10" s="36" customFormat="1" ht="12.75">
      <c r="A14" s="12"/>
      <c r="B14" s="100" t="s">
        <v>18</v>
      </c>
      <c r="C14" s="194"/>
      <c r="D14" s="240">
        <v>5514102.5641025649</v>
      </c>
      <c r="E14" s="195"/>
      <c r="F14" s="223">
        <f t="shared" si="1"/>
        <v>5514102.5641025649</v>
      </c>
      <c r="G14" s="163" t="s">
        <v>15</v>
      </c>
      <c r="H14" s="197"/>
      <c r="I14" s="197"/>
      <c r="J14" s="197"/>
    </row>
    <row r="15" spans="1:10" s="36" customFormat="1" ht="25.5">
      <c r="A15" s="12"/>
      <c r="B15" s="100" t="s">
        <v>19</v>
      </c>
      <c r="C15" s="194"/>
      <c r="D15" s="240">
        <v>1100000.0000000002</v>
      </c>
      <c r="E15" s="195"/>
      <c r="F15" s="223">
        <f t="shared" si="1"/>
        <v>1100000.0000000002</v>
      </c>
      <c r="G15" s="163" t="s">
        <v>20</v>
      </c>
      <c r="H15" s="197"/>
      <c r="I15" s="197"/>
      <c r="J15" s="197"/>
    </row>
    <row r="16" spans="1:10" s="36" customFormat="1" ht="12.75">
      <c r="A16" s="12"/>
      <c r="B16" s="100" t="s">
        <v>21</v>
      </c>
      <c r="C16" s="194"/>
      <c r="D16" s="240">
        <v>6400000.0000000019</v>
      </c>
      <c r="E16" s="195"/>
      <c r="F16" s="223">
        <f t="shared" si="1"/>
        <v>6400000.0000000019</v>
      </c>
      <c r="G16" s="163" t="s">
        <v>22</v>
      </c>
      <c r="H16" s="197"/>
      <c r="I16" s="197"/>
      <c r="J16" s="197"/>
    </row>
    <row r="17" spans="1:9" s="36" customFormat="1" ht="12.75">
      <c r="A17" s="12"/>
      <c r="B17" s="100" t="s">
        <v>23</v>
      </c>
      <c r="C17" s="194"/>
      <c r="D17" s="240">
        <v>5200000.0000000009</v>
      </c>
      <c r="E17" s="195"/>
      <c r="F17" s="223">
        <f t="shared" si="1"/>
        <v>5200000.0000000009</v>
      </c>
      <c r="G17" s="247" t="s">
        <v>22</v>
      </c>
      <c r="H17" s="197"/>
      <c r="I17" s="197"/>
    </row>
    <row r="18" spans="1:9" s="36" customFormat="1" ht="12.75">
      <c r="A18" s="12"/>
      <c r="B18" s="100" t="s">
        <v>24</v>
      </c>
      <c r="C18" s="194"/>
      <c r="D18" s="240">
        <v>7100000.0000000019</v>
      </c>
      <c r="E18" s="195"/>
      <c r="F18" s="223">
        <f t="shared" si="1"/>
        <v>7100000.0000000019</v>
      </c>
      <c r="G18" s="247" t="s">
        <v>22</v>
      </c>
      <c r="H18" s="197"/>
      <c r="I18" s="197"/>
    </row>
    <row r="19" spans="1:9" s="36" customFormat="1" ht="12.75">
      <c r="A19" s="12"/>
      <c r="B19" s="100" t="s">
        <v>25</v>
      </c>
      <c r="C19" s="194"/>
      <c r="D19" s="240">
        <v>6400000.0000000019</v>
      </c>
      <c r="E19" s="195"/>
      <c r="F19" s="223">
        <f t="shared" si="1"/>
        <v>6400000.0000000019</v>
      </c>
      <c r="G19" s="247" t="s">
        <v>22</v>
      </c>
      <c r="H19" s="197"/>
      <c r="I19" s="197"/>
    </row>
    <row r="20" spans="1:9" s="36" customFormat="1" ht="12.75">
      <c r="A20" s="12"/>
      <c r="B20" s="100" t="s">
        <v>26</v>
      </c>
      <c r="C20" s="194"/>
      <c r="D20" s="240">
        <v>700000.00000000012</v>
      </c>
      <c r="E20" s="195"/>
      <c r="F20" s="223">
        <f t="shared" si="1"/>
        <v>700000.00000000012</v>
      </c>
      <c r="G20" s="247" t="s">
        <v>27</v>
      </c>
      <c r="H20" s="197"/>
      <c r="I20" s="197"/>
    </row>
    <row r="21" spans="1:9" s="36" customFormat="1" ht="12.75">
      <c r="A21" s="12"/>
      <c r="B21" s="100" t="s">
        <v>28</v>
      </c>
      <c r="C21" s="194"/>
      <c r="D21" s="240">
        <v>500000.00000000012</v>
      </c>
      <c r="E21" s="195"/>
      <c r="F21" s="223">
        <f t="shared" si="1"/>
        <v>500000.00000000012</v>
      </c>
      <c r="G21" s="247" t="s">
        <v>22</v>
      </c>
      <c r="H21" s="197"/>
      <c r="I21" s="197"/>
    </row>
    <row r="22" spans="1:9" s="36" customFormat="1" ht="12.75">
      <c r="A22" s="12"/>
      <c r="B22" s="100" t="s">
        <v>29</v>
      </c>
      <c r="C22" s="194"/>
      <c r="D22" s="240">
        <v>4000000.0000000009</v>
      </c>
      <c r="E22" s="195"/>
      <c r="F22" s="223">
        <f t="shared" si="1"/>
        <v>4000000.0000000009</v>
      </c>
      <c r="G22" s="247" t="s">
        <v>22</v>
      </c>
      <c r="H22" s="197"/>
      <c r="I22" s="197"/>
    </row>
    <row r="23" spans="1:9" s="36" customFormat="1" ht="25.5">
      <c r="A23" s="12"/>
      <c r="B23" s="100" t="s">
        <v>30</v>
      </c>
      <c r="C23" s="194"/>
      <c r="D23" s="240">
        <v>6300000.0000000019</v>
      </c>
      <c r="E23" s="195"/>
      <c r="F23" s="223">
        <f t="shared" si="1"/>
        <v>6300000.0000000019</v>
      </c>
      <c r="G23" s="247" t="s">
        <v>22</v>
      </c>
      <c r="H23" s="197"/>
      <c r="I23" s="197"/>
    </row>
    <row r="24" spans="1:9" s="36" customFormat="1" ht="25.5">
      <c r="A24" s="12"/>
      <c r="B24" s="100" t="s">
        <v>31</v>
      </c>
      <c r="C24" s="194"/>
      <c r="D24" s="240">
        <v>4300000.0000000009</v>
      </c>
      <c r="E24" s="195"/>
      <c r="F24" s="223">
        <f t="shared" si="1"/>
        <v>4300000.0000000009</v>
      </c>
      <c r="G24" s="247" t="s">
        <v>22</v>
      </c>
      <c r="H24" s="197"/>
      <c r="I24" s="197"/>
    </row>
    <row r="25" spans="1:9" s="36" customFormat="1" ht="12.75">
      <c r="A25" s="12"/>
      <c r="B25" s="100" t="s">
        <v>32</v>
      </c>
      <c r="C25" s="194"/>
      <c r="D25" s="240">
        <v>900000.00000000023</v>
      </c>
      <c r="E25" s="195"/>
      <c r="F25" s="223">
        <f t="shared" si="1"/>
        <v>900000.00000000023</v>
      </c>
      <c r="G25" s="247" t="s">
        <v>33</v>
      </c>
      <c r="H25" s="197"/>
      <c r="I25" s="197"/>
    </row>
    <row r="26" spans="1:9" s="36" customFormat="1" ht="12.75">
      <c r="A26" s="12"/>
      <c r="B26" s="100" t="s">
        <v>34</v>
      </c>
      <c r="C26" s="194"/>
      <c r="D26" s="240">
        <v>2200000.0000000005</v>
      </c>
      <c r="E26" s="195"/>
      <c r="F26" s="223">
        <f t="shared" si="1"/>
        <v>2200000.0000000005</v>
      </c>
      <c r="G26" s="247" t="s">
        <v>11</v>
      </c>
      <c r="H26" s="197"/>
      <c r="I26" s="197"/>
    </row>
    <row r="27" spans="1:9" s="36" customFormat="1" ht="12.75">
      <c r="A27" s="12"/>
      <c r="B27" s="100" t="s">
        <v>35</v>
      </c>
      <c r="C27" s="194"/>
      <c r="D27" s="240">
        <v>5600000.0000000009</v>
      </c>
      <c r="E27" s="195"/>
      <c r="F27" s="223">
        <f t="shared" si="1"/>
        <v>5600000.0000000009</v>
      </c>
      <c r="G27" s="247" t="s">
        <v>11</v>
      </c>
      <c r="H27" s="197"/>
      <c r="I27" s="197"/>
    </row>
    <row r="28" spans="1:9" s="36" customFormat="1" ht="12.75">
      <c r="A28" s="12"/>
      <c r="B28" s="100" t="s">
        <v>36</v>
      </c>
      <c r="C28" s="194"/>
      <c r="D28" s="240">
        <v>19100000.000000004</v>
      </c>
      <c r="E28" s="195"/>
      <c r="F28" s="223">
        <f t="shared" si="1"/>
        <v>19100000.000000004</v>
      </c>
      <c r="G28" s="247" t="s">
        <v>11</v>
      </c>
      <c r="H28" s="197"/>
      <c r="I28" s="197"/>
    </row>
    <row r="29" spans="1:9" s="36" customFormat="1" ht="12.75">
      <c r="A29" s="12"/>
      <c r="B29" s="100" t="s">
        <v>37</v>
      </c>
      <c r="C29" s="194"/>
      <c r="D29" s="240">
        <v>21600000.000000004</v>
      </c>
      <c r="E29" s="195"/>
      <c r="F29" s="223">
        <f t="shared" si="0"/>
        <v>21600000.000000004</v>
      </c>
      <c r="G29" s="247" t="s">
        <v>11</v>
      </c>
      <c r="H29" s="197"/>
      <c r="I29" s="197"/>
    </row>
    <row r="30" spans="1:9" s="36" customFormat="1" ht="12.75">
      <c r="A30" s="12"/>
      <c r="B30" s="100" t="s">
        <v>38</v>
      </c>
      <c r="C30" s="194"/>
      <c r="D30" s="240">
        <v>1495098.0392156865</v>
      </c>
      <c r="E30" s="195"/>
      <c r="F30" s="223">
        <f t="shared" si="0"/>
        <v>1495098.0392156865</v>
      </c>
      <c r="G30" s="247" t="s">
        <v>39</v>
      </c>
      <c r="H30" s="197"/>
      <c r="I30" s="197"/>
    </row>
    <row r="31" spans="1:9" s="36" customFormat="1" ht="12.75">
      <c r="A31" s="12"/>
      <c r="B31" s="100" t="s">
        <v>40</v>
      </c>
      <c r="C31" s="194"/>
      <c r="D31" s="240">
        <v>10764705.882352943</v>
      </c>
      <c r="E31" s="195"/>
      <c r="F31" s="223">
        <f t="shared" si="0"/>
        <v>10764705.882352943</v>
      </c>
      <c r="G31" s="163" t="s">
        <v>15</v>
      </c>
      <c r="H31" s="197"/>
      <c r="I31" s="197"/>
    </row>
    <row r="32" spans="1:9" s="36" customFormat="1" ht="12.75">
      <c r="A32" s="12"/>
      <c r="B32" s="100" t="s">
        <v>41</v>
      </c>
      <c r="C32" s="194"/>
      <c r="D32" s="240">
        <v>2890522.8758169939</v>
      </c>
      <c r="E32" s="195"/>
      <c r="F32" s="223">
        <f>+D32+E32</f>
        <v>2890522.8758169939</v>
      </c>
      <c r="G32" s="163" t="s">
        <v>15</v>
      </c>
      <c r="H32" s="197"/>
      <c r="I32" s="197"/>
    </row>
    <row r="33" spans="1:9" s="36" customFormat="1" ht="14.25" customHeight="1">
      <c r="A33" s="12"/>
      <c r="B33" s="100" t="s">
        <v>42</v>
      </c>
      <c r="C33" s="194"/>
      <c r="D33" s="240">
        <v>697712.41830065369</v>
      </c>
      <c r="E33" s="195"/>
      <c r="F33" s="223">
        <f>+D33+E33</f>
        <v>697712.41830065369</v>
      </c>
      <c r="G33" s="163" t="s">
        <v>15</v>
      </c>
      <c r="H33" s="197"/>
      <c r="I33" s="197"/>
    </row>
    <row r="34" spans="1:9" s="36" customFormat="1" ht="12.75">
      <c r="A34" s="12"/>
      <c r="B34" s="100" t="s">
        <v>43</v>
      </c>
      <c r="C34" s="194"/>
      <c r="D34" s="240">
        <v>797385.62091503292</v>
      </c>
      <c r="E34" s="195"/>
      <c r="F34" s="223">
        <f t="shared" si="0"/>
        <v>797385.62091503292</v>
      </c>
      <c r="G34" s="163" t="s">
        <v>15</v>
      </c>
      <c r="H34" s="197"/>
      <c r="I34" s="197"/>
    </row>
    <row r="35" spans="1:9" s="36" customFormat="1" ht="12.75">
      <c r="A35" s="12"/>
      <c r="B35" s="100" t="s">
        <v>44</v>
      </c>
      <c r="C35" s="194"/>
      <c r="D35" s="240">
        <v>5282679.7385620922</v>
      </c>
      <c r="E35" s="195"/>
      <c r="F35" s="223">
        <f t="shared" si="0"/>
        <v>5282679.7385620922</v>
      </c>
      <c r="G35" s="163" t="s">
        <v>45</v>
      </c>
      <c r="H35" s="197"/>
      <c r="I35" s="197"/>
    </row>
    <row r="36" spans="1:9" s="36" customFormat="1" ht="12.75">
      <c r="A36" s="12"/>
      <c r="B36" s="100" t="s">
        <v>46</v>
      </c>
      <c r="C36" s="194"/>
      <c r="D36" s="240">
        <v>8571895.4248366039</v>
      </c>
      <c r="E36" s="195"/>
      <c r="F36" s="223">
        <f t="shared" si="0"/>
        <v>8571895.4248366039</v>
      </c>
      <c r="G36" s="163" t="s">
        <v>22</v>
      </c>
      <c r="H36" s="197"/>
      <c r="I36" s="197"/>
    </row>
    <row r="37" spans="1:9" s="36" customFormat="1" ht="12.75">
      <c r="A37" s="12"/>
      <c r="B37" s="100" t="s">
        <v>47</v>
      </c>
      <c r="C37" s="194"/>
      <c r="D37" s="240">
        <v>1800000.0000000005</v>
      </c>
      <c r="E37" s="195"/>
      <c r="F37" s="223">
        <f>+D37+E37</f>
        <v>1800000.0000000005</v>
      </c>
      <c r="G37" s="163" t="s">
        <v>15</v>
      </c>
      <c r="H37" s="197"/>
      <c r="I37" s="197"/>
    </row>
    <row r="38" spans="1:9" s="36" customFormat="1" ht="12.75">
      <c r="A38" s="12"/>
      <c r="B38" s="100" t="s">
        <v>48</v>
      </c>
      <c r="C38" s="194"/>
      <c r="D38" s="240">
        <v>700000.00000000012</v>
      </c>
      <c r="E38" s="195"/>
      <c r="F38" s="223">
        <f t="shared" si="0"/>
        <v>700000.00000000012</v>
      </c>
      <c r="G38" s="163" t="s">
        <v>15</v>
      </c>
      <c r="H38" s="197"/>
      <c r="I38" s="197"/>
    </row>
    <row r="39" spans="1:9" s="36" customFormat="1" ht="12.75">
      <c r="A39" s="12"/>
      <c r="B39" s="100" t="s">
        <v>49</v>
      </c>
      <c r="C39" s="194"/>
      <c r="D39" s="240">
        <v>598019.80198019813</v>
      </c>
      <c r="E39" s="195"/>
      <c r="F39" s="223">
        <f t="shared" si="0"/>
        <v>598019.80198019813</v>
      </c>
      <c r="G39" s="163" t="s">
        <v>50</v>
      </c>
      <c r="H39" s="197"/>
      <c r="I39" s="197"/>
    </row>
    <row r="40" spans="1:9" s="36" customFormat="1" ht="12.75">
      <c r="A40" s="12"/>
      <c r="B40" s="100" t="s">
        <v>51</v>
      </c>
      <c r="C40" s="194"/>
      <c r="D40" s="240">
        <v>5880528.0528052812</v>
      </c>
      <c r="E40" s="195"/>
      <c r="F40" s="223">
        <f>+D40+E40</f>
        <v>5880528.0528052812</v>
      </c>
      <c r="G40" s="163" t="s">
        <v>11</v>
      </c>
      <c r="H40" s="197"/>
      <c r="I40" s="197"/>
    </row>
    <row r="41" spans="1:9" s="36" customFormat="1" ht="12.75">
      <c r="A41" s="12"/>
      <c r="B41" s="100" t="s">
        <v>52</v>
      </c>
      <c r="C41" s="194"/>
      <c r="D41" s="240">
        <v>1794059.4059405944</v>
      </c>
      <c r="E41" s="195"/>
      <c r="F41" s="223">
        <f t="shared" si="0"/>
        <v>1794059.4059405944</v>
      </c>
      <c r="G41" s="163" t="s">
        <v>11</v>
      </c>
      <c r="H41" s="197"/>
      <c r="I41" s="197"/>
    </row>
    <row r="42" spans="1:9" s="36" customFormat="1" ht="12.75">
      <c r="A42" s="12"/>
      <c r="B42" s="100" t="s">
        <v>53</v>
      </c>
      <c r="C42" s="194"/>
      <c r="D42" s="240">
        <v>2292409.2409240929</v>
      </c>
      <c r="E42" s="195"/>
      <c r="F42" s="223">
        <f t="shared" si="0"/>
        <v>2292409.2409240929</v>
      </c>
      <c r="G42" s="163" t="s">
        <v>11</v>
      </c>
      <c r="H42" s="197"/>
      <c r="I42" s="197"/>
    </row>
    <row r="43" spans="1:9" s="36" customFormat="1" ht="12.75">
      <c r="A43" s="12"/>
      <c r="B43" s="100" t="s">
        <v>54</v>
      </c>
      <c r="C43" s="194"/>
      <c r="D43" s="240">
        <v>5880528.0528052812</v>
      </c>
      <c r="E43" s="198"/>
      <c r="F43" s="223">
        <f t="shared" si="0"/>
        <v>5880528.0528052812</v>
      </c>
      <c r="G43" s="163" t="s">
        <v>15</v>
      </c>
      <c r="H43" s="197"/>
      <c r="I43" s="197"/>
    </row>
    <row r="44" spans="1:9" s="36" customFormat="1" ht="12.75">
      <c r="A44" s="12"/>
      <c r="B44" s="100" t="s">
        <v>55</v>
      </c>
      <c r="C44" s="194"/>
      <c r="D44" s="240">
        <v>10166336.633663367</v>
      </c>
      <c r="E44" s="198"/>
      <c r="F44" s="223">
        <f t="shared" si="0"/>
        <v>10166336.633663367</v>
      </c>
      <c r="G44" s="163" t="s">
        <v>11</v>
      </c>
      <c r="H44" s="197"/>
      <c r="I44" s="197"/>
    </row>
    <row r="45" spans="1:9" s="36" customFormat="1" ht="12.75">
      <c r="A45" s="12"/>
      <c r="B45" s="100" t="s">
        <v>56</v>
      </c>
      <c r="C45" s="194"/>
      <c r="D45" s="240">
        <v>3588118.8118811888</v>
      </c>
      <c r="E45" s="195"/>
      <c r="F45" s="223">
        <f t="shared" si="0"/>
        <v>3588118.8118811888</v>
      </c>
      <c r="G45" s="163" t="s">
        <v>11</v>
      </c>
      <c r="H45" s="197"/>
      <c r="I45" s="197"/>
    </row>
    <row r="46" spans="1:9" s="36" customFormat="1" ht="12.75">
      <c r="A46" s="12"/>
      <c r="B46" s="100" t="s">
        <v>57</v>
      </c>
      <c r="C46" s="194"/>
      <c r="D46" s="240">
        <v>6400000.0000000019</v>
      </c>
      <c r="E46" s="195"/>
      <c r="F46" s="223">
        <f t="shared" si="0"/>
        <v>6400000.0000000019</v>
      </c>
      <c r="G46" s="163" t="s">
        <v>11</v>
      </c>
      <c r="H46" s="197"/>
      <c r="I46" s="197"/>
    </row>
    <row r="47" spans="1:9" s="36" customFormat="1" ht="12.75">
      <c r="A47" s="12"/>
      <c r="B47" s="100" t="s">
        <v>58</v>
      </c>
      <c r="C47" s="194"/>
      <c r="D47" s="240">
        <v>600000.00000000012</v>
      </c>
      <c r="E47" s="195"/>
      <c r="F47" s="223">
        <f t="shared" si="0"/>
        <v>600000.00000000012</v>
      </c>
      <c r="G47" s="163" t="s">
        <v>11</v>
      </c>
      <c r="H47" s="197"/>
      <c r="I47" s="197"/>
    </row>
    <row r="48" spans="1:9" s="36" customFormat="1" ht="12.75">
      <c r="A48" s="12"/>
      <c r="B48" s="100" t="s">
        <v>59</v>
      </c>
      <c r="C48" s="194"/>
      <c r="D48" s="240">
        <v>4400000.0000000009</v>
      </c>
      <c r="E48" s="195"/>
      <c r="F48" s="223">
        <f t="shared" si="0"/>
        <v>4400000.0000000009</v>
      </c>
      <c r="G48" s="163" t="s">
        <v>15</v>
      </c>
      <c r="H48" s="197"/>
      <c r="I48" s="197"/>
    </row>
    <row r="49" spans="1:9" s="36" customFormat="1" ht="12.75">
      <c r="A49" s="12"/>
      <c r="B49" s="100" t="s">
        <v>60</v>
      </c>
      <c r="C49" s="194"/>
      <c r="D49" s="240">
        <v>22000000.000000004</v>
      </c>
      <c r="E49" s="195"/>
      <c r="F49" s="223">
        <f t="shared" si="0"/>
        <v>22000000.000000004</v>
      </c>
      <c r="G49" s="163" t="s">
        <v>15</v>
      </c>
      <c r="H49" s="197"/>
      <c r="I49" s="197"/>
    </row>
    <row r="50" spans="1:9" s="36" customFormat="1" ht="12.75">
      <c r="A50" s="12"/>
      <c r="B50" s="100" t="s">
        <v>61</v>
      </c>
      <c r="C50" s="194"/>
      <c r="D50" s="240">
        <v>-9700000.0000000019</v>
      </c>
      <c r="E50" s="195"/>
      <c r="F50" s="223">
        <f t="shared" si="0"/>
        <v>-9700000.0000000019</v>
      </c>
      <c r="G50" s="163" t="s">
        <v>15</v>
      </c>
      <c r="H50" s="197"/>
      <c r="I50" s="197"/>
    </row>
    <row r="51" spans="1:9" s="36" customFormat="1" ht="12.75">
      <c r="A51" s="12"/>
      <c r="B51" s="276" t="s">
        <v>62</v>
      </c>
      <c r="C51" s="194"/>
      <c r="D51" s="240">
        <v>-500000.00000000012</v>
      </c>
      <c r="E51" s="195"/>
      <c r="F51" s="223">
        <f t="shared" si="0"/>
        <v>-500000.00000000012</v>
      </c>
      <c r="G51" s="163" t="s">
        <v>22</v>
      </c>
      <c r="H51" s="197"/>
      <c r="I51" s="197"/>
    </row>
    <row r="52" spans="1:9" s="11" customFormat="1" ht="12.75">
      <c r="A52" s="12"/>
      <c r="B52" s="14" t="s">
        <v>63</v>
      </c>
      <c r="C52" s="25"/>
      <c r="D52" s="205">
        <f>SUM(D9:D51)</f>
        <v>218400000</v>
      </c>
      <c r="E52" s="205">
        <f>SUM(E9:E51)</f>
        <v>0</v>
      </c>
      <c r="F52" s="205">
        <f>SUM(F9:F51)</f>
        <v>218400000</v>
      </c>
      <c r="G52" s="34"/>
      <c r="H52" s="187"/>
      <c r="I52" s="187"/>
    </row>
    <row r="53" spans="1:9" s="11" customFormat="1" ht="12.75">
      <c r="A53" s="12"/>
      <c r="B53" s="25"/>
      <c r="C53" s="25"/>
      <c r="D53" s="206"/>
      <c r="E53" s="206"/>
      <c r="F53" s="206"/>
      <c r="G53" s="56"/>
      <c r="H53" s="187"/>
      <c r="I53" s="187"/>
    </row>
    <row r="54" spans="1:9" s="11" customFormat="1" ht="12.75">
      <c r="A54" s="12"/>
      <c r="B54" s="25"/>
      <c r="C54" s="25"/>
      <c r="D54" s="191"/>
      <c r="E54" s="191"/>
      <c r="F54" s="192"/>
      <c r="G54" s="56"/>
      <c r="H54" s="187"/>
      <c r="I54" s="187"/>
    </row>
    <row r="55" spans="1:9" s="11" customFormat="1" ht="15.75">
      <c r="A55" s="12"/>
      <c r="B55" s="207" t="s">
        <v>64</v>
      </c>
      <c r="C55" s="25"/>
      <c r="D55" s="191"/>
      <c r="E55" s="191"/>
      <c r="F55" s="192"/>
      <c r="G55" s="56"/>
      <c r="H55" s="187"/>
      <c r="I55" s="187"/>
    </row>
    <row r="56" spans="1:9" s="13" customFormat="1" ht="25.5">
      <c r="A56" s="12"/>
      <c r="B56" s="17" t="s">
        <v>5</v>
      </c>
      <c r="C56" s="14"/>
      <c r="D56" s="15" t="s">
        <v>6</v>
      </c>
      <c r="E56" s="16" t="s">
        <v>7</v>
      </c>
      <c r="F56" s="16" t="s">
        <v>8</v>
      </c>
      <c r="G56" s="16" t="s">
        <v>9</v>
      </c>
      <c r="H56" s="193"/>
      <c r="I56" s="193"/>
    </row>
    <row r="57" spans="1:9" s="36" customFormat="1" ht="12.75">
      <c r="A57" s="12"/>
      <c r="B57" s="100" t="s">
        <v>65</v>
      </c>
      <c r="C57" s="194"/>
      <c r="D57" s="240">
        <v>56423729.439999998</v>
      </c>
      <c r="E57" s="195"/>
      <c r="F57" s="223">
        <f>D57</f>
        <v>56423729.439999998</v>
      </c>
      <c r="G57" s="163" t="str">
        <f>'TB Allocation Details'!C49</f>
        <v>TWh</v>
      </c>
      <c r="H57" s="197"/>
      <c r="I57" s="197"/>
    </row>
    <row r="58" spans="1:9" s="36" customFormat="1" ht="12.75">
      <c r="A58" s="12"/>
      <c r="B58" s="100" t="s">
        <v>66</v>
      </c>
      <c r="C58" s="194"/>
      <c r="D58" s="240">
        <v>338405073.16000003</v>
      </c>
      <c r="E58" s="195"/>
      <c r="F58" s="223">
        <f>D58</f>
        <v>338405073.16000003</v>
      </c>
      <c r="G58" s="163" t="str">
        <f>'TB Allocation Details'!C50</f>
        <v>TWh</v>
      </c>
      <c r="H58" s="197"/>
      <c r="I58" s="197"/>
    </row>
    <row r="59" spans="1:9" s="36" customFormat="1" ht="12.75">
      <c r="A59" s="12"/>
      <c r="B59" s="100" t="s">
        <v>67</v>
      </c>
      <c r="C59" s="194"/>
      <c r="D59" s="240">
        <v>77009333.519999996</v>
      </c>
      <c r="E59" s="195"/>
      <c r="F59" s="223">
        <f>D59</f>
        <v>77009333.519999996</v>
      </c>
      <c r="G59" s="163" t="str">
        <f>'TB Allocation Details'!C51</f>
        <v>TWh</v>
      </c>
      <c r="H59" s="197"/>
      <c r="I59" s="197"/>
    </row>
    <row r="60" spans="1:9" s="36" customFormat="1" ht="12.75">
      <c r="A60" s="12"/>
      <c r="B60" s="100" t="s">
        <v>68</v>
      </c>
      <c r="C60" s="194"/>
      <c r="D60" s="240">
        <v>26492185.140000001</v>
      </c>
      <c r="E60" s="195"/>
      <c r="F60" s="223">
        <f>D60</f>
        <v>26492185.140000001</v>
      </c>
      <c r="G60" s="163" t="str">
        <f>'TB Allocation Details'!C52</f>
        <v>TWh</v>
      </c>
      <c r="H60" s="197"/>
      <c r="I60" s="197"/>
    </row>
    <row r="61" spans="1:9" s="36" customFormat="1" ht="12.75">
      <c r="A61" s="12"/>
      <c r="B61" s="100" t="s">
        <v>69</v>
      </c>
      <c r="C61" s="194"/>
      <c r="D61" s="195">
        <v>-395683331.63999999</v>
      </c>
      <c r="E61" s="195"/>
      <c r="F61" s="196">
        <f>+D61+E61</f>
        <v>-395683331.63999999</v>
      </c>
      <c r="G61" s="163" t="str">
        <f>'TB Allocation Details'!C53</f>
        <v>Assets</v>
      </c>
      <c r="H61" s="197"/>
      <c r="I61" s="197"/>
    </row>
    <row r="62" spans="1:9" s="11" customFormat="1" ht="12.75">
      <c r="A62" s="12"/>
      <c r="B62" s="14" t="s">
        <v>70</v>
      </c>
      <c r="C62" s="25"/>
      <c r="D62" s="205">
        <f>SUM(D57:D61)</f>
        <v>102646989.62</v>
      </c>
      <c r="E62" s="205">
        <f>SUM(E57:E61)</f>
        <v>0</v>
      </c>
      <c r="F62" s="205">
        <f>SUM(F57:F61)</f>
        <v>102646989.62</v>
      </c>
      <c r="G62" s="34"/>
      <c r="H62" s="187"/>
      <c r="I62" s="187"/>
    </row>
    <row r="63" spans="1:9" ht="20.45" customHeight="1">
      <c r="B63" s="315" t="s">
        <v>71</v>
      </c>
      <c r="C63" s="315"/>
      <c r="D63" s="315"/>
      <c r="I63" s="5"/>
    </row>
  </sheetData>
  <mergeCells count="3">
    <mergeCell ref="D5:E5"/>
    <mergeCell ref="D4:E4"/>
    <mergeCell ref="B63:D63"/>
  </mergeCells>
  <phoneticPr fontId="0" type="noConversion"/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>
    <tabColor indexed="42"/>
  </sheetPr>
  <dimension ref="A1:K14"/>
  <sheetViews>
    <sheetView zoomScaleNormal="100" workbookViewId="0">
      <selection activeCell="H22" sqref="H22"/>
    </sheetView>
  </sheetViews>
  <sheetFormatPr defaultColWidth="9.140625" defaultRowHeight="11.25"/>
  <cols>
    <col min="1" max="1" width="2.7109375" style="4" customWidth="1"/>
    <col min="2" max="2" width="34.5703125" style="1" customWidth="1"/>
    <col min="3" max="3" width="16.140625" style="26" customWidth="1"/>
    <col min="4" max="4" width="15.7109375" style="1" customWidth="1"/>
    <col min="5" max="6" width="15.7109375" style="18" customWidth="1"/>
    <col min="7" max="7" width="14.140625" style="1" customWidth="1"/>
    <col min="8" max="8" width="13.5703125" style="1" customWidth="1"/>
    <col min="9" max="9" width="13" style="1" customWidth="1"/>
    <col min="10" max="10" width="12.28515625" style="1" customWidth="1"/>
    <col min="11" max="11" width="10.28515625" style="1" bestFit="1" customWidth="1"/>
    <col min="12" max="12" width="12.42578125" style="1" customWidth="1"/>
    <col min="13" max="16384" width="9.140625" style="1"/>
  </cols>
  <sheetData>
    <row r="1" spans="1:11" ht="21" customHeight="1">
      <c r="A1" s="5"/>
      <c r="B1" s="8" t="str">
        <f>"Asset Break Out Worksheet "</f>
        <v xml:space="preserve">Asset Break Out Worksheet </v>
      </c>
      <c r="C1" s="332"/>
      <c r="D1" s="5"/>
      <c r="E1" s="293" t="str">
        <f>"IESO "&amp;'Revenue to Cost|RR'!H22&amp;" Fee Model"</f>
        <v>IESO 2024 Fee Model</v>
      </c>
      <c r="F1" s="5"/>
      <c r="G1" s="5"/>
      <c r="H1" s="5"/>
      <c r="I1" s="5"/>
      <c r="J1" s="5"/>
      <c r="K1" s="5"/>
    </row>
    <row r="2" spans="1:11" ht="6" customHeight="1">
      <c r="A2" s="333"/>
      <c r="B2" s="333"/>
      <c r="C2" s="333"/>
      <c r="D2" s="333"/>
      <c r="E2" s="333"/>
      <c r="F2" s="333"/>
      <c r="G2" s="5"/>
      <c r="H2" s="5"/>
      <c r="I2" s="5"/>
      <c r="J2" s="5"/>
      <c r="K2" s="5"/>
    </row>
    <row r="3" spans="1:11" ht="21.75" customHeight="1" thickBot="1">
      <c r="A3" s="11"/>
      <c r="B3" s="5"/>
      <c r="C3" s="334"/>
      <c r="D3" s="335"/>
      <c r="E3" s="49"/>
      <c r="F3" s="49"/>
      <c r="G3" s="5"/>
      <c r="H3" s="5"/>
      <c r="I3" s="5"/>
      <c r="J3" s="5"/>
      <c r="K3" s="5"/>
    </row>
    <row r="4" spans="1:11" ht="18" customHeight="1" thickBot="1">
      <c r="A4" s="126"/>
      <c r="B4" s="319" t="s">
        <v>72</v>
      </c>
      <c r="C4" s="316" t="s">
        <v>73</v>
      </c>
      <c r="D4" s="317"/>
      <c r="E4" s="318"/>
      <c r="F4" s="316" t="s">
        <v>74</v>
      </c>
      <c r="G4" s="317"/>
      <c r="H4" s="317"/>
      <c r="I4" s="318"/>
      <c r="J4" s="5"/>
      <c r="K4" s="5"/>
    </row>
    <row r="5" spans="1:11" ht="18" customHeight="1">
      <c r="A5" s="126"/>
      <c r="B5" s="320"/>
      <c r="C5" s="336"/>
      <c r="D5" s="337"/>
      <c r="E5" s="338"/>
      <c r="F5" s="339"/>
      <c r="G5" s="5"/>
      <c r="H5" s="5"/>
      <c r="I5" s="283"/>
      <c r="J5" s="5"/>
      <c r="K5" s="5"/>
    </row>
    <row r="6" spans="1:11" s="23" customFormat="1" ht="60.75" customHeight="1">
      <c r="A6" s="126"/>
      <c r="B6" s="19" t="s">
        <v>75</v>
      </c>
      <c r="C6" s="20" t="s">
        <v>76</v>
      </c>
      <c r="D6" s="21" t="s">
        <v>77</v>
      </c>
      <c r="E6" s="234" t="s">
        <v>78</v>
      </c>
      <c r="F6" s="20" t="s">
        <v>79</v>
      </c>
      <c r="G6" s="22" t="s">
        <v>80</v>
      </c>
      <c r="H6" s="22" t="s">
        <v>80</v>
      </c>
      <c r="I6" s="203" t="s">
        <v>81</v>
      </c>
      <c r="J6" s="35"/>
      <c r="K6" s="35"/>
    </row>
    <row r="7" spans="1:11" s="24" customFormat="1" ht="12.75">
      <c r="A7" s="126"/>
      <c r="B7" s="340" t="str">
        <f>'Functionalized Accounts'!B57</f>
        <v>Assets - Assets</v>
      </c>
      <c r="C7" s="225">
        <f>+'Functionalized Accounts'!F57</f>
        <v>56423729.439999998</v>
      </c>
      <c r="D7" s="241">
        <v>-28494310.579999998</v>
      </c>
      <c r="E7" s="224">
        <f t="shared" ref="E7:E10" si="0">C7+D7</f>
        <v>27929418.859999999</v>
      </c>
      <c r="F7" s="227">
        <v>37</v>
      </c>
      <c r="G7" s="341">
        <f>MIN(C7/F7,E7)</f>
        <v>1524965.6605405405</v>
      </c>
      <c r="H7" s="342">
        <f>G7/G$12</f>
        <v>3.1749912468483237E-2</v>
      </c>
      <c r="I7" s="242">
        <f>I$14*G7/G$12</f>
        <v>698498.07430663134</v>
      </c>
      <c r="J7" s="343"/>
      <c r="K7" s="343"/>
    </row>
    <row r="8" spans="1:11" s="24" customFormat="1" ht="17.25" customHeight="1">
      <c r="A8" s="126"/>
      <c r="B8" s="340" t="str">
        <f>'Functionalized Accounts'!B58</f>
        <v>Assets - Market systems &amp; applications</v>
      </c>
      <c r="C8" s="225">
        <f>+'Functionalized Accounts'!F58</f>
        <v>338405073.16000003</v>
      </c>
      <c r="D8" s="241">
        <v>-302900825.25999999</v>
      </c>
      <c r="E8" s="224">
        <f>C8+D8</f>
        <v>35504247.900000036</v>
      </c>
      <c r="F8" s="227">
        <f>AVERAGE(4,12)</f>
        <v>8</v>
      </c>
      <c r="G8" s="341">
        <f>MIN(C8/F8,E8)</f>
        <v>35504247.900000036</v>
      </c>
      <c r="H8" s="342">
        <f>G8/G$12</f>
        <v>0.73920140777777421</v>
      </c>
      <c r="I8" s="242">
        <f>I$14*G8/G$12</f>
        <v>16262430.971111035</v>
      </c>
      <c r="J8" s="343"/>
      <c r="K8" s="343"/>
    </row>
    <row r="9" spans="1:11" s="24" customFormat="1" ht="12.75">
      <c r="A9" s="126"/>
      <c r="B9" s="340" t="str">
        <f>'Functionalized Accounts'!B59</f>
        <v>Assets - Infrastructure &amp; other assets</v>
      </c>
      <c r="C9" s="225">
        <f>+'Functionalized Accounts'!F59</f>
        <v>77009333.519999996</v>
      </c>
      <c r="D9" s="241">
        <v>-64288195.800000004</v>
      </c>
      <c r="E9" s="224">
        <f t="shared" si="0"/>
        <v>12721137.719999991</v>
      </c>
      <c r="F9" s="227">
        <f>AVERAGE(4,10)</f>
        <v>7</v>
      </c>
      <c r="G9" s="341">
        <f>MIN(C9/F9,E9)</f>
        <v>11001333.359999999</v>
      </c>
      <c r="H9" s="342">
        <f>G9/G$12</f>
        <v>0.22904867975374243</v>
      </c>
      <c r="I9" s="242">
        <f>I$14*G9/G$12</f>
        <v>5039070.9545823345</v>
      </c>
      <c r="J9" s="343"/>
      <c r="K9" s="343"/>
    </row>
    <row r="10" spans="1:11" s="24" customFormat="1" ht="13.5" thickBot="1">
      <c r="A10" s="126"/>
      <c r="B10" s="340" t="str">
        <f>'Functionalized Accounts'!B60</f>
        <v>Assets - Assets Under Construction</v>
      </c>
      <c r="C10" s="226">
        <f>+'Functionalized Accounts'!F60</f>
        <v>26492185.140000001</v>
      </c>
      <c r="D10" s="204"/>
      <c r="E10" s="248">
        <f t="shared" si="0"/>
        <v>26492185.140000001</v>
      </c>
      <c r="F10" s="228"/>
      <c r="G10" s="344"/>
      <c r="H10" s="345">
        <f>G10/G$12</f>
        <v>0</v>
      </c>
      <c r="I10" s="229">
        <f>I$14*G10/G$12</f>
        <v>0</v>
      </c>
      <c r="J10" s="343"/>
      <c r="K10" s="343"/>
    </row>
    <row r="11" spans="1:11" s="24" customFormat="1" ht="13.5" thickBot="1">
      <c r="A11" s="346"/>
      <c r="B11" s="347"/>
      <c r="C11" s="348"/>
      <c r="D11" s="349"/>
      <c r="E11" s="350"/>
      <c r="F11" s="197"/>
      <c r="G11" s="197"/>
      <c r="H11" s="197"/>
      <c r="I11" s="351"/>
      <c r="J11" s="197"/>
      <c r="K11" s="197"/>
    </row>
    <row r="12" spans="1:11" s="24" customFormat="1" ht="13.5" thickBot="1">
      <c r="A12" s="187"/>
      <c r="B12" s="208" t="s">
        <v>82</v>
      </c>
      <c r="C12" s="230">
        <f>SUM(C7:C10)</f>
        <v>498330321.25999999</v>
      </c>
      <c r="D12" s="231">
        <f>SUM(D7:D10)</f>
        <v>-395683331.63999999</v>
      </c>
      <c r="E12" s="232">
        <f>SUM(E7:E10)</f>
        <v>102646989.62000002</v>
      </c>
      <c r="F12" s="230"/>
      <c r="G12" s="230">
        <f>SUM(G7:G11)</f>
        <v>48030546.920540579</v>
      </c>
      <c r="H12" s="230"/>
      <c r="I12" s="233">
        <f>SUM(I7:I10)</f>
        <v>22000000</v>
      </c>
      <c r="J12" s="197"/>
      <c r="K12" s="197"/>
    </row>
    <row r="13" spans="1:11" ht="13.5" thickBot="1">
      <c r="A13" s="187"/>
      <c r="B13" s="352" t="s">
        <v>83</v>
      </c>
      <c r="C13" s="212"/>
      <c r="D13" s="353"/>
      <c r="E13" s="354"/>
      <c r="F13" s="5"/>
      <c r="G13" s="5"/>
      <c r="H13" s="5"/>
      <c r="I13" s="355"/>
      <c r="J13" s="5"/>
      <c r="K13" s="5"/>
    </row>
    <row r="14" spans="1:11" ht="13.5" thickBot="1">
      <c r="A14" s="187"/>
      <c r="B14" s="209" t="s">
        <v>84</v>
      </c>
      <c r="C14" s="356"/>
      <c r="D14" s="210">
        <f>ROUND('Functionalized Accounts'!F61,0)</f>
        <v>-395683332</v>
      </c>
      <c r="E14" s="230">
        <f>ROUND('Functionalized Accounts'!F62,0)</f>
        <v>102646990</v>
      </c>
      <c r="F14" s="356"/>
      <c r="G14" s="356"/>
      <c r="H14" s="356"/>
      <c r="I14" s="211">
        <f>'Functionalized Accounts'!F49</f>
        <v>22000000.000000004</v>
      </c>
      <c r="J14" s="5"/>
      <c r="K14" s="5"/>
    </row>
  </sheetData>
  <mergeCells count="4">
    <mergeCell ref="F4:I4"/>
    <mergeCell ref="B4:B5"/>
    <mergeCell ref="C4:E4"/>
    <mergeCell ref="C5:E5"/>
  </mergeCells>
  <phoneticPr fontId="7" type="noConversion"/>
  <pageMargins left="0.75" right="0.75" top="1" bottom="1" header="0.5" footer="0.5"/>
  <pageSetup scale="63" fitToHeight="5" orientation="portrait" r:id="rId1"/>
  <headerFooter alignWithMargins="0">
    <oddFooter>&amp;C&amp;"Arial,Italic"IESO 2025 Cost Allocation Model&amp;RPage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tabColor indexed="42"/>
  </sheetPr>
  <dimension ref="A1:U22"/>
  <sheetViews>
    <sheetView workbookViewId="0">
      <selection activeCell="F12" sqref="F12"/>
    </sheetView>
  </sheetViews>
  <sheetFormatPr defaultColWidth="9.140625" defaultRowHeight="11.25"/>
  <cols>
    <col min="1" max="1" width="32.140625" style="4" customWidth="1"/>
    <col min="2" max="2" width="15.7109375" style="28" customWidth="1"/>
    <col min="3" max="3" width="16" style="29" customWidth="1"/>
    <col min="4" max="4" width="11.7109375" style="29" bestFit="1" customWidth="1"/>
    <col min="5" max="5" width="16" style="29" customWidth="1"/>
    <col min="6" max="11" width="9.140625" style="29"/>
    <col min="12" max="16384" width="9.140625" style="4"/>
  </cols>
  <sheetData>
    <row r="1" spans="1:21" s="1" customFormat="1" ht="21" customHeight="1">
      <c r="A1" s="30" t="str">
        <f>"Revenue Worksheet "</f>
        <v xml:space="preserve">Revenue Worksheet </v>
      </c>
      <c r="B1" s="357"/>
      <c r="C1" s="332"/>
      <c r="D1" s="294" t="str">
        <f>"IESO "&amp;'Revenue to Cost|RR'!H22&amp;" Fee Model"</f>
        <v>IESO 2024 Fee Model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s="1" customFormat="1" ht="6" customHeight="1">
      <c r="A2" s="333"/>
      <c r="B2" s="333"/>
      <c r="C2" s="333"/>
      <c r="D2" s="33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4" spans="1:21" ht="2.25" customHeight="1">
      <c r="A4" s="27"/>
      <c r="B4" s="358"/>
      <c r="C4" s="359"/>
      <c r="D4" s="11"/>
      <c r="E4" s="359"/>
      <c r="F4" s="359"/>
      <c r="G4" s="359"/>
      <c r="H4" s="359"/>
      <c r="I4" s="359"/>
      <c r="J4" s="359"/>
      <c r="K4" s="359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20.25" customHeight="1">
      <c r="A5" s="31"/>
      <c r="B5" s="358"/>
      <c r="C5" s="359"/>
      <c r="D5" s="11"/>
      <c r="E5" s="359"/>
      <c r="F5" s="359"/>
      <c r="G5" s="359"/>
      <c r="H5" s="359"/>
      <c r="I5" s="359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s="32" customFormat="1" ht="12.75">
      <c r="A6" s="300"/>
      <c r="B6" s="300"/>
      <c r="C6" s="34">
        <v>1</v>
      </c>
      <c r="D6" s="34">
        <v>2</v>
      </c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</row>
    <row r="7" spans="1:21" s="93" customFormat="1" ht="45" customHeight="1">
      <c r="A7" s="25"/>
      <c r="B7" s="94" t="s">
        <v>82</v>
      </c>
      <c r="C7" s="214" t="s">
        <v>85</v>
      </c>
      <c r="D7" s="215" t="s">
        <v>86</v>
      </c>
      <c r="E7" s="360"/>
      <c r="F7" s="360"/>
      <c r="G7" s="360"/>
      <c r="H7" s="360"/>
      <c r="I7" s="360"/>
      <c r="J7" s="360"/>
      <c r="K7" s="360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ht="9.75" customHeight="1">
      <c r="A8" s="321" t="s">
        <v>87</v>
      </c>
      <c r="B8" s="361"/>
      <c r="C8" s="361"/>
      <c r="D8" s="361"/>
      <c r="E8" s="359"/>
      <c r="F8" s="359"/>
      <c r="G8" s="359"/>
      <c r="H8" s="359"/>
      <c r="I8" s="359"/>
      <c r="J8" s="359"/>
      <c r="K8" s="359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>
      <c r="A9" s="362"/>
      <c r="B9" s="363"/>
      <c r="C9" s="363"/>
      <c r="D9" s="363"/>
      <c r="E9" s="359"/>
      <c r="F9" s="359"/>
      <c r="G9" s="359"/>
      <c r="H9" s="359"/>
      <c r="I9" s="359"/>
      <c r="J9" s="359"/>
      <c r="K9" s="359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24" customHeight="1">
      <c r="A10" s="96" t="s">
        <v>88</v>
      </c>
      <c r="B10" s="243">
        <v>154929766.65310961</v>
      </c>
      <c r="C10" s="364">
        <f>'Energy Throughput'!D12*1000000</f>
        <v>144966401.92222634</v>
      </c>
      <c r="D10" s="364">
        <f>'Energy Throughput'!E12*1000000</f>
        <v>9963364.7308832891</v>
      </c>
      <c r="E10" s="365"/>
      <c r="F10" s="365"/>
      <c r="G10" s="365"/>
      <c r="H10" s="365"/>
      <c r="I10" s="365"/>
      <c r="J10" s="365"/>
      <c r="K10" s="365"/>
      <c r="L10" s="187"/>
      <c r="M10" s="187"/>
      <c r="N10" s="187"/>
      <c r="O10" s="187"/>
      <c r="P10" s="187"/>
      <c r="Q10" s="187"/>
      <c r="R10" s="187"/>
      <c r="S10" s="187"/>
      <c r="T10" s="187"/>
      <c r="U10" s="187"/>
    </row>
    <row r="11" spans="1:21" ht="6" customHeight="1">
      <c r="A11" s="95"/>
      <c r="B11" s="97"/>
      <c r="C11" s="97"/>
      <c r="D11" s="97"/>
      <c r="E11" s="365"/>
      <c r="F11" s="365"/>
      <c r="G11" s="365"/>
      <c r="H11" s="365"/>
      <c r="I11" s="365"/>
      <c r="J11" s="365"/>
      <c r="K11" s="365"/>
      <c r="L11" s="187"/>
      <c r="M11" s="187"/>
      <c r="N11" s="187"/>
      <c r="O11" s="187"/>
      <c r="P11" s="187"/>
      <c r="Q11" s="187"/>
      <c r="R11" s="187"/>
      <c r="S11" s="187"/>
      <c r="T11" s="187"/>
      <c r="U11" s="187"/>
    </row>
    <row r="12" spans="1:21" s="33" customFormat="1" ht="12.75">
      <c r="A12" s="96" t="s">
        <v>89</v>
      </c>
      <c r="B12" s="98"/>
      <c r="C12" s="235">
        <v>1.3329</v>
      </c>
      <c r="D12" s="235">
        <v>1.0125999999999999</v>
      </c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  <c r="P12" s="366"/>
      <c r="Q12" s="366"/>
      <c r="R12" s="366"/>
      <c r="S12" s="366"/>
      <c r="T12" s="366"/>
      <c r="U12" s="366"/>
    </row>
    <row r="13" spans="1:21" ht="6" customHeight="1">
      <c r="A13" s="95"/>
      <c r="B13" s="97"/>
      <c r="C13" s="97"/>
      <c r="D13" s="97"/>
      <c r="E13" s="365"/>
      <c r="F13" s="365"/>
      <c r="G13" s="365"/>
      <c r="H13" s="365"/>
      <c r="I13" s="365"/>
      <c r="J13" s="365"/>
      <c r="K13" s="365"/>
      <c r="L13" s="187"/>
      <c r="M13" s="187"/>
      <c r="N13" s="187"/>
      <c r="O13" s="187"/>
      <c r="P13" s="187"/>
      <c r="Q13" s="187"/>
      <c r="R13" s="187"/>
      <c r="S13" s="187"/>
      <c r="T13" s="187"/>
      <c r="U13" s="187"/>
    </row>
    <row r="14" spans="1:21" s="33" customFormat="1" ht="12.75">
      <c r="A14" s="96" t="s">
        <v>90</v>
      </c>
      <c r="B14" s="236">
        <f>+SUM(C14:D14)</f>
        <v>203314620.2486279</v>
      </c>
      <c r="C14" s="367">
        <f>C10*C12</f>
        <v>193225717.12213549</v>
      </c>
      <c r="D14" s="367">
        <f>D10*D12</f>
        <v>10088903.126492418</v>
      </c>
      <c r="E14" s="366"/>
      <c r="F14" s="366"/>
      <c r="G14" s="366"/>
      <c r="H14" s="366"/>
      <c r="I14" s="366"/>
      <c r="J14" s="366"/>
      <c r="K14" s="366"/>
      <c r="L14" s="366"/>
      <c r="M14" s="366"/>
      <c r="N14" s="366"/>
      <c r="O14" s="366"/>
      <c r="P14" s="366"/>
      <c r="Q14" s="366"/>
      <c r="R14" s="366"/>
      <c r="S14" s="366"/>
      <c r="T14" s="366"/>
      <c r="U14" s="366"/>
    </row>
    <row r="15" spans="1:21" ht="6" customHeight="1">
      <c r="A15" s="95"/>
      <c r="B15" s="97"/>
      <c r="C15" s="368"/>
      <c r="D15" s="368"/>
      <c r="E15" s="365"/>
      <c r="F15" s="365"/>
      <c r="G15" s="365"/>
      <c r="H15" s="365"/>
      <c r="I15" s="365"/>
      <c r="J15" s="365"/>
      <c r="K15" s="365"/>
      <c r="L15" s="187"/>
      <c r="M15" s="187"/>
      <c r="N15" s="187"/>
      <c r="O15" s="187"/>
      <c r="P15" s="187"/>
      <c r="Q15" s="187"/>
      <c r="R15" s="187"/>
      <c r="S15" s="187"/>
      <c r="T15" s="187"/>
      <c r="U15" s="187"/>
    </row>
    <row r="17" spans="1:4">
      <c r="A17" s="321" t="s">
        <v>91</v>
      </c>
      <c r="B17" s="358"/>
      <c r="C17" s="359"/>
      <c r="D17" s="359"/>
    </row>
    <row r="18" spans="1:4" ht="11.25" customHeight="1">
      <c r="A18" s="362" t="s">
        <v>92</v>
      </c>
      <c r="B18" s="358"/>
      <c r="C18" s="359"/>
      <c r="D18" s="359"/>
    </row>
    <row r="19" spans="1:4" ht="12.75" customHeight="1">
      <c r="A19" s="96" t="s">
        <v>93</v>
      </c>
      <c r="B19" s="236">
        <f>'Functionalized Accounts'!F4</f>
        <v>218400000</v>
      </c>
      <c r="C19" s="367"/>
      <c r="D19" s="367"/>
    </row>
    <row r="20" spans="1:4" ht="12.75" customHeight="1">
      <c r="A20" s="96" t="s">
        <v>94</v>
      </c>
      <c r="B20" s="98"/>
      <c r="C20" s="369">
        <f>B19/B10</f>
        <v>1.4096710058887607</v>
      </c>
      <c r="D20" s="369">
        <f>C20</f>
        <v>1.4096710058887607</v>
      </c>
    </row>
    <row r="21" spans="1:4" ht="12.75" customHeight="1">
      <c r="A21" s="96" t="s">
        <v>95</v>
      </c>
      <c r="B21" s="98"/>
      <c r="C21" s="367">
        <f>C20*C10</f>
        <v>204354933.61777917</v>
      </c>
      <c r="D21" s="367">
        <f>D20*D10</f>
        <v>14045066.382220848</v>
      </c>
    </row>
    <row r="22" spans="1:4" ht="12.75">
      <c r="A22" s="95"/>
      <c r="B22" s="97"/>
      <c r="C22" s="368"/>
      <c r="D22" s="368"/>
    </row>
  </sheetData>
  <mergeCells count="3">
    <mergeCell ref="A8:A9"/>
    <mergeCell ref="B8:D9"/>
    <mergeCell ref="A17:A18"/>
  </mergeCells>
  <phoneticPr fontId="30" type="noConversion"/>
  <pageMargins left="0.75" right="0.75" top="1" bottom="1" header="0.5" footer="0.5"/>
  <pageSetup scale="63" fitToHeight="5" orientation="portrait" r:id="rId1"/>
  <headerFooter alignWithMargins="0">
    <oddFooter>&amp;C&amp;"Arial,Italic"IESO 2025 Cost Allocation Model&amp;RPage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42"/>
  </sheetPr>
  <dimension ref="A1:E18"/>
  <sheetViews>
    <sheetView workbookViewId="0">
      <selection activeCell="I15" sqref="I15"/>
    </sheetView>
  </sheetViews>
  <sheetFormatPr defaultColWidth="8.42578125" defaultRowHeight="11.25"/>
  <cols>
    <col min="1" max="1" width="23.85546875" style="29" customWidth="1"/>
    <col min="2" max="2" width="12.5703125" style="29" customWidth="1"/>
    <col min="3" max="4" width="15.7109375" style="43" customWidth="1"/>
    <col min="5" max="5" width="13.28515625" style="43" customWidth="1"/>
    <col min="6" max="6" width="11.28515625" style="43" customWidth="1"/>
    <col min="7" max="16384" width="8.42578125" style="43"/>
  </cols>
  <sheetData>
    <row r="1" spans="1:5" s="1" customFormat="1" ht="21" customHeight="1">
      <c r="A1" s="30" t="str">
        <f>"Demand Data Worksheet "</f>
        <v xml:space="preserve">Demand Data Worksheet </v>
      </c>
      <c r="B1" s="357"/>
      <c r="C1" s="357"/>
      <c r="D1" s="5"/>
      <c r="E1" s="294" t="str">
        <f>"IESO "&amp;'Revenue to Cost|RR'!H22&amp;" Fee Model"</f>
        <v>IESO 2024 Fee Model</v>
      </c>
    </row>
    <row r="2" spans="1:5" s="1" customFormat="1" ht="6" customHeight="1">
      <c r="A2" s="333"/>
      <c r="B2" s="333"/>
      <c r="C2" s="333"/>
      <c r="D2" s="333"/>
      <c r="E2" s="333"/>
    </row>
    <row r="3" spans="1:5" ht="12" thickBot="1">
      <c r="A3" s="359"/>
      <c r="B3" s="359"/>
      <c r="C3" s="307"/>
      <c r="D3" s="307"/>
      <c r="E3" s="307"/>
    </row>
    <row r="4" spans="1:5" ht="19.5" customHeight="1" thickBot="1">
      <c r="A4" s="359"/>
      <c r="B4" s="359"/>
      <c r="C4" s="307"/>
      <c r="D4" s="45">
        <v>1</v>
      </c>
      <c r="E4" s="46">
        <v>2</v>
      </c>
    </row>
    <row r="5" spans="1:5" ht="16.5" thickBot="1">
      <c r="A5" s="370" t="s">
        <v>96</v>
      </c>
      <c r="B5" s="370"/>
      <c r="C5" s="371" t="s">
        <v>82</v>
      </c>
      <c r="D5" s="372" t="str">
        <f>Revenue!C7</f>
        <v>Domestic</v>
      </c>
      <c r="E5" s="218" t="str">
        <f>Revenue!D7</f>
        <v>Export</v>
      </c>
    </row>
    <row r="6" spans="1:5" ht="12" thickBot="1">
      <c r="A6" s="359"/>
      <c r="B6" s="359"/>
      <c r="C6" s="156"/>
      <c r="D6" s="373"/>
      <c r="E6" s="374"/>
    </row>
    <row r="7" spans="1:5" ht="14.25" thickTop="1" thickBot="1">
      <c r="A7" s="322" t="s">
        <v>97</v>
      </c>
      <c r="B7" s="375"/>
      <c r="C7" s="44"/>
      <c r="D7" s="376"/>
      <c r="E7" s="377"/>
    </row>
    <row r="8" spans="1:5">
      <c r="A8" s="378"/>
      <c r="B8" s="379"/>
      <c r="C8" s="44"/>
      <c r="D8" s="376"/>
      <c r="E8" s="377"/>
    </row>
    <row r="9" spans="1:5" ht="12.75">
      <c r="A9" s="102" t="s">
        <v>98</v>
      </c>
      <c r="B9" s="380"/>
      <c r="C9" s="237">
        <f>SUM(D9:E9)</f>
        <v>150.26544900280987</v>
      </c>
      <c r="D9" s="244">
        <v>140.09344900280988</v>
      </c>
      <c r="E9" s="258">
        <v>10.172000000000001</v>
      </c>
    </row>
    <row r="10" spans="1:5" ht="12.75">
      <c r="A10" s="102" t="s">
        <v>99</v>
      </c>
      <c r="B10" s="380"/>
      <c r="C10" s="244">
        <v>-3.082055878061817</v>
      </c>
      <c r="D10" s="219">
        <f>C10*D9/C9</f>
        <v>-2.8734206089451053</v>
      </c>
      <c r="E10" s="220">
        <f>C10*E9/C9</f>
        <v>-0.20863526911671201</v>
      </c>
    </row>
    <row r="11" spans="1:5" ht="12.75">
      <c r="A11" s="102" t="s">
        <v>100</v>
      </c>
      <c r="B11" s="380"/>
      <c r="C11" s="245">
        <v>7.7463735283615733</v>
      </c>
      <c r="D11" s="381">
        <f>C11</f>
        <v>7.7463735283615733</v>
      </c>
      <c r="E11" s="382"/>
    </row>
    <row r="12" spans="1:5" ht="12.75">
      <c r="A12" s="102" t="s">
        <v>88</v>
      </c>
      <c r="B12" s="297" t="s">
        <v>15</v>
      </c>
      <c r="C12" s="238">
        <f>SUM(D12:E12)</f>
        <v>154.92976665310962</v>
      </c>
      <c r="D12" s="381">
        <f>SUM(D9:D11)</f>
        <v>144.96640192222634</v>
      </c>
      <c r="E12" s="382">
        <f>SUM(E9:E11)</f>
        <v>9.9633647308832884</v>
      </c>
    </row>
    <row r="13" spans="1:5" ht="13.5" thickBot="1">
      <c r="A13" s="298" t="s">
        <v>101</v>
      </c>
      <c r="B13" s="299" t="s">
        <v>102</v>
      </c>
      <c r="C13" s="239">
        <f>SUM(D13:E13)</f>
        <v>144.96640192222634</v>
      </c>
      <c r="D13" s="221">
        <f>D12</f>
        <v>144.96640192222634</v>
      </c>
      <c r="E13" s="222"/>
    </row>
    <row r="14" spans="1:5">
      <c r="A14" s="359"/>
      <c r="B14" s="359"/>
      <c r="C14" s="383"/>
      <c r="D14" s="383"/>
      <c r="E14" s="383"/>
    </row>
    <row r="15" spans="1:5">
      <c r="A15" s="359"/>
      <c r="B15" s="359"/>
      <c r="C15" s="323" t="str">
        <f>IF(C12*1000000=Revenue!B10,"Gross MWh Matches 'Revenue' MWh","'Energy Throughput' MWh Does Not Match 'Revenue' MWh")</f>
        <v>Gross MWh Matches 'Revenue' MWh</v>
      </c>
      <c r="D15" s="323"/>
      <c r="E15" s="323"/>
    </row>
    <row r="18" spans="4:4">
      <c r="D18" s="384"/>
    </row>
  </sheetData>
  <mergeCells count="3">
    <mergeCell ref="A7:B7"/>
    <mergeCell ref="A5:B5"/>
    <mergeCell ref="C15:E15"/>
  </mergeCells>
  <phoneticPr fontId="0" type="noConversion"/>
  <conditionalFormatting sqref="C15">
    <cfRule type="cellIs" dxfId="2" priority="1" operator="equal">
      <formula>"'Energy Throughput' MWh Does Not Match 'Revenue' MWh"</formula>
    </cfRule>
  </conditionalFormatting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6">
    <tabColor indexed="9"/>
  </sheetPr>
  <dimension ref="A1:K53"/>
  <sheetViews>
    <sheetView tabSelected="1" zoomScaleNormal="100" workbookViewId="0">
      <selection activeCell="M11" sqref="M11"/>
    </sheetView>
  </sheetViews>
  <sheetFormatPr defaultColWidth="9.140625" defaultRowHeight="11.25"/>
  <cols>
    <col min="1" max="1" width="10.5703125" style="40" customWidth="1"/>
    <col min="2" max="2" width="54.28515625" style="5" customWidth="1"/>
    <col min="3" max="3" width="15.7109375" style="48" customWidth="1"/>
    <col min="4" max="4" width="15.7109375" style="49" customWidth="1"/>
    <col min="5" max="5" width="15" style="49" bestFit="1" customWidth="1"/>
    <col min="6" max="6" width="12.28515625" style="5" customWidth="1"/>
    <col min="7" max="7" width="13.5703125" style="5" customWidth="1"/>
    <col min="8" max="11" width="10" style="5" customWidth="1"/>
    <col min="12" max="12" width="10" style="5" bestFit="1" customWidth="1"/>
    <col min="13" max="13" width="9.85546875" style="5" customWidth="1"/>
    <col min="14" max="14" width="12" style="5" bestFit="1" customWidth="1"/>
    <col min="15" max="16384" width="9.140625" style="5"/>
  </cols>
  <sheetData>
    <row r="1" spans="1:5" s="1" customFormat="1" ht="21" customHeight="1">
      <c r="A1" s="30" t="str">
        <f>"Revenue to Cost Summary Worksheet "</f>
        <v xml:space="preserve">Revenue to Cost Summary Worksheet </v>
      </c>
      <c r="B1" s="357"/>
      <c r="C1" s="300"/>
      <c r="D1" s="300"/>
      <c r="E1" s="295" t="str">
        <f>"IESO "&amp;'Revenue to Cost|RR'!H22&amp;" Fee Model"</f>
        <v>IESO 2024 Fee Model</v>
      </c>
    </row>
    <row r="2" spans="1:5" s="1" customFormat="1" ht="6" customHeight="1">
      <c r="A2" s="333"/>
      <c r="B2" s="333"/>
      <c r="C2" s="385"/>
      <c r="D2" s="385"/>
      <c r="E2" s="333"/>
    </row>
    <row r="3" spans="1:5" ht="12" customHeight="1"/>
    <row r="4" spans="1:5" ht="12" customHeight="1">
      <c r="A4" s="50"/>
      <c r="B4" s="51"/>
    </row>
    <row r="5" spans="1:5">
      <c r="B5" s="3"/>
      <c r="C5" s="3"/>
      <c r="D5" s="3"/>
      <c r="E5" s="3"/>
    </row>
    <row r="6" spans="1:5" ht="15.95" customHeight="1" thickBot="1">
      <c r="A6" s="52"/>
      <c r="B6" s="53"/>
      <c r="C6" s="329"/>
      <c r="D6" s="329"/>
      <c r="E6" s="329"/>
    </row>
    <row r="7" spans="1:5" ht="15.95" customHeight="1">
      <c r="A7" s="52"/>
      <c r="B7" s="53"/>
      <c r="C7" s="57"/>
      <c r="D7" s="58">
        <v>1</v>
      </c>
      <c r="E7" s="58">
        <v>2</v>
      </c>
    </row>
    <row r="8" spans="1:5" ht="12.75" customHeight="1">
      <c r="A8" s="55"/>
      <c r="B8" s="47"/>
      <c r="C8" s="60" t="s">
        <v>82</v>
      </c>
      <c r="D8" s="216" t="str">
        <f>Revenue!C7</f>
        <v>Domestic</v>
      </c>
      <c r="E8" s="216" t="str">
        <f>Revenue!D7</f>
        <v>Export</v>
      </c>
    </row>
    <row r="9" spans="1:5" ht="12.75">
      <c r="A9" s="55"/>
      <c r="B9" s="47"/>
      <c r="C9" s="60"/>
      <c r="D9" s="130"/>
      <c r="E9" s="130"/>
    </row>
    <row r="10" spans="1:5" ht="12.75">
      <c r="A10" s="55"/>
      <c r="B10" s="149" t="s">
        <v>103</v>
      </c>
      <c r="C10" s="386">
        <f>SUM(D10:E10)</f>
        <v>203314620.2486279</v>
      </c>
      <c r="D10" s="387">
        <f>Revenue!C14</f>
        <v>193225717.12213549</v>
      </c>
      <c r="E10" s="387">
        <f>Revenue!D14</f>
        <v>10088903.126492418</v>
      </c>
    </row>
    <row r="11" spans="1:5" ht="12.75">
      <c r="A11" s="55"/>
      <c r="B11" s="150" t="s">
        <v>104</v>
      </c>
      <c r="C11" s="151">
        <f>C31/C10</f>
        <v>1.0766564634275351</v>
      </c>
      <c r="D11" s="130"/>
      <c r="E11" s="130"/>
    </row>
    <row r="12" spans="1:5" ht="12.75">
      <c r="A12" s="55"/>
      <c r="B12" s="149" t="s">
        <v>105</v>
      </c>
      <c r="C12" s="386">
        <f>SUM(D12:E12)</f>
        <v>218900000.00000003</v>
      </c>
      <c r="D12" s="387">
        <f>D10*$C11</f>
        <v>208037717.2399677</v>
      </c>
      <c r="E12" s="387">
        <f>E10*$C11</f>
        <v>10862282.760032328</v>
      </c>
    </row>
    <row r="13" spans="1:5" ht="12.75">
      <c r="A13" s="55"/>
      <c r="B13" s="149"/>
      <c r="C13" s="386"/>
      <c r="D13" s="387"/>
      <c r="E13" s="387"/>
    </row>
    <row r="14" spans="1:5" ht="12.75">
      <c r="A14" s="55"/>
      <c r="B14" s="149" t="s">
        <v>106</v>
      </c>
      <c r="C14" s="386">
        <f>SUM(D14:E14)</f>
        <v>218400000</v>
      </c>
      <c r="D14" s="387">
        <f>Revenue!C21</f>
        <v>204354933.61777917</v>
      </c>
      <c r="E14" s="387">
        <f>Revenue!D21</f>
        <v>14045066.382220848</v>
      </c>
    </row>
    <row r="15" spans="1:5" ht="12.75">
      <c r="A15" s="55"/>
      <c r="B15" s="47"/>
      <c r="C15" s="60"/>
      <c r="D15" s="130"/>
      <c r="E15" s="130"/>
    </row>
    <row r="16" spans="1:5" ht="12.75">
      <c r="A16" s="55"/>
      <c r="B16" s="47"/>
      <c r="C16" s="60"/>
      <c r="D16" s="130"/>
      <c r="E16" s="130"/>
    </row>
    <row r="17" spans="1:11" ht="12.75">
      <c r="A17" s="61"/>
      <c r="B17" s="63" t="s">
        <v>107</v>
      </c>
      <c r="C17" s="386"/>
      <c r="D17" s="387"/>
      <c r="E17" s="387"/>
      <c r="H17" s="300"/>
    </row>
    <row r="18" spans="1:11" ht="12.75">
      <c r="A18" s="61" t="s">
        <v>108</v>
      </c>
      <c r="B18" s="129" t="s">
        <v>108</v>
      </c>
      <c r="C18" s="386">
        <f>SUM(D18:E18)</f>
        <v>1500000.0000000002</v>
      </c>
      <c r="D18" s="387">
        <f>SUMIF('Summary by Class &amp; Accounts'!$C$9:$C$56, 'Revenue to Cost|RR'!$A18,'Summary by Class &amp; Accounts'!E$9:E$56)</f>
        <v>1415000.7305707585</v>
      </c>
      <c r="E18" s="387">
        <f>SUMIF('Summary by Class &amp; Accounts'!$C$9:$C$56, 'Revenue to Cost|RR'!$A18,'Summary by Class &amp; Accounts'!F$9:F$56)</f>
        <v>84999.269429241875</v>
      </c>
    </row>
    <row r="19" spans="1:11" ht="12.75">
      <c r="A19" s="61" t="s">
        <v>13</v>
      </c>
      <c r="B19" s="129" t="s">
        <v>109</v>
      </c>
      <c r="C19" s="386">
        <f t="shared" ref="C19:C28" si="0">SUM(D19:E19)</f>
        <v>39100000.000000007</v>
      </c>
      <c r="D19" s="387">
        <f>SUMIF('Summary by Class &amp; Accounts'!$C$9:$C$56, 'Revenue to Cost|RR'!$A19,'Summary by Class &amp; Accounts'!E$9:E$56)</f>
        <v>36585521.540545635</v>
      </c>
      <c r="E19" s="387">
        <f>SUMIF('Summary by Class &amp; Accounts'!$C$9:$C$56, 'Revenue to Cost|RR'!$A19,'Summary by Class &amp; Accounts'!F$9:F$56)</f>
        <v>2514478.4594543735</v>
      </c>
    </row>
    <row r="20" spans="1:11" ht="12.75">
      <c r="A20" s="61" t="s">
        <v>20</v>
      </c>
      <c r="B20" s="129" t="s">
        <v>110</v>
      </c>
      <c r="C20" s="386">
        <f t="shared" si="0"/>
        <v>26200000.000000007</v>
      </c>
      <c r="D20" s="387">
        <f>SUMIF('Summary by Class &amp; Accounts'!$C$9:$C$56, 'Revenue to Cost|RR'!$A20,'Summary by Class &amp; Accounts'!E$9:E$56)</f>
        <v>26200000.000000007</v>
      </c>
      <c r="E20" s="387">
        <f>SUMIF('Summary by Class &amp; Accounts'!$C$9:$C$56, 'Revenue to Cost|RR'!$A20,'Summary by Class &amp; Accounts'!F$9:F$56)</f>
        <v>0</v>
      </c>
    </row>
    <row r="21" spans="1:11" ht="13.5" thickBot="1">
      <c r="A21" s="61" t="s">
        <v>27</v>
      </c>
      <c r="B21" s="129" t="s">
        <v>111</v>
      </c>
      <c r="C21" s="386">
        <f>SUM(D21:E21)</f>
        <v>15800000.000000004</v>
      </c>
      <c r="D21" s="387">
        <f>SUMIF('Summary by Class &amp; Accounts'!$C$9:$C$56, 'Revenue to Cost|RR'!$A21,'Summary by Class &amp; Accounts'!E$9:E$56)</f>
        <v>15800000.000000004</v>
      </c>
      <c r="E21" s="387">
        <f>SUMIF('Summary by Class &amp; Accounts'!$C$9:$C$56, 'Revenue to Cost|RR'!$A21,'Summary by Class &amp; Accounts'!F$9:F$56)</f>
        <v>0</v>
      </c>
    </row>
    <row r="22" spans="1:11" ht="13.5" thickBot="1">
      <c r="A22" s="61" t="s">
        <v>33</v>
      </c>
      <c r="B22" s="129" t="s">
        <v>112</v>
      </c>
      <c r="C22" s="386">
        <f t="shared" si="0"/>
        <v>49400000.000000015</v>
      </c>
      <c r="D22" s="387">
        <f>SUMIF('Summary by Class &amp; Accounts'!$C$9:$C$56, 'Revenue to Cost|RR'!$A22,'Summary by Class &amp; Accounts'!E$9:E$56)</f>
        <v>46600690.726796985</v>
      </c>
      <c r="E22" s="387">
        <f>SUMIF('Summary by Class &amp; Accounts'!$C$9:$C$56, 'Revenue to Cost|RR'!$A22,'Summary by Class &amp; Accounts'!F$9:F$56)</f>
        <v>2799309.273203033</v>
      </c>
      <c r="G22" s="270" t="s">
        <v>113</v>
      </c>
      <c r="H22" s="271">
        <v>2024</v>
      </c>
      <c r="J22" s="290"/>
    </row>
    <row r="23" spans="1:11" ht="13.5" thickBot="1">
      <c r="A23" s="61" t="s">
        <v>39</v>
      </c>
      <c r="B23" s="129" t="s">
        <v>114</v>
      </c>
      <c r="C23" s="386">
        <f t="shared" si="0"/>
        <v>30500000.000000004</v>
      </c>
      <c r="D23" s="387">
        <f>SUMIF('Summary by Class &amp; Accounts'!$C$9:$C$56, 'Revenue to Cost|RR'!$A23,'Summary by Class &amp; Accounts'!E$9:E$56)</f>
        <v>26788210.969591059</v>
      </c>
      <c r="E23" s="387">
        <f>SUMIF('Summary by Class &amp; Accounts'!$C$9:$C$56, 'Revenue to Cost|RR'!$A23,'Summary by Class &amp; Accounts'!F$9:F$56)</f>
        <v>3711789.0304089445</v>
      </c>
    </row>
    <row r="24" spans="1:11" ht="13.5" thickBot="1">
      <c r="A24" s="61" t="s">
        <v>50</v>
      </c>
      <c r="B24" s="129" t="s">
        <v>115</v>
      </c>
      <c r="C24" s="386">
        <f t="shared" si="0"/>
        <v>30200000.000000007</v>
      </c>
      <c r="D24" s="387">
        <f>SUMIF('Summary by Class &amp; Accounts'!$C$9:$C$56, 'Revenue to Cost|RR'!$A24,'Summary by Class &amp; Accounts'!E$9:E$56)</f>
        <v>28442830.127790339</v>
      </c>
      <c r="E24" s="387">
        <f>SUMIF('Summary by Class &amp; Accounts'!$C$9:$C$56, 'Revenue to Cost|RR'!$A24,'Summary by Class &amp; Accounts'!F$9:F$56)</f>
        <v>1757169.8722096675</v>
      </c>
      <c r="G24" s="267"/>
      <c r="H24" s="264" t="s">
        <v>116</v>
      </c>
    </row>
    <row r="25" spans="1:11" ht="12.75">
      <c r="A25" s="61" t="s">
        <v>117</v>
      </c>
      <c r="B25" s="129" t="s">
        <v>118</v>
      </c>
      <c r="C25" s="386">
        <f t="shared" si="0"/>
        <v>2500000.0000000005</v>
      </c>
      <c r="D25" s="387">
        <f>SUMIF('Summary by Class &amp; Accounts'!$C$9:$C$56, 'Revenue to Cost|RR'!$A25,'Summary by Class &amp; Accounts'!E$9:E$56)</f>
        <v>2339227.7199837361</v>
      </c>
      <c r="E25" s="387">
        <f>SUMIF('Summary by Class &amp; Accounts'!$C$9:$C$56, 'Revenue to Cost|RR'!$A25,'Summary by Class &amp; Accounts'!F$9:F$56)</f>
        <v>160772.2800162643</v>
      </c>
      <c r="G25" s="268" t="str">
        <f>D8</f>
        <v>Domestic</v>
      </c>
      <c r="H25" s="265">
        <f>D43</f>
        <v>1.4203350362375557</v>
      </c>
    </row>
    <row r="26" spans="1:11" ht="13.5" thickBot="1">
      <c r="A26" s="61" t="s">
        <v>119</v>
      </c>
      <c r="B26" s="129" t="s">
        <v>59</v>
      </c>
      <c r="C26" s="386">
        <f t="shared" si="0"/>
        <v>4400000.0000000009</v>
      </c>
      <c r="D26" s="387">
        <f>SUMIF('Summary by Class &amp; Accounts'!$C$9:$C$56, 'Revenue to Cost|RR'!$A26,'Summary by Class &amp; Accounts'!E$9:E$56)</f>
        <v>4117040.7871713759</v>
      </c>
      <c r="E26" s="387">
        <f>SUMIF('Summary by Class &amp; Accounts'!$C$9:$C$56, 'Revenue to Cost|RR'!$A26,'Summary by Class &amp; Accounts'!F$9:F$56)</f>
        <v>282959.21282862517</v>
      </c>
      <c r="G26" s="269" t="str">
        <f>E8</f>
        <v>Export</v>
      </c>
      <c r="H26" s="266">
        <f>E43</f>
        <v>1.2545099582496702</v>
      </c>
    </row>
    <row r="27" spans="1:11" ht="12.75">
      <c r="A27" s="61" t="s">
        <v>120</v>
      </c>
      <c r="B27" s="129" t="s">
        <v>57</v>
      </c>
      <c r="C27" s="386">
        <f t="shared" ref="C27" si="1">SUM(D27:E27)</f>
        <v>6400000.0000000028</v>
      </c>
      <c r="D27" s="387">
        <f>SUMIF('Summary by Class &amp; Accounts'!$C$9:$C$56, 'Revenue to Cost|RR'!$A27,'Summary by Class &amp; Accounts'!E$9:E$56)</f>
        <v>6037336.450435237</v>
      </c>
      <c r="E27" s="387">
        <f>SUMIF('Summary by Class &amp; Accounts'!$C$9:$C$56, 'Revenue to Cost|RR'!$A27,'Summary by Class &amp; Accounts'!F$9:F$56)</f>
        <v>362663.54956476542</v>
      </c>
      <c r="G27" s="274"/>
      <c r="H27" s="275"/>
    </row>
    <row r="28" spans="1:11" ht="12.75">
      <c r="A28" s="61" t="s">
        <v>121</v>
      </c>
      <c r="B28" s="129" t="s">
        <v>58</v>
      </c>
      <c r="C28" s="386">
        <f t="shared" si="0"/>
        <v>600000.00000000012</v>
      </c>
      <c r="D28" s="387">
        <f>SUMIF('Summary by Class &amp; Accounts'!$C$9:$C$56, 'Revenue to Cost|RR'!$A28,'Summary by Class &amp; Accounts'!E$9:E$56)</f>
        <v>566000.29222830338</v>
      </c>
      <c r="E28" s="387">
        <f>SUMIF('Summary by Class &amp; Accounts'!$C$9:$C$56, 'Revenue to Cost|RR'!$A28,'Summary by Class &amp; Accounts'!F$9:F$56)</f>
        <v>33999.707771696754</v>
      </c>
    </row>
    <row r="29" spans="1:11" ht="13.5" thickBot="1">
      <c r="A29" s="61" t="s">
        <v>122</v>
      </c>
      <c r="B29" s="129" t="s">
        <v>123</v>
      </c>
      <c r="C29" s="386">
        <f>SUM(D29:E29)</f>
        <v>-9700000.0000000037</v>
      </c>
      <c r="D29" s="387">
        <f>SUMIF('Summary by Class &amp; Accounts'!$C$9:$C$56, 'Revenue to Cost|RR'!$A29,'Summary by Class &amp; Accounts'!E$9:E$56)</f>
        <v>-9076203.5535368975</v>
      </c>
      <c r="E29" s="387">
        <f>SUMIF('Summary by Class &amp; Accounts'!$C$9:$C$56, 'Revenue to Cost|RR'!$A29,'Summary by Class &amp; Accounts'!F$9:F$56)</f>
        <v>-623796.4464631055</v>
      </c>
    </row>
    <row r="30" spans="1:11" ht="13.5" thickBot="1">
      <c r="A30" s="61" t="s">
        <v>124</v>
      </c>
      <c r="B30" s="129" t="s">
        <v>125</v>
      </c>
      <c r="C30" s="386">
        <f>SUM(D30:E30)</f>
        <v>22000000.000000004</v>
      </c>
      <c r="D30" s="387">
        <f>SUMIF('Summary by Class &amp; Accounts'!$C$9:$C$56, 'Revenue to Cost|RR'!$A30,'Summary by Class &amp; Accounts'!E$9:E$56)</f>
        <v>20585203.935856879</v>
      </c>
      <c r="E30" s="387">
        <f>SUMIF('Summary by Class &amp; Accounts'!$C$9:$C$56, 'Revenue to Cost|RR'!$A30,'Summary by Class &amp; Accounts'!F$9:F$56)</f>
        <v>1414796.0641431259</v>
      </c>
      <c r="G30" s="270" t="s">
        <v>113</v>
      </c>
      <c r="H30" s="291">
        <v>2022</v>
      </c>
      <c r="I30" s="291">
        <v>2023</v>
      </c>
      <c r="J30" s="291">
        <v>2024</v>
      </c>
      <c r="K30" s="291">
        <v>2025</v>
      </c>
    </row>
    <row r="31" spans="1:11" s="3" customFormat="1" ht="13.5" thickBot="1">
      <c r="A31" s="61"/>
      <c r="B31" s="63" t="s">
        <v>93</v>
      </c>
      <c r="C31" s="388">
        <f>SUM(C18:C30)</f>
        <v>218900000.00000003</v>
      </c>
      <c r="D31" s="148">
        <f>SUM(D18:D30)</f>
        <v>206400859.72743341</v>
      </c>
      <c r="E31" s="148">
        <f>SUM(E18:E30)</f>
        <v>12499140.272566631</v>
      </c>
      <c r="G31" s="267"/>
      <c r="H31" s="277" t="s">
        <v>116</v>
      </c>
      <c r="I31" s="264" t="s">
        <v>116</v>
      </c>
      <c r="J31" s="264" t="s">
        <v>116</v>
      </c>
      <c r="K31" s="264" t="s">
        <v>116</v>
      </c>
    </row>
    <row r="32" spans="1:11" ht="16.5" customHeight="1" thickTop="1">
      <c r="A32" s="62"/>
      <c r="B32" s="129"/>
      <c r="C32" s="326" t="str">
        <f>IFERROR(IF(ROUND('Functionalized Accounts'!F52-'Functionalized Accounts'!F51,-1)=ROUND(C31,-1),"Revenue Requirement Input equals Output","Revenue Requirement Input Does Not Equal Output"),"-")</f>
        <v>Revenue Requirement Input equals Output</v>
      </c>
      <c r="D32" s="327"/>
      <c r="E32" s="328"/>
      <c r="G32" s="268" t="s">
        <v>85</v>
      </c>
      <c r="H32" s="278">
        <f>Revenue!C12</f>
        <v>1.3329</v>
      </c>
      <c r="I32" s="265">
        <v>1.3845424975917677</v>
      </c>
      <c r="J32" s="265">
        <v>1.4203350362375557</v>
      </c>
      <c r="K32" s="265">
        <v>1.4492152492257995</v>
      </c>
    </row>
    <row r="33" spans="1:11" ht="13.5" thickBot="1">
      <c r="A33" s="61"/>
      <c r="B33" s="129"/>
      <c r="C33" s="386"/>
      <c r="D33" s="387"/>
      <c r="E33" s="387"/>
      <c r="G33" s="269" t="s">
        <v>86</v>
      </c>
      <c r="H33" s="279">
        <f>Revenue!D12</f>
        <v>1.0125999999999999</v>
      </c>
      <c r="I33" s="266">
        <v>1.0945422840251378</v>
      </c>
      <c r="J33" s="266">
        <v>1.2545099582496702</v>
      </c>
      <c r="K33" s="266">
        <v>1.4397906367494799</v>
      </c>
    </row>
    <row r="34" spans="1:11" ht="12.75">
      <c r="A34" s="61" t="s">
        <v>126</v>
      </c>
      <c r="B34" s="63" t="s">
        <v>127</v>
      </c>
      <c r="C34" s="386">
        <f>SUM(D34:E34)</f>
        <v>500000.00000000012</v>
      </c>
      <c r="D34" s="387">
        <f>-SUMIF('Summary by Class &amp; Accounts'!$C$9:$C$56, 'Revenue to Cost|RR'!$A34,'Summary by Class &amp; Accounts'!E$9:E$56)</f>
        <v>500000.00000000012</v>
      </c>
      <c r="E34" s="387">
        <f>-SUMIF('Summary by Class &amp; Accounts'!$C$9:$C$56, 'Revenue to Cost|RR'!$A34,'Summary by Class &amp; Accounts'!F$9:F$56)</f>
        <v>0</v>
      </c>
      <c r="G34" s="282"/>
      <c r="K34" s="283"/>
    </row>
    <row r="35" spans="1:11" ht="13.5" thickBot="1">
      <c r="A35" s="61"/>
      <c r="B35" s="129"/>
      <c r="C35" s="386"/>
      <c r="D35" s="387"/>
      <c r="E35" s="387"/>
      <c r="G35" s="284" t="s">
        <v>128</v>
      </c>
      <c r="H35" s="280"/>
      <c r="I35" s="281">
        <f t="shared" ref="I35:K36" si="2">I32/H32-1</f>
        <v>3.8744465144997964E-2</v>
      </c>
      <c r="J35" s="281">
        <f t="shared" si="2"/>
        <v>2.5851527640389893E-2</v>
      </c>
      <c r="K35" s="285">
        <f t="shared" si="2"/>
        <v>2.0333380682312052E-2</v>
      </c>
    </row>
    <row r="36" spans="1:11" ht="13.5" thickBot="1">
      <c r="A36" s="61"/>
      <c r="B36" s="64" t="s">
        <v>129</v>
      </c>
      <c r="C36" s="65">
        <f>C31-C34</f>
        <v>218400000.00000003</v>
      </c>
      <c r="D36" s="65">
        <f>D31-D34</f>
        <v>205900859.72743341</v>
      </c>
      <c r="E36" s="65">
        <f>E31-E34</f>
        <v>12499140.272566631</v>
      </c>
      <c r="G36" s="286" t="s">
        <v>130</v>
      </c>
      <c r="H36" s="287"/>
      <c r="I36" s="288">
        <f t="shared" si="2"/>
        <v>8.0922658527688984E-2</v>
      </c>
      <c r="J36" s="288">
        <f t="shared" si="2"/>
        <v>0.14615029182450345</v>
      </c>
      <c r="K36" s="289">
        <f t="shared" si="2"/>
        <v>0.14769167616518475</v>
      </c>
    </row>
    <row r="37" spans="1:11" ht="13.5" thickTop="1">
      <c r="A37" s="61"/>
      <c r="B37" s="129"/>
      <c r="C37" s="386"/>
      <c r="D37" s="389"/>
      <c r="E37" s="389"/>
    </row>
    <row r="38" spans="1:11" ht="12.75">
      <c r="A38" s="61"/>
      <c r="B38" s="63" t="s">
        <v>131</v>
      </c>
      <c r="C38" s="390">
        <v>1</v>
      </c>
      <c r="D38" s="152">
        <f>D12/D36</f>
        <v>1.0103780893162031</v>
      </c>
      <c r="E38" s="152">
        <f>E12/E36</f>
        <v>0.86904239196939714</v>
      </c>
    </row>
    <row r="39" spans="1:11" ht="12.75">
      <c r="A39" s="61"/>
      <c r="B39" s="63" t="s">
        <v>132</v>
      </c>
      <c r="C39" s="390">
        <v>1</v>
      </c>
      <c r="D39" s="152">
        <f>D14/D36</f>
        <v>0.99249189094353119</v>
      </c>
      <c r="E39" s="152">
        <f>E14/E36</f>
        <v>1.1236825954379634</v>
      </c>
    </row>
    <row r="40" spans="1:11" ht="12.75">
      <c r="A40" s="61"/>
      <c r="B40" s="129"/>
      <c r="C40" s="391"/>
      <c r="D40" s="387"/>
      <c r="E40" s="392"/>
    </row>
    <row r="41" spans="1:11" ht="12.75">
      <c r="A41" s="61"/>
      <c r="B41" s="129" t="s">
        <v>133</v>
      </c>
      <c r="C41" s="153">
        <f>SUM(D41:E41)</f>
        <v>154929766.65310964</v>
      </c>
      <c r="D41" s="393">
        <f>'Energy Throughput'!D12*1000000</f>
        <v>144966401.92222634</v>
      </c>
      <c r="E41" s="393">
        <f>'Energy Throughput'!E12*1000000</f>
        <v>9963364.7308832891</v>
      </c>
      <c r="F41" s="324" t="str">
        <f>IF('Energy Throughput'!C15="Gross MWh Matches 'Revenue' MWh","","'Energy Throughput' MWh Does Not Match 'Revenue' MWh")</f>
        <v/>
      </c>
      <c r="G41" s="325"/>
      <c r="H41" s="325"/>
      <c r="I41" s="325"/>
    </row>
    <row r="42" spans="1:11" ht="13.5" thickBot="1">
      <c r="A42" s="5"/>
      <c r="B42" s="129"/>
      <c r="C42" s="394"/>
      <c r="D42" s="395"/>
      <c r="E42" s="395"/>
    </row>
    <row r="43" spans="1:11" s="3" customFormat="1" ht="23.25" customHeight="1" thickBot="1">
      <c r="B43" s="131" t="s">
        <v>134</v>
      </c>
      <c r="C43" s="396"/>
      <c r="D43" s="397">
        <f>D36/D41</f>
        <v>1.4203350362375557</v>
      </c>
      <c r="E43" s="397">
        <f>E36/E41</f>
        <v>1.2545099582496702</v>
      </c>
      <c r="F43" s="261"/>
    </row>
    <row r="44" spans="1:11" ht="12.75">
      <c r="A44" s="61"/>
      <c r="B44" s="129"/>
      <c r="C44" s="391"/>
      <c r="D44" s="387"/>
      <c r="E44" s="392"/>
    </row>
    <row r="45" spans="1:11" ht="12.75">
      <c r="A45" s="61"/>
      <c r="B45" s="63" t="s">
        <v>135</v>
      </c>
      <c r="C45" s="153"/>
      <c r="D45" s="154"/>
      <c r="E45" s="155">
        <f>E43/D43</f>
        <v>0.88324932233795095</v>
      </c>
    </row>
    <row r="46" spans="1:11" ht="13.5" thickBot="1">
      <c r="A46" s="5"/>
      <c r="B46" s="129"/>
      <c r="C46" s="394"/>
      <c r="D46" s="395"/>
      <c r="E46" s="398"/>
    </row>
    <row r="47" spans="1:11" ht="12.75">
      <c r="A47" s="56"/>
      <c r="B47" s="197"/>
    </row>
    <row r="48" spans="1:11" ht="13.5" thickBot="1">
      <c r="A48" s="54"/>
    </row>
    <row r="49" spans="1:5" ht="12.75">
      <c r="A49" s="54"/>
      <c r="B49" s="63" t="s">
        <v>136</v>
      </c>
      <c r="C49" s="399"/>
      <c r="D49" s="400">
        <f>ROUND(D43,4)</f>
        <v>1.4202999999999999</v>
      </c>
      <c r="E49" s="400">
        <f>ROUND(E43,4)</f>
        <v>1.2544999999999999</v>
      </c>
    </row>
    <row r="50" spans="1:5" ht="12.75">
      <c r="B50" s="63" t="s">
        <v>137</v>
      </c>
      <c r="C50" s="249">
        <f>D50+E50</f>
        <v>218394821.70503113</v>
      </c>
      <c r="D50" s="387">
        <f>D49*D41</f>
        <v>205895780.65013805</v>
      </c>
      <c r="E50" s="387">
        <f>E49*E41</f>
        <v>12499041.054893086</v>
      </c>
    </row>
    <row r="51" spans="1:5" ht="13.5" thickBot="1">
      <c r="B51" s="63" t="s">
        <v>138</v>
      </c>
      <c r="C51" s="252">
        <f>C50-C36</f>
        <v>-5178.2949689030647</v>
      </c>
      <c r="D51" s="253">
        <f t="shared" ref="D51:E51" si="3">D50-D36</f>
        <v>-5079.0772953629494</v>
      </c>
      <c r="E51" s="253">
        <f t="shared" si="3"/>
        <v>-99.217673545703292</v>
      </c>
    </row>
    <row r="52" spans="1:5" ht="12.75">
      <c r="C52" s="250"/>
      <c r="D52" s="401"/>
      <c r="E52" s="251"/>
    </row>
    <row r="53" spans="1:5">
      <c r="D53" s="246"/>
      <c r="E53" s="246"/>
    </row>
  </sheetData>
  <mergeCells count="3">
    <mergeCell ref="F41:I41"/>
    <mergeCell ref="C32:E32"/>
    <mergeCell ref="C6:E6"/>
  </mergeCells>
  <phoneticPr fontId="7" type="noConversion"/>
  <conditionalFormatting sqref="C32">
    <cfRule type="cellIs" dxfId="1" priority="4" stopIfTrue="1" operator="equal">
      <formula>"Error"</formula>
    </cfRule>
  </conditionalFormatting>
  <conditionalFormatting sqref="F41">
    <cfRule type="cellIs" dxfId="0" priority="1" operator="equal">
      <formula>"'Energy Throughput' MWh Does Not Match 'Revenue' MWh"</formula>
    </cfRule>
  </conditionalFormatting>
  <pageMargins left="0.75" right="0.75" top="1" bottom="1" header="0.5" footer="0.5"/>
  <pageSetup scale="63" fitToHeight="0" orientation="portrait" r:id="rId1"/>
  <headerFooter alignWithMargins="0">
    <oddFooter>&amp;C&amp;"Arial,Italic"IESO 2024 Cost Allocation Model&amp;RPage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7">
    <tabColor indexed="9"/>
  </sheetPr>
  <dimension ref="B1:F60"/>
  <sheetViews>
    <sheetView zoomScale="90" zoomScaleNormal="90" workbookViewId="0">
      <selection activeCell="H22" sqref="H22"/>
    </sheetView>
  </sheetViews>
  <sheetFormatPr defaultColWidth="9.140625" defaultRowHeight="11.25"/>
  <cols>
    <col min="1" max="1" width="2.5703125" style="5" customWidth="1"/>
    <col min="2" max="2" width="73.28515625" style="6" customWidth="1"/>
    <col min="3" max="3" width="12.140625" style="39" customWidth="1"/>
    <col min="4" max="4" width="15.85546875" style="49" customWidth="1"/>
    <col min="5" max="5" width="16.140625" style="49" customWidth="1"/>
    <col min="6" max="6" width="14.85546875" style="49" customWidth="1"/>
    <col min="7" max="16384" width="9.140625" style="5"/>
  </cols>
  <sheetData>
    <row r="1" spans="2:6" s="1" customFormat="1" ht="20.25">
      <c r="B1" s="30" t="s">
        <v>139</v>
      </c>
      <c r="C1" s="300"/>
      <c r="D1" s="300"/>
      <c r="E1" s="293" t="str">
        <f>"IESO "&amp;'Revenue to Cost|RR'!H22&amp;" Fee Model"</f>
        <v>IESO 2024 Fee Model</v>
      </c>
      <c r="F1" s="5"/>
    </row>
    <row r="2" spans="2:6" s="1" customFormat="1">
      <c r="B2" s="333"/>
      <c r="C2" s="385"/>
      <c r="D2" s="385"/>
      <c r="E2" s="333"/>
      <c r="F2" s="333"/>
    </row>
    <row r="4" spans="2:6" ht="15.75">
      <c r="B4" s="127" t="s">
        <v>140</v>
      </c>
    </row>
    <row r="5" spans="2:6" ht="15.75">
      <c r="B5" s="127"/>
    </row>
    <row r="6" spans="2:6" ht="12" thickBot="1">
      <c r="B6" s="67"/>
      <c r="E6" s="48"/>
      <c r="F6" s="48"/>
    </row>
    <row r="7" spans="2:6" s="36" customFormat="1" ht="13.5" thickBot="1">
      <c r="B7" s="68"/>
      <c r="C7" s="402"/>
      <c r="D7" s="403"/>
      <c r="E7" s="404">
        <v>1</v>
      </c>
      <c r="F7" s="405">
        <v>2</v>
      </c>
    </row>
    <row r="8" spans="2:6" s="42" customFormat="1" ht="13.5" thickBot="1">
      <c r="B8" s="59" t="s">
        <v>5</v>
      </c>
      <c r="C8" s="70" t="s">
        <v>141</v>
      </c>
      <c r="D8" s="406" t="s">
        <v>82</v>
      </c>
      <c r="E8" s="217" t="str">
        <f>'Revenue to Cost|RR'!D8</f>
        <v>Domestic</v>
      </c>
      <c r="F8" s="218" t="str">
        <f>'Revenue to Cost|RR'!E8</f>
        <v>Export</v>
      </c>
    </row>
    <row r="9" spans="2:6" ht="12.75">
      <c r="B9" s="407" t="str">
        <f>'Functionalized Accounts'!B9</f>
        <v>CEO Office</v>
      </c>
      <c r="C9" s="132" t="s">
        <v>108</v>
      </c>
      <c r="D9" s="69">
        <f>'Functionalized Accounts'!F9</f>
        <v>1500000.0000000002</v>
      </c>
      <c r="E9" s="408">
        <f>VLOOKUP('TB Allocation Details'!$C6, Allocators!$B$9:$E$196, MATCH(E$8, Allocators!$B$9:$E$9, 0),FALSE)*$D9</f>
        <v>1415000.7305707585</v>
      </c>
      <c r="F9" s="409">
        <f>VLOOKUP('TB Allocation Details'!$C6, Allocators!$B$9:$E$196, MATCH(F$8, Allocators!$B$9:$E$9, 0),FALSE)*$D9</f>
        <v>84999.269429241875</v>
      </c>
    </row>
    <row r="10" spans="2:6" ht="12.75">
      <c r="B10" s="410" t="str">
        <f>'Functionalized Accounts'!B10</f>
        <v xml:space="preserve">Markets &amp; Reliability -  VP Office </v>
      </c>
      <c r="C10" s="132" t="s">
        <v>13</v>
      </c>
      <c r="D10" s="69">
        <f>'Functionalized Accounts'!F10</f>
        <v>1102820.512820513</v>
      </c>
      <c r="E10" s="408">
        <f>VLOOKUP('TB Allocation Details'!$C7, Allocators!$B$9:$E$196, MATCH(E$8, Allocators!$B$9:$E$9, 0),FALSE)*$D10</f>
        <v>1031899.3255025692</v>
      </c>
      <c r="F10" s="409">
        <f>VLOOKUP('TB Allocation Details'!$C7, Allocators!$B$9:$E$196, MATCH(F$8, Allocators!$B$9:$E$9, 0),FALSE)*$D10</f>
        <v>70921.18731794387</v>
      </c>
    </row>
    <row r="11" spans="2:6" ht="12.75">
      <c r="B11" s="410" t="str">
        <f>'Functionalized Accounts'!B11</f>
        <v xml:space="preserve">Markets &amp; Reliability -  Power System Assessments </v>
      </c>
      <c r="C11" s="132" t="s">
        <v>13</v>
      </c>
      <c r="D11" s="69">
        <f>'Functionalized Accounts'!F11</f>
        <v>11629743.589743592</v>
      </c>
      <c r="E11" s="408">
        <f>VLOOKUP('TB Allocation Details'!$C8, Allocators!$B$9:$E$196, MATCH(E$8, Allocators!$B$9:$E$9, 0),FALSE)*$D11</f>
        <v>10881847.432572547</v>
      </c>
      <c r="F11" s="409">
        <f>VLOOKUP('TB Allocation Details'!$C8, Allocators!$B$9:$E$196, MATCH(F$8, Allocators!$B$9:$E$9, 0),FALSE)*$D11</f>
        <v>747896.1571710445</v>
      </c>
    </row>
    <row r="12" spans="2:6" ht="12.75">
      <c r="B12" s="410" t="str">
        <f>'Functionalized Accounts'!B12</f>
        <v xml:space="preserve">Markets &amp; Reliability -  Market Operations </v>
      </c>
      <c r="C12" s="132" t="s">
        <v>13</v>
      </c>
      <c r="D12" s="69">
        <f>'Functionalized Accounts'!F12</f>
        <v>17143846.153846156</v>
      </c>
      <c r="E12" s="408">
        <f>VLOOKUP('TB Allocation Details'!$C9, Allocators!$B$9:$E$196, MATCH(E$8, Allocators!$B$9:$E$9, 0),FALSE)*$D12</f>
        <v>16041344.060085393</v>
      </c>
      <c r="F12" s="409">
        <f>VLOOKUP('TB Allocation Details'!$C9, Allocators!$B$9:$E$196, MATCH(F$8, Allocators!$B$9:$E$9, 0),FALSE)*$D12</f>
        <v>1102502.0937607638</v>
      </c>
    </row>
    <row r="13" spans="2:6" ht="12.75">
      <c r="B13" s="410" t="str">
        <f>'Functionalized Accounts'!B13</f>
        <v xml:space="preserve">Markets &amp; Reliability -  Wholesale Market Development </v>
      </c>
      <c r="C13" s="132" t="s">
        <v>13</v>
      </c>
      <c r="D13" s="69">
        <f>'Functionalized Accounts'!F13</f>
        <v>3709487.1794871804</v>
      </c>
      <c r="E13" s="408">
        <f>VLOOKUP('TB Allocation Details'!$C10, Allocators!$B$9:$E$196, MATCH(E$8, Allocators!$B$9:$E$9, 0),FALSE)*$D13</f>
        <v>3470934.0948722786</v>
      </c>
      <c r="F13" s="409">
        <f>VLOOKUP('TB Allocation Details'!$C10, Allocators!$B$9:$E$196, MATCH(F$8, Allocators!$B$9:$E$9, 0),FALSE)*$D13</f>
        <v>238553.08461490212</v>
      </c>
    </row>
    <row r="14" spans="2:6" ht="12.75">
      <c r="B14" s="410" t="str">
        <f>'Functionalized Accounts'!B14</f>
        <v xml:space="preserve">Markets &amp; Reliability -  Reliability Assurance &amp; Operational Assessments </v>
      </c>
      <c r="C14" s="132" t="s">
        <v>13</v>
      </c>
      <c r="D14" s="69">
        <f>'Functionalized Accounts'!F14</f>
        <v>5514102.5641025649</v>
      </c>
      <c r="E14" s="408">
        <f>VLOOKUP('TB Allocation Details'!$C11, Allocators!$B$9:$E$196, MATCH(E$8, Allocators!$B$9:$E$9, 0),FALSE)*$D14</f>
        <v>5159496.6275128461</v>
      </c>
      <c r="F14" s="409">
        <f>VLOOKUP('TB Allocation Details'!$C11, Allocators!$B$9:$E$196, MATCH(F$8, Allocators!$B$9:$E$9, 0),FALSE)*$D14</f>
        <v>354605.93658971938</v>
      </c>
    </row>
    <row r="15" spans="2:6" ht="25.5">
      <c r="B15" s="410" t="str">
        <f>'Functionalized Accounts'!B15</f>
        <v xml:space="preserve">Planning, Conservation and Resource Adequacy -  VP Office and Planning Projects &amp; Sustainability </v>
      </c>
      <c r="C15" s="132" t="s">
        <v>20</v>
      </c>
      <c r="D15" s="69">
        <f>'Functionalized Accounts'!F15</f>
        <v>1100000.0000000002</v>
      </c>
      <c r="E15" s="408">
        <f>VLOOKUP('TB Allocation Details'!$C12, Allocators!$B$9:$E$196, MATCH(E$8, Allocators!$B$9:$E$9, 0),FALSE)*$D15</f>
        <v>1100000.0000000002</v>
      </c>
      <c r="F15" s="409">
        <f>VLOOKUP('TB Allocation Details'!$C12, Allocators!$B$9:$E$196, MATCH(F$8, Allocators!$B$9:$E$9, 0),FALSE)*$D15</f>
        <v>0</v>
      </c>
    </row>
    <row r="16" spans="2:6" ht="12.75">
      <c r="B16" s="410" t="str">
        <f>'Functionalized Accounts'!B16</f>
        <v xml:space="preserve">Planning, Conservation and Resource Adequacy -  Resource Planning </v>
      </c>
      <c r="C16" s="132" t="s">
        <v>20</v>
      </c>
      <c r="D16" s="69">
        <f>'Functionalized Accounts'!F16</f>
        <v>6400000.0000000019</v>
      </c>
      <c r="E16" s="408">
        <f>VLOOKUP('TB Allocation Details'!$C13, Allocators!$B$9:$E$196, MATCH(E$8, Allocators!$B$9:$E$9, 0),FALSE)*$D16</f>
        <v>6400000.0000000019</v>
      </c>
      <c r="F16" s="409">
        <f>VLOOKUP('TB Allocation Details'!$C13, Allocators!$B$9:$E$196, MATCH(F$8, Allocators!$B$9:$E$9, 0),FALSE)*$D16</f>
        <v>0</v>
      </c>
    </row>
    <row r="17" spans="2:6" ht="12.75">
      <c r="B17" s="410" t="str">
        <f>'Functionalized Accounts'!B17</f>
        <v xml:space="preserve">Planning, Conservation and Resource Adequacy -  Transmission Planning </v>
      </c>
      <c r="C17" s="132" t="s">
        <v>20</v>
      </c>
      <c r="D17" s="69">
        <f>'Functionalized Accounts'!F17</f>
        <v>5200000.0000000009</v>
      </c>
      <c r="E17" s="408">
        <f>VLOOKUP('TB Allocation Details'!$C14, Allocators!$B$9:$E$196, MATCH(E$8, Allocators!$B$9:$E$9, 0),FALSE)*$D17</f>
        <v>5200000.0000000009</v>
      </c>
      <c r="F17" s="409">
        <f>VLOOKUP('TB Allocation Details'!$C14, Allocators!$B$9:$E$196, MATCH(F$8, Allocators!$B$9:$E$9, 0),FALSE)*$D17</f>
        <v>0</v>
      </c>
    </row>
    <row r="18" spans="2:6" ht="12.75">
      <c r="B18" s="410" t="str">
        <f>'Functionalized Accounts'!B18</f>
        <v xml:space="preserve">Planning, Conservation and Resource Adequacy -  Resource &amp; System Adequacy </v>
      </c>
      <c r="C18" s="132" t="s">
        <v>20</v>
      </c>
      <c r="D18" s="69">
        <f>'Functionalized Accounts'!F18</f>
        <v>7100000.0000000019</v>
      </c>
      <c r="E18" s="408">
        <f>VLOOKUP('TB Allocation Details'!$C15, Allocators!$B$9:$E$196, MATCH(E$8, Allocators!$B$9:$E$9, 0),FALSE)*$D18</f>
        <v>7100000.0000000019</v>
      </c>
      <c r="F18" s="409">
        <f>VLOOKUP('TB Allocation Details'!$C15, Allocators!$B$9:$E$196, MATCH(F$8, Allocators!$B$9:$E$9, 0),FALSE)*$D18</f>
        <v>0</v>
      </c>
    </row>
    <row r="19" spans="2:6" ht="12.75">
      <c r="B19" s="410" t="str">
        <f>'Functionalized Accounts'!B19</f>
        <v xml:space="preserve">Planning, Conservation and Resource Adequacy -  Energy Efficiency </v>
      </c>
      <c r="C19" s="132" t="s">
        <v>20</v>
      </c>
      <c r="D19" s="69">
        <f>'Functionalized Accounts'!F19</f>
        <v>6400000.0000000019</v>
      </c>
      <c r="E19" s="408">
        <f>VLOOKUP('TB Allocation Details'!$C16, Allocators!$B$9:$E$196, MATCH(E$8, Allocators!$B$9:$E$9, 0),FALSE)*$D19</f>
        <v>6400000.0000000019</v>
      </c>
      <c r="F19" s="409">
        <f>VLOOKUP('TB Allocation Details'!$C16, Allocators!$B$9:$E$196, MATCH(F$8, Allocators!$B$9:$E$9, 0),FALSE)*$D19</f>
        <v>0</v>
      </c>
    </row>
    <row r="20" spans="2:6" ht="12.75">
      <c r="B20" s="410" t="str">
        <f>'Functionalized Accounts'!B20</f>
        <v xml:space="preserve">Corporate Relations, Stakeholder Engagement and Innovation -  VP Office </v>
      </c>
      <c r="C20" s="132" t="s">
        <v>27</v>
      </c>
      <c r="D20" s="69">
        <f>'Functionalized Accounts'!F20</f>
        <v>700000.00000000012</v>
      </c>
      <c r="E20" s="408">
        <f>VLOOKUP('TB Allocation Details'!$C17, Allocators!$B$9:$E$196, MATCH(E$8, Allocators!$B$9:$E$9, 0),FALSE)*$D20</f>
        <v>700000.00000000012</v>
      </c>
      <c r="F20" s="409">
        <f>VLOOKUP('TB Allocation Details'!$C17, Allocators!$B$9:$E$196, MATCH(F$8, Allocators!$B$9:$E$9, 0),FALSE)*$D20</f>
        <v>0</v>
      </c>
    </row>
    <row r="21" spans="2:6" ht="12.75">
      <c r="B21" s="410" t="str">
        <f>'Functionalized Accounts'!B21</f>
        <v xml:space="preserve">Corporate Relations, Stakeholder Engagement and Innovation -  Government Affairs </v>
      </c>
      <c r="C21" s="132" t="s">
        <v>27</v>
      </c>
      <c r="D21" s="69">
        <f>'Functionalized Accounts'!F21</f>
        <v>500000.00000000012</v>
      </c>
      <c r="E21" s="408">
        <f>VLOOKUP('TB Allocation Details'!$C18, Allocators!$B$9:$E$196, MATCH(E$8, Allocators!$B$9:$E$9, 0),FALSE)*$D21</f>
        <v>500000.00000000012</v>
      </c>
      <c r="F21" s="409">
        <f>VLOOKUP('TB Allocation Details'!$C18, Allocators!$B$9:$E$196, MATCH(F$8, Allocators!$B$9:$E$9, 0),FALSE)*$D21</f>
        <v>0</v>
      </c>
    </row>
    <row r="22" spans="2:6" ht="25.5">
      <c r="B22" s="410" t="str">
        <f>'Functionalized Accounts'!B22</f>
        <v xml:space="preserve">Corporate Relations, Stakeholder Engagement and Innovation -  Corporate Communications </v>
      </c>
      <c r="C22" s="132" t="s">
        <v>27</v>
      </c>
      <c r="D22" s="69">
        <f>'Functionalized Accounts'!F22</f>
        <v>4000000.0000000009</v>
      </c>
      <c r="E22" s="408">
        <f>VLOOKUP('TB Allocation Details'!$C19, Allocators!$B$9:$E$196, MATCH(E$8, Allocators!$B$9:$E$9, 0),FALSE)*$D22</f>
        <v>4000000.0000000009</v>
      </c>
      <c r="F22" s="409">
        <f>VLOOKUP('TB Allocation Details'!$C19, Allocators!$B$9:$E$196, MATCH(F$8, Allocators!$B$9:$E$9, 0),FALSE)*$D22</f>
        <v>0</v>
      </c>
    </row>
    <row r="23" spans="2:6" ht="25.5">
      <c r="B23" s="410" t="str">
        <f>'Functionalized Accounts'!B23</f>
        <v xml:space="preserve">Corporate Relations, Stakeholder Engagement and Innovation -  Stakeholder and Community Engagement </v>
      </c>
      <c r="C23" s="132" t="s">
        <v>27</v>
      </c>
      <c r="D23" s="69">
        <f>'Functionalized Accounts'!F23</f>
        <v>6300000.0000000019</v>
      </c>
      <c r="E23" s="408">
        <f>VLOOKUP('TB Allocation Details'!$C20, Allocators!$B$9:$E$196, MATCH(E$8, Allocators!$B$9:$E$9, 0),FALSE)*$D23</f>
        <v>6300000.0000000019</v>
      </c>
      <c r="F23" s="409">
        <f>VLOOKUP('TB Allocation Details'!$C20, Allocators!$B$9:$E$196, MATCH(F$8, Allocators!$B$9:$E$9, 0),FALSE)*$D23</f>
        <v>0</v>
      </c>
    </row>
    <row r="24" spans="2:6" ht="25.5">
      <c r="B24" s="410" t="str">
        <f>'Functionalized Accounts'!B24</f>
        <v xml:space="preserve">Corporate Relations, Stakeholder Engagement and Innovation -  Innovation, Research &amp; Development </v>
      </c>
      <c r="C24" s="132" t="s">
        <v>27</v>
      </c>
      <c r="D24" s="69">
        <f>'Functionalized Accounts'!F24</f>
        <v>4300000.0000000009</v>
      </c>
      <c r="E24" s="408">
        <f>VLOOKUP('TB Allocation Details'!$C21, Allocators!$B$9:$E$196, MATCH(E$8, Allocators!$B$9:$E$9, 0),FALSE)*$D24</f>
        <v>4300000.0000000009</v>
      </c>
      <c r="F24" s="409">
        <f>VLOOKUP('TB Allocation Details'!$C21, Allocators!$B$9:$E$196, MATCH(F$8, Allocators!$B$9:$E$9, 0),FALSE)*$D24</f>
        <v>0</v>
      </c>
    </row>
    <row r="25" spans="2:6" ht="12.75">
      <c r="B25" s="410" t="str">
        <f>'Functionalized Accounts'!B25</f>
        <v>Information and Technology Services - VP Office</v>
      </c>
      <c r="C25" s="132" t="s">
        <v>33</v>
      </c>
      <c r="D25" s="69">
        <f>'Functionalized Accounts'!F25</f>
        <v>900000.00000000023</v>
      </c>
      <c r="E25" s="408">
        <f>VLOOKUP('TB Allocation Details'!$C22, Allocators!$B$9:$E$196, MATCH(E$8, Allocators!$B$9:$E$9, 0),FALSE)*$D25</f>
        <v>849000.43834245508</v>
      </c>
      <c r="F25" s="409">
        <f>VLOOKUP('TB Allocation Details'!$C22, Allocators!$B$9:$E$196, MATCH(F$8, Allocators!$B$9:$E$9, 0),FALSE)*$D25</f>
        <v>50999.561657545135</v>
      </c>
    </row>
    <row r="26" spans="2:6" ht="25.5">
      <c r="B26" s="410" t="str">
        <f>'Functionalized Accounts'!B26</f>
        <v>Information and Technology Services - CIO Office (Organizational Governance Support)</v>
      </c>
      <c r="C26" s="132" t="s">
        <v>33</v>
      </c>
      <c r="D26" s="69">
        <f>'Functionalized Accounts'!F26</f>
        <v>2200000.0000000005</v>
      </c>
      <c r="E26" s="408">
        <f>VLOOKUP('TB Allocation Details'!$C23, Allocators!$B$9:$E$196, MATCH(E$8, Allocators!$B$9:$E$9, 0),FALSE)*$D26</f>
        <v>2075334.4048371126</v>
      </c>
      <c r="F26" s="409">
        <f>VLOOKUP('TB Allocation Details'!$C23, Allocators!$B$9:$E$196, MATCH(F$8, Allocators!$B$9:$E$9, 0),FALSE)*$D26</f>
        <v>124665.5951628881</v>
      </c>
    </row>
    <row r="27" spans="2:6" ht="12.75">
      <c r="B27" s="410" t="str">
        <f>'Functionalized Accounts'!B27</f>
        <v>Information and Technology Services - Information Security</v>
      </c>
      <c r="C27" s="132" t="s">
        <v>33</v>
      </c>
      <c r="D27" s="69">
        <f>'Functionalized Accounts'!F27</f>
        <v>5600000.0000000009</v>
      </c>
      <c r="E27" s="408">
        <f>VLOOKUP('TB Allocation Details'!$C24, Allocators!$B$9:$E$196, MATCH(E$8, Allocators!$B$9:$E$9, 0),FALSE)*$D27</f>
        <v>5282669.3941308316</v>
      </c>
      <c r="F27" s="409">
        <f>VLOOKUP('TB Allocation Details'!$C24, Allocators!$B$9:$E$196, MATCH(F$8, Allocators!$B$9:$E$9, 0),FALSE)*$D27</f>
        <v>317330.6058691697</v>
      </c>
    </row>
    <row r="28" spans="2:6" ht="12.75">
      <c r="B28" s="410" t="str">
        <f>'Functionalized Accounts'!B28</f>
        <v>Information and Technology Services - Business Services &amp; Solution Delivery</v>
      </c>
      <c r="C28" s="132" t="s">
        <v>33</v>
      </c>
      <c r="D28" s="69">
        <f>'Functionalized Accounts'!F28</f>
        <v>19100000.000000004</v>
      </c>
      <c r="E28" s="408">
        <f>VLOOKUP('TB Allocation Details'!$C25, Allocators!$B$9:$E$196, MATCH(E$8, Allocators!$B$9:$E$9, 0),FALSE)*$D28</f>
        <v>18017675.969267659</v>
      </c>
      <c r="F28" s="409">
        <f>VLOOKUP('TB Allocation Details'!$C25, Allocators!$B$9:$E$196, MATCH(F$8, Allocators!$B$9:$E$9, 0),FALSE)*$D28</f>
        <v>1082324.0307323467</v>
      </c>
    </row>
    <row r="29" spans="2:6" ht="25.5">
      <c r="B29" s="410" t="str">
        <f>'Functionalized Accounts'!B29</f>
        <v>Information and Technology Services - IT Infrastructure &amp; Operations (Technology Services)</v>
      </c>
      <c r="C29" s="132" t="s">
        <v>33</v>
      </c>
      <c r="D29" s="69">
        <f>'Functionalized Accounts'!F29</f>
        <v>21600000.000000004</v>
      </c>
      <c r="E29" s="408">
        <f>VLOOKUP('TB Allocation Details'!$C26, Allocators!$B$9:$E$196, MATCH(E$8, Allocators!$B$9:$E$9, 0),FALSE)*$D29</f>
        <v>20376010.520218924</v>
      </c>
      <c r="F29" s="409">
        <f>VLOOKUP('TB Allocation Details'!$C26, Allocators!$B$9:$E$196, MATCH(F$8, Allocators!$B$9:$E$9, 0),FALSE)*$D29</f>
        <v>1223989.4797810831</v>
      </c>
    </row>
    <row r="30" spans="2:6" ht="12.75">
      <c r="B30" s="410" t="str">
        <f>'Functionalized Accounts'!B30</f>
        <v xml:space="preserve">Legal Resources and Corporate Governance -  VP Office </v>
      </c>
      <c r="C30" s="132" t="s">
        <v>39</v>
      </c>
      <c r="D30" s="69">
        <f>'Functionalized Accounts'!F30</f>
        <v>1495098.0392156865</v>
      </c>
      <c r="E30" s="408">
        <f>VLOOKUP('TB Allocation Details'!$C27, Allocators!$B$9:$E$196, MATCH(E$8, Allocators!$B$9:$E$9, 0),FALSE)*$D30</f>
        <v>1398949.9109706657</v>
      </c>
      <c r="F30" s="409">
        <f>VLOOKUP('TB Allocation Details'!$C27, Allocators!$B$9:$E$196, MATCH(F$8, Allocators!$B$9:$E$9, 0),FALSE)*$D30</f>
        <v>96148.128245020824</v>
      </c>
    </row>
    <row r="31" spans="2:6" ht="12.75">
      <c r="B31" s="410" t="str">
        <f>'Functionalized Accounts'!B31</f>
        <v xml:space="preserve">Legal Resources and Corporate Governance -  General Counsel </v>
      </c>
      <c r="C31" s="132" t="s">
        <v>39</v>
      </c>
      <c r="D31" s="69">
        <f>'Functionalized Accounts'!F31</f>
        <v>10764705.882352943</v>
      </c>
      <c r="E31" s="408">
        <f>VLOOKUP('TB Allocation Details'!$C28, Allocators!$B$9:$E$196, MATCH(E$8, Allocators!$B$9:$E$9, 0),FALSE)*$D31</f>
        <v>10072439.358988794</v>
      </c>
      <c r="F31" s="409">
        <f>VLOOKUP('TB Allocation Details'!$C28, Allocators!$B$9:$E$196, MATCH(F$8, Allocators!$B$9:$E$9, 0),FALSE)*$D31</f>
        <v>692266.52336414973</v>
      </c>
    </row>
    <row r="32" spans="2:6" ht="12.75">
      <c r="B32" s="410" t="str">
        <f>'Functionalized Accounts'!B32</f>
        <v xml:space="preserve">Legal Resources and Corporate Governance -  Market Rules and Regulatory Affairs </v>
      </c>
      <c r="C32" s="132" t="s">
        <v>39</v>
      </c>
      <c r="D32" s="69">
        <f>'Functionalized Accounts'!F32</f>
        <v>2890522.8758169939</v>
      </c>
      <c r="E32" s="408">
        <f>VLOOKUP('TB Allocation Details'!$C29, Allocators!$B$9:$E$196, MATCH(E$8, Allocators!$B$9:$E$9, 0),FALSE)*$D32</f>
        <v>2704636.494543287</v>
      </c>
      <c r="F32" s="409">
        <f>VLOOKUP('TB Allocation Details'!$C29, Allocators!$B$9:$E$196, MATCH(F$8, Allocators!$B$9:$E$9, 0),FALSE)*$D32</f>
        <v>185886.38127370688</v>
      </c>
    </row>
    <row r="33" spans="2:6" ht="12.75">
      <c r="B33" s="410" t="str">
        <f>'Functionalized Accounts'!B33</f>
        <v xml:space="preserve">Legal Resources and Corporate Governance -  OEB Assessment Fees </v>
      </c>
      <c r="C33" s="132" t="s">
        <v>39</v>
      </c>
      <c r="D33" s="69">
        <f>'Functionalized Accounts'!F33</f>
        <v>697712.41830065369</v>
      </c>
      <c r="E33" s="408">
        <f>VLOOKUP('TB Allocation Details'!$C30, Allocators!$B$9:$E$196, MATCH(E$8, Allocators!$B$9:$E$9, 0),FALSE)*$D33</f>
        <v>652843.29178631061</v>
      </c>
      <c r="F33" s="409">
        <f>VLOOKUP('TB Allocation Details'!$C30, Allocators!$B$9:$E$196, MATCH(F$8, Allocators!$B$9:$E$9, 0),FALSE)*$D33</f>
        <v>44869.126514343043</v>
      </c>
    </row>
    <row r="34" spans="2:6" ht="12.75">
      <c r="B34" s="410" t="str">
        <f>'Functionalized Accounts'!B34</f>
        <v xml:space="preserve">Legal Resources and Corporate Governance -  Board </v>
      </c>
      <c r="C34" s="132" t="s">
        <v>39</v>
      </c>
      <c r="D34" s="69">
        <f>'Functionalized Accounts'!F34</f>
        <v>797385.62091503292</v>
      </c>
      <c r="E34" s="408">
        <f>VLOOKUP('TB Allocation Details'!$C31, Allocators!$B$9:$E$196, MATCH(E$8, Allocators!$B$9:$E$9, 0),FALSE)*$D34</f>
        <v>746106.61918435514</v>
      </c>
      <c r="F34" s="409">
        <f>VLOOKUP('TB Allocation Details'!$C31, Allocators!$B$9:$E$196, MATCH(F$8, Allocators!$B$9:$E$9, 0),FALSE)*$D34</f>
        <v>51279.001730677774</v>
      </c>
    </row>
    <row r="35" spans="2:6" ht="12.75">
      <c r="B35" s="410" t="str">
        <f>'Functionalized Accounts'!B35</f>
        <v xml:space="preserve">Legal Resources and Corporate Governance -  NERC and NPCC Membership </v>
      </c>
      <c r="C35" s="132" t="s">
        <v>39</v>
      </c>
      <c r="D35" s="69">
        <f>'Functionalized Accounts'!F35</f>
        <v>5282679.7385620922</v>
      </c>
      <c r="E35" s="408">
        <f>VLOOKUP('TB Allocation Details'!$C32, Allocators!$B$9:$E$196, MATCH(E$8, Allocators!$B$9:$E$9, 0),FALSE)*$D35</f>
        <v>2641339.8692810461</v>
      </c>
      <c r="F35" s="409">
        <f>VLOOKUP('TB Allocation Details'!$C32, Allocators!$B$9:$E$196, MATCH(F$8, Allocators!$B$9:$E$9, 0),FALSE)*$D35</f>
        <v>2641339.8692810461</v>
      </c>
    </row>
    <row r="36" spans="2:6" ht="12.75">
      <c r="B36" s="410" t="str">
        <f>'Functionalized Accounts'!B36</f>
        <v xml:space="preserve">Legal Resources and Corporate Governance -  Contract Management </v>
      </c>
      <c r="C36" s="132" t="s">
        <v>39</v>
      </c>
      <c r="D36" s="69">
        <f>'Functionalized Accounts'!F36</f>
        <v>8571895.4248366039</v>
      </c>
      <c r="E36" s="408">
        <f>VLOOKUP('TB Allocation Details'!$C33, Allocators!$B$9:$E$196, MATCH(E$8, Allocators!$B$9:$E$9, 0),FALSE)*$D36</f>
        <v>8571895.4248366039</v>
      </c>
      <c r="F36" s="409">
        <f>VLOOKUP('TB Allocation Details'!$C33, Allocators!$B$9:$E$196, MATCH(F$8, Allocators!$B$9:$E$9, 0),FALSE)*$D36</f>
        <v>0</v>
      </c>
    </row>
    <row r="37" spans="2:6" ht="25.5">
      <c r="B37" s="410" t="str">
        <f>'Functionalized Accounts'!B37</f>
        <v xml:space="preserve">Market Assessment and Compliance Division -  Market Assessment and Compliance Division </v>
      </c>
      <c r="C37" s="132" t="s">
        <v>117</v>
      </c>
      <c r="D37" s="69">
        <f>'Functionalized Accounts'!F37</f>
        <v>1800000.0000000005</v>
      </c>
      <c r="E37" s="408">
        <f>VLOOKUP('TB Allocation Details'!$C34, Allocators!$B$9:$E$196, MATCH(E$8, Allocators!$B$9:$E$9, 0),FALSE)*$D37</f>
        <v>1684243.9583882901</v>
      </c>
      <c r="F37" s="409">
        <f>VLOOKUP('TB Allocation Details'!$C34, Allocators!$B$9:$E$196, MATCH(F$8, Allocators!$B$9:$E$9, 0),FALSE)*$D37</f>
        <v>115756.0416117103</v>
      </c>
    </row>
    <row r="38" spans="2:6" ht="12.75">
      <c r="B38" s="410" t="str">
        <f>'Functionalized Accounts'!B38</f>
        <v xml:space="preserve">Market Assessment and Compliance Division -  OEB Assessment Fees </v>
      </c>
      <c r="C38" s="132" t="s">
        <v>117</v>
      </c>
      <c r="D38" s="69">
        <f>'Functionalized Accounts'!F38</f>
        <v>700000.00000000012</v>
      </c>
      <c r="E38" s="408">
        <f>VLOOKUP('TB Allocation Details'!$C35, Allocators!$B$9:$E$196, MATCH(E$8, Allocators!$B$9:$E$9, 0),FALSE)*$D38</f>
        <v>654983.76159544615</v>
      </c>
      <c r="F38" s="409">
        <f>VLOOKUP('TB Allocation Details'!$C35, Allocators!$B$9:$E$196, MATCH(F$8, Allocators!$B$9:$E$9, 0),FALSE)*$D38</f>
        <v>45016.238404554002</v>
      </c>
    </row>
    <row r="39" spans="2:6" ht="12.75">
      <c r="B39" s="410" t="str">
        <f>'Functionalized Accounts'!B39</f>
        <v>Corporate Services - VP Office</v>
      </c>
      <c r="C39" s="132" t="s">
        <v>50</v>
      </c>
      <c r="D39" s="69">
        <f>'Functionalized Accounts'!F39</f>
        <v>598019.80198019813</v>
      </c>
      <c r="E39" s="408">
        <f>VLOOKUP('TB Allocation Details'!$C36, Allocators!$B$9:$E$196, MATCH(E$8, Allocators!$B$9:$E$9, 0),FALSE)*$D39</f>
        <v>563224.35896614532</v>
      </c>
      <c r="F39" s="409">
        <f>VLOOKUP('TB Allocation Details'!$C36, Allocators!$B$9:$E$196, MATCH(F$8, Allocators!$B$9:$E$9, 0),FALSE)*$D39</f>
        <v>34795.44301405282</v>
      </c>
    </row>
    <row r="40" spans="2:6" ht="12.75">
      <c r="B40" s="410" t="str">
        <f>'Functionalized Accounts'!B40</f>
        <v>Corporate Services - Corporate Finance</v>
      </c>
      <c r="C40" s="132" t="s">
        <v>50</v>
      </c>
      <c r="D40" s="69">
        <f>'Functionalized Accounts'!F40</f>
        <v>5880528.0528052812</v>
      </c>
      <c r="E40" s="408">
        <f>VLOOKUP('TB Allocation Details'!$C37, Allocators!$B$9:$E$196, MATCH(E$8, Allocators!$B$9:$E$9, 0),FALSE)*$D40</f>
        <v>5547300.993907541</v>
      </c>
      <c r="F40" s="409">
        <f>VLOOKUP('TB Allocation Details'!$C37, Allocators!$B$9:$E$196, MATCH(F$8, Allocators!$B$9:$E$9, 0),FALSE)*$D40</f>
        <v>333227.05889774079</v>
      </c>
    </row>
    <row r="41" spans="2:6" ht="12.75">
      <c r="B41" s="410" t="str">
        <f>'Functionalized Accounts'!B41</f>
        <v>Corporate Services - Procurement</v>
      </c>
      <c r="C41" s="132" t="s">
        <v>50</v>
      </c>
      <c r="D41" s="69">
        <f>'Functionalized Accounts'!F41</f>
        <v>1794059.4059405944</v>
      </c>
      <c r="E41" s="408">
        <f>VLOOKUP('TB Allocation Details'!$C38, Allocators!$B$9:$E$196, MATCH(E$8, Allocators!$B$9:$E$9, 0),FALSE)*$D41</f>
        <v>1692396.913395521</v>
      </c>
      <c r="F41" s="409">
        <f>VLOOKUP('TB Allocation Details'!$C38, Allocators!$B$9:$E$196, MATCH(F$8, Allocators!$B$9:$E$9, 0),FALSE)*$D41</f>
        <v>101662.49254507346</v>
      </c>
    </row>
    <row r="42" spans="2:6" ht="12.75">
      <c r="B42" s="410" t="str">
        <f>'Functionalized Accounts'!B42</f>
        <v>Corporate Services - Risk, Performance &amp; Reliance and Internal Audit</v>
      </c>
      <c r="C42" s="132" t="s">
        <v>50</v>
      </c>
      <c r="D42" s="69">
        <f>'Functionalized Accounts'!F42</f>
        <v>2292409.2409240929</v>
      </c>
      <c r="E42" s="408">
        <f>VLOOKUP('TB Allocation Details'!$C39, Allocators!$B$9:$E$196, MATCH(E$8, Allocators!$B$9:$E$9, 0),FALSE)*$D42</f>
        <v>2162507.167116499</v>
      </c>
      <c r="F42" s="409">
        <f>VLOOKUP('TB Allocation Details'!$C39, Allocators!$B$9:$E$196, MATCH(F$8, Allocators!$B$9:$E$9, 0),FALSE)*$D42</f>
        <v>129902.07380759387</v>
      </c>
    </row>
    <row r="43" spans="2:6" ht="12.75">
      <c r="B43" s="410" t="str">
        <f>'Functionalized Accounts'!B43</f>
        <v>Corporate Services - Settlements</v>
      </c>
      <c r="C43" s="132" t="s">
        <v>50</v>
      </c>
      <c r="D43" s="69">
        <f>'Functionalized Accounts'!F43</f>
        <v>5880528.0528052812</v>
      </c>
      <c r="E43" s="408">
        <f>VLOOKUP('TB Allocation Details'!$C40, Allocators!$B$9:$E$196, MATCH(E$8, Allocators!$B$9:$E$9, 0),FALSE)*$D43</f>
        <v>5502357.6917056385</v>
      </c>
      <c r="F43" s="409">
        <f>VLOOKUP('TB Allocation Details'!$C40, Allocators!$B$9:$E$196, MATCH(F$8, Allocators!$B$9:$E$9, 0),FALSE)*$D43</f>
        <v>378170.36109964317</v>
      </c>
    </row>
    <row r="44" spans="2:6" ht="12.75">
      <c r="B44" s="410" t="str">
        <f>'Functionalized Accounts'!B44</f>
        <v>Corporate Services - Facilities</v>
      </c>
      <c r="C44" s="132" t="s">
        <v>50</v>
      </c>
      <c r="D44" s="69">
        <f>'Functionalized Accounts'!F44</f>
        <v>10166336.633663367</v>
      </c>
      <c r="E44" s="408">
        <f>VLOOKUP('TB Allocation Details'!$C41, Allocators!$B$9:$E$196, MATCH(E$8, Allocators!$B$9:$E$9, 0),FALSE)*$D44</f>
        <v>9590249.1759079527</v>
      </c>
      <c r="F44" s="409">
        <f>VLOOKUP('TB Allocation Details'!$C41, Allocators!$B$9:$E$196, MATCH(F$8, Allocators!$B$9:$E$9, 0),FALSE)*$D44</f>
        <v>576087.45775541628</v>
      </c>
    </row>
    <row r="45" spans="2:6" ht="12.75">
      <c r="B45" s="410" t="str">
        <f>'Functionalized Accounts'!B45</f>
        <v>Corporate Services - Enterprise Change</v>
      </c>
      <c r="C45" s="132" t="s">
        <v>50</v>
      </c>
      <c r="D45" s="69">
        <f>'Functionalized Accounts'!F45</f>
        <v>3588118.8118811888</v>
      </c>
      <c r="E45" s="408">
        <f>VLOOKUP('TB Allocation Details'!$C42, Allocators!$B$9:$E$196, MATCH(E$8, Allocators!$B$9:$E$9, 0),FALSE)*$D45</f>
        <v>3384793.826791042</v>
      </c>
      <c r="F45" s="409">
        <f>VLOOKUP('TB Allocation Details'!$C42, Allocators!$B$9:$E$196, MATCH(F$8, Allocators!$B$9:$E$9, 0),FALSE)*$D45</f>
        <v>203324.98509014692</v>
      </c>
    </row>
    <row r="46" spans="2:6" ht="12.75">
      <c r="B46" s="410" t="str">
        <f>'Functionalized Accounts'!B46</f>
        <v>Human Resources</v>
      </c>
      <c r="C46" s="132" t="s">
        <v>120</v>
      </c>
      <c r="D46" s="69">
        <f>'Functionalized Accounts'!F46</f>
        <v>6400000.0000000019</v>
      </c>
      <c r="E46" s="408">
        <f>VLOOKUP('TB Allocation Details'!$C43, Allocators!$B$9:$E$196, MATCH(E$8, Allocators!$B$9:$E$9, 0),FALSE)*$D46</f>
        <v>6037336.450435237</v>
      </c>
      <c r="F46" s="409">
        <f>VLOOKUP('TB Allocation Details'!$C43, Allocators!$B$9:$E$196, MATCH(F$8, Allocators!$B$9:$E$9, 0),FALSE)*$D46</f>
        <v>362663.54956476542</v>
      </c>
    </row>
    <row r="47" spans="2:6" ht="12.75">
      <c r="B47" s="410" t="str">
        <f>'Functionalized Accounts'!B47</f>
        <v>Corporate Adjustment - General</v>
      </c>
      <c r="C47" s="132" t="s">
        <v>121</v>
      </c>
      <c r="D47" s="69">
        <f>'Functionalized Accounts'!F47</f>
        <v>600000.00000000012</v>
      </c>
      <c r="E47" s="408">
        <f>VLOOKUP('TB Allocation Details'!$C44, Allocators!$B$9:$E$196, MATCH(E$8, Allocators!$B$9:$E$9, 0),FALSE)*$D47</f>
        <v>566000.29222830338</v>
      </c>
      <c r="F47" s="409">
        <f>VLOOKUP('TB Allocation Details'!$C44, Allocators!$B$9:$E$196, MATCH(F$8, Allocators!$B$9:$E$9, 0),FALSE)*$D47</f>
        <v>33999.707771696754</v>
      </c>
    </row>
    <row r="48" spans="2:6" ht="12.75">
      <c r="B48" s="410" t="str">
        <f>'Functionalized Accounts'!B48</f>
        <v>Market Renewal</v>
      </c>
      <c r="C48" s="132" t="s">
        <v>119</v>
      </c>
      <c r="D48" s="69">
        <f>'Functionalized Accounts'!F48</f>
        <v>4400000.0000000009</v>
      </c>
      <c r="E48" s="408">
        <f>VLOOKUP('TB Allocation Details'!$C45, Allocators!$B$9:$E$196, MATCH(E$8, Allocators!$B$9:$E$9, 0),FALSE)*$D48</f>
        <v>4117040.7871713759</v>
      </c>
      <c r="F48" s="409">
        <f>VLOOKUP('TB Allocation Details'!$C45, Allocators!$B$9:$E$196, MATCH(F$8, Allocators!$B$9:$E$9, 0),FALSE)*$D48</f>
        <v>282959.21282862517</v>
      </c>
    </row>
    <row r="49" spans="2:6" ht="12.75">
      <c r="B49" s="410" t="str">
        <f>'Functionalized Accounts'!B49</f>
        <v>Interest, Amortization and Registration Fees - Amortization</v>
      </c>
      <c r="C49" s="132" t="s">
        <v>124</v>
      </c>
      <c r="D49" s="69">
        <f>'Functionalized Accounts'!F49</f>
        <v>22000000.000000004</v>
      </c>
      <c r="E49" s="408">
        <f>VLOOKUP('TB Allocation Details'!$C46, Allocators!$B$9:$E$196, MATCH(E$8, Allocators!$B$9:$E$9, 0),FALSE)*$D49</f>
        <v>20585203.935856879</v>
      </c>
      <c r="F49" s="409">
        <f>VLOOKUP('TB Allocation Details'!$C46, Allocators!$B$9:$E$196, MATCH(F$8, Allocators!$B$9:$E$9, 0),FALSE)*$D49</f>
        <v>1414796.0641431259</v>
      </c>
    </row>
    <row r="50" spans="2:6" ht="12.75">
      <c r="B50" s="410" t="str">
        <f>'Functionalized Accounts'!B50</f>
        <v>Interest, Amortization and Registration Fees - Interest</v>
      </c>
      <c r="C50" s="132" t="s">
        <v>122</v>
      </c>
      <c r="D50" s="69">
        <f>'Functionalized Accounts'!F50</f>
        <v>-9700000.0000000019</v>
      </c>
      <c r="E50" s="408">
        <f>VLOOKUP('TB Allocation Details'!$C47, Allocators!$B$9:$E$196, MATCH(E$8, Allocators!$B$9:$E$9, 0),FALSE)*$D50</f>
        <v>-9076203.5535368975</v>
      </c>
      <c r="F50" s="409">
        <f>VLOOKUP('TB Allocation Details'!$C47, Allocators!$B$9:$E$196, MATCH(F$8, Allocators!$B$9:$E$9, 0),FALSE)*$D50</f>
        <v>-623796.4464631055</v>
      </c>
    </row>
    <row r="51" spans="2:6" ht="12.75">
      <c r="B51" s="410" t="str">
        <f>'Functionalized Accounts'!B51</f>
        <v>Interest, Amortization and Registration Fees - Registration Fees</v>
      </c>
      <c r="C51" s="132" t="s">
        <v>126</v>
      </c>
      <c r="D51" s="69">
        <f>'Functionalized Accounts'!F51</f>
        <v>-500000.00000000012</v>
      </c>
      <c r="E51" s="408">
        <f>VLOOKUP('TB Allocation Details'!$C48, Allocators!$B$9:$E$196, MATCH(E$8, Allocators!$B$9:$E$9, 0),FALSE)*$D51</f>
        <v>-500000.00000000012</v>
      </c>
      <c r="F51" s="409">
        <f>VLOOKUP('TB Allocation Details'!$C48, Allocators!$B$9:$E$196, MATCH(F$8, Allocators!$B$9:$E$9, 0),FALSE)*$D51</f>
        <v>0</v>
      </c>
    </row>
    <row r="52" spans="2:6" ht="12.75">
      <c r="B52" s="410" t="str">
        <f>'Functionalized Accounts'!B57</f>
        <v>Assets - Assets</v>
      </c>
      <c r="C52" s="132" t="s">
        <v>142</v>
      </c>
      <c r="D52" s="69">
        <f>'Functionalized Accounts'!F57</f>
        <v>56423729.439999998</v>
      </c>
      <c r="E52" s="408">
        <f>VLOOKUP('TB Allocation Details'!$C49, Allocators!$B$9:$E$196, MATCH(E$8, Allocators!$B$9:$E$9, 0),FALSE)*$D52</f>
        <v>52795180.788364157</v>
      </c>
      <c r="F52" s="409">
        <f>VLOOKUP('TB Allocation Details'!$C49, Allocators!$B$9:$E$196, MATCH(F$8, Allocators!$B$9:$E$9, 0),FALSE)*$D52</f>
        <v>3628548.6516358457</v>
      </c>
    </row>
    <row r="53" spans="2:6" ht="12.75">
      <c r="B53" s="410" t="str">
        <f>'Functionalized Accounts'!B58</f>
        <v>Assets - Market systems &amp; applications</v>
      </c>
      <c r="C53" s="132" t="s">
        <v>142</v>
      </c>
      <c r="D53" s="69">
        <f>'Functionalized Accounts'!F58</f>
        <v>338405073.16000003</v>
      </c>
      <c r="E53" s="408">
        <f>VLOOKUP('TB Allocation Details'!$C50, Allocators!$B$9:$E$196, MATCH(E$8, Allocators!$B$9:$E$9, 0),FALSE)*$D53</f>
        <v>316642611.08759844</v>
      </c>
      <c r="F53" s="409">
        <f>VLOOKUP('TB Allocation Details'!$C50, Allocators!$B$9:$E$196, MATCH(F$8, Allocators!$B$9:$E$9, 0),FALSE)*$D53</f>
        <v>21762462.072401568</v>
      </c>
    </row>
    <row r="54" spans="2:6" ht="12.75">
      <c r="B54" s="410" t="str">
        <f>'Functionalized Accounts'!B59</f>
        <v>Assets - Infrastructure &amp; other assets</v>
      </c>
      <c r="C54" s="132" t="s">
        <v>142</v>
      </c>
      <c r="D54" s="69">
        <f>'Functionalized Accounts'!F59</f>
        <v>77009333.519999996</v>
      </c>
      <c r="E54" s="408">
        <f>VLOOKUP('TB Allocation Details'!$C51, Allocators!$B$9:$E$196, MATCH(E$8, Allocators!$B$9:$E$9, 0),FALSE)*$D54</f>
        <v>72056947.066982672</v>
      </c>
      <c r="F54" s="409">
        <f>VLOOKUP('TB Allocation Details'!$C51, Allocators!$B$9:$E$196, MATCH(F$8, Allocators!$B$9:$E$9, 0),FALSE)*$D54</f>
        <v>4952386.4530173298</v>
      </c>
    </row>
    <row r="55" spans="2:6" ht="12.75">
      <c r="B55" s="410" t="str">
        <f>'Functionalized Accounts'!B60</f>
        <v>Assets - Assets Under Construction</v>
      </c>
      <c r="C55" s="132" t="s">
        <v>142</v>
      </c>
      <c r="D55" s="69">
        <f>'Functionalized Accounts'!F60</f>
        <v>26492185.140000001</v>
      </c>
      <c r="E55" s="408">
        <f>VLOOKUP('TB Allocation Details'!$C52, Allocators!$B$9:$E$196, MATCH(E$8, Allocators!$B$9:$E$9, 0),FALSE)*$D55</f>
        <v>24788501.536971685</v>
      </c>
      <c r="F55" s="409">
        <f>VLOOKUP('TB Allocation Details'!$C52, Allocators!$B$9:$E$196, MATCH(F$8, Allocators!$B$9:$E$9, 0),FALSE)*$D55</f>
        <v>1703683.6030283181</v>
      </c>
    </row>
    <row r="56" spans="2:6" ht="13.5" thickBot="1">
      <c r="B56" s="411" t="str">
        <f>'Functionalized Accounts'!B61</f>
        <v>Accumulated Amortization</v>
      </c>
      <c r="C56" s="133" t="s">
        <v>142</v>
      </c>
      <c r="D56" s="134">
        <f>'Functionalized Accounts'!F61</f>
        <v>-395683331.63999999</v>
      </c>
      <c r="E56" s="412">
        <f>'Source Data for Allocators'!D22</f>
        <v>-370237367.08312225</v>
      </c>
      <c r="F56" s="413">
        <f>'Source Data for Allocators'!E22</f>
        <v>-25445964.556877777</v>
      </c>
    </row>
    <row r="57" spans="2:6" ht="13.5" thickBot="1">
      <c r="C57" s="55"/>
      <c r="D57" s="408"/>
      <c r="E57" s="408"/>
      <c r="F57" s="408"/>
    </row>
    <row r="58" spans="2:6" s="101" customFormat="1" ht="12.75">
      <c r="B58" s="164" t="s">
        <v>143</v>
      </c>
      <c r="C58" s="414"/>
      <c r="D58" s="415">
        <f>SUM(D9:D56)</f>
        <v>321046989.62</v>
      </c>
      <c r="E58" s="415">
        <f>SUM(E9:E56)</f>
        <v>301946733.12422812</v>
      </c>
      <c r="F58" s="416">
        <f>SUM(F9:F56)</f>
        <v>19100256.495771922</v>
      </c>
    </row>
    <row r="59" spans="2:6" ht="13.5" thickBot="1">
      <c r="B59" s="165" t="s">
        <v>144</v>
      </c>
      <c r="C59" s="166"/>
      <c r="D59" s="167" t="str">
        <f>IF(D58=SUM(E58:F58),"Okay","Error")</f>
        <v>Okay</v>
      </c>
      <c r="E59" s="417"/>
      <c r="F59" s="168"/>
    </row>
    <row r="60" spans="2:6" ht="12.75">
      <c r="C60" s="55"/>
      <c r="D60" s="408"/>
      <c r="E60" s="408"/>
      <c r="F60" s="408"/>
    </row>
  </sheetData>
  <phoneticPr fontId="7" type="noConversion"/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1">
    <tabColor indexed="9"/>
  </sheetPr>
  <dimension ref="A1:H66"/>
  <sheetViews>
    <sheetView zoomScaleNormal="100" workbookViewId="0">
      <pane xSplit="2" topLeftCell="C1" activePane="topRight" state="frozenSplit"/>
      <selection pane="topRight" activeCell="H22" sqref="H22"/>
      <selection activeCell="H22" sqref="H22"/>
    </sheetView>
  </sheetViews>
  <sheetFormatPr defaultColWidth="9.140625" defaultRowHeight="11.25"/>
  <cols>
    <col min="1" max="1" width="2.7109375" style="111" customWidth="1"/>
    <col min="2" max="2" width="72.42578125" style="108" customWidth="1"/>
    <col min="3" max="3" width="15.85546875" style="109" customWidth="1"/>
    <col min="4" max="4" width="15.7109375" style="110" customWidth="1"/>
    <col min="5" max="5" width="12.28515625" style="110" bestFit="1" customWidth="1"/>
    <col min="6" max="7" width="9.140625" style="103"/>
    <col min="8" max="8" width="7.7109375" style="113" bestFit="1" customWidth="1"/>
    <col min="9" max="16384" width="9.140625" style="103"/>
  </cols>
  <sheetData>
    <row r="1" spans="1:8" ht="20.25">
      <c r="A1" s="296" t="s">
        <v>145</v>
      </c>
      <c r="B1" s="104"/>
      <c r="C1" s="105"/>
      <c r="E1" s="294" t="str">
        <f>"IESO "&amp;'Revenue to Cost|RR'!H22&amp;" Fee Model"</f>
        <v>IESO 2024 Fee Model</v>
      </c>
    </row>
    <row r="2" spans="1:8">
      <c r="A2" s="106"/>
      <c r="B2" s="106"/>
      <c r="C2" s="107"/>
      <c r="D2" s="107"/>
      <c r="E2" s="106"/>
    </row>
    <row r="3" spans="1:8" s="116" customFormat="1" ht="18">
      <c r="A3" s="114"/>
      <c r="B3" s="115"/>
      <c r="C3" s="330"/>
      <c r="D3" s="330"/>
      <c r="E3" s="330"/>
      <c r="H3" s="117"/>
    </row>
    <row r="4" spans="1:8" s="112" customFormat="1" ht="12.75">
      <c r="A4" s="118"/>
      <c r="B4" s="119"/>
      <c r="C4" s="199"/>
      <c r="D4" s="120">
        <v>1</v>
      </c>
      <c r="E4" s="202">
        <v>2</v>
      </c>
      <c r="H4" s="121"/>
    </row>
    <row r="5" spans="1:8" s="112" customFormat="1" ht="15">
      <c r="A5" s="114"/>
      <c r="B5" s="115"/>
      <c r="C5" s="200" t="s">
        <v>146</v>
      </c>
      <c r="D5" s="201" t="str">
        <f>'Revenue to Cost|RR'!D8</f>
        <v>Domestic</v>
      </c>
      <c r="E5" s="201" t="str">
        <f>'Revenue to Cost|RR'!E8</f>
        <v>Export</v>
      </c>
      <c r="H5" s="121"/>
    </row>
    <row r="6" spans="1:8" s="112" customFormat="1" ht="15">
      <c r="A6" s="114"/>
      <c r="B6" s="119"/>
      <c r="C6" s="123"/>
      <c r="D6" s="122"/>
      <c r="E6" s="122"/>
      <c r="H6" s="121"/>
    </row>
    <row r="7" spans="1:8" s="112" customFormat="1" ht="16.5" thickBot="1">
      <c r="A7" s="124" t="s">
        <v>147</v>
      </c>
      <c r="B7" s="119"/>
      <c r="C7" s="123"/>
      <c r="D7" s="122"/>
      <c r="E7" s="122"/>
      <c r="H7" s="121"/>
    </row>
    <row r="8" spans="1:8" s="112" customFormat="1" ht="12.75">
      <c r="A8" s="111"/>
      <c r="B8" s="169" t="str">
        <f>'Summary by Class &amp; Accounts'!B52</f>
        <v>Assets - Assets</v>
      </c>
      <c r="C8" s="170">
        <f t="shared" ref="C8:C11" si="0">SUM(D8:E8)</f>
        <v>56423729.440000005</v>
      </c>
      <c r="D8" s="171">
        <f>'Summary by Class &amp; Accounts'!E52</f>
        <v>52795180.788364157</v>
      </c>
      <c r="E8" s="172">
        <f>'Summary by Class &amp; Accounts'!F52</f>
        <v>3628548.6516358457</v>
      </c>
      <c r="H8" s="125"/>
    </row>
    <row r="9" spans="1:8" s="112" customFormat="1" ht="12.75">
      <c r="A9" s="111"/>
      <c r="B9" s="173" t="str">
        <f>'Summary by Class &amp; Accounts'!B53</f>
        <v>Assets - Market systems &amp; applications</v>
      </c>
      <c r="C9" s="174">
        <f t="shared" si="0"/>
        <v>338405073.16000003</v>
      </c>
      <c r="D9" s="175">
        <f>'Summary by Class &amp; Accounts'!E53</f>
        <v>316642611.08759844</v>
      </c>
      <c r="E9" s="176">
        <f>'Summary by Class &amp; Accounts'!F53</f>
        <v>21762462.072401568</v>
      </c>
      <c r="H9" s="125"/>
    </row>
    <row r="10" spans="1:8" s="112" customFormat="1" ht="12.75">
      <c r="A10" s="111"/>
      <c r="B10" s="173" t="str">
        <f>'Summary by Class &amp; Accounts'!B54</f>
        <v>Assets - Infrastructure &amp; other assets</v>
      </c>
      <c r="C10" s="174">
        <f t="shared" si="0"/>
        <v>77009333.519999996</v>
      </c>
      <c r="D10" s="175">
        <f>'Summary by Class &amp; Accounts'!E54</f>
        <v>72056947.066982672</v>
      </c>
      <c r="E10" s="176">
        <f>'Summary by Class &amp; Accounts'!F54</f>
        <v>4952386.4530173298</v>
      </c>
      <c r="H10" s="125"/>
    </row>
    <row r="11" spans="1:8" s="112" customFormat="1" ht="13.5" thickBot="1">
      <c r="A11" s="111"/>
      <c r="B11" s="177" t="str">
        <f>'Summary by Class &amp; Accounts'!B55</f>
        <v>Assets - Assets Under Construction</v>
      </c>
      <c r="C11" s="178">
        <f t="shared" si="0"/>
        <v>26492185.140000004</v>
      </c>
      <c r="D11" s="179">
        <f>'Summary by Class &amp; Accounts'!E55</f>
        <v>24788501.536971685</v>
      </c>
      <c r="E11" s="180">
        <f>'Summary by Class &amp; Accounts'!F55</f>
        <v>1703683.6030283181</v>
      </c>
      <c r="H11" s="125"/>
    </row>
    <row r="12" spans="1:8" s="112" customFormat="1" ht="13.5" thickBot="1">
      <c r="A12" s="111"/>
      <c r="B12" s="119"/>
      <c r="C12" s="123"/>
      <c r="D12" s="122"/>
      <c r="E12" s="122"/>
      <c r="H12" s="125"/>
    </row>
    <row r="13" spans="1:8" s="112" customFormat="1" ht="13.5" thickBot="1">
      <c r="A13" s="111"/>
      <c r="B13" s="181" t="s">
        <v>148</v>
      </c>
      <c r="C13" s="182">
        <f>SUM(D13:E13)</f>
        <v>498330321.26000005</v>
      </c>
      <c r="D13" s="183">
        <f>SUM(D8:D11)</f>
        <v>466283240.47991699</v>
      </c>
      <c r="E13" s="184">
        <f>SUM(E8:E11)</f>
        <v>32047080.78008306</v>
      </c>
      <c r="H13" s="125"/>
    </row>
    <row r="14" spans="1:8" s="112" customFormat="1" ht="12.75">
      <c r="A14" s="111"/>
      <c r="B14" s="119"/>
      <c r="C14" s="123"/>
      <c r="D14" s="122"/>
      <c r="E14" s="122"/>
      <c r="H14" s="125"/>
    </row>
    <row r="15" spans="1:8" s="112" customFormat="1" ht="15.75">
      <c r="A15" s="124" t="s">
        <v>69</v>
      </c>
      <c r="B15" s="119"/>
      <c r="C15" s="123"/>
      <c r="D15" s="122"/>
      <c r="E15" s="122"/>
      <c r="H15" s="125"/>
    </row>
    <row r="16" spans="1:8" s="112" customFormat="1" ht="16.5" thickBot="1">
      <c r="A16" s="124"/>
      <c r="B16" s="119"/>
      <c r="C16" s="123"/>
      <c r="D16" s="122"/>
      <c r="E16" s="122"/>
      <c r="H16" s="125"/>
    </row>
    <row r="17" spans="1:8" s="112" customFormat="1" ht="12.75">
      <c r="A17" s="111"/>
      <c r="B17" s="169" t="str">
        <f>B8</f>
        <v>Assets - Assets</v>
      </c>
      <c r="C17" s="170">
        <f>Assets!D7</f>
        <v>-28494310.579999998</v>
      </c>
      <c r="D17" s="171">
        <f t="shared" ref="D17:E20" si="1">$C17*D8/$C8</f>
        <v>-26661872.468224734</v>
      </c>
      <c r="E17" s="172">
        <f t="shared" si="1"/>
        <v>-1832438.1117752644</v>
      </c>
      <c r="H17" s="125"/>
    </row>
    <row r="18" spans="1:8" s="112" customFormat="1" ht="12.75">
      <c r="A18" s="111"/>
      <c r="B18" s="173" t="str">
        <f>B9</f>
        <v>Assets - Market systems &amp; applications</v>
      </c>
      <c r="C18" s="174">
        <f>Assets!D8</f>
        <v>-302900825.25999999</v>
      </c>
      <c r="D18" s="175">
        <f t="shared" si="1"/>
        <v>-283421602.74165666</v>
      </c>
      <c r="E18" s="176">
        <f t="shared" si="1"/>
        <v>-19479222.518343303</v>
      </c>
      <c r="H18" s="125"/>
    </row>
    <row r="19" spans="1:8" s="112" customFormat="1" ht="12.75">
      <c r="A19" s="111"/>
      <c r="B19" s="173" t="str">
        <f>B10</f>
        <v>Assets - Infrastructure &amp; other assets</v>
      </c>
      <c r="C19" s="174">
        <f>Assets!D9</f>
        <v>-64288195.800000004</v>
      </c>
      <c r="D19" s="175">
        <f t="shared" si="1"/>
        <v>-60153891.873240799</v>
      </c>
      <c r="E19" s="176">
        <f t="shared" si="1"/>
        <v>-4134303.9267592099</v>
      </c>
      <c r="H19" s="125"/>
    </row>
    <row r="20" spans="1:8" s="112" customFormat="1" ht="13.5" thickBot="1">
      <c r="A20" s="111"/>
      <c r="B20" s="177" t="str">
        <f>B11</f>
        <v>Assets - Assets Under Construction</v>
      </c>
      <c r="C20" s="178">
        <f>Assets!D10</f>
        <v>0</v>
      </c>
      <c r="D20" s="179">
        <f t="shared" si="1"/>
        <v>0</v>
      </c>
      <c r="E20" s="180">
        <f t="shared" si="1"/>
        <v>0</v>
      </c>
      <c r="H20" s="125"/>
    </row>
    <row r="21" spans="1:8" s="112" customFormat="1" ht="13.5" thickBot="1">
      <c r="A21" s="111"/>
      <c r="B21" s="119"/>
      <c r="C21" s="123"/>
      <c r="D21" s="122"/>
      <c r="E21" s="122"/>
      <c r="H21" s="125"/>
    </row>
    <row r="22" spans="1:8" s="112" customFormat="1" ht="13.5" thickBot="1">
      <c r="A22" s="111"/>
      <c r="B22" s="181" t="s">
        <v>69</v>
      </c>
      <c r="C22" s="182">
        <f>SUM(D22:E22)</f>
        <v>-395683331.64000005</v>
      </c>
      <c r="D22" s="183">
        <f>SUM(D17:D20)</f>
        <v>-370237367.08312225</v>
      </c>
      <c r="E22" s="184">
        <f>SUM(E17:E20)</f>
        <v>-25445964.556877777</v>
      </c>
      <c r="H22" s="125"/>
    </row>
    <row r="23" spans="1:8" s="112" customFormat="1" ht="13.5" thickBot="1">
      <c r="A23" s="111"/>
      <c r="B23" s="119"/>
      <c r="C23" s="123"/>
      <c r="D23" s="122"/>
      <c r="E23" s="122"/>
      <c r="H23" s="125"/>
    </row>
    <row r="24" spans="1:8" s="112" customFormat="1" ht="13.5" thickBot="1">
      <c r="A24" s="111"/>
      <c r="B24" s="181" t="s">
        <v>70</v>
      </c>
      <c r="C24" s="182">
        <f>SUM(D24:E24)</f>
        <v>102646989.62000002</v>
      </c>
      <c r="D24" s="185">
        <f>D13+D22</f>
        <v>96045873.396794736</v>
      </c>
      <c r="E24" s="186">
        <f>E13+E22</f>
        <v>6601116.2232052833</v>
      </c>
      <c r="H24" s="125"/>
    </row>
    <row r="25" spans="1:8" s="112" customFormat="1" ht="12.75">
      <c r="A25" s="118"/>
      <c r="B25" s="119"/>
      <c r="C25" s="123"/>
      <c r="D25" s="122"/>
      <c r="E25" s="122"/>
      <c r="H25" s="125"/>
    </row>
    <row r="27" spans="1:8" ht="15.75">
      <c r="A27" s="124" t="s">
        <v>149</v>
      </c>
      <c r="B27" s="119"/>
      <c r="C27" s="123"/>
      <c r="D27" s="122"/>
      <c r="E27" s="122"/>
    </row>
    <row r="28" spans="1:8" ht="16.5" thickBot="1">
      <c r="A28" s="124"/>
      <c r="B28" s="119"/>
      <c r="C28" s="123"/>
      <c r="D28" s="122"/>
      <c r="E28" s="122"/>
    </row>
    <row r="29" spans="1:8" ht="12.75">
      <c r="B29" s="169" t="str">
        <f>B8</f>
        <v>Assets - Assets</v>
      </c>
      <c r="C29" s="170">
        <f>Assets!I7</f>
        <v>698498.07430663134</v>
      </c>
      <c r="D29" s="171">
        <f>$C29*D8/$C8</f>
        <v>653578.42310933245</v>
      </c>
      <c r="E29" s="172">
        <f t="shared" ref="E29" si="2">$C29*E8/$C8</f>
        <v>44919.651197298837</v>
      </c>
    </row>
    <row r="30" spans="1:8" ht="12.75">
      <c r="B30" s="173" t="str">
        <f>B9</f>
        <v>Assets - Market systems &amp; applications</v>
      </c>
      <c r="C30" s="174">
        <f>Assets!I8</f>
        <v>16262430.971111035</v>
      </c>
      <c r="D30" s="175">
        <f>$C30*D9/$C9</f>
        <v>15216611.72877798</v>
      </c>
      <c r="E30" s="176">
        <f>$C30*E9/$C9</f>
        <v>1045819.2423330527</v>
      </c>
    </row>
    <row r="31" spans="1:8" ht="12.75">
      <c r="B31" s="173" t="str">
        <f>B10</f>
        <v>Assets - Infrastructure &amp; other assets</v>
      </c>
      <c r="C31" s="174">
        <f>Assets!I9</f>
        <v>5039070.9545823345</v>
      </c>
      <c r="D31" s="175">
        <f>$C31*D10/$C10</f>
        <v>4715013.7839695606</v>
      </c>
      <c r="E31" s="176">
        <f>$C31*E10/$C10</f>
        <v>324057.17061277403</v>
      </c>
    </row>
    <row r="32" spans="1:8" ht="13.5" thickBot="1">
      <c r="B32" s="177" t="str">
        <f>B11</f>
        <v>Assets - Assets Under Construction</v>
      </c>
      <c r="C32" s="178">
        <f>Assets!I10</f>
        <v>0</v>
      </c>
      <c r="D32" s="179">
        <f>$C32*D11/$C11</f>
        <v>0</v>
      </c>
      <c r="E32" s="180">
        <f>$C32*E11/$C11</f>
        <v>0</v>
      </c>
    </row>
    <row r="33" spans="1:5" ht="13.5" thickBot="1">
      <c r="B33" s="119"/>
      <c r="C33" s="123"/>
      <c r="D33" s="122"/>
      <c r="E33" s="122"/>
    </row>
    <row r="34" spans="1:5" ht="13.5" thickBot="1">
      <c r="B34" s="181" t="s">
        <v>150</v>
      </c>
      <c r="C34" s="182">
        <f>SUM(D34:E34)</f>
        <v>21999999.999999996</v>
      </c>
      <c r="D34" s="183">
        <f>SUM(D29:D32)</f>
        <v>20585203.935856871</v>
      </c>
      <c r="E34" s="184">
        <f>SUM(E29:E32)</f>
        <v>1414796.0641431257</v>
      </c>
    </row>
    <row r="37" spans="1:5" ht="15.75">
      <c r="A37" s="124" t="s">
        <v>151</v>
      </c>
    </row>
    <row r="38" spans="1:5" ht="12" thickBot="1"/>
    <row r="39" spans="1:5" ht="12.75">
      <c r="B39" s="169" t="str">
        <f>'Summary by Class &amp; Accounts'!B10</f>
        <v xml:space="preserve">Markets &amp; Reliability -  VP Office </v>
      </c>
      <c r="C39" s="170">
        <f>'Summary by Class &amp; Accounts'!D10</f>
        <v>1102820.512820513</v>
      </c>
      <c r="D39" s="171">
        <f>'Summary by Class &amp; Accounts'!E10</f>
        <v>1031899.3255025692</v>
      </c>
      <c r="E39" s="172">
        <f>'Summary by Class &amp; Accounts'!F10</f>
        <v>70921.18731794387</v>
      </c>
    </row>
    <row r="40" spans="1:5" ht="12.75">
      <c r="B40" s="173" t="str">
        <f>'Summary by Class &amp; Accounts'!B11</f>
        <v xml:space="preserve">Markets &amp; Reliability -  Power System Assessments </v>
      </c>
      <c r="C40" s="174">
        <f>'Summary by Class &amp; Accounts'!D11</f>
        <v>11629743.589743592</v>
      </c>
      <c r="D40" s="175">
        <f>'Summary by Class &amp; Accounts'!E11</f>
        <v>10881847.432572547</v>
      </c>
      <c r="E40" s="176">
        <f>'Summary by Class &amp; Accounts'!F11</f>
        <v>747896.1571710445</v>
      </c>
    </row>
    <row r="41" spans="1:5" ht="12.75">
      <c r="B41" s="173" t="str">
        <f>'Summary by Class &amp; Accounts'!B12</f>
        <v xml:space="preserve">Markets &amp; Reliability -  Market Operations </v>
      </c>
      <c r="C41" s="174">
        <f>'Summary by Class &amp; Accounts'!D12</f>
        <v>17143846.153846156</v>
      </c>
      <c r="D41" s="175">
        <f>'Summary by Class &amp; Accounts'!E12</f>
        <v>16041344.060085393</v>
      </c>
      <c r="E41" s="176">
        <f>'Summary by Class &amp; Accounts'!F12</f>
        <v>1102502.0937607638</v>
      </c>
    </row>
    <row r="42" spans="1:5" ht="12.75">
      <c r="B42" s="173" t="str">
        <f>'Summary by Class &amp; Accounts'!B13</f>
        <v xml:space="preserve">Markets &amp; Reliability -  Wholesale Market Development </v>
      </c>
      <c r="C42" s="174">
        <f>'Summary by Class &amp; Accounts'!D13</f>
        <v>3709487.1794871804</v>
      </c>
      <c r="D42" s="175">
        <f>'Summary by Class &amp; Accounts'!E13</f>
        <v>3470934.0948722786</v>
      </c>
      <c r="E42" s="176">
        <f>'Summary by Class &amp; Accounts'!F13</f>
        <v>238553.08461490212</v>
      </c>
    </row>
    <row r="43" spans="1:5" ht="12.75">
      <c r="B43" s="173" t="str">
        <f>'Summary by Class &amp; Accounts'!B14</f>
        <v xml:space="preserve">Markets &amp; Reliability -  Reliability Assurance &amp; Operational Assessments </v>
      </c>
      <c r="C43" s="174">
        <f>'Summary by Class &amp; Accounts'!D14</f>
        <v>5514102.5641025649</v>
      </c>
      <c r="D43" s="175">
        <f>'Summary by Class &amp; Accounts'!E14</f>
        <v>5159496.6275128461</v>
      </c>
      <c r="E43" s="176">
        <f>'Summary by Class &amp; Accounts'!F14</f>
        <v>354605.93658971938</v>
      </c>
    </row>
    <row r="44" spans="1:5" ht="25.5">
      <c r="B44" s="173" t="str">
        <f>'Summary by Class &amp; Accounts'!B15</f>
        <v xml:space="preserve">Planning, Conservation and Resource Adequacy -  VP Office and Planning Projects &amp; Sustainability </v>
      </c>
      <c r="C44" s="174">
        <f>'Summary by Class &amp; Accounts'!D15</f>
        <v>1100000.0000000002</v>
      </c>
      <c r="D44" s="175">
        <f>'Summary by Class &amp; Accounts'!E15</f>
        <v>1100000.0000000002</v>
      </c>
      <c r="E44" s="176">
        <f>'Summary by Class &amp; Accounts'!F15</f>
        <v>0</v>
      </c>
    </row>
    <row r="45" spans="1:5" ht="12.75">
      <c r="B45" s="173" t="str">
        <f>'Summary by Class &amp; Accounts'!B16</f>
        <v xml:space="preserve">Planning, Conservation and Resource Adequacy -  Resource Planning </v>
      </c>
      <c r="C45" s="174">
        <f>'Summary by Class &amp; Accounts'!D16</f>
        <v>6400000.0000000019</v>
      </c>
      <c r="D45" s="175">
        <f>'Summary by Class &amp; Accounts'!E16</f>
        <v>6400000.0000000019</v>
      </c>
      <c r="E45" s="176">
        <f>'Summary by Class &amp; Accounts'!F16</f>
        <v>0</v>
      </c>
    </row>
    <row r="46" spans="1:5" ht="12.75">
      <c r="B46" s="173" t="str">
        <f>'Summary by Class &amp; Accounts'!B17</f>
        <v xml:space="preserve">Planning, Conservation and Resource Adequacy -  Transmission Planning </v>
      </c>
      <c r="C46" s="174">
        <f>'Summary by Class &amp; Accounts'!D17</f>
        <v>5200000.0000000009</v>
      </c>
      <c r="D46" s="175">
        <f>'Summary by Class &amp; Accounts'!E17</f>
        <v>5200000.0000000009</v>
      </c>
      <c r="E46" s="176">
        <f>'Summary by Class &amp; Accounts'!F17</f>
        <v>0</v>
      </c>
    </row>
    <row r="47" spans="1:5" ht="12.75">
      <c r="B47" s="173" t="str">
        <f>'Summary by Class &amp; Accounts'!B18</f>
        <v xml:space="preserve">Planning, Conservation and Resource Adequacy -  Resource &amp; System Adequacy </v>
      </c>
      <c r="C47" s="174">
        <f>'Summary by Class &amp; Accounts'!D18</f>
        <v>7100000.0000000019</v>
      </c>
      <c r="D47" s="175">
        <f>'Summary by Class &amp; Accounts'!E18</f>
        <v>7100000.0000000019</v>
      </c>
      <c r="E47" s="176">
        <f>'Summary by Class &amp; Accounts'!F18</f>
        <v>0</v>
      </c>
    </row>
    <row r="48" spans="1:5" ht="12.75">
      <c r="B48" s="173" t="str">
        <f>'Summary by Class &amp; Accounts'!B19</f>
        <v xml:space="preserve">Planning, Conservation and Resource Adequacy -  Energy Efficiency </v>
      </c>
      <c r="C48" s="174">
        <f>'Summary by Class &amp; Accounts'!D19</f>
        <v>6400000.0000000019</v>
      </c>
      <c r="D48" s="175">
        <f>'Summary by Class &amp; Accounts'!E19</f>
        <v>6400000.0000000019</v>
      </c>
      <c r="E48" s="176">
        <f>'Summary by Class &amp; Accounts'!F19</f>
        <v>0</v>
      </c>
    </row>
    <row r="49" spans="2:5" ht="12.75">
      <c r="B49" s="173" t="str">
        <f>'Summary by Class &amp; Accounts'!B20</f>
        <v xml:space="preserve">Corporate Relations, Stakeholder Engagement and Innovation -  VP Office </v>
      </c>
      <c r="C49" s="174">
        <f>'Summary by Class &amp; Accounts'!D20</f>
        <v>700000.00000000012</v>
      </c>
      <c r="D49" s="175">
        <f>'Summary by Class &amp; Accounts'!E20</f>
        <v>700000.00000000012</v>
      </c>
      <c r="E49" s="176">
        <f>'Summary by Class &amp; Accounts'!F20</f>
        <v>0</v>
      </c>
    </row>
    <row r="50" spans="2:5" ht="12.75">
      <c r="B50" s="173" t="str">
        <f>'Summary by Class &amp; Accounts'!B21</f>
        <v xml:space="preserve">Corporate Relations, Stakeholder Engagement and Innovation -  Government Affairs </v>
      </c>
      <c r="C50" s="174">
        <f>'Summary by Class &amp; Accounts'!D21</f>
        <v>500000.00000000012</v>
      </c>
      <c r="D50" s="175">
        <f>'Summary by Class &amp; Accounts'!E21</f>
        <v>500000.00000000012</v>
      </c>
      <c r="E50" s="176">
        <f>'Summary by Class &amp; Accounts'!F21</f>
        <v>0</v>
      </c>
    </row>
    <row r="51" spans="2:5" ht="25.5">
      <c r="B51" s="173" t="str">
        <f>'Summary by Class &amp; Accounts'!B22</f>
        <v xml:space="preserve">Corporate Relations, Stakeholder Engagement and Innovation -  Corporate Communications </v>
      </c>
      <c r="C51" s="174">
        <f>'Summary by Class &amp; Accounts'!D22</f>
        <v>4000000.0000000009</v>
      </c>
      <c r="D51" s="175">
        <f>'Summary by Class &amp; Accounts'!E22</f>
        <v>4000000.0000000009</v>
      </c>
      <c r="E51" s="176">
        <f>'Summary by Class &amp; Accounts'!F22</f>
        <v>0</v>
      </c>
    </row>
    <row r="52" spans="2:5" ht="25.5">
      <c r="B52" s="173" t="str">
        <f>'Summary by Class &amp; Accounts'!B23</f>
        <v xml:space="preserve">Corporate Relations, Stakeholder Engagement and Innovation -  Stakeholder and Community Engagement </v>
      </c>
      <c r="C52" s="174">
        <f>'Summary by Class &amp; Accounts'!D23</f>
        <v>6300000.0000000019</v>
      </c>
      <c r="D52" s="175">
        <f>'Summary by Class &amp; Accounts'!E23</f>
        <v>6300000.0000000019</v>
      </c>
      <c r="E52" s="176">
        <f>'Summary by Class &amp; Accounts'!F23</f>
        <v>0</v>
      </c>
    </row>
    <row r="53" spans="2:5" ht="25.5">
      <c r="B53" s="173" t="str">
        <f>'Summary by Class &amp; Accounts'!B24</f>
        <v xml:space="preserve">Corporate Relations, Stakeholder Engagement and Innovation -  Innovation, Research &amp; Development </v>
      </c>
      <c r="C53" s="174">
        <f>'Summary by Class &amp; Accounts'!D24</f>
        <v>4300000.0000000009</v>
      </c>
      <c r="D53" s="175">
        <f>'Summary by Class &amp; Accounts'!E24</f>
        <v>4300000.0000000009</v>
      </c>
      <c r="E53" s="176">
        <f>'Summary by Class &amp; Accounts'!F24</f>
        <v>0</v>
      </c>
    </row>
    <row r="54" spans="2:5" ht="12.75">
      <c r="B54" s="173" t="str">
        <f>'Summary by Class &amp; Accounts'!B30</f>
        <v xml:space="preserve">Legal Resources and Corporate Governance -  VP Office </v>
      </c>
      <c r="C54" s="174">
        <f>'Summary by Class &amp; Accounts'!D30</f>
        <v>1495098.0392156865</v>
      </c>
      <c r="D54" s="175">
        <f>'Summary by Class &amp; Accounts'!E30</f>
        <v>1398949.9109706657</v>
      </c>
      <c r="E54" s="176">
        <f>'Summary by Class &amp; Accounts'!F30</f>
        <v>96148.128245020824</v>
      </c>
    </row>
    <row r="55" spans="2:5" ht="12.75">
      <c r="B55" s="173" t="str">
        <f>'Summary by Class &amp; Accounts'!B31</f>
        <v xml:space="preserve">Legal Resources and Corporate Governance -  General Counsel </v>
      </c>
      <c r="C55" s="174">
        <f>'Summary by Class &amp; Accounts'!D31</f>
        <v>10764705.882352943</v>
      </c>
      <c r="D55" s="175">
        <f>'Summary by Class &amp; Accounts'!E31</f>
        <v>10072439.358988794</v>
      </c>
      <c r="E55" s="176">
        <f>'Summary by Class &amp; Accounts'!F31</f>
        <v>692266.52336414973</v>
      </c>
    </row>
    <row r="56" spans="2:5" ht="12.75">
      <c r="B56" s="173" t="str">
        <f>'Summary by Class &amp; Accounts'!B32</f>
        <v xml:space="preserve">Legal Resources and Corporate Governance -  Market Rules and Regulatory Affairs </v>
      </c>
      <c r="C56" s="174">
        <f>'Summary by Class &amp; Accounts'!D32</f>
        <v>2890522.8758169939</v>
      </c>
      <c r="D56" s="175">
        <f>'Summary by Class &amp; Accounts'!E32</f>
        <v>2704636.494543287</v>
      </c>
      <c r="E56" s="176">
        <f>'Summary by Class &amp; Accounts'!F32</f>
        <v>185886.38127370688</v>
      </c>
    </row>
    <row r="57" spans="2:5" ht="12.75">
      <c r="B57" s="173" t="str">
        <f>'Summary by Class &amp; Accounts'!B33</f>
        <v xml:space="preserve">Legal Resources and Corporate Governance -  OEB Assessment Fees </v>
      </c>
      <c r="C57" s="174">
        <f>'Summary by Class &amp; Accounts'!D33</f>
        <v>697712.41830065369</v>
      </c>
      <c r="D57" s="175">
        <f>'Summary by Class &amp; Accounts'!E33</f>
        <v>652843.29178631061</v>
      </c>
      <c r="E57" s="176">
        <f>'Summary by Class &amp; Accounts'!F33</f>
        <v>44869.126514343043</v>
      </c>
    </row>
    <row r="58" spans="2:5" ht="12.75">
      <c r="B58" s="173" t="str">
        <f>'Summary by Class &amp; Accounts'!B34</f>
        <v xml:space="preserve">Legal Resources and Corporate Governance -  Board </v>
      </c>
      <c r="C58" s="174">
        <f>'Summary by Class &amp; Accounts'!D34</f>
        <v>797385.62091503292</v>
      </c>
      <c r="D58" s="175">
        <f>'Summary by Class &amp; Accounts'!E34</f>
        <v>746106.61918435514</v>
      </c>
      <c r="E58" s="176">
        <f>'Summary by Class &amp; Accounts'!F34</f>
        <v>51279.001730677774</v>
      </c>
    </row>
    <row r="59" spans="2:5" ht="12.75">
      <c r="B59" s="173" t="str">
        <f>'Summary by Class &amp; Accounts'!B35</f>
        <v xml:space="preserve">Legal Resources and Corporate Governance -  NERC and NPCC Membership </v>
      </c>
      <c r="C59" s="174">
        <f>'Summary by Class &amp; Accounts'!D35</f>
        <v>5282679.7385620922</v>
      </c>
      <c r="D59" s="175">
        <f>'Summary by Class &amp; Accounts'!E35</f>
        <v>2641339.8692810461</v>
      </c>
      <c r="E59" s="176">
        <f>'Summary by Class &amp; Accounts'!F35</f>
        <v>2641339.8692810461</v>
      </c>
    </row>
    <row r="60" spans="2:5" ht="12.75">
      <c r="B60" s="173" t="str">
        <f>'Summary by Class &amp; Accounts'!B36</f>
        <v xml:space="preserve">Legal Resources and Corporate Governance -  Contract Management </v>
      </c>
      <c r="C60" s="174">
        <f>'Summary by Class &amp; Accounts'!D36</f>
        <v>8571895.4248366039</v>
      </c>
      <c r="D60" s="175">
        <f>'Summary by Class &amp; Accounts'!E36</f>
        <v>8571895.4248366039</v>
      </c>
      <c r="E60" s="176">
        <f>'Summary by Class &amp; Accounts'!F36</f>
        <v>0</v>
      </c>
    </row>
    <row r="61" spans="2:5" ht="25.5">
      <c r="B61" s="173" t="str">
        <f>'Summary by Class &amp; Accounts'!B37</f>
        <v xml:space="preserve">Market Assessment and Compliance Division -  Market Assessment and Compliance Division </v>
      </c>
      <c r="C61" s="174">
        <f>'Summary by Class &amp; Accounts'!D37</f>
        <v>1800000.0000000005</v>
      </c>
      <c r="D61" s="175">
        <f>'Summary by Class &amp; Accounts'!E37</f>
        <v>1684243.9583882901</v>
      </c>
      <c r="E61" s="176">
        <f>'Summary by Class &amp; Accounts'!F37</f>
        <v>115756.0416117103</v>
      </c>
    </row>
    <row r="62" spans="2:5" ht="12.75">
      <c r="B62" s="173" t="str">
        <f>'Summary by Class &amp; Accounts'!B38</f>
        <v xml:space="preserve">Market Assessment and Compliance Division -  OEB Assessment Fees </v>
      </c>
      <c r="C62" s="174">
        <f>'Summary by Class &amp; Accounts'!D38</f>
        <v>700000.00000000012</v>
      </c>
      <c r="D62" s="175">
        <f>'Summary by Class &amp; Accounts'!E38</f>
        <v>654983.76159544615</v>
      </c>
      <c r="E62" s="176">
        <f>'Summary by Class &amp; Accounts'!F38</f>
        <v>45016.238404554002</v>
      </c>
    </row>
    <row r="63" spans="2:5" ht="12.75">
      <c r="B63" s="173" t="str">
        <f>'Summary by Class &amp; Accounts'!B43</f>
        <v>Corporate Services - Settlements</v>
      </c>
      <c r="C63" s="174">
        <f>'Summary by Class &amp; Accounts'!D43</f>
        <v>5880528.0528052812</v>
      </c>
      <c r="D63" s="175">
        <f>'Summary by Class &amp; Accounts'!E43</f>
        <v>5502357.6917056385</v>
      </c>
      <c r="E63" s="176">
        <f>'Summary by Class &amp; Accounts'!F43</f>
        <v>378170.36109964317</v>
      </c>
    </row>
    <row r="64" spans="2:5" ht="13.5" thickBot="1">
      <c r="B64" s="177" t="str">
        <f>'Summary by Class &amp; Accounts'!B48</f>
        <v>Market Renewal</v>
      </c>
      <c r="C64" s="178">
        <f>'Summary by Class &amp; Accounts'!D48</f>
        <v>4400000.0000000009</v>
      </c>
      <c r="D64" s="179">
        <f>'Summary by Class &amp; Accounts'!E48</f>
        <v>4117040.7871713759</v>
      </c>
      <c r="E64" s="180">
        <f>'Summary by Class &amp; Accounts'!F48</f>
        <v>282959.21282862517</v>
      </c>
    </row>
    <row r="65" spans="2:5" ht="13.5" thickBot="1">
      <c r="B65" s="119"/>
      <c r="C65" s="123"/>
      <c r="D65" s="122"/>
      <c r="E65" s="122"/>
    </row>
    <row r="66" spans="2:5" ht="13.5" thickBot="1">
      <c r="B66" s="181" t="s">
        <v>152</v>
      </c>
      <c r="C66" s="182">
        <f>SUM(C39:C64)</f>
        <v>124380528.05280532</v>
      </c>
      <c r="D66" s="183">
        <f>SUM(D39:D64)</f>
        <v>117332358.70899747</v>
      </c>
      <c r="E66" s="184">
        <f>SUM(E39:E64)</f>
        <v>7048169.34380785</v>
      </c>
    </row>
  </sheetData>
  <mergeCells count="1">
    <mergeCell ref="C3:E3"/>
  </mergeCells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3">
    <tabColor indexed="34"/>
  </sheetPr>
  <dimension ref="A1:F35"/>
  <sheetViews>
    <sheetView workbookViewId="0">
      <selection activeCell="H22" sqref="H22"/>
    </sheetView>
  </sheetViews>
  <sheetFormatPr defaultColWidth="7.5703125" defaultRowHeight="11.25"/>
  <cols>
    <col min="1" max="1" width="69.28515625" style="38" customWidth="1"/>
    <col min="2" max="2" width="11.5703125" style="40" customWidth="1"/>
    <col min="3" max="3" width="10.7109375" style="77" customWidth="1"/>
    <col min="4" max="4" width="11.42578125" style="75" customWidth="1"/>
    <col min="5" max="5" width="7.42578125" style="75" bestFit="1" customWidth="1"/>
    <col min="6" max="16384" width="7.5703125" style="5"/>
  </cols>
  <sheetData>
    <row r="1" spans="1:5" s="1" customFormat="1" ht="21" customHeight="1">
      <c r="A1" s="30" t="str">
        <f>"Allocator Worksheet "</f>
        <v xml:space="preserve">Allocator Worksheet </v>
      </c>
      <c r="B1" s="357"/>
      <c r="C1" s="300"/>
      <c r="D1" s="293" t="str">
        <f>"IESO "&amp;'Revenue to Cost|RR'!H22&amp;" Fee Model"</f>
        <v>IESO 2024 Fee Model</v>
      </c>
      <c r="E1" s="293"/>
    </row>
    <row r="2" spans="1:5" s="1" customFormat="1" ht="6" customHeight="1">
      <c r="A2" s="333"/>
      <c r="B2" s="333"/>
      <c r="C2" s="385"/>
      <c r="D2" s="385"/>
      <c r="E2" s="333"/>
    </row>
    <row r="3" spans="1:5" ht="15">
      <c r="A3" s="66"/>
      <c r="C3" s="418"/>
      <c r="D3" s="419"/>
      <c r="E3" s="419"/>
    </row>
    <row r="4" spans="1:5">
      <c r="A4" s="27"/>
      <c r="C4" s="420"/>
    </row>
    <row r="5" spans="1:5" ht="12.75">
      <c r="A5" s="11"/>
      <c r="C5" s="421"/>
      <c r="D5" s="74"/>
      <c r="E5" s="74"/>
    </row>
    <row r="6" spans="1:5">
      <c r="A6" s="5"/>
      <c r="C6" s="420"/>
      <c r="D6" s="74"/>
      <c r="E6" s="74"/>
    </row>
    <row r="8" spans="1:5" s="31" customFormat="1" ht="13.5" thickBot="1">
      <c r="A8" s="41"/>
      <c r="C8" s="422"/>
      <c r="D8" s="135">
        <v>1</v>
      </c>
      <c r="E8" s="135">
        <v>2</v>
      </c>
    </row>
    <row r="9" spans="1:5" s="76" customFormat="1" ht="25.5">
      <c r="A9" s="136" t="s">
        <v>153</v>
      </c>
      <c r="B9" s="137" t="s">
        <v>154</v>
      </c>
      <c r="C9" s="423" t="s">
        <v>82</v>
      </c>
      <c r="D9" s="138" t="str">
        <f>'Revenue to Cost|RR'!D8</f>
        <v>Domestic</v>
      </c>
      <c r="E9" s="139" t="str">
        <f>'Revenue to Cost|RR'!E8</f>
        <v>Export</v>
      </c>
    </row>
    <row r="10" spans="1:5">
      <c r="A10" s="140"/>
      <c r="C10" s="420"/>
      <c r="E10" s="141"/>
    </row>
    <row r="11" spans="1:5" s="36" customFormat="1" ht="12.75">
      <c r="A11" s="147" t="s">
        <v>155</v>
      </c>
      <c r="B11" s="54"/>
      <c r="C11" s="78"/>
      <c r="D11" s="79"/>
      <c r="E11" s="142"/>
    </row>
    <row r="12" spans="1:5" s="36" customFormat="1" ht="12.75">
      <c r="A12" s="143"/>
      <c r="B12" s="84"/>
      <c r="C12" s="78"/>
      <c r="D12" s="79"/>
      <c r="E12" s="142"/>
    </row>
    <row r="13" spans="1:5" s="36" customFormat="1" ht="12.75">
      <c r="A13" s="143" t="s">
        <v>156</v>
      </c>
      <c r="B13" s="84" t="s">
        <v>15</v>
      </c>
      <c r="C13" s="424">
        <f>IF(+SUM(D13:E13)=0,"-",+SUM(D13:E13))</f>
        <v>1</v>
      </c>
      <c r="D13" s="425">
        <f>'Energy Throughput'!D12/'Energy Throughput'!C12</f>
        <v>0.93569108799349432</v>
      </c>
      <c r="E13" s="426">
        <f>'Energy Throughput'!E12/'Energy Throughput'!C12</f>
        <v>6.4308912006505708E-2</v>
      </c>
    </row>
    <row r="14" spans="1:5" s="36" customFormat="1" ht="12.75">
      <c r="A14" s="143" t="s">
        <v>157</v>
      </c>
      <c r="B14" s="84" t="s">
        <v>102</v>
      </c>
      <c r="C14" s="424">
        <f>IF(+SUM(D14:E14)=0,"-",+SUM(D14:E14))</f>
        <v>1</v>
      </c>
      <c r="D14" s="425">
        <f>'Energy Throughput'!D13/'Energy Throughput'!C13</f>
        <v>1</v>
      </c>
      <c r="E14" s="426">
        <f>'Energy Throughput'!E13/'Energy Throughput'!C13</f>
        <v>0</v>
      </c>
    </row>
    <row r="15" spans="1:5" s="36" customFormat="1" ht="12.75">
      <c r="A15" s="143"/>
      <c r="B15" s="54"/>
      <c r="C15" s="80"/>
      <c r="D15" s="81"/>
      <c r="E15" s="144"/>
    </row>
    <row r="16" spans="1:5" s="36" customFormat="1" ht="12.75">
      <c r="A16" s="427" t="s">
        <v>158</v>
      </c>
      <c r="B16" s="54"/>
      <c r="C16" s="424"/>
      <c r="D16" s="81"/>
      <c r="E16" s="144"/>
    </row>
    <row r="17" spans="1:6" s="36" customFormat="1" ht="12.75">
      <c r="A17" s="143"/>
      <c r="B17" s="54"/>
      <c r="C17" s="424"/>
      <c r="D17" s="81"/>
      <c r="E17" s="144"/>
      <c r="F17" s="197"/>
    </row>
    <row r="18" spans="1:6" s="37" customFormat="1" ht="12.75">
      <c r="A18" s="145" t="s">
        <v>159</v>
      </c>
      <c r="B18" s="273"/>
      <c r="C18" s="158"/>
      <c r="D18" s="425"/>
      <c r="E18" s="426"/>
      <c r="F18" s="428"/>
    </row>
    <row r="19" spans="1:6" s="37" customFormat="1" ht="12.75">
      <c r="A19" s="146" t="s">
        <v>160</v>
      </c>
      <c r="B19" s="273" t="s">
        <v>161</v>
      </c>
      <c r="C19" s="158">
        <f>IF(+SUM(D19:E19)=0,"-",+SUM(D19:E19))</f>
        <v>1</v>
      </c>
      <c r="D19" s="425">
        <f>'Source Data for Allocators'!D13/'Source Data for Allocators'!$C13</f>
        <v>0.93569108799349432</v>
      </c>
      <c r="E19" s="426">
        <f>'Source Data for Allocators'!E13/'Source Data for Allocators'!$C13</f>
        <v>6.4308912006505695E-2</v>
      </c>
      <c r="F19" s="428"/>
    </row>
    <row r="20" spans="1:6" s="37" customFormat="1" ht="12.75">
      <c r="A20" s="146" t="s">
        <v>70</v>
      </c>
      <c r="B20" s="273" t="s">
        <v>162</v>
      </c>
      <c r="C20" s="158">
        <f>IF(+SUM(D20:E20)=0,"-",+SUM(D20:E20))</f>
        <v>1</v>
      </c>
      <c r="D20" s="425">
        <f>'Source Data for Allocators'!D24/'Source Data for Allocators'!$C24</f>
        <v>0.93569108799349432</v>
      </c>
      <c r="E20" s="426">
        <f>'Source Data for Allocators'!E24/'Source Data for Allocators'!$C24</f>
        <v>6.4308912006505681E-2</v>
      </c>
      <c r="F20" s="428"/>
    </row>
    <row r="21" spans="1:6" s="37" customFormat="1" ht="12.75">
      <c r="A21" s="146" t="s">
        <v>151</v>
      </c>
      <c r="B21" s="273" t="s">
        <v>11</v>
      </c>
      <c r="C21" s="158">
        <f>IF(+SUM(D21:E21)=0,"-",+SUM(D21:E21))</f>
        <v>1</v>
      </c>
      <c r="D21" s="425">
        <f>'Source Data for Allocators'!D66/'Source Data for Allocators'!$C66</f>
        <v>0.94333382038050551</v>
      </c>
      <c r="E21" s="426">
        <f>'Source Data for Allocators'!E66/'Source Data for Allocators'!$C66</f>
        <v>5.6666179619494578E-2</v>
      </c>
      <c r="F21" s="428"/>
    </row>
    <row r="22" spans="1:6" s="36" customFormat="1" ht="15" customHeight="1">
      <c r="A22" s="143"/>
      <c r="B22" s="84"/>
      <c r="C22" s="429"/>
      <c r="D22" s="430"/>
      <c r="E22" s="431"/>
      <c r="F22" s="430"/>
    </row>
    <row r="23" spans="1:6" s="36" customFormat="1" ht="15" customHeight="1">
      <c r="A23" s="143" t="s">
        <v>163</v>
      </c>
      <c r="B23" s="84" t="s">
        <v>22</v>
      </c>
      <c r="C23" s="158">
        <f>IF(+SUM(D23:E23)=0,"-",+SUM(D23:E23))</f>
        <v>1</v>
      </c>
      <c r="D23" s="159">
        <v>1</v>
      </c>
      <c r="E23" s="160">
        <v>0</v>
      </c>
      <c r="F23" s="197"/>
    </row>
    <row r="24" spans="1:6" s="36" customFormat="1" ht="15" customHeight="1">
      <c r="A24" s="143" t="s">
        <v>164</v>
      </c>
      <c r="B24" s="84" t="s">
        <v>165</v>
      </c>
      <c r="C24" s="158">
        <f>IF(+SUM(D24:E24)=0,"-",+SUM(D24:E24))</f>
        <v>1</v>
      </c>
      <c r="D24" s="159">
        <v>0</v>
      </c>
      <c r="E24" s="160">
        <v>1</v>
      </c>
      <c r="F24" s="197"/>
    </row>
    <row r="25" spans="1:6" s="36" customFormat="1" ht="15" customHeight="1">
      <c r="A25" s="143" t="s">
        <v>166</v>
      </c>
      <c r="B25" s="84" t="s">
        <v>45</v>
      </c>
      <c r="C25" s="158">
        <f>IF(+SUM(D25:E25)=0,"-",+SUM(D25:E25))</f>
        <v>1</v>
      </c>
      <c r="D25" s="161">
        <v>0.5</v>
      </c>
      <c r="E25" s="162">
        <v>0.5</v>
      </c>
      <c r="F25" s="197"/>
    </row>
    <row r="26" spans="1:6" s="36" customFormat="1" ht="15" customHeight="1">
      <c r="A26" s="143"/>
      <c r="B26" s="54"/>
      <c r="C26" s="80"/>
      <c r="D26" s="82"/>
      <c r="E26" s="160"/>
      <c r="F26" s="197"/>
    </row>
    <row r="27" spans="1:6" s="36" customFormat="1" ht="15" customHeight="1">
      <c r="A27" s="143" t="s">
        <v>167</v>
      </c>
      <c r="B27" s="54" t="s">
        <v>13</v>
      </c>
      <c r="C27" s="158">
        <f t="shared" ref="C27:C29" si="0">IF(+SUM(D27:E27)=0,"-",+SUM(D27:E27))</f>
        <v>1</v>
      </c>
      <c r="D27" s="161">
        <f>SUM('Summary by Class &amp; Accounts'!E11:E14)/SUM('Summary by Class &amp; Accounts'!$D11:$D14)</f>
        <v>0.93569108799349432</v>
      </c>
      <c r="E27" s="162">
        <f>SUM('Summary by Class &amp; Accounts'!F11:F14)/SUM('Summary by Class &amp; Accounts'!$D11:$D14)</f>
        <v>6.4308912006505708E-2</v>
      </c>
      <c r="F27" s="197"/>
    </row>
    <row r="28" spans="1:6" s="36" customFormat="1" ht="15" customHeight="1">
      <c r="A28" s="143" t="s">
        <v>168</v>
      </c>
      <c r="B28" s="54" t="s">
        <v>20</v>
      </c>
      <c r="C28" s="158">
        <f t="shared" si="0"/>
        <v>1</v>
      </c>
      <c r="D28" s="161">
        <f>SUM('Summary by Class &amp; Accounts'!E16:E19)/SUM('Summary by Class &amp; Accounts'!$D16:$D19)</f>
        <v>1</v>
      </c>
      <c r="E28" s="162">
        <f>SUM('Summary by Class &amp; Accounts'!F16:F19)/SUM('Summary by Class &amp; Accounts'!$D16:$D19)</f>
        <v>0</v>
      </c>
      <c r="F28" s="197"/>
    </row>
    <row r="29" spans="1:6" s="36" customFormat="1" ht="15" customHeight="1">
      <c r="A29" s="143" t="s">
        <v>169</v>
      </c>
      <c r="B29" s="54" t="s">
        <v>27</v>
      </c>
      <c r="C29" s="158">
        <f t="shared" si="0"/>
        <v>1</v>
      </c>
      <c r="D29" s="161">
        <f>SUM('Summary by Class &amp; Accounts'!E21:E24)/SUM('Summary by Class &amp; Accounts'!$D21:$D24)</f>
        <v>1</v>
      </c>
      <c r="E29" s="162">
        <f>SUM('Summary by Class &amp; Accounts'!F21:F24)/SUM('Summary by Class &amp; Accounts'!$D21:$D24)</f>
        <v>0</v>
      </c>
      <c r="F29" s="197"/>
    </row>
    <row r="30" spans="1:6" s="36" customFormat="1" ht="15" customHeight="1">
      <c r="A30" s="143" t="s">
        <v>170</v>
      </c>
      <c r="B30" s="54" t="s">
        <v>33</v>
      </c>
      <c r="C30" s="158">
        <f>IF(+SUM(D30:E30)=0,"-",+SUM(D30:E30))</f>
        <v>1</v>
      </c>
      <c r="D30" s="161">
        <f>SUM('Summary by Class &amp; Accounts'!E26:E29)/SUM('Summary by Class &amp; Accounts'!$D26:$D29)</f>
        <v>0.94333382038050539</v>
      </c>
      <c r="E30" s="162">
        <f>SUM('Summary by Class &amp; Accounts'!F26:F29)/SUM('Summary by Class &amp; Accounts'!$D26:$D29)</f>
        <v>5.6666179619494578E-2</v>
      </c>
      <c r="F30" s="197"/>
    </row>
    <row r="31" spans="1:6" s="36" customFormat="1" ht="15" customHeight="1">
      <c r="A31" s="143" t="s">
        <v>171</v>
      </c>
      <c r="B31" s="54" t="s">
        <v>39</v>
      </c>
      <c r="C31" s="158">
        <f>IF(+SUM(D31:E31)=0,"-",+SUM(D31:E31))</f>
        <v>1</v>
      </c>
      <c r="D31" s="161">
        <f>SUM('Summary by Class &amp; Accounts'!E31:E34,E36)/SUM('Summary by Class &amp; Accounts'!$D31:$D34,$D36)</f>
        <v>0.93569108799349432</v>
      </c>
      <c r="E31" s="162">
        <f>SUM('Summary by Class &amp; Accounts'!F31:F34,F36)/SUM('Summary by Class &amp; Accounts'!$D31:$D34,$D36)</f>
        <v>6.4308912006505722E-2</v>
      </c>
      <c r="F31" s="197"/>
    </row>
    <row r="32" spans="1:6" s="36" customFormat="1" ht="15" customHeight="1">
      <c r="A32" s="143" t="s">
        <v>115</v>
      </c>
      <c r="B32" s="54" t="s">
        <v>50</v>
      </c>
      <c r="C32" s="158">
        <f>IF(+SUM(D32:E32)=0,"-",+SUM(D32:E32))</f>
        <v>1</v>
      </c>
      <c r="D32" s="161">
        <f>SUM('Summary by Class &amp; Accounts'!E40:E45)/SUM('Summary by Class &amp; Accounts'!$D40:$D45)</f>
        <v>0.94181556714537529</v>
      </c>
      <c r="E32" s="162">
        <f>SUM('Summary by Class &amp; Accounts'!F40:F45)/SUM('Summary by Class &amp; Accounts'!$D40:$D45)</f>
        <v>5.818443285462474E-2</v>
      </c>
      <c r="F32" s="197"/>
    </row>
    <row r="33" spans="1:5" s="36" customFormat="1" ht="15" customHeight="1" thickBot="1">
      <c r="A33" s="432"/>
      <c r="B33" s="157"/>
      <c r="C33" s="433"/>
      <c r="D33" s="434"/>
      <c r="E33" s="435"/>
    </row>
    <row r="34" spans="1:5" s="36" customFormat="1" ht="15" customHeight="1">
      <c r="A34" s="436"/>
      <c r="B34" s="54"/>
      <c r="C34" s="80"/>
      <c r="D34" s="82"/>
      <c r="E34" s="82"/>
    </row>
    <row r="35" spans="1:5" s="36" customFormat="1" ht="15" customHeight="1">
      <c r="A35" s="436"/>
      <c r="B35" s="54"/>
      <c r="C35" s="80"/>
      <c r="D35" s="82"/>
      <c r="E35" s="82"/>
    </row>
  </sheetData>
  <phoneticPr fontId="0" type="noConversion"/>
  <pageMargins left="0.75" right="0.75" top="1" bottom="1" header="0.5" footer="0.5"/>
  <pageSetup scale="63" orientation="portrait" r:id="rId1"/>
  <headerFooter alignWithMargins="0">
    <oddFooter>&amp;C&amp;"Arial,Italic"IESO 2025 Cost Allocation Model&amp;RPage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8E665D1BAA84EACA89FD01EA8A0E4" ma:contentTypeVersion="4" ma:contentTypeDescription="Create a new document." ma:contentTypeScope="" ma:versionID="df650d15c2b95475d1954340c21c393b">
  <xsd:schema xmlns:xsd="http://www.w3.org/2001/XMLSchema" xmlns:xs="http://www.w3.org/2001/XMLSchema" xmlns:p="http://schemas.microsoft.com/office/2006/metadata/properties" xmlns:ns2="9a3305de-f341-4cbc-8e39-e4b91fec2ef4" xmlns:ns3="d346848b-b2cf-4920-ac30-030f671dd7ff" targetNamespace="http://schemas.microsoft.com/office/2006/metadata/properties" ma:root="true" ma:fieldsID="98df4d207b6607952bfd8d4e30e00292" ns2:_="" ns3:_="">
    <xsd:import namespace="9a3305de-f341-4cbc-8e39-e4b91fec2ef4"/>
    <xsd:import namespace="d346848b-b2cf-4920-ac30-030f671dd7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305de-f341-4cbc-8e39-e4b91fec2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6848b-b2cf-4920-ac30-030f671dd7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DA7186-B84B-4D98-ADA2-5DA7EE3A3B67}"/>
</file>

<file path=customXml/itemProps2.xml><?xml version="1.0" encoding="utf-8"?>
<ds:datastoreItem xmlns:ds="http://schemas.openxmlformats.org/officeDocument/2006/customXml" ds:itemID="{F81712DF-D1B0-4ACD-A5DE-8BAC77A7F263}"/>
</file>

<file path=customXml/itemProps3.xml><?xml version="1.0" encoding="utf-8"?>
<ds:datastoreItem xmlns:ds="http://schemas.openxmlformats.org/officeDocument/2006/customXml" ds:itemID="{7D384751-BE11-4A2F-BC77-BB74F33C6E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Ontario Energy Board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AbramoMa</dc:creator>
  <cp:keywords/>
  <dc:description/>
  <cp:lastModifiedBy>George Dimitropoulos</cp:lastModifiedBy>
  <cp:revision/>
  <dcterms:created xsi:type="dcterms:W3CDTF">2005-08-12T15:39:31Z</dcterms:created>
  <dcterms:modified xsi:type="dcterms:W3CDTF">2023-06-23T22:02:17Z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0x010100BAF8E665D1BAA84EACA89FD01EA8A0E4</vt:lpwstr>
  </property>
</Properties>
</file>