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DATA\Finance$\Rates\_Alectra\Rate Applications\EDR Rate Applications\2024 EDR Application\0. Applications and Adjudication Process\A.Complete Application and Evidence_ICM\Attachments\"/>
    </mc:Choice>
  </mc:AlternateContent>
  <xr:revisionPtr revIDLastSave="0" documentId="13_ncr:1_{0167EE83-B86C-4F44-AF33-135309ADF5E5}" xr6:coauthVersionLast="47" xr6:coauthVersionMax="47" xr10:uidLastSave="{00000000-0000-0000-0000-000000000000}"/>
  <bookViews>
    <workbookView xWindow="-120" yWindow="-120" windowWidth="29040" windowHeight="15840" tabRatio="768" firstSheet="4" activeTab="10" xr2:uid="{00000000-000D-0000-FFFF-FFFF00000000}"/>
  </bookViews>
  <sheets>
    <sheet name="1. Information Sheet" sheetId="13" r:id="rId1"/>
    <sheet name="2. Rate Class Selection" sheetId="3" r:id="rId2"/>
    <sheet name="3. Growth Factor - NUM_CALC1" sheetId="4" r:id="rId3"/>
    <sheet name="4. Growth Factor - NUM_CALC2" sheetId="6" r:id="rId4"/>
    <sheet name="5. Rev_Requ_Check" sheetId="7" r:id="rId5"/>
    <sheet name="6. Growth Factor - DEN_CALC1" sheetId="8" r:id="rId6"/>
    <sheet name="7. Revenue Proportions" sheetId="9" r:id="rId7"/>
    <sheet name="8. Threshold Test" sheetId="1" r:id="rId8"/>
    <sheet name="9b. Proposed ACM ICM Projects" sheetId="10" r:id="rId9"/>
    <sheet name="10. Incremental Capital Adj." sheetId="11" r:id="rId10"/>
    <sheet name="11. Rate Rider Calc" sheetId="12" r:id="rId11"/>
  </sheets>
  <definedNames>
    <definedName name="d">'8. Threshold Test'!$E$51</definedName>
    <definedName name="g">'8. Threshold Test'!$E$20</definedName>
    <definedName name="PCI">'8. Threshold Test'!$E$16</definedName>
    <definedName name="_xlnm.Print_Area" localSheetId="0">'1. Information Sheet'!$A$1:$Q$61</definedName>
    <definedName name="_xlnm.Print_Area" localSheetId="10">'11. Rate Rider Calc'!$A$7:$Q$25</definedName>
    <definedName name="_xlnm.Print_Area" localSheetId="7">'8. Threshold Test'!$A$1:$F$79</definedName>
    <definedName name="RB">'8. Threshold Test'!$E$49</definedName>
    <definedName name="unit1">'7. Revenue Proportions'!$C$19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9" l="1"/>
  <c r="C23" i="9"/>
  <c r="D22" i="9"/>
  <c r="C22" i="9"/>
  <c r="E21" i="9"/>
  <c r="C21" i="9"/>
  <c r="E20" i="9"/>
  <c r="C20" i="9"/>
  <c r="E19" i="9"/>
  <c r="C19" i="9"/>
  <c r="D18" i="9"/>
  <c r="C18" i="9"/>
  <c r="C17" i="9"/>
  <c r="E12" i="11"/>
  <c r="J89" i="10"/>
  <c r="J93" i="10"/>
  <c r="J100" i="10"/>
  <c r="J101" i="10"/>
  <c r="K103" i="10"/>
  <c r="K124" i="10" s="1"/>
  <c r="L103" i="10"/>
  <c r="L124" i="10" s="1"/>
  <c r="J124" i="10"/>
  <c r="C47" i="11"/>
  <c r="C45" i="11"/>
  <c r="C40" i="11"/>
  <c r="C39" i="11"/>
  <c r="C37" i="11"/>
  <c r="C36" i="11"/>
  <c r="F23" i="11"/>
  <c r="E23" i="11"/>
  <c r="E18" i="11"/>
  <c r="B90" i="11"/>
  <c r="C46" i="11"/>
  <c r="C44" i="11"/>
  <c r="C14" i="9"/>
  <c r="G14" i="9"/>
  <c r="D23" i="9"/>
  <c r="E22" i="9"/>
  <c r="D21" i="9"/>
  <c r="D20" i="9"/>
  <c r="D19" i="9"/>
  <c r="E18" i="9"/>
  <c r="E17" i="9"/>
  <c r="D17" i="9"/>
  <c r="C27" i="11"/>
  <c r="C26" i="11"/>
  <c r="C25" i="11"/>
  <c r="H124" i="10" l="1"/>
  <c r="C15" i="10"/>
  <c r="C23" i="10" s="1"/>
  <c r="G124" i="10"/>
  <c r="F124" i="10"/>
  <c r="E124" i="10"/>
  <c r="D124" i="10"/>
  <c r="I124" i="10"/>
  <c r="G100" i="10"/>
  <c r="D100" i="10"/>
  <c r="G89" i="10"/>
  <c r="D89" i="10"/>
  <c r="O85" i="10"/>
  <c r="N85" i="10"/>
  <c r="M85" i="10"/>
  <c r="L85" i="10"/>
  <c r="K85" i="10"/>
  <c r="J85" i="10"/>
  <c r="I85" i="10"/>
  <c r="H85" i="10"/>
  <c r="G85" i="10"/>
  <c r="F85" i="10"/>
  <c r="E85" i="10"/>
  <c r="D85" i="10"/>
  <c r="M61" i="10"/>
  <c r="J61" i="10"/>
  <c r="G61" i="10"/>
  <c r="D61" i="10"/>
  <c r="O46" i="10"/>
  <c r="N46" i="10"/>
  <c r="M46" i="10"/>
  <c r="L46" i="10"/>
  <c r="K46" i="10"/>
  <c r="J46" i="10"/>
  <c r="I46" i="10"/>
  <c r="H46" i="10"/>
  <c r="G46" i="10"/>
  <c r="F46" i="10"/>
  <c r="E46" i="10"/>
  <c r="D46" i="10"/>
  <c r="E13" i="1"/>
  <c r="C67" i="1"/>
  <c r="C55" i="1"/>
  <c r="C56" i="1" s="1"/>
  <c r="C57" i="1" s="1"/>
  <c r="C58" i="1" s="1"/>
  <c r="C59" i="1" s="1"/>
  <c r="C60" i="1" s="1"/>
  <c r="C61" i="1" s="1"/>
  <c r="C62" i="1" s="1"/>
  <c r="C63" i="1" s="1"/>
  <c r="C64" i="1" s="1"/>
  <c r="C77" i="1" s="1"/>
  <c r="F55" i="1"/>
  <c r="F56" i="1" s="1"/>
  <c r="F57" i="1" s="1"/>
  <c r="F58" i="1" s="1"/>
  <c r="F59" i="1" s="1"/>
  <c r="F60" i="1" s="1"/>
  <c r="F61" i="1" s="1"/>
  <c r="I43" i="13"/>
  <c r="I42" i="13"/>
  <c r="C19" i="1"/>
  <c r="C18" i="1"/>
  <c r="D15" i="10" l="1"/>
  <c r="C76" i="1"/>
  <c r="C75" i="1"/>
  <c r="C68" i="1"/>
  <c r="C70" i="1"/>
  <c r="C73" i="1"/>
  <c r="C74" i="1"/>
  <c r="C69" i="1"/>
  <c r="C71" i="1"/>
  <c r="C72" i="1"/>
  <c r="F62" i="1"/>
  <c r="D23" i="10" l="1"/>
  <c r="G15" i="10"/>
  <c r="F63" i="1"/>
  <c r="F64" i="1" s="1"/>
  <c r="G23" i="10" l="1"/>
  <c r="J15" i="10"/>
  <c r="M15" i="10" l="1"/>
  <c r="J23" i="10"/>
  <c r="M23" i="10" l="1"/>
  <c r="D54" i="10"/>
  <c r="D62" i="10" l="1"/>
  <c r="G54" i="10"/>
  <c r="G62" i="10" l="1"/>
  <c r="J54" i="10"/>
  <c r="M54" i="10" l="1"/>
  <c r="J62" i="10"/>
  <c r="D93" i="10" l="1"/>
  <c r="M62" i="10"/>
  <c r="G93" i="10" l="1"/>
  <c r="G101" i="10" s="1"/>
  <c r="D101" i="10"/>
  <c r="I23" i="6" l="1"/>
  <c r="H23" i="6"/>
  <c r="G23" i="6"/>
  <c r="E23" i="6"/>
  <c r="D23" i="6"/>
  <c r="C23" i="6"/>
  <c r="I22" i="6"/>
  <c r="H22" i="6"/>
  <c r="G22" i="6"/>
  <c r="E22" i="6"/>
  <c r="D22" i="6"/>
  <c r="C22" i="6"/>
  <c r="I21" i="6"/>
  <c r="H21" i="6"/>
  <c r="G21" i="6"/>
  <c r="E21" i="6"/>
  <c r="D21" i="6"/>
  <c r="C21" i="6"/>
  <c r="I20" i="6"/>
  <c r="H20" i="6"/>
  <c r="G20" i="6"/>
  <c r="E20" i="6"/>
  <c r="D20" i="6"/>
  <c r="C20" i="6"/>
  <c r="I19" i="6"/>
  <c r="H19" i="6"/>
  <c r="G19" i="6"/>
  <c r="E19" i="6"/>
  <c r="D19" i="6"/>
  <c r="C19" i="6"/>
  <c r="I18" i="6"/>
  <c r="H18" i="6"/>
  <c r="G18" i="6"/>
  <c r="E18" i="6"/>
  <c r="D18" i="6"/>
  <c r="C18" i="6"/>
  <c r="I17" i="6"/>
  <c r="H17" i="6"/>
  <c r="G17" i="6"/>
  <c r="E17" i="6"/>
  <c r="D17" i="6"/>
  <c r="C17" i="6"/>
  <c r="G14" i="8"/>
  <c r="C14" i="8"/>
  <c r="C8" i="7"/>
  <c r="G14" i="6"/>
  <c r="A12" i="6"/>
  <c r="C14" i="6"/>
  <c r="G15" i="4"/>
  <c r="C15" i="4"/>
  <c r="A13" i="4"/>
  <c r="F43" i="13"/>
  <c r="F42" i="13"/>
  <c r="J26" i="13"/>
  <c r="E46" i="1" l="1"/>
  <c r="E45" i="1"/>
  <c r="E36" i="1"/>
  <c r="E35" i="1"/>
  <c r="E34" i="1"/>
  <c r="E33" i="1"/>
  <c r="E28" i="1"/>
  <c r="E27" i="1"/>
  <c r="E26" i="1"/>
  <c r="E25" i="1"/>
  <c r="E24" i="1"/>
  <c r="E23" i="1"/>
  <c r="I23" i="9"/>
  <c r="I21" i="9"/>
  <c r="I20" i="9"/>
  <c r="I19" i="9"/>
  <c r="H23" i="9"/>
  <c r="H22" i="9"/>
  <c r="H21" i="9"/>
  <c r="H20" i="9"/>
  <c r="H19" i="9"/>
  <c r="H18" i="9"/>
  <c r="H17" i="9"/>
  <c r="G23" i="9"/>
  <c r="G22" i="9"/>
  <c r="G21" i="9"/>
  <c r="G20" i="9"/>
  <c r="G19" i="9"/>
  <c r="G18" i="9"/>
  <c r="G17" i="9"/>
  <c r="I23" i="8" l="1"/>
  <c r="I22" i="8"/>
  <c r="I21" i="8"/>
  <c r="I20" i="8"/>
  <c r="I19" i="8"/>
  <c r="I18" i="8"/>
  <c r="I17" i="8"/>
  <c r="H23" i="8"/>
  <c r="H22" i="8"/>
  <c r="H21" i="8"/>
  <c r="H20" i="8"/>
  <c r="H19" i="8"/>
  <c r="H18" i="8"/>
  <c r="H17" i="8"/>
  <c r="G23" i="8"/>
  <c r="G22" i="8"/>
  <c r="G21" i="8"/>
  <c r="G20" i="8"/>
  <c r="G19" i="8"/>
  <c r="G18" i="8"/>
  <c r="G17" i="8"/>
  <c r="A26" i="13" l="1"/>
  <c r="F40" i="13"/>
  <c r="E16" i="1" s="1"/>
  <c r="F32" i="13"/>
  <c r="E28" i="13"/>
  <c r="AA1" i="13"/>
  <c r="M23" i="12" l="1"/>
  <c r="M21" i="12"/>
  <c r="M20" i="12"/>
  <c r="M19" i="12"/>
  <c r="L23" i="12"/>
  <c r="L22" i="12"/>
  <c r="L21" i="12"/>
  <c r="L20" i="12"/>
  <c r="L19" i="12"/>
  <c r="L18" i="12"/>
  <c r="L17" i="12"/>
  <c r="K23" i="12"/>
  <c r="K22" i="12"/>
  <c r="K21" i="12"/>
  <c r="K20" i="12"/>
  <c r="K19" i="12"/>
  <c r="K18" i="12"/>
  <c r="K17" i="12"/>
  <c r="M24" i="12" l="1"/>
  <c r="L24" i="12"/>
  <c r="K24" i="12"/>
  <c r="M23" i="9" l="1"/>
  <c r="L23" i="9"/>
  <c r="K23" i="9"/>
  <c r="N23" i="9" s="1"/>
  <c r="M22" i="9"/>
  <c r="L22" i="9"/>
  <c r="K22" i="9"/>
  <c r="N22" i="9" s="1"/>
  <c r="M21" i="9"/>
  <c r="L21" i="9"/>
  <c r="K21" i="9"/>
  <c r="M20" i="9"/>
  <c r="L20" i="9"/>
  <c r="K20" i="9"/>
  <c r="N20" i="9" s="1"/>
  <c r="M19" i="9"/>
  <c r="L19" i="9"/>
  <c r="K19" i="9"/>
  <c r="N19" i="9" s="1"/>
  <c r="M18" i="9"/>
  <c r="L18" i="9"/>
  <c r="K18" i="9"/>
  <c r="N18" i="9" s="1"/>
  <c r="M17" i="9"/>
  <c r="L17" i="9"/>
  <c r="K17" i="9"/>
  <c r="E24" i="8"/>
  <c r="D24" i="8"/>
  <c r="C24" i="8"/>
  <c r="M23" i="8"/>
  <c r="L23" i="8"/>
  <c r="K23" i="8"/>
  <c r="M22" i="8"/>
  <c r="L22" i="8"/>
  <c r="K22" i="8"/>
  <c r="M21" i="8"/>
  <c r="L21" i="8"/>
  <c r="K21" i="8"/>
  <c r="M20" i="8"/>
  <c r="L20" i="8"/>
  <c r="K20" i="8"/>
  <c r="M19" i="8"/>
  <c r="L19" i="8"/>
  <c r="K19" i="8"/>
  <c r="M18" i="8"/>
  <c r="L18" i="8"/>
  <c r="K18" i="8"/>
  <c r="M17" i="8"/>
  <c r="L17" i="8"/>
  <c r="K17" i="8"/>
  <c r="E60" i="7"/>
  <c r="E55" i="7"/>
  <c r="C38" i="7"/>
  <c r="E31" i="7"/>
  <c r="C23" i="7"/>
  <c r="E37" i="1" s="1"/>
  <c r="C16" i="7"/>
  <c r="E24" i="6"/>
  <c r="D24" i="6"/>
  <c r="C24" i="6"/>
  <c r="M23" i="6"/>
  <c r="K23" i="6"/>
  <c r="L22" i="6"/>
  <c r="K22" i="6"/>
  <c r="M21" i="6"/>
  <c r="K21" i="6"/>
  <c r="M20" i="6"/>
  <c r="K20" i="6"/>
  <c r="M19" i="6"/>
  <c r="K19" i="6"/>
  <c r="L18" i="6"/>
  <c r="K18" i="6"/>
  <c r="L17" i="6"/>
  <c r="K17" i="6"/>
  <c r="P33" i="3"/>
  <c r="P32" i="3"/>
  <c r="P31" i="3"/>
  <c r="P30" i="3"/>
  <c r="P29" i="3"/>
  <c r="P28" i="3"/>
  <c r="P27" i="3"/>
  <c r="P26" i="3"/>
  <c r="P25" i="3"/>
  <c r="P24" i="3"/>
  <c r="P23" i="3"/>
  <c r="P22" i="3"/>
  <c r="P21" i="3"/>
  <c r="P20" i="3"/>
  <c r="P19" i="3"/>
  <c r="N17" i="8" l="1"/>
  <c r="N23" i="6"/>
  <c r="E24" i="7"/>
  <c r="M24" i="9"/>
  <c r="N20" i="6"/>
  <c r="Q20" i="6" s="1"/>
  <c r="N23" i="8"/>
  <c r="N19" i="6"/>
  <c r="Q19" i="6" s="1"/>
  <c r="E17" i="7"/>
  <c r="E29" i="1"/>
  <c r="N18" i="8"/>
  <c r="L24" i="6"/>
  <c r="R23" i="6"/>
  <c r="N17" i="9"/>
  <c r="N21" i="9"/>
  <c r="L24" i="9"/>
  <c r="N22" i="8"/>
  <c r="N21" i="8"/>
  <c r="N20" i="8"/>
  <c r="L24" i="8"/>
  <c r="K24" i="8"/>
  <c r="N19" i="8"/>
  <c r="Q19" i="3"/>
  <c r="K24" i="9"/>
  <c r="M24" i="8"/>
  <c r="K24" i="6"/>
  <c r="N18" i="6"/>
  <c r="P18" i="6" s="1"/>
  <c r="N22" i="6"/>
  <c r="P22" i="6" s="1"/>
  <c r="P23" i="6"/>
  <c r="N17" i="6"/>
  <c r="N21" i="6"/>
  <c r="P21" i="6" s="1"/>
  <c r="Q23" i="6"/>
  <c r="M24" i="6"/>
  <c r="E51" i="1"/>
  <c r="E26" i="7" l="1"/>
  <c r="E33" i="7" s="1"/>
  <c r="E38" i="7" s="1"/>
  <c r="E42" i="7" s="1"/>
  <c r="P19" i="6"/>
  <c r="Q22" i="6"/>
  <c r="R20" i="6"/>
  <c r="P20" i="6"/>
  <c r="N24" i="9"/>
  <c r="P18" i="9" s="1"/>
  <c r="C18" i="12" s="1"/>
  <c r="R19" i="6"/>
  <c r="N24" i="8"/>
  <c r="E39" i="1"/>
  <c r="N24" i="6"/>
  <c r="R17" i="6"/>
  <c r="Q17" i="6"/>
  <c r="Q21" i="6"/>
  <c r="R21" i="6"/>
  <c r="R18" i="6"/>
  <c r="R22" i="6"/>
  <c r="Q18" i="6"/>
  <c r="P17" i="6"/>
  <c r="E31" i="1"/>
  <c r="E47" i="1"/>
  <c r="E18" i="1" l="1"/>
  <c r="E65" i="7"/>
  <c r="E37" i="7"/>
  <c r="E41" i="7" s="1"/>
  <c r="E36" i="7"/>
  <c r="E40" i="7" s="1"/>
  <c r="E43" i="7" s="1"/>
  <c r="E62" i="7" s="1"/>
  <c r="S23" i="9"/>
  <c r="Q20" i="9"/>
  <c r="D20" i="12" s="1"/>
  <c r="Q19" i="9"/>
  <c r="D19" i="12" s="1"/>
  <c r="R21" i="9"/>
  <c r="E21" i="12" s="1"/>
  <c r="R23" i="9"/>
  <c r="E23" i="12" s="1"/>
  <c r="S22" i="9"/>
  <c r="Q17" i="9"/>
  <c r="D17" i="12" s="1"/>
  <c r="R17" i="9"/>
  <c r="E17" i="12" s="1"/>
  <c r="S21" i="9"/>
  <c r="S17" i="9"/>
  <c r="Q18" i="9"/>
  <c r="D18" i="12" s="1"/>
  <c r="R18" i="9"/>
  <c r="E18" i="12" s="1"/>
  <c r="Q21" i="9"/>
  <c r="D21" i="12" s="1"/>
  <c r="S20" i="9"/>
  <c r="S18" i="9"/>
  <c r="P17" i="9"/>
  <c r="C17" i="12" s="1"/>
  <c r="P19" i="9"/>
  <c r="C19" i="12" s="1"/>
  <c r="R20" i="9"/>
  <c r="E20" i="12" s="1"/>
  <c r="P23" i="9"/>
  <c r="C23" i="12" s="1"/>
  <c r="Q22" i="9"/>
  <c r="D22" i="12" s="1"/>
  <c r="P20" i="9"/>
  <c r="C20" i="12" s="1"/>
  <c r="Q23" i="9"/>
  <c r="D23" i="12" s="1"/>
  <c r="R22" i="9"/>
  <c r="E22" i="12" s="1"/>
  <c r="P21" i="9"/>
  <c r="C21" i="12" s="1"/>
  <c r="R19" i="9"/>
  <c r="E19" i="12" s="1"/>
  <c r="S19" i="9"/>
  <c r="P22" i="9"/>
  <c r="C22" i="12" s="1"/>
  <c r="S21" i="6"/>
  <c r="S22" i="6"/>
  <c r="S17" i="6"/>
  <c r="S18" i="6"/>
  <c r="S23" i="8"/>
  <c r="E19" i="1"/>
  <c r="E20" i="1" s="1"/>
  <c r="E41" i="1"/>
  <c r="E49" i="1" s="1"/>
  <c r="R19" i="8"/>
  <c r="P18" i="8"/>
  <c r="S22" i="8"/>
  <c r="S20" i="8"/>
  <c r="R18" i="8"/>
  <c r="Q19" i="8"/>
  <c r="S21" i="8"/>
  <c r="R17" i="8"/>
  <c r="P22" i="8"/>
  <c r="P21" i="8"/>
  <c r="Q22" i="8"/>
  <c r="S18" i="8"/>
  <c r="Q21" i="8"/>
  <c r="R21" i="8"/>
  <c r="Q20" i="8"/>
  <c r="R20" i="8"/>
  <c r="S19" i="8"/>
  <c r="Q18" i="8"/>
  <c r="S17" i="8"/>
  <c r="Q17" i="8"/>
  <c r="P17" i="8"/>
  <c r="P23" i="8"/>
  <c r="Q23" i="8"/>
  <c r="R23" i="8"/>
  <c r="P20" i="8"/>
  <c r="R22" i="8"/>
  <c r="P19" i="8"/>
  <c r="S20" i="6"/>
  <c r="S19" i="6"/>
  <c r="S23" i="6"/>
  <c r="E64" i="1" l="1"/>
  <c r="E77" i="1" s="1"/>
  <c r="J96" i="10" s="1"/>
  <c r="J98" i="10" s="1"/>
  <c r="J126" i="10" s="1"/>
  <c r="E59" i="1"/>
  <c r="E72" i="1" s="1"/>
  <c r="G57" i="10" s="1"/>
  <c r="G59" i="10" s="1"/>
  <c r="G87" i="10" s="1"/>
  <c r="E60" i="1"/>
  <c r="E73" i="1" s="1"/>
  <c r="J57" i="10" s="1"/>
  <c r="J59" i="10" s="1"/>
  <c r="J87" i="10" s="1"/>
  <c r="E61" i="1"/>
  <c r="E74" i="1" s="1"/>
  <c r="M57" i="10" s="1"/>
  <c r="M59" i="10" s="1"/>
  <c r="M87" i="10" s="1"/>
  <c r="E62" i="1"/>
  <c r="E75" i="1" s="1"/>
  <c r="D96" i="10" s="1"/>
  <c r="D98" i="10" s="1"/>
  <c r="D126" i="10" s="1"/>
  <c r="E63" i="1"/>
  <c r="E76" i="1" s="1"/>
  <c r="G96" i="10" s="1"/>
  <c r="G98" i="10" s="1"/>
  <c r="G126" i="10" s="1"/>
  <c r="E55" i="1"/>
  <c r="E68" i="1" s="1"/>
  <c r="G18" i="10" s="1"/>
  <c r="G20" i="10" s="1"/>
  <c r="G48" i="10" s="1"/>
  <c r="E54" i="1"/>
  <c r="E67" i="1" s="1"/>
  <c r="D18" i="10" s="1"/>
  <c r="D20" i="10" s="1"/>
  <c r="D48" i="10" s="1"/>
  <c r="E58" i="1"/>
  <c r="E57" i="1"/>
  <c r="E70" i="1" s="1"/>
  <c r="M18" i="10" s="1"/>
  <c r="M20" i="10" s="1"/>
  <c r="M48" i="10" s="1"/>
  <c r="E56" i="1"/>
  <c r="E69" i="1" s="1"/>
  <c r="J18" i="10" s="1"/>
  <c r="J20" i="10" s="1"/>
  <c r="J48" i="10" s="1"/>
  <c r="S24" i="9"/>
  <c r="C24" i="12"/>
  <c r="D24" i="12"/>
  <c r="E24" i="12"/>
  <c r="S24" i="6"/>
  <c r="S24" i="8"/>
  <c r="E25" i="11"/>
  <c r="E32" i="11" l="1"/>
  <c r="E26" i="11"/>
  <c r="E33" i="11" s="1"/>
  <c r="E55" i="11" s="1"/>
  <c r="E27" i="11"/>
  <c r="E64" i="11" s="1"/>
  <c r="E71" i="1"/>
  <c r="D57" i="10" s="1"/>
  <c r="D59" i="10" s="1"/>
  <c r="D87" i="10" s="1"/>
  <c r="E62" i="11" l="1"/>
  <c r="E89" i="11"/>
  <c r="E34" i="11"/>
  <c r="E37" i="11" l="1"/>
  <c r="E40" i="11" s="1"/>
  <c r="E36" i="11"/>
  <c r="E39" i="11" s="1"/>
  <c r="E42" i="11" s="1"/>
  <c r="E45" i="11"/>
  <c r="E47" i="11" s="1"/>
  <c r="E60" i="11" s="1"/>
  <c r="E66" i="11" s="1"/>
  <c r="E70" i="11" s="1"/>
  <c r="E72" i="11" s="1"/>
  <c r="E90" i="11" s="1"/>
  <c r="E49" i="11" l="1"/>
  <c r="E88" i="11" s="1"/>
  <c r="E93" i="11" s="1"/>
  <c r="I25" i="12" s="1"/>
  <c r="H20" i="12" l="1"/>
  <c r="Q20" i="12" s="1"/>
  <c r="G19" i="12"/>
  <c r="P19" i="12" s="1"/>
  <c r="G18" i="12"/>
  <c r="P18" i="12" s="1"/>
  <c r="F22" i="12"/>
  <c r="H17" i="12"/>
  <c r="G17" i="12"/>
  <c r="F17" i="12"/>
  <c r="F20" i="12"/>
  <c r="F19" i="12"/>
  <c r="H22" i="12"/>
  <c r="Q22" i="12" s="1"/>
  <c r="H18" i="12"/>
  <c r="Q18" i="12" s="1"/>
  <c r="G21" i="12"/>
  <c r="P21" i="12" s="1"/>
  <c r="F23" i="12"/>
  <c r="H21" i="12"/>
  <c r="Q21" i="12" s="1"/>
  <c r="G23" i="12"/>
  <c r="P23" i="12" s="1"/>
  <c r="H23" i="12"/>
  <c r="Q23" i="12" s="1"/>
  <c r="F21" i="12"/>
  <c r="G22" i="12"/>
  <c r="P22" i="12" s="1"/>
  <c r="G20" i="12"/>
  <c r="P20" i="12" s="1"/>
  <c r="H19" i="12"/>
  <c r="Q19" i="12" s="1"/>
  <c r="F18" i="12"/>
  <c r="O18" i="12" l="1"/>
  <c r="I18" i="12"/>
  <c r="O19" i="12"/>
  <c r="I19" i="12"/>
  <c r="O20" i="12"/>
  <c r="I20" i="12"/>
  <c r="F24" i="12"/>
  <c r="I17" i="12"/>
  <c r="G24" i="12"/>
  <c r="O21" i="12"/>
  <c r="I21" i="12"/>
  <c r="H24" i="12"/>
  <c r="O22" i="12"/>
  <c r="I22" i="12"/>
  <c r="O23" i="12"/>
  <c r="I23" i="12"/>
  <c r="O17" i="12" l="1"/>
  <c r="I24" i="12"/>
</calcChain>
</file>

<file path=xl/sharedStrings.xml><?xml version="1.0" encoding="utf-8"?>
<sst xmlns="http://schemas.openxmlformats.org/spreadsheetml/2006/main" count="530" uniqueCount="320">
  <si>
    <t>No Input Required.</t>
  </si>
  <si>
    <t>Year</t>
  </si>
  <si>
    <t>Year in which Applicant is applying</t>
  </si>
  <si>
    <t>Price Cap Index</t>
  </si>
  <si>
    <t>Growth Factor Calculation</t>
  </si>
  <si>
    <t>Growth Factor</t>
  </si>
  <si>
    <t>Dead Band</t>
  </si>
  <si>
    <t>Average Net Fixed Assets</t>
  </si>
  <si>
    <t>Gross Fixed Assets Opening</t>
  </si>
  <si>
    <t>Add: CWIP Opening</t>
  </si>
  <si>
    <t>Capital Additions</t>
  </si>
  <si>
    <t>Capital Disposals</t>
  </si>
  <si>
    <t>Capital Retirements</t>
  </si>
  <si>
    <t>Deduct: CWIP Closing</t>
  </si>
  <si>
    <t>Gross Fixed Assets - Closing</t>
  </si>
  <si>
    <t>Average Gross Fixed Assets</t>
  </si>
  <si>
    <t>Accumulated Depreciation - Opening</t>
  </si>
  <si>
    <t>Depreciation Expense</t>
  </si>
  <si>
    <t>Disposals</t>
  </si>
  <si>
    <t>Retirements</t>
  </si>
  <si>
    <t>Accumulated Depreciation - Closing</t>
  </si>
  <si>
    <t>Average Accumulated Depreciation</t>
  </si>
  <si>
    <t xml:space="preserve">Average Net Fixed Assets </t>
  </si>
  <si>
    <t>Working Capital Allowance</t>
  </si>
  <si>
    <t>Working Capital Allowance Base</t>
  </si>
  <si>
    <t>Working Capital Allowance Rate</t>
  </si>
  <si>
    <t>Rate Base</t>
  </si>
  <si>
    <t>Depreciation</t>
  </si>
  <si>
    <t>Threshold Value (varies by Price Cap IR Year subsequent to CoS rebasing)</t>
  </si>
  <si>
    <t>Threshold CAPEX</t>
  </si>
  <si>
    <t>Note 1:</t>
  </si>
  <si>
    <r>
      <t xml:space="preserve">The growth factor </t>
    </r>
    <r>
      <rPr>
        <i/>
        <sz val="12"/>
        <rFont val="Times New Roman"/>
        <family val="1"/>
      </rPr>
      <t>g</t>
    </r>
    <r>
      <rPr>
        <sz val="12"/>
        <rFont val="Arial"/>
        <family val="2"/>
      </rPr>
      <t xml:space="preserve"> is annualized, depending on the number of years between the numerator and denominator for the calculation. Typically, for ACM review in a cost of service and in the fourth year of Price Cap IR, the ratio is divided by 2 to annualize it. No division is normally required for the first three years under Price Cap IR.</t>
    </r>
  </si>
  <si>
    <t xml:space="preserve">    Price Cap IR Year 2014</t>
  </si>
  <si>
    <t>a</t>
  </si>
  <si>
    <t>Note:  Depending on the selections made below, certain worksheets in this workbook will be hidden.</t>
  </si>
  <si>
    <t>Version</t>
  </si>
  <si>
    <t xml:space="preserve">Utility Name   </t>
  </si>
  <si>
    <t>Assigned EB Number</t>
  </si>
  <si>
    <t>Name of Contact and Title</t>
  </si>
  <si>
    <t xml:space="preserve">Phone Number   </t>
  </si>
  <si>
    <t xml:space="preserve">Email Address   </t>
  </si>
  <si>
    <t>Is this Capital Module being filed in a CoS or 
Price-Cap IR Application?</t>
  </si>
  <si>
    <t>Price-Cap IR</t>
  </si>
  <si>
    <t>Rate Year</t>
  </si>
  <si>
    <t>Last Rebasing Year:</t>
  </si>
  <si>
    <t>The most recent complete year for which actual billing and load data exists</t>
  </si>
  <si>
    <t>Current IPI</t>
  </si>
  <si>
    <t>Strech Factor Assigned to Middle Cohort</t>
  </si>
  <si>
    <t>III</t>
  </si>
  <si>
    <t>Stretch Factor Value</t>
  </si>
  <si>
    <t>Based on the inputs above, the growth factor utilized in the Materiality Threshold Calculation will be determined by:</t>
  </si>
  <si>
    <t>These will be hidden later. For year three price cap IR, it should be most recent actuals for 2014 divided by 2013 CoS Board-approved. For year 4 price cap IR, should be 2014 actuals divided by 2012 CoS Board-approved.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</si>
  <si>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</si>
  <si>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</si>
  <si>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</si>
  <si>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</si>
  <si>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OEB policies regarding rate-setting and rebasing following distributor consolidations could allow a distributor to not rebase rates for up to ten years. A distributor could also apply for and receive OEB approval to defer rebasing. If a distributor is under Price Cap IR for more than four years after rebasing and applies for an ICM, this spreadsheet will need to be adapted to accommodate those circumstances. The distributor should contact OEB staff to discuss the circumstances so that a customized model can be provided.</t>
  </si>
  <si>
    <t>Price Cap IR</t>
  </si>
  <si>
    <t>Select the appropriate rate classes as they appear on your most recent Board-Approved Tariff of Rates and Charges, excluding the MicroFit Class.</t>
  </si>
  <si>
    <t>How many classes are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</si>
  <si>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</si>
  <si>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</si>
  <si>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 of duplicates</t>
  </si>
  <si>
    <t>RESIDENTIAL</t>
  </si>
  <si>
    <t>GENERAL SERVICE LESS THAN 50 KW</t>
  </si>
  <si>
    <t>GENERAL SERVICE 50 TO 999 KW</t>
  </si>
  <si>
    <t>GENERAL SERVICE 500 TO 4,999 KW</t>
  </si>
  <si>
    <t>LARGE USE</t>
  </si>
  <si>
    <t>UNMETERED SCATTERED LOAD</t>
  </si>
  <si>
    <t>STREET LIGHTING</t>
  </si>
  <si>
    <t>Rate Class</t>
  </si>
  <si>
    <t>Units</t>
  </si>
  <si>
    <t>Billed Customers or Connections</t>
  </si>
  <si>
    <t>Billed kWh</t>
  </si>
  <si>
    <t>Billed kW
(if applicable)</t>
  </si>
  <si>
    <t>Monthly Service Charge</t>
  </si>
  <si>
    <t>Distribution Volumetric Rate kWh</t>
  </si>
  <si>
    <t>Distribution Volumetric Rate kW</t>
  </si>
  <si>
    <t>$/kWh</t>
  </si>
  <si>
    <t>$/kW</t>
  </si>
  <si>
    <t>Service Charge Revenue</t>
  </si>
  <si>
    <t>Distribution Volumetric Rate Revenue 
kWh</t>
  </si>
  <si>
    <t>Distribution Volumetric Rate Revenue 
kW</t>
  </si>
  <si>
    <t>Revenue Requirement from Rates</t>
  </si>
  <si>
    <t>Service Charge % Revenue</t>
  </si>
  <si>
    <t>Distribution Volumetric Rate % Revenue 
kWh</t>
  </si>
  <si>
    <t>Distribution Volumetric Rate % Revenue 
kW</t>
  </si>
  <si>
    <t>Total % Revenue</t>
  </si>
  <si>
    <t>A</t>
  </si>
  <si>
    <t>B</t>
  </si>
  <si>
    <t>C</t>
  </si>
  <si>
    <t>D</t>
  </si>
  <si>
    <t>E</t>
  </si>
  <si>
    <t>F</t>
  </si>
  <si>
    <t>G = A * D *12</t>
  </si>
  <si>
    <t>H = B * E</t>
  </si>
  <si>
    <t>I = C * F</t>
  </si>
  <si>
    <t>J = G + H + I</t>
  </si>
  <si>
    <t>K = G / J</t>
  </si>
  <si>
    <t>L = H / J</t>
  </si>
  <si>
    <t>M = I / J</t>
  </si>
  <si>
    <t>N = J / R</t>
  </si>
  <si>
    <t>Total</t>
  </si>
  <si>
    <t>Applicants Rate Base</t>
  </si>
  <si>
    <t>Gross Fixed Assets - Re-based Opening</t>
  </si>
  <si>
    <t>Add: CWIP Re-based Opening</t>
  </si>
  <si>
    <t>Re-based Capital Additions</t>
  </si>
  <si>
    <t>Re-based Capital Disposals</t>
  </si>
  <si>
    <t>Re-based Capital Retirements</t>
  </si>
  <si>
    <t>Deduct: CWIP Re-based Closing</t>
  </si>
  <si>
    <t>Gross Fixed Assets - Re-based Closing</t>
  </si>
  <si>
    <t>G</t>
  </si>
  <si>
    <t>H = ( A + G ) / 2</t>
  </si>
  <si>
    <t>Accumulated Depreciation - Re-based Opening</t>
  </si>
  <si>
    <t>I</t>
  </si>
  <si>
    <t>Re-based Depreciation Expense</t>
  </si>
  <si>
    <t>J</t>
  </si>
  <si>
    <t>Re-based Disposals</t>
  </si>
  <si>
    <t>K</t>
  </si>
  <si>
    <t>Re-based Retirements</t>
  </si>
  <si>
    <t>L</t>
  </si>
  <si>
    <t>Accumulated Depreciation - Re-based Closing</t>
  </si>
  <si>
    <t>M</t>
  </si>
  <si>
    <t>N =  ( I + M ) / 2</t>
  </si>
  <si>
    <t>O = H - N</t>
  </si>
  <si>
    <t>P</t>
  </si>
  <si>
    <t>Q</t>
  </si>
  <si>
    <t>R = P * Q</t>
  </si>
  <si>
    <t>S =  O + R</t>
  </si>
  <si>
    <t>Return on Rate Base</t>
  </si>
  <si>
    <t>Deemed ShortTerm Debt %</t>
  </si>
  <si>
    <t>T</t>
  </si>
  <si>
    <t>W = S * T</t>
  </si>
  <si>
    <t>Deemed Long Term Debt %</t>
  </si>
  <si>
    <t>U</t>
  </si>
  <si>
    <t>X = S * U</t>
  </si>
  <si>
    <t>Deemed Equity %</t>
  </si>
  <si>
    <t>V</t>
  </si>
  <si>
    <t>Y = S * V</t>
  </si>
  <si>
    <t>Short Term Interest</t>
  </si>
  <si>
    <t>Z</t>
  </si>
  <si>
    <t>AC = W * Z</t>
  </si>
  <si>
    <t>Long Term Interest</t>
  </si>
  <si>
    <t>AA</t>
  </si>
  <si>
    <t>AD = X * AA</t>
  </si>
  <si>
    <t>Return on Equity</t>
  </si>
  <si>
    <t>AB</t>
  </si>
  <si>
    <t>AE = Y * AB</t>
  </si>
  <si>
    <t>AF = AC + AD + AE</t>
  </si>
  <si>
    <t>Distribution Expenses</t>
  </si>
  <si>
    <t>OM&amp;A Expenses</t>
  </si>
  <si>
    <t>AG</t>
  </si>
  <si>
    <t>Amortization</t>
  </si>
  <si>
    <t>AH</t>
  </si>
  <si>
    <t>Ontario Capital Tax</t>
  </si>
  <si>
    <t>AI</t>
  </si>
  <si>
    <t>Grossed Up PILs</t>
  </si>
  <si>
    <t>AJ</t>
  </si>
  <si>
    <t>Low Voltage</t>
  </si>
  <si>
    <t>AK</t>
  </si>
  <si>
    <t>Transformer Allowance</t>
  </si>
  <si>
    <t>AL</t>
  </si>
  <si>
    <t>AM</t>
  </si>
  <si>
    <t>AN</t>
  </si>
  <si>
    <t>AO</t>
  </si>
  <si>
    <t>AP = SUM ( AG : AO )</t>
  </si>
  <si>
    <t>Revenue Offsets</t>
  </si>
  <si>
    <t>Specific Service Charges</t>
  </si>
  <si>
    <t>AQ</t>
  </si>
  <si>
    <t>Late Payment Charges</t>
  </si>
  <si>
    <t>AR</t>
  </si>
  <si>
    <t>Other Distribution Income</t>
  </si>
  <si>
    <t>AS</t>
  </si>
  <si>
    <t>Other Income and Deductions</t>
  </si>
  <si>
    <t>AT</t>
  </si>
  <si>
    <t>AU = SUM ( AQ : AT )</t>
  </si>
  <si>
    <t>Revenue Requirement from Distribution Rates</t>
  </si>
  <si>
    <t>AV = AF + AP + AU</t>
  </si>
  <si>
    <t>Rate Classes Revenue</t>
  </si>
  <si>
    <t>AW</t>
  </si>
  <si>
    <t>Pseudo Revenue Requirement Calculation.</t>
  </si>
  <si>
    <t>Billed kW</t>
  </si>
  <si>
    <t>Total Revenue By Rate Class</t>
  </si>
  <si>
    <r>
      <t>K = G / J</t>
    </r>
    <r>
      <rPr>
        <b/>
        <vertAlign val="subscript"/>
        <sz val="12"/>
        <rFont val="Calibri"/>
        <family val="2"/>
        <scheme val="minor"/>
      </rPr>
      <t>total</t>
    </r>
  </si>
  <si>
    <r>
      <t>L = H / J</t>
    </r>
    <r>
      <rPr>
        <b/>
        <vertAlign val="subscript"/>
        <sz val="12"/>
        <rFont val="Calibri"/>
        <family val="2"/>
        <scheme val="minor"/>
      </rPr>
      <t>total</t>
    </r>
  </si>
  <si>
    <r>
      <t>M = I / J</t>
    </r>
    <r>
      <rPr>
        <b/>
        <vertAlign val="subscript"/>
        <sz val="12"/>
        <rFont val="Calibri"/>
        <family val="2"/>
        <scheme val="minor"/>
      </rPr>
      <t>total</t>
    </r>
  </si>
  <si>
    <r>
      <t>N = J / J</t>
    </r>
    <r>
      <rPr>
        <b/>
        <vertAlign val="subscript"/>
        <sz val="12"/>
        <rFont val="Calibri"/>
        <family val="2"/>
        <scheme val="minor"/>
      </rPr>
      <t>total</t>
    </r>
  </si>
  <si>
    <t>Current Revenue from Rates</t>
  </si>
  <si>
    <t>Re-based Billed Customers or Connections</t>
  </si>
  <si>
    <t>Re-based Billed kWh</t>
  </si>
  <si>
    <t>Re-based Billed kW</t>
  </si>
  <si>
    <t>Current Base Service Charge Revenue</t>
  </si>
  <si>
    <t>Current Base Distribution Volumetric Rate kWh Revenue</t>
  </si>
  <si>
    <t>Current Base Distribution Volumetric Rate kW Revenue</t>
  </si>
  <si>
    <t>Total Current Base Revenue</t>
  </si>
  <si>
    <t>Service Charge % Total Revenue</t>
  </si>
  <si>
    <t xml:space="preserve">Distribution Volumetric Rate % Total Revenue </t>
  </si>
  <si>
    <r>
      <t>L = G / J</t>
    </r>
    <r>
      <rPr>
        <b/>
        <vertAlign val="subscript"/>
        <sz val="12"/>
        <rFont val="Calibri"/>
        <family val="2"/>
        <scheme val="minor"/>
      </rPr>
      <t>total</t>
    </r>
  </si>
  <si>
    <r>
      <t>M = H / J</t>
    </r>
    <r>
      <rPr>
        <b/>
        <vertAlign val="subscript"/>
        <sz val="12"/>
        <rFont val="Calibri"/>
        <family val="2"/>
        <scheme val="minor"/>
      </rPr>
      <t>total</t>
    </r>
  </si>
  <si>
    <r>
      <t>N = I / J</t>
    </r>
    <r>
      <rPr>
        <b/>
        <vertAlign val="subscript"/>
        <sz val="12"/>
        <rFont val="Calibri"/>
        <family val="2"/>
        <scheme val="minor"/>
      </rPr>
      <t>total</t>
    </r>
  </si>
  <si>
    <r>
      <t>O = J / J</t>
    </r>
    <r>
      <rPr>
        <b/>
        <vertAlign val="subscript"/>
        <sz val="12"/>
        <rFont val="Calibri"/>
        <family val="2"/>
        <scheme val="minor"/>
      </rPr>
      <t>total</t>
    </r>
  </si>
  <si>
    <t>Cost of Service</t>
  </si>
  <si>
    <t>Test Year</t>
  </si>
  <si>
    <t>Year 1</t>
  </si>
  <si>
    <t>Year 2</t>
  </si>
  <si>
    <t>Year 3</t>
  </si>
  <si>
    <t>Year 4</t>
  </si>
  <si>
    <t>Distribution System Plan CAPEX</t>
  </si>
  <si>
    <t>Materiality Threshold</t>
  </si>
  <si>
    <t>Maximum Eligible Incremental Capital (Forecasted Capex less Threshold)</t>
  </si>
  <si>
    <t>Project Descriptions:</t>
  </si>
  <si>
    <t>Type</t>
  </si>
  <si>
    <t>Maximum Allowed Incremental Capital</t>
  </si>
  <si>
    <t>Proposed ACM/ICM</t>
  </si>
  <si>
    <t>Amortization Expense</t>
  </si>
  <si>
    <t>CCA</t>
  </si>
  <si>
    <t>Incremental Capital Adjustment</t>
  </si>
  <si>
    <t>Current Revenue Requirement</t>
  </si>
  <si>
    <t>Current Revenue Requirement - Total</t>
  </si>
  <si>
    <t>Incremental Capital</t>
  </si>
  <si>
    <t>G = D * E</t>
  </si>
  <si>
    <t>H = D * F</t>
  </si>
  <si>
    <t>K = G * I</t>
  </si>
  <si>
    <t>L = H * J</t>
  </si>
  <si>
    <t>Return on Rate Base - Interest</t>
  </si>
  <si>
    <t>M = K + L</t>
  </si>
  <si>
    <t>N</t>
  </si>
  <si>
    <t>P = D * N</t>
  </si>
  <si>
    <t>Return on Rate Base -Equity</t>
  </si>
  <si>
    <t>O</t>
  </si>
  <si>
    <t>Q = P * O</t>
  </si>
  <si>
    <t>Return on Rate Base - Total</t>
  </si>
  <si>
    <t>R = M + Q</t>
  </si>
  <si>
    <t>Amortization Expense - Incremental</t>
  </si>
  <si>
    <t>S</t>
  </si>
  <si>
    <t>Regulatory Taxable Income</t>
  </si>
  <si>
    <t xml:space="preserve">T </t>
  </si>
  <si>
    <t>Incremental Taxable Income</t>
  </si>
  <si>
    <t>W = T + U - V</t>
  </si>
  <si>
    <t>Current Tax Rate</t>
  </si>
  <si>
    <t>X</t>
  </si>
  <si>
    <t>Y = W * X</t>
  </si>
  <si>
    <t xml:space="preserve">Z = Y / ( 1 - X ) </t>
  </si>
  <si>
    <t>Incremental Capital CAPEX</t>
  </si>
  <si>
    <t>Less : Available Capital Exemption (if any)</t>
  </si>
  <si>
    <t>Incremental Capital CAPEX subject to OCT</t>
  </si>
  <si>
    <t>AC = AA - AB</t>
  </si>
  <si>
    <r>
      <t xml:space="preserve">Ontario Capital Tax Rate </t>
    </r>
    <r>
      <rPr>
        <sz val="8"/>
        <rFont val="Arial"/>
        <family val="2"/>
      </rPr>
      <t>(F1.1 Z-Factor Tax Changes)</t>
    </r>
  </si>
  <si>
    <t>AD</t>
  </si>
  <si>
    <t>Incremental Ontario Capital Tax</t>
  </si>
  <si>
    <t>AE = AC * AD</t>
  </si>
  <si>
    <t>Incremental Revenue Requirement</t>
  </si>
  <si>
    <t>Amortization Expense - Total</t>
  </si>
  <si>
    <t>AC</t>
  </si>
  <si>
    <t>AD = AA + AB + AC</t>
  </si>
  <si>
    <t>Calculation of incremental rate rider.  Choose one of the 3 options:</t>
  </si>
  <si>
    <t>Distribution Volumetric Rate % Revenue kWh</t>
  </si>
  <si>
    <t>Distribution Volumetric Rate % Revenue kW</t>
  </si>
  <si>
    <t>Distribution Volumetric Rate Revenue kWh</t>
  </si>
  <si>
    <t>Distribution Volumetric Rate Revenue kW</t>
  </si>
  <si>
    <t>Total Revenue by Rate Class</t>
  </si>
  <si>
    <t>Service Charge Rate Rider</t>
  </si>
  <si>
    <t>Distribution Volumetric Rate kWh Rate Rider</t>
  </si>
  <si>
    <t>Distribution Volumetric Rate kW Rate Rider</t>
  </si>
  <si>
    <t>From Sheet 8</t>
  </si>
  <si>
    <r>
      <t>Col C * Col I</t>
    </r>
    <r>
      <rPr>
        <b/>
        <vertAlign val="subscript"/>
        <sz val="10"/>
        <color theme="4"/>
        <rFont val="Calibri"/>
        <family val="2"/>
        <scheme val="minor"/>
      </rPr>
      <t>total</t>
    </r>
  </si>
  <si>
    <r>
      <t>Col  D* Col I</t>
    </r>
    <r>
      <rPr>
        <b/>
        <vertAlign val="subscript"/>
        <sz val="10"/>
        <color theme="4"/>
        <rFont val="Calibri"/>
        <family val="2"/>
        <scheme val="minor"/>
      </rPr>
      <t>total</t>
    </r>
  </si>
  <si>
    <r>
      <t>Col  E* Col I</t>
    </r>
    <r>
      <rPr>
        <b/>
        <vertAlign val="subscript"/>
        <sz val="10"/>
        <color theme="4"/>
        <rFont val="Calibri"/>
        <family val="2"/>
        <scheme val="minor"/>
      </rPr>
      <t>total</t>
    </r>
  </si>
  <si>
    <t>From Sheet 4</t>
  </si>
  <si>
    <t>Year 5</t>
  </si>
  <si>
    <t>Col F / Col K / 12</t>
  </si>
  <si>
    <t>Col G / Col L</t>
  </si>
  <si>
    <t>Col H / Col M</t>
  </si>
  <si>
    <t>Note:  As per the OEB's letter issued July 16, 2015 (EB-2012-0410), Residential Rates will be applied on a fixed basis only.</t>
  </si>
  <si>
    <t>ICM Approval</t>
  </si>
  <si>
    <t>Input the billing determinants associated with Alectra Utilities Corporation - Enersource Hydro Mississauga Inc. 2013 Board-Approved Distribution Revenues.  This sheet calculates the DENOMINATOR portion of the growth factor calculation.</t>
  </si>
  <si>
    <t>GENERAL SERVICE 50 TO 499 KW</t>
  </si>
  <si>
    <t>Alectra Utilities - Enersource Rate Zone</t>
  </si>
  <si>
    <t>Natalie Yeates, Director, Regulatory Affairs and Reporting</t>
  </si>
  <si>
    <t>natalie.yeates@alectrautilities.com</t>
  </si>
  <si>
    <t>905-798-2872</t>
  </si>
  <si>
    <t>This Workbook Model is protected by copyright and is being made available to you solely for the purpose of filing your ICM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
While this model has been provided in Excel format and is required to be filed with the applications, the onus remains on the applicant to ensure the accuracy of the data and the results.
*As per ACM/ICM policy, the middle cohort stretch factor is applied to all ACM/ICM applications.</t>
  </si>
  <si>
    <t>Rate Classes Revenue - Total  (Sheet 4)</t>
  </si>
  <si>
    <t>Identify ALL Proposed ACM and ICM projects and related CAPEX costs in the relevant years</t>
  </si>
  <si>
    <r>
      <t>CAPEX</t>
    </r>
    <r>
      <rPr>
        <b/>
        <vertAlign val="superscript"/>
        <sz val="11"/>
        <color theme="1"/>
        <rFont val="Calibri"/>
        <family val="2"/>
        <scheme val="minor"/>
      </rPr>
      <t>1</t>
    </r>
  </si>
  <si>
    <t>Total Cost of ACM/ICM Projects</t>
  </si>
  <si>
    <t>1.  For the Cost of Service Test Year, CAPEX refers to the CAPEX approved in the DSP. For subsequent Price CAP IR years, the CAPEX to be entered is the actual CAPEX. For the current Price Cap IR year, the CAPEX to be entered is the proposed CAPEX including any ICM/updated ACM project CAPEX for the year.</t>
  </si>
  <si>
    <t>Price Cap IR (Deferred Rebasing) (if necessary)</t>
  </si>
  <si>
    <t>Year 6</t>
  </si>
  <si>
    <t>Year 7</t>
  </si>
  <si>
    <t>Year 8</t>
  </si>
  <si>
    <t>Year 9</t>
  </si>
  <si>
    <t>Year 10</t>
  </si>
  <si>
    <t>Cable Injection and Cable Replacement</t>
  </si>
  <si>
    <t>Rate Year:</t>
  </si>
  <si>
    <t>Eligible Incremental Capital for ACM/ICM Recovery</t>
  </si>
  <si>
    <t>Total Claim</t>
  </si>
  <si>
    <t>Eligible for ACM/ICM</t>
  </si>
  <si>
    <t>(from Sheet 10b)</t>
  </si>
  <si>
    <t>Amount of Capital Projects Claimed</t>
  </si>
  <si>
    <t>ACM/ICM Incremental Revenue Requirement Based on Eligible Amount in Rate Year</t>
  </si>
  <si>
    <t>Depreciation Expense (prorated to Eligible Incremental Capital)</t>
  </si>
  <si>
    <t>Incremental Capital to be included in Rate Base (average NBV in year)</t>
  </si>
  <si>
    <t>D = B - C/2</t>
  </si>
  <si>
    <t>% of capital structure</t>
  </si>
  <si>
    <t>Deemed Short-Term Debt</t>
  </si>
  <si>
    <t>Deemed Long-Term Debt</t>
  </si>
  <si>
    <t>Rate (%)</t>
  </si>
  <si>
    <t>Short-Term Interest</t>
  </si>
  <si>
    <t>Long-Term Interest</t>
  </si>
  <si>
    <t>Grossed up Taxes/PILs</t>
  </si>
  <si>
    <t>Add Back Amortization Expense (Prorated to Eligible Incremental Capital)</t>
  </si>
  <si>
    <t>Deduct CCA (Prorated to Eligible Incremental Capital)</t>
  </si>
  <si>
    <t>Taxes/PILs Before Gross Up</t>
  </si>
  <si>
    <t>Grossed-Up Taxes/PILs</t>
  </si>
  <si>
    <t>Fixed and Variable Rate Riders</t>
  </si>
  <si>
    <t>From Sheet 10, E83</t>
  </si>
  <si>
    <t xml:space="preserve">This sheet is used to determine the applicant's most current allocation of revenues (after the most recent revenue to cost ratio adjustment, if applicable) to appropriately allocate the incremental revenue requirement to the classes.
</t>
  </si>
  <si>
    <t>EB-2023-0004</t>
  </si>
  <si>
    <t>Final Threshold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</si>
</sst>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00_-;\-&quot;$&quot;* #,##0.00_-;_-&quot;$&quot;* &quot;-&quot;??_-;_-@_-"/>
    <numFmt numFmtId="165" formatCode="&quot;$&quot;#,##0"/>
    <numFmt numFmtId="166" formatCode="_-&quot;$&quot;* #,##0_-;\-&quot;$&quot;* #,##0_-;_-&quot;$&quot;* &quot;-&quot;??_-;_-@_-"/>
    <numFmt numFmtId="167" formatCode="0.0%"/>
    <numFmt numFmtId="168" formatCode="[$-F800]dddd\,\ mmmm\ dd\,\ yyyy"/>
    <numFmt numFmtId="169" formatCode="#,###"/>
    <numFmt numFmtId="170" formatCode="0.0000"/>
    <numFmt numFmtId="171" formatCode="#,##0.0000"/>
    <numFmt numFmtId="172" formatCode="#,##0\ \ \ "/>
    <numFmt numFmtId="173" formatCode="0.0"/>
    <numFmt numFmtId="174" formatCode="_(&quot;$&quot;* #,##0_);_(&quot;$&quot;* \(#,##0\);_(&quot;$&quot;* &quot;-&quot;??_);_(@_)"/>
  </numFmts>
  <fonts count="59" x14ac:knownFonts="1">
    <font>
      <sz val="11"/>
      <color theme="1"/>
      <name val="Calibri"/>
      <family val="2"/>
      <scheme val="minor"/>
    </font>
    <font>
      <sz val="11"/>
      <color theme="1"/>
      <name val="Calibri"/>
      <family val="2"/>
      <scheme val="minor"/>
    </font>
    <font>
      <sz val="12"/>
      <name val="Arial"/>
      <family val="2"/>
    </font>
    <font>
      <b/>
      <sz val="14"/>
      <name val="Arial"/>
      <family val="2"/>
    </font>
    <font>
      <b/>
      <sz val="12"/>
      <name val="Arial"/>
      <family val="2"/>
    </font>
    <font>
      <b/>
      <sz val="18"/>
      <color rgb="FFFF0000"/>
      <name val="Arial"/>
      <family val="2"/>
    </font>
    <font>
      <b/>
      <sz val="20"/>
      <name val="Arial"/>
      <family val="2"/>
    </font>
    <font>
      <b/>
      <sz val="10"/>
      <name val="Arial"/>
      <family val="2"/>
    </font>
    <font>
      <sz val="12"/>
      <color theme="1"/>
      <name val="Arial"/>
      <family val="2"/>
    </font>
    <font>
      <b/>
      <sz val="12"/>
      <color theme="1"/>
      <name val="Arial"/>
      <family val="2"/>
    </font>
    <font>
      <b/>
      <i/>
      <sz val="12"/>
      <name val="Arial"/>
      <family val="2"/>
    </font>
    <font>
      <i/>
      <sz val="12"/>
      <name val="Times New Roman"/>
      <family val="1"/>
    </font>
    <font>
      <b/>
      <sz val="11"/>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Arial"/>
      <family val="2"/>
    </font>
    <font>
      <b/>
      <sz val="11"/>
      <color theme="1"/>
      <name val="Arial"/>
      <family val="2"/>
    </font>
    <font>
      <sz val="11"/>
      <color theme="1"/>
      <name val="Arial"/>
      <family val="2"/>
    </font>
    <font>
      <b/>
      <sz val="10"/>
      <color rgb="FFFF0000"/>
      <name val="Arial"/>
      <family val="2"/>
    </font>
    <font>
      <b/>
      <sz val="8"/>
      <name val="Arial"/>
      <family val="2"/>
    </font>
    <font>
      <b/>
      <sz val="11"/>
      <color theme="0"/>
      <name val="Arial"/>
      <family val="2"/>
    </font>
    <font>
      <b/>
      <u/>
      <sz val="10"/>
      <name val="Arial"/>
      <family val="2"/>
    </font>
    <font>
      <sz val="10"/>
      <name val="Arial"/>
      <family val="2"/>
    </font>
    <font>
      <b/>
      <i/>
      <sz val="9"/>
      <color theme="1"/>
      <name val="Calibri"/>
      <family val="2"/>
      <scheme val="minor"/>
    </font>
    <font>
      <b/>
      <sz val="11"/>
      <color theme="3"/>
      <name val="Arial"/>
      <family val="2"/>
    </font>
    <font>
      <b/>
      <u/>
      <sz val="11"/>
      <color theme="1"/>
      <name val="Arial"/>
      <family val="2"/>
    </font>
    <font>
      <sz val="10"/>
      <color theme="1"/>
      <name val="Arial"/>
      <family val="2"/>
    </font>
    <font>
      <b/>
      <sz val="12"/>
      <name val="Calibri"/>
      <family val="2"/>
      <scheme val="minor"/>
    </font>
    <font>
      <b/>
      <sz val="14"/>
      <color rgb="FFFF0000"/>
      <name val="Calibri"/>
      <family val="2"/>
      <scheme val="minor"/>
    </font>
    <font>
      <b/>
      <sz val="16"/>
      <color rgb="FFFF0000"/>
      <name val="Calibri"/>
      <family val="2"/>
      <scheme val="minor"/>
    </font>
    <font>
      <b/>
      <sz val="10"/>
      <name val="Calibri"/>
      <family val="2"/>
      <scheme val="minor"/>
    </font>
    <font>
      <b/>
      <sz val="16"/>
      <name val="Arial"/>
      <family val="2"/>
    </font>
    <font>
      <i/>
      <sz val="8"/>
      <name val="Arial"/>
      <family val="2"/>
    </font>
    <font>
      <b/>
      <sz val="16"/>
      <color rgb="FFFF0000"/>
      <name val="Arial"/>
      <family val="2"/>
    </font>
    <font>
      <sz val="12"/>
      <color indexed="9"/>
      <name val="Arial"/>
      <family val="2"/>
    </font>
    <font>
      <b/>
      <sz val="13"/>
      <color rgb="FFFF0000"/>
      <name val="Calibri"/>
      <family val="2"/>
      <scheme val="minor"/>
    </font>
    <font>
      <b/>
      <vertAlign val="subscript"/>
      <sz val="12"/>
      <name val="Calibri"/>
      <family val="2"/>
      <scheme val="minor"/>
    </font>
    <font>
      <b/>
      <i/>
      <sz val="11"/>
      <color theme="1"/>
      <name val="Calibri"/>
      <family val="2"/>
      <scheme val="minor"/>
    </font>
    <font>
      <b/>
      <sz val="14"/>
      <color theme="1"/>
      <name val="Arial"/>
      <family val="2"/>
    </font>
    <font>
      <sz val="8"/>
      <name val="Arial"/>
      <family val="2"/>
    </font>
    <font>
      <b/>
      <sz val="16"/>
      <color theme="1"/>
      <name val="Calibri"/>
      <family val="2"/>
      <scheme val="minor"/>
    </font>
    <font>
      <b/>
      <i/>
      <sz val="8"/>
      <color theme="4"/>
      <name val="Calibri"/>
      <family val="2"/>
      <scheme val="minor"/>
    </font>
    <font>
      <b/>
      <sz val="10"/>
      <color theme="4"/>
      <name val="Calibri"/>
      <family val="2"/>
      <scheme val="minor"/>
    </font>
    <font>
      <b/>
      <vertAlign val="subscript"/>
      <sz val="10"/>
      <color theme="4"/>
      <name val="Calibri"/>
      <family val="2"/>
      <scheme val="minor"/>
    </font>
    <font>
      <b/>
      <i/>
      <sz val="10"/>
      <color theme="4"/>
      <name val="Calibri"/>
      <family val="2"/>
      <scheme val="minor"/>
    </font>
    <font>
      <b/>
      <sz val="12"/>
      <color theme="4"/>
      <name val="Calibri"/>
      <family val="2"/>
      <scheme val="minor"/>
    </font>
    <font>
      <i/>
      <sz val="8"/>
      <color theme="1"/>
      <name val="Calibri"/>
      <family val="2"/>
      <scheme val="minor"/>
    </font>
    <font>
      <i/>
      <sz val="11"/>
      <color theme="1"/>
      <name val="Calibri"/>
      <family val="2"/>
      <scheme val="minor"/>
    </font>
    <font>
      <b/>
      <sz val="11"/>
      <name val="Calibri"/>
      <family val="2"/>
      <scheme val="minor"/>
    </font>
    <font>
      <u/>
      <sz val="11"/>
      <color theme="10"/>
      <name val="Calibri"/>
      <family val="2"/>
      <scheme val="minor"/>
    </font>
    <font>
      <b/>
      <i/>
      <sz val="8"/>
      <color theme="1"/>
      <name val="Arial"/>
      <family val="2"/>
    </font>
    <font>
      <sz val="12"/>
      <color theme="0"/>
      <name val="Arial"/>
      <family val="2"/>
    </font>
    <font>
      <b/>
      <vertAlign val="superscript"/>
      <sz val="11"/>
      <color theme="1"/>
      <name val="Calibri"/>
      <family val="2"/>
      <scheme val="minor"/>
    </font>
    <font>
      <b/>
      <i/>
      <sz val="11"/>
      <color rgb="FFFF0000"/>
      <name val="Calibri"/>
      <family val="2"/>
      <scheme val="minor"/>
    </font>
    <font>
      <b/>
      <sz val="13"/>
      <name val="Arial"/>
      <family val="2"/>
    </font>
    <font>
      <sz val="13"/>
      <color theme="1"/>
      <name val="Calibri"/>
      <family val="2"/>
      <scheme val="minor"/>
    </font>
    <font>
      <i/>
      <sz val="10"/>
      <color theme="1"/>
      <name val="Arial"/>
      <family val="2"/>
    </font>
    <font>
      <b/>
      <i/>
      <sz val="14"/>
      <color theme="1"/>
      <name val="Arial"/>
      <family val="2"/>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lightGray"/>
    </fill>
    <fill>
      <patternFill patternType="solid">
        <fgColor theme="8" tint="0.79998168889431442"/>
        <bgColor indexed="64"/>
      </patternFill>
    </fill>
    <fill>
      <patternFill patternType="solid">
        <fgColor theme="9" tint="0.39994506668294322"/>
        <bgColor indexed="64"/>
      </patternFill>
    </fill>
    <fill>
      <patternFill patternType="solid">
        <fgColor rgb="FFEBF1DE"/>
        <bgColor indexed="64"/>
      </patternFill>
    </fill>
    <fill>
      <patternFill patternType="solid">
        <fgColor rgb="FFDDDDDD"/>
        <bgColor indexed="64"/>
      </patternFill>
    </fill>
  </fills>
  <borders count="3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medium">
        <color theme="0"/>
      </right>
      <top/>
      <bottom style="medium">
        <color theme="0"/>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ck">
        <color theme="0" tint="-0.14993743705557422"/>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3" fillId="0" borderId="0"/>
    <xf numFmtId="0" fontId="50" fillId="0" borderId="0" applyNumberFormat="0" applyFill="0" applyBorder="0" applyAlignment="0" applyProtection="0"/>
    <xf numFmtId="164" fontId="1" fillId="0" borderId="0" applyFont="0" applyFill="0" applyBorder="0" applyAlignment="0" applyProtection="0"/>
  </cellStyleXfs>
  <cellXfs count="356">
    <xf numFmtId="0" fontId="0" fillId="0" borderId="0" xfId="0"/>
    <xf numFmtId="0" fontId="2" fillId="0" borderId="0" xfId="3" applyProtection="1"/>
    <xf numFmtId="0" fontId="2" fillId="0" borderId="0" xfId="3" applyProtection="1">
      <protection locked="0"/>
    </xf>
    <xf numFmtId="0" fontId="3" fillId="0" borderId="0" xfId="3" applyFont="1" applyProtection="1"/>
    <xf numFmtId="0" fontId="4" fillId="0" borderId="0" xfId="3" applyFont="1" applyAlignment="1" applyProtection="1">
      <alignment horizontal="left" indent="1"/>
    </xf>
    <xf numFmtId="0" fontId="6" fillId="0" borderId="0" xfId="3" applyFont="1" applyProtection="1"/>
    <xf numFmtId="0" fontId="4" fillId="0" borderId="0" xfId="3" applyFont="1" applyProtection="1"/>
    <xf numFmtId="0" fontId="2" fillId="2" borderId="0" xfId="3" applyFill="1" applyProtection="1"/>
    <xf numFmtId="0" fontId="4" fillId="3" borderId="0" xfId="3" applyFont="1" applyFill="1" applyProtection="1"/>
    <xf numFmtId="0" fontId="2" fillId="3" borderId="0" xfId="3" applyFill="1" applyProtection="1"/>
    <xf numFmtId="10" fontId="4" fillId="3" borderId="0" xfId="3" applyNumberFormat="1" applyFont="1" applyFill="1" applyAlignment="1" applyProtection="1">
      <alignment horizontal="center"/>
    </xf>
    <xf numFmtId="165" fontId="7" fillId="2" borderId="0" xfId="1" applyNumberFormat="1" applyFont="1" applyFill="1" applyAlignment="1" applyProtection="1">
      <alignment horizontal="center"/>
    </xf>
    <xf numFmtId="9" fontId="4" fillId="3" borderId="0" xfId="4" applyFont="1" applyFill="1" applyAlignment="1" applyProtection="1">
      <alignment horizontal="center"/>
    </xf>
    <xf numFmtId="166" fontId="8" fillId="2" borderId="0" xfId="5" applyNumberFormat="1" applyFont="1" applyFill="1" applyProtection="1"/>
    <xf numFmtId="0" fontId="2" fillId="0" borderId="0" xfId="3" applyAlignment="1" applyProtection="1">
      <alignment horizontal="left" indent="1"/>
    </xf>
    <xf numFmtId="166" fontId="8" fillId="2" borderId="1" xfId="5" applyNumberFormat="1" applyFont="1" applyFill="1" applyBorder="1" applyProtection="1"/>
    <xf numFmtId="0" fontId="2" fillId="0" borderId="0" xfId="3" applyAlignment="1" applyProtection="1">
      <alignment horizontal="left" indent="2"/>
    </xf>
    <xf numFmtId="0" fontId="2" fillId="2" borderId="0" xfId="3" applyFont="1" applyFill="1" applyProtection="1"/>
    <xf numFmtId="166" fontId="4" fillId="2" borderId="2" xfId="5" applyNumberFormat="1" applyFont="1" applyFill="1" applyBorder="1" applyProtection="1"/>
    <xf numFmtId="0" fontId="4" fillId="0" borderId="0" xfId="3" applyFont="1" applyAlignment="1" applyProtection="1">
      <alignment horizontal="right"/>
    </xf>
    <xf numFmtId="166" fontId="4" fillId="2" borderId="0" xfId="5" applyNumberFormat="1" applyFont="1" applyFill="1" applyProtection="1"/>
    <xf numFmtId="9" fontId="4" fillId="2" borderId="3" xfId="2" applyFont="1" applyFill="1" applyBorder="1" applyAlignment="1" applyProtection="1">
      <alignment horizontal="right"/>
    </xf>
    <xf numFmtId="0" fontId="4" fillId="0" borderId="0" xfId="3" applyFont="1" applyBorder="1" applyProtection="1"/>
    <xf numFmtId="0" fontId="2" fillId="0" borderId="0" xfId="3" applyFont="1" applyProtection="1"/>
    <xf numFmtId="166" fontId="8" fillId="2" borderId="3" xfId="5" applyNumberFormat="1" applyFont="1" applyFill="1" applyBorder="1" applyProtection="1"/>
    <xf numFmtId="166" fontId="9" fillId="2" borderId="4" xfId="5" applyNumberFormat="1" applyFont="1" applyFill="1" applyBorder="1" applyProtection="1"/>
    <xf numFmtId="0" fontId="10" fillId="0" borderId="0" xfId="3" applyFont="1" applyAlignment="1" applyProtection="1">
      <alignment vertical="top"/>
    </xf>
    <xf numFmtId="0" fontId="2" fillId="0" borderId="0" xfId="3" applyAlignment="1" applyProtection="1">
      <alignment wrapText="1"/>
    </xf>
    <xf numFmtId="167" fontId="8" fillId="2" borderId="0" xfId="4" applyNumberFormat="1" applyFont="1" applyFill="1" applyAlignment="1" applyProtection="1">
      <alignment horizontal="right"/>
    </xf>
    <xf numFmtId="167" fontId="4" fillId="2" borderId="4" xfId="2" applyNumberFormat="1" applyFont="1" applyFill="1" applyBorder="1" applyAlignment="1" applyProtection="1">
      <alignment horizontal="right"/>
    </xf>
    <xf numFmtId="0" fontId="0" fillId="0" borderId="0" xfId="0" applyProtection="1"/>
    <xf numFmtId="0" fontId="15" fillId="0" borderId="0" xfId="0" applyFont="1" applyAlignment="1" applyProtection="1">
      <alignment horizontal="center" vertical="center"/>
    </xf>
    <xf numFmtId="0" fontId="0" fillId="0" borderId="0" xfId="0" applyFill="1" applyProtection="1"/>
    <xf numFmtId="0" fontId="16" fillId="0" borderId="0" xfId="0" applyFont="1" applyProtection="1"/>
    <xf numFmtId="0" fontId="0" fillId="4" borderId="0" xfId="0" applyFill="1" applyAlignment="1" applyProtection="1">
      <alignment horizontal="left"/>
    </xf>
    <xf numFmtId="0" fontId="14" fillId="0" borderId="0" xfId="0" applyFont="1" applyProtection="1"/>
    <xf numFmtId="0" fontId="17" fillId="0" borderId="0" xfId="0" applyFont="1" applyAlignment="1" applyProtection="1">
      <alignment horizontal="right" vertical="center"/>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17" fillId="0" borderId="0" xfId="0" applyFont="1" applyAlignment="1" applyProtection="1">
      <alignment horizontal="right" vertical="center" indent="1"/>
    </xf>
    <xf numFmtId="0" fontId="18" fillId="0" borderId="0" xfId="0" applyFont="1" applyProtection="1"/>
    <xf numFmtId="168" fontId="0" fillId="0" borderId="0" xfId="0" applyNumberFormat="1" applyProtection="1"/>
    <xf numFmtId="0" fontId="18" fillId="0" borderId="0" xfId="0" applyFont="1" applyAlignment="1" applyProtection="1">
      <alignment horizontal="right" vertical="center"/>
    </xf>
    <xf numFmtId="0" fontId="17" fillId="0" borderId="0" xfId="0" applyFont="1" applyAlignment="1" applyProtection="1">
      <alignment horizontal="center" vertical="center" wrapText="1"/>
    </xf>
    <xf numFmtId="0" fontId="17" fillId="5" borderId="9" xfId="0" applyFont="1" applyFill="1" applyBorder="1" applyAlignment="1" applyProtection="1">
      <alignment horizontal="center" vertical="center"/>
      <protection locked="0"/>
    </xf>
    <xf numFmtId="0" fontId="17" fillId="0" borderId="0" xfId="0" applyFont="1" applyAlignment="1" applyProtection="1">
      <alignment horizontal="right" vertical="center" indent="2"/>
    </xf>
    <xf numFmtId="0" fontId="15" fillId="4" borderId="0" xfId="0" applyFont="1" applyFill="1" applyProtection="1"/>
    <xf numFmtId="0" fontId="21" fillId="4" borderId="0" xfId="0" applyFont="1" applyFill="1" applyAlignment="1" applyProtection="1">
      <alignment vertical="top" wrapText="1"/>
    </xf>
    <xf numFmtId="0" fontId="16" fillId="0" borderId="0" xfId="0" applyFont="1" applyAlignment="1" applyProtection="1">
      <alignment vertical="top" wrapText="1"/>
    </xf>
    <xf numFmtId="0" fontId="22" fillId="0" borderId="0" xfId="0" applyFont="1" applyProtection="1"/>
    <xf numFmtId="0" fontId="0" fillId="6" borderId="11" xfId="0" applyFill="1" applyBorder="1" applyProtection="1"/>
    <xf numFmtId="0" fontId="0" fillId="5" borderId="11" xfId="0" applyFill="1" applyBorder="1" applyProtection="1"/>
    <xf numFmtId="0" fontId="0" fillId="0" borderId="0" xfId="0" applyAlignment="1" applyProtection="1">
      <alignment wrapText="1"/>
    </xf>
    <xf numFmtId="0" fontId="0" fillId="0" borderId="11" xfId="0" applyBorder="1" applyProtection="1"/>
    <xf numFmtId="0" fontId="0" fillId="0" borderId="0" xfId="0" applyFill="1"/>
    <xf numFmtId="0" fontId="18" fillId="0" borderId="0" xfId="0" applyFont="1"/>
    <xf numFmtId="0" fontId="18" fillId="0" borderId="0" xfId="0" applyFont="1" applyFill="1"/>
    <xf numFmtId="0" fontId="18" fillId="0" borderId="0" xfId="0" applyFont="1" applyFill="1" applyBorder="1"/>
    <xf numFmtId="0" fontId="17" fillId="5" borderId="0" xfId="0" applyFont="1" applyFill="1" applyBorder="1" applyAlignment="1" applyProtection="1">
      <alignment horizontal="center"/>
      <protection locked="0"/>
    </xf>
    <xf numFmtId="0" fontId="17" fillId="0" borderId="0" xfId="0" applyFont="1" applyFill="1" applyBorder="1" applyAlignment="1">
      <alignment horizontal="right" vertical="center"/>
    </xf>
    <xf numFmtId="0" fontId="18" fillId="0" borderId="0" xfId="0" applyFont="1" applyFill="1" applyBorder="1" applyAlignment="1">
      <alignment horizontal="left" vertical="center"/>
    </xf>
    <xf numFmtId="0" fontId="0" fillId="0" borderId="0" xfId="0" applyFill="1" applyBorder="1"/>
    <xf numFmtId="0" fontId="0" fillId="0" borderId="0" xfId="0" applyFill="1" applyBorder="1" applyAlignment="1">
      <alignment horizontal="right" vertical="center"/>
    </xf>
    <xf numFmtId="0" fontId="0" fillId="0" borderId="0" xfId="0" applyFill="1" applyBorder="1" applyAlignment="1">
      <alignment vertical="center"/>
    </xf>
    <xf numFmtId="0" fontId="14" fillId="0" borderId="0" xfId="0" applyFont="1" applyFill="1" applyAlignment="1" applyProtection="1">
      <alignment horizontal="center" vertical="center"/>
      <protection locked="0"/>
    </xf>
    <xf numFmtId="0" fontId="14" fillId="0" borderId="0" xfId="0" applyFont="1" applyAlignment="1" applyProtection="1">
      <alignment horizontal="center" vertical="center"/>
      <protection locked="0"/>
    </xf>
    <xf numFmtId="0" fontId="27" fillId="0" borderId="16" xfId="0" applyFont="1" applyFill="1" applyBorder="1" applyAlignment="1" applyProtection="1">
      <protection locked="0"/>
    </xf>
    <xf numFmtId="0" fontId="27" fillId="0" borderId="17" xfId="0" applyFont="1" applyFill="1" applyBorder="1" applyAlignment="1" applyProtection="1">
      <protection locked="0"/>
    </xf>
    <xf numFmtId="0" fontId="27" fillId="0" borderId="18" xfId="0" applyFont="1" applyFill="1" applyBorder="1" applyAlignment="1" applyProtection="1">
      <protection locked="0"/>
    </xf>
    <xf numFmtId="0" fontId="27" fillId="0" borderId="13" xfId="0" applyFont="1" applyFill="1" applyBorder="1" applyAlignment="1" applyProtection="1">
      <alignment vertical="center"/>
      <protection locked="0"/>
    </xf>
    <xf numFmtId="0" fontId="27" fillId="0" borderId="14" xfId="0" applyFont="1" applyFill="1" applyBorder="1" applyAlignment="1" applyProtection="1">
      <alignment vertical="center"/>
      <protection locked="0"/>
    </xf>
    <xf numFmtId="0" fontId="27" fillId="0" borderId="15" xfId="0" applyFont="1" applyFill="1" applyBorder="1" applyAlignment="1" applyProtection="1">
      <alignment vertical="center"/>
      <protection locked="0"/>
    </xf>
    <xf numFmtId="0" fontId="27" fillId="0" borderId="13" xfId="0" applyFont="1" applyFill="1" applyBorder="1" applyAlignment="1" applyProtection="1">
      <protection locked="0"/>
    </xf>
    <xf numFmtId="0" fontId="27" fillId="0" borderId="14" xfId="0" applyFont="1" applyFill="1" applyBorder="1" applyAlignment="1" applyProtection="1">
      <protection locked="0"/>
    </xf>
    <xf numFmtId="0" fontId="27" fillId="0" borderId="15" xfId="0" applyFont="1" applyFill="1" applyBorder="1" applyAlignment="1" applyProtection="1">
      <protection locked="0"/>
    </xf>
    <xf numFmtId="0" fontId="0" fillId="0" borderId="0" xfId="0" applyProtection="1">
      <protection locked="0"/>
    </xf>
    <xf numFmtId="0" fontId="27" fillId="0" borderId="0" xfId="0" applyFont="1" applyFill="1" applyBorder="1" applyAlignment="1" applyProtection="1">
      <protection locked="0"/>
    </xf>
    <xf numFmtId="0" fontId="27" fillId="0" borderId="0" xfId="0" applyFont="1" applyFill="1" applyBorder="1" applyProtection="1">
      <protection locked="0"/>
    </xf>
    <xf numFmtId="0" fontId="27" fillId="0" borderId="0" xfId="0" applyFont="1" applyProtection="1">
      <protection locked="0"/>
    </xf>
    <xf numFmtId="0" fontId="0" fillId="0" borderId="0" xfId="0" applyFill="1" applyBorder="1" applyProtection="1">
      <protection locked="0"/>
    </xf>
    <xf numFmtId="0" fontId="0" fillId="0" borderId="0" xfId="0" applyFont="1" applyAlignment="1" applyProtection="1">
      <alignment horizontal="center" vertical="center"/>
    </xf>
    <xf numFmtId="0" fontId="28" fillId="0" borderId="0" xfId="0" applyFont="1" applyAlignment="1" applyProtection="1">
      <alignment horizontal="center" vertical="center" wrapText="1"/>
      <protection locked="0"/>
    </xf>
    <xf numFmtId="0" fontId="9" fillId="0" borderId="0" xfId="0" applyFont="1" applyProtection="1"/>
    <xf numFmtId="0" fontId="13" fillId="0" borderId="0" xfId="0" applyFont="1" applyProtection="1"/>
    <xf numFmtId="0" fontId="14" fillId="0" borderId="0" xfId="0" applyFont="1" applyAlignment="1" applyProtection="1">
      <alignment vertical="center"/>
    </xf>
    <xf numFmtId="0" fontId="28" fillId="0" borderId="0" xfId="0" applyFont="1" applyAlignment="1" applyProtection="1">
      <alignment horizontal="center" vertical="center" wrapText="1"/>
    </xf>
    <xf numFmtId="1" fontId="0" fillId="8" borderId="19" xfId="0" applyNumberFormat="1" applyFill="1" applyBorder="1" applyAlignment="1" applyProtection="1">
      <alignment horizontal="center" vertical="center"/>
      <protection locked="0"/>
    </xf>
    <xf numFmtId="169" fontId="0" fillId="9" borderId="18" xfId="0" applyNumberFormat="1" applyFill="1" applyBorder="1" applyProtection="1">
      <protection locked="0"/>
    </xf>
    <xf numFmtId="2" fontId="0" fillId="9" borderId="20" xfId="0" applyNumberFormat="1" applyFill="1" applyBorder="1" applyAlignment="1" applyProtection="1">
      <alignment horizontal="center" vertical="center"/>
      <protection locked="0"/>
    </xf>
    <xf numFmtId="170" fontId="0" fillId="9" borderId="20" xfId="0" applyNumberFormat="1" applyFill="1" applyBorder="1" applyAlignment="1" applyProtection="1">
      <alignment horizontal="center" vertical="center"/>
      <protection locked="0"/>
    </xf>
    <xf numFmtId="170" fontId="0" fillId="9" borderId="16" xfId="0" applyNumberFormat="1" applyFill="1" applyBorder="1" applyAlignment="1" applyProtection="1">
      <alignment horizontal="center" vertical="center"/>
      <protection locked="0"/>
    </xf>
    <xf numFmtId="1" fontId="0" fillId="8" borderId="21" xfId="0" applyNumberFormat="1" applyFill="1" applyBorder="1" applyAlignment="1" applyProtection="1">
      <alignment horizontal="center" vertical="center"/>
      <protection locked="0"/>
    </xf>
    <xf numFmtId="169" fontId="0" fillId="9" borderId="22" xfId="0" applyNumberFormat="1" applyFill="1" applyBorder="1" applyProtection="1">
      <protection locked="0"/>
    </xf>
    <xf numFmtId="170" fontId="0" fillId="9" borderId="22" xfId="0" applyNumberFormat="1" applyFill="1" applyBorder="1" applyAlignment="1" applyProtection="1">
      <alignment horizontal="center" vertical="center"/>
      <protection locked="0"/>
    </xf>
    <xf numFmtId="170" fontId="0" fillId="9" borderId="13"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9" fillId="0" borderId="0" xfId="0" applyFont="1"/>
    <xf numFmtId="0" fontId="28" fillId="2" borderId="0" xfId="0" applyFont="1" applyFill="1" applyAlignment="1" applyProtection="1">
      <alignment horizontal="left" wrapText="1"/>
    </xf>
    <xf numFmtId="0" fontId="28" fillId="0" borderId="0" xfId="0" applyFont="1" applyAlignment="1" applyProtection="1">
      <alignment horizontal="center" wrapText="1"/>
    </xf>
    <xf numFmtId="0" fontId="0" fillId="0" borderId="0" xfId="0" applyFont="1" applyAlignment="1">
      <alignment horizontal="center"/>
    </xf>
    <xf numFmtId="0" fontId="31" fillId="2" borderId="0" xfId="6" applyFont="1" applyFill="1" applyAlignment="1" applyProtection="1">
      <alignment horizontal="center"/>
    </xf>
    <xf numFmtId="0" fontId="0" fillId="0" borderId="0" xfId="0" applyFont="1"/>
    <xf numFmtId="0" fontId="0" fillId="0" borderId="3" xfId="0" applyBorder="1"/>
    <xf numFmtId="169" fontId="0" fillId="0" borderId="3" xfId="0" applyNumberFormat="1" applyBorder="1" applyAlignment="1">
      <alignment horizontal="center" vertical="center"/>
    </xf>
    <xf numFmtId="0" fontId="0" fillId="0" borderId="3" xfId="0" applyBorder="1" applyAlignment="1">
      <alignment horizontal="center" vertical="center"/>
    </xf>
    <xf numFmtId="4" fontId="0" fillId="0" borderId="3" xfId="0" applyNumberFormat="1" applyBorder="1" applyAlignment="1">
      <alignment horizontal="center" vertical="center"/>
    </xf>
    <xf numFmtId="171" fontId="0" fillId="0" borderId="3" xfId="0" applyNumberFormat="1" applyBorder="1" applyAlignment="1">
      <alignment horizontal="center" vertical="center"/>
    </xf>
    <xf numFmtId="3" fontId="0" fillId="0" borderId="3" xfId="0" applyNumberFormat="1" applyBorder="1"/>
    <xf numFmtId="167" fontId="0" fillId="0" borderId="3" xfId="0" applyNumberFormat="1" applyBorder="1" applyAlignment="1">
      <alignment horizontal="center" vertical="center"/>
    </xf>
    <xf numFmtId="0" fontId="0" fillId="0" borderId="1" xfId="0" applyBorder="1"/>
    <xf numFmtId="169" fontId="0" fillId="0" borderId="1" xfId="0" applyNumberForma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horizontal="center" vertical="center"/>
    </xf>
    <xf numFmtId="171" fontId="0" fillId="0" borderId="1" xfId="0" applyNumberFormat="1" applyBorder="1" applyAlignment="1">
      <alignment horizontal="center" vertical="center"/>
    </xf>
    <xf numFmtId="3" fontId="0" fillId="0" borderId="1" xfId="0" applyNumberFormat="1" applyBorder="1"/>
    <xf numFmtId="167" fontId="0" fillId="0" borderId="1" xfId="0" applyNumberFormat="1" applyBorder="1" applyAlignment="1">
      <alignment horizontal="center" vertical="center"/>
    </xf>
    <xf numFmtId="0" fontId="14" fillId="0" borderId="1" xfId="0" applyFont="1" applyBorder="1"/>
    <xf numFmtId="16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3" fontId="14" fillId="0" borderId="1" xfId="0" applyNumberFormat="1" applyFont="1" applyBorder="1"/>
    <xf numFmtId="167" fontId="14" fillId="0" borderId="1" xfId="0" applyNumberFormat="1" applyFont="1" applyBorder="1" applyAlignment="1">
      <alignment horizontal="center" vertical="center"/>
    </xf>
    <xf numFmtId="0" fontId="14" fillId="0" borderId="0" xfId="0" applyFont="1"/>
    <xf numFmtId="0" fontId="0" fillId="0" borderId="0" xfId="0" applyAlignment="1">
      <alignment horizontal="center" vertical="center"/>
    </xf>
    <xf numFmtId="0" fontId="2" fillId="0" borderId="0" xfId="3" applyAlignment="1" applyProtection="1">
      <alignment horizontal="center"/>
    </xf>
    <xf numFmtId="0" fontId="32" fillId="0" borderId="0" xfId="3" applyFont="1" applyBorder="1" applyAlignment="1" applyProtection="1">
      <alignment horizontal="left"/>
    </xf>
    <xf numFmtId="0" fontId="33" fillId="0" borderId="0" xfId="3" applyFont="1" applyProtection="1"/>
    <xf numFmtId="0" fontId="3" fillId="0" borderId="0" xfId="3" applyFont="1" applyBorder="1" applyAlignment="1" applyProtection="1">
      <alignment horizontal="left"/>
    </xf>
    <xf numFmtId="0" fontId="4" fillId="0" borderId="0" xfId="3" applyFont="1" applyBorder="1" applyAlignment="1" applyProtection="1">
      <alignment horizontal="center" wrapText="1"/>
    </xf>
    <xf numFmtId="166" fontId="2" fillId="6" borderId="0" xfId="5" applyNumberFormat="1" applyFill="1" applyProtection="1">
      <protection locked="0"/>
    </xf>
    <xf numFmtId="166" fontId="2" fillId="0" borderId="0" xfId="5" applyNumberFormat="1" applyFont="1" applyAlignment="1" applyProtection="1">
      <alignment horizontal="center"/>
    </xf>
    <xf numFmtId="166" fontId="2" fillId="0" borderId="0" xfId="5" applyNumberFormat="1" applyFont="1" applyProtection="1"/>
    <xf numFmtId="0" fontId="2" fillId="0" borderId="0" xfId="3" applyFont="1" applyAlignment="1" applyProtection="1">
      <alignment horizontal="center"/>
    </xf>
    <xf numFmtId="9" fontId="2" fillId="0" borderId="0" xfId="3" applyNumberFormat="1" applyFont="1" applyAlignment="1" applyProtection="1">
      <alignment horizontal="center"/>
    </xf>
    <xf numFmtId="166" fontId="2" fillId="2" borderId="0" xfId="5" applyNumberFormat="1" applyFont="1" applyFill="1" applyProtection="1"/>
    <xf numFmtId="166" fontId="2" fillId="0" borderId="0" xfId="3" applyNumberFormat="1" applyFont="1" applyBorder="1" applyAlignment="1" applyProtection="1">
      <alignment horizontal="center"/>
    </xf>
    <xf numFmtId="10" fontId="2" fillId="0" borderId="0" xfId="4" applyNumberFormat="1" applyFont="1" applyAlignment="1" applyProtection="1">
      <alignment horizontal="center"/>
    </xf>
    <xf numFmtId="0" fontId="35" fillId="0" borderId="0" xfId="3" applyFont="1" applyProtection="1"/>
    <xf numFmtId="166" fontId="2" fillId="0" borderId="0" xfId="5" applyNumberFormat="1" applyFont="1" applyBorder="1" applyAlignment="1" applyProtection="1">
      <alignment horizontal="center"/>
    </xf>
    <xf numFmtId="166" fontId="2" fillId="0" borderId="0" xfId="3" applyNumberFormat="1" applyFont="1" applyAlignment="1" applyProtection="1">
      <alignment horizontal="center"/>
    </xf>
    <xf numFmtId="167" fontId="2" fillId="6" borderId="0" xfId="4" applyNumberFormat="1" applyFill="1" applyAlignment="1" applyProtection="1">
      <alignment horizontal="center"/>
      <protection locked="0"/>
    </xf>
    <xf numFmtId="166" fontId="4" fillId="2" borderId="1" xfId="3" applyNumberFormat="1" applyFont="1" applyFill="1" applyBorder="1" applyProtection="1"/>
    <xf numFmtId="166" fontId="4" fillId="0" borderId="0" xfId="3" applyNumberFormat="1" applyFont="1" applyBorder="1" applyProtection="1"/>
    <xf numFmtId="10" fontId="2" fillId="2" borderId="0" xfId="4" applyNumberFormat="1" applyFont="1" applyFill="1" applyAlignment="1" applyProtection="1">
      <alignment horizontal="center"/>
    </xf>
    <xf numFmtId="10" fontId="2" fillId="6" borderId="0" xfId="4" applyNumberFormat="1" applyFill="1" applyAlignment="1" applyProtection="1">
      <alignment horizontal="center"/>
      <protection locked="0"/>
    </xf>
    <xf numFmtId="166" fontId="2" fillId="0" borderId="0" xfId="5" applyNumberFormat="1" applyFont="1" applyFill="1" applyBorder="1" applyAlignment="1" applyProtection="1">
      <alignment horizontal="center"/>
    </xf>
    <xf numFmtId="166" fontId="2" fillId="2" borderId="3" xfId="5" applyNumberFormat="1" applyFont="1" applyFill="1" applyBorder="1" applyProtection="1"/>
    <xf numFmtId="0" fontId="8" fillId="6" borderId="0" xfId="0" applyFont="1" applyFill="1" applyAlignment="1" applyProtection="1">
      <alignment horizontal="left" indent="1"/>
      <protection locked="0"/>
    </xf>
    <xf numFmtId="0" fontId="2" fillId="6" borderId="0" xfId="3" applyFont="1" applyFill="1" applyAlignment="1" applyProtection="1">
      <alignment horizontal="left" indent="1"/>
      <protection locked="0"/>
    </xf>
    <xf numFmtId="166" fontId="4" fillId="2" borderId="0" xfId="3" applyNumberFormat="1" applyFont="1" applyFill="1" applyProtection="1"/>
    <xf numFmtId="166" fontId="4" fillId="2" borderId="2" xfId="3" applyNumberFormat="1" applyFont="1" applyFill="1" applyBorder="1" applyProtection="1"/>
    <xf numFmtId="0" fontId="2" fillId="0" borderId="0" xfId="3" applyAlignment="1" applyProtection="1">
      <alignment horizontal="center"/>
      <protection locked="0"/>
    </xf>
    <xf numFmtId="172" fontId="0" fillId="0" borderId="3" xfId="0" applyNumberFormat="1" applyBorder="1"/>
    <xf numFmtId="169" fontId="0" fillId="9" borderId="1" xfId="0" applyNumberFormat="1" applyFill="1" applyBorder="1" applyAlignment="1" applyProtection="1">
      <alignment horizontal="center" vertical="center"/>
      <protection locked="0"/>
    </xf>
    <xf numFmtId="172" fontId="0" fillId="0" borderId="1" xfId="0" applyNumberFormat="1" applyBorder="1"/>
    <xf numFmtId="172" fontId="14" fillId="0" borderId="1" xfId="0" applyNumberFormat="1" applyFont="1" applyBorder="1"/>
    <xf numFmtId="10" fontId="0" fillId="0" borderId="3" xfId="0" applyNumberFormat="1" applyBorder="1" applyAlignment="1">
      <alignment horizontal="center" vertical="center"/>
    </xf>
    <xf numFmtId="10" fontId="0" fillId="0" borderId="1" xfId="0" applyNumberFormat="1" applyBorder="1" applyAlignment="1">
      <alignment horizontal="center" vertical="center"/>
    </xf>
    <xf numFmtId="0" fontId="9" fillId="0" borderId="0" xfId="0" applyFont="1" applyAlignment="1">
      <alignment horizontal="left" indent="1"/>
    </xf>
    <xf numFmtId="0" fontId="38" fillId="0" borderId="0" xfId="0" applyFont="1" applyAlignment="1">
      <alignment horizontal="center"/>
    </xf>
    <xf numFmtId="0" fontId="14" fillId="0" borderId="0" xfId="0" applyFont="1" applyAlignment="1">
      <alignment horizontal="right" indent="2"/>
    </xf>
    <xf numFmtId="0" fontId="0" fillId="11" borderId="4" xfId="0" applyFill="1" applyBorder="1"/>
    <xf numFmtId="0" fontId="14" fillId="0" borderId="0" xfId="0" applyFont="1" applyAlignment="1">
      <alignment horizontal="right" wrapText="1" indent="2"/>
    </xf>
    <xf numFmtId="166" fontId="0" fillId="0" borderId="0" xfId="0" applyNumberFormat="1"/>
    <xf numFmtId="166" fontId="0" fillId="0" borderId="4" xfId="0" applyNumberFormat="1" applyBorder="1"/>
    <xf numFmtId="0" fontId="0" fillId="0" borderId="0" xfId="0" applyAlignment="1">
      <alignment horizontal="center"/>
    </xf>
    <xf numFmtId="166" fontId="8" fillId="0" borderId="27" xfId="5" applyNumberFormat="1" applyFont="1" applyBorder="1" applyProtection="1"/>
    <xf numFmtId="166" fontId="8" fillId="2" borderId="28" xfId="5" applyNumberFormat="1" applyFont="1" applyFill="1" applyBorder="1" applyProtection="1"/>
    <xf numFmtId="166" fontId="8" fillId="2" borderId="30" xfId="5" applyNumberFormat="1" applyFont="1" applyFill="1" applyBorder="1" applyProtection="1"/>
    <xf numFmtId="166" fontId="8" fillId="2" borderId="27" xfId="5" applyNumberFormat="1" applyFont="1" applyFill="1" applyBorder="1" applyProtection="1"/>
    <xf numFmtId="166" fontId="8" fillId="2" borderId="31" xfId="5" applyNumberFormat="1" applyFont="1" applyFill="1" applyBorder="1" applyProtection="1"/>
    <xf numFmtId="167" fontId="18" fillId="2" borderId="0" xfId="4" applyNumberFormat="1" applyFont="1" applyFill="1" applyBorder="1" applyAlignment="1" applyProtection="1">
      <alignment horizontal="center"/>
    </xf>
    <xf numFmtId="10" fontId="18" fillId="2" borderId="0" xfId="4" applyNumberFormat="1" applyFont="1" applyFill="1" applyBorder="1" applyAlignment="1" applyProtection="1">
      <alignment horizontal="center"/>
    </xf>
    <xf numFmtId="166" fontId="8" fillId="0" borderId="0" xfId="5" applyNumberFormat="1" applyFont="1" applyProtection="1"/>
    <xf numFmtId="166" fontId="8" fillId="0" borderId="31" xfId="5" applyNumberFormat="1" applyFont="1" applyBorder="1" applyProtection="1"/>
    <xf numFmtId="167" fontId="18" fillId="6" borderId="0" xfId="4" applyNumberFormat="1" applyFont="1" applyFill="1" applyBorder="1" applyAlignment="1" applyProtection="1">
      <alignment horizontal="center"/>
      <protection locked="0"/>
    </xf>
    <xf numFmtId="166" fontId="8" fillId="0" borderId="30" xfId="5" applyNumberFormat="1" applyFont="1" applyBorder="1" applyProtection="1"/>
    <xf numFmtId="166" fontId="8" fillId="6" borderId="31" xfId="5" applyNumberFormat="1" applyFont="1" applyFill="1" applyBorder="1" applyProtection="1">
      <protection locked="0"/>
    </xf>
    <xf numFmtId="166" fontId="8" fillId="2" borderId="32" xfId="5" applyNumberFormat="1" applyFont="1" applyFill="1" applyBorder="1" applyProtection="1"/>
    <xf numFmtId="166" fontId="8" fillId="12" borderId="27" xfId="5" applyNumberFormat="1" applyFont="1" applyFill="1" applyBorder="1" applyProtection="1"/>
    <xf numFmtId="166" fontId="8" fillId="12" borderId="31" xfId="5" applyNumberFormat="1" applyFont="1" applyFill="1" applyBorder="1" applyProtection="1"/>
    <xf numFmtId="166" fontId="8" fillId="12" borderId="28" xfId="5" applyNumberFormat="1" applyFont="1" applyFill="1" applyBorder="1" applyProtection="1"/>
    <xf numFmtId="0" fontId="8" fillId="0" borderId="0" xfId="0" applyFont="1"/>
    <xf numFmtId="0" fontId="42" fillId="0" borderId="0" xfId="0" applyFont="1" applyAlignment="1" applyProtection="1">
      <alignment horizontal="center" wrapText="1"/>
    </xf>
    <xf numFmtId="0" fontId="43" fillId="0" borderId="0" xfId="0" applyFont="1" applyAlignment="1" applyProtection="1">
      <alignment horizontal="center" wrapText="1"/>
    </xf>
    <xf numFmtId="0" fontId="45" fillId="0" borderId="0" xfId="0" applyFont="1" applyAlignment="1" applyProtection="1">
      <alignment horizontal="center" wrapText="1"/>
    </xf>
    <xf numFmtId="0" fontId="46" fillId="0" borderId="0" xfId="0" applyFont="1" applyAlignment="1" applyProtection="1">
      <alignment horizontal="center" wrapText="1"/>
    </xf>
    <xf numFmtId="0" fontId="28" fillId="0" borderId="0" xfId="0" applyFont="1" applyAlignment="1" applyProtection="1">
      <alignment horizontal="center"/>
    </xf>
    <xf numFmtId="10" fontId="14"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169" fontId="0" fillId="13" borderId="0" xfId="0" applyNumberFormat="1" applyFill="1" applyAlignment="1">
      <alignment horizontal="center" vertical="center"/>
    </xf>
    <xf numFmtId="0" fontId="47" fillId="0" borderId="0" xfId="0" applyFont="1" applyAlignment="1">
      <alignment horizontal="center" vertical="center"/>
    </xf>
    <xf numFmtId="0" fontId="0" fillId="0" borderId="0" xfId="0" applyAlignment="1">
      <alignment horizontal="center" vertical="center"/>
    </xf>
    <xf numFmtId="3" fontId="0" fillId="0" borderId="3" xfId="0" applyNumberFormat="1" applyBorder="1" applyAlignment="1">
      <alignment horizontal="center" vertical="center"/>
    </xf>
    <xf numFmtId="2" fontId="0" fillId="0" borderId="3" xfId="0" applyNumberFormat="1" applyBorder="1" applyAlignment="1">
      <alignment horizontal="center" vertical="center"/>
    </xf>
    <xf numFmtId="170" fontId="0" fillId="0" borderId="3" xfId="0" applyNumberFormat="1" applyBorder="1" applyAlignment="1">
      <alignment horizontal="center" vertical="center"/>
    </xf>
    <xf numFmtId="0" fontId="48" fillId="0" borderId="0" xfId="0" applyFont="1"/>
    <xf numFmtId="2" fontId="0" fillId="0" borderId="1" xfId="0" applyNumberFormat="1" applyBorder="1" applyAlignment="1">
      <alignment horizontal="center" vertical="center"/>
    </xf>
    <xf numFmtId="170" fontId="0" fillId="0" borderId="1" xfId="0" applyNumberFormat="1" applyBorder="1" applyAlignment="1">
      <alignment horizontal="center" vertical="center"/>
    </xf>
    <xf numFmtId="0" fontId="17" fillId="0" borderId="0" xfId="0" applyFont="1" applyAlignment="1" applyProtection="1">
      <alignment horizontal="right" vertical="center" wrapText="1" indent="2"/>
    </xf>
    <xf numFmtId="0" fontId="4" fillId="0" borderId="0" xfId="3" applyFont="1" applyFill="1" applyAlignment="1" applyProtection="1">
      <alignment horizontal="center"/>
      <protection locked="0"/>
    </xf>
    <xf numFmtId="10" fontId="4" fillId="3" borderId="0" xfId="4" applyNumberFormat="1" applyFont="1" applyFill="1" applyAlignment="1" applyProtection="1">
      <alignment horizontal="center"/>
    </xf>
    <xf numFmtId="0" fontId="49" fillId="0" borderId="0" xfId="0" applyFont="1"/>
    <xf numFmtId="0" fontId="14" fillId="0" borderId="0" xfId="0" applyFont="1" applyAlignment="1">
      <alignment horizontal="center" vertical="center"/>
    </xf>
    <xf numFmtId="0" fontId="14" fillId="0" borderId="0" xfId="0" applyFont="1" applyAlignment="1">
      <alignment horizontal="center" vertical="center" wrapText="1"/>
    </xf>
    <xf numFmtId="0" fontId="17" fillId="14" borderId="9" xfId="0" applyFont="1" applyFill="1" applyBorder="1" applyAlignment="1" applyProtection="1">
      <alignment horizontal="center" vertical="center"/>
      <protection locked="0"/>
    </xf>
    <xf numFmtId="173" fontId="12" fillId="0" borderId="0" xfId="0" applyNumberFormat="1" applyFont="1" applyAlignment="1" applyProtection="1">
      <alignment horizontal="left"/>
    </xf>
    <xf numFmtId="0" fontId="30" fillId="0" borderId="0" xfId="0" applyFont="1" applyBorder="1" applyAlignment="1">
      <alignment vertical="center"/>
    </xf>
    <xf numFmtId="0" fontId="7" fillId="0" borderId="0" xfId="3" applyFont="1" applyAlignment="1">
      <alignment horizontal="left" vertical="center" wrapText="1" indent="3"/>
    </xf>
    <xf numFmtId="0" fontId="21" fillId="4" borderId="0" xfId="0" applyFont="1" applyFill="1" applyAlignment="1">
      <alignment vertical="top" wrapText="1"/>
    </xf>
    <xf numFmtId="0" fontId="52" fillId="0" borderId="0" xfId="3" applyFont="1" applyProtection="1"/>
    <xf numFmtId="166" fontId="0" fillId="6" borderId="4" xfId="8" applyNumberFormat="1" applyFont="1" applyFill="1" applyBorder="1" applyProtection="1">
      <protection locked="0"/>
    </xf>
    <xf numFmtId="166" fontId="0" fillId="0" borderId="4" xfId="8" applyNumberFormat="1" applyFont="1" applyBorder="1" applyProtection="1"/>
    <xf numFmtId="166" fontId="1" fillId="0" borderId="0" xfId="8" applyNumberFormat="1" applyFont="1" applyBorder="1" applyProtection="1"/>
    <xf numFmtId="0" fontId="14" fillId="6" borderId="4" xfId="0" applyFont="1" applyFill="1" applyBorder="1" applyAlignment="1" applyProtection="1">
      <alignment horizontal="left" vertical="top" wrapText="1"/>
      <protection locked="0"/>
    </xf>
    <xf numFmtId="0" fontId="14" fillId="5" borderId="4" xfId="0" applyFont="1" applyFill="1" applyBorder="1" applyAlignment="1" applyProtection="1">
      <alignment horizontal="center" vertical="center" wrapText="1"/>
      <protection locked="0"/>
    </xf>
    <xf numFmtId="166" fontId="0" fillId="0" borderId="0" xfId="8" applyNumberFormat="1" applyFont="1" applyBorder="1" applyProtection="1"/>
    <xf numFmtId="166" fontId="1" fillId="0" borderId="0" xfId="8" applyNumberFormat="1" applyFont="1" applyFill="1" applyBorder="1" applyProtection="1"/>
    <xf numFmtId="166" fontId="14" fillId="0" borderId="0" xfId="8" applyNumberFormat="1" applyFont="1" applyFill="1" applyBorder="1" applyAlignment="1" applyProtection="1">
      <alignment horizontal="left" vertical="top" wrapText="1"/>
    </xf>
    <xf numFmtId="166" fontId="0" fillId="0" borderId="0" xfId="8" applyNumberFormat="1" applyFont="1" applyFill="1" applyBorder="1" applyProtection="1"/>
    <xf numFmtId="0" fontId="14" fillId="0" borderId="0" xfId="0" applyNumberFormat="1" applyFont="1" applyAlignment="1">
      <alignment horizontal="center" vertical="center"/>
    </xf>
    <xf numFmtId="2" fontId="0" fillId="0" borderId="3" xfId="0" applyNumberFormat="1" applyFill="1" applyBorder="1" applyAlignment="1" applyProtection="1">
      <alignment horizontal="center" vertical="center"/>
      <protection locked="0"/>
    </xf>
    <xf numFmtId="170" fontId="0" fillId="0" borderId="3" xfId="0" applyNumberFormat="1" applyFill="1" applyBorder="1" applyAlignment="1" applyProtection="1">
      <alignment horizontal="center" vertical="center"/>
      <protection locked="0"/>
    </xf>
    <xf numFmtId="2" fontId="0" fillId="0" borderId="1" xfId="0" applyNumberFormat="1" applyFill="1" applyBorder="1" applyAlignment="1" applyProtection="1">
      <alignment horizontal="center" vertical="center"/>
      <protection locked="0"/>
    </xf>
    <xf numFmtId="170" fontId="0" fillId="0" borderId="1" xfId="0" applyNumberFormat="1" applyFill="1" applyBorder="1" applyAlignment="1" applyProtection="1">
      <alignment horizontal="center" vertical="center"/>
      <protection locked="0"/>
    </xf>
    <xf numFmtId="0" fontId="39" fillId="0" borderId="0" xfId="0" applyFont="1"/>
    <xf numFmtId="0" fontId="55" fillId="0" borderId="0" xfId="0" applyFont="1" applyAlignment="1">
      <alignment horizontal="right"/>
    </xf>
    <xf numFmtId="0" fontId="56" fillId="0" borderId="0" xfId="0" applyFont="1"/>
    <xf numFmtId="0" fontId="36" fillId="0" borderId="0" xfId="0" applyFont="1" applyAlignment="1">
      <alignment horizontal="right"/>
    </xf>
    <xf numFmtId="0" fontId="6" fillId="0" borderId="0" xfId="0" applyFont="1"/>
    <xf numFmtId="0" fontId="18" fillId="0" borderId="0" xfId="0" applyFont="1" applyAlignment="1">
      <alignment vertical="top"/>
    </xf>
    <xf numFmtId="0" fontId="3" fillId="0" borderId="24" xfId="0" applyFont="1" applyBorder="1" applyAlignment="1">
      <alignment horizontal="left"/>
    </xf>
    <xf numFmtId="0" fontId="0" fillId="0" borderId="25" xfId="0" applyBorder="1"/>
    <xf numFmtId="0" fontId="18" fillId="0" borderId="26" xfId="0" applyFont="1" applyBorder="1"/>
    <xf numFmtId="0" fontId="0" fillId="0" borderId="26" xfId="0" applyBorder="1"/>
    <xf numFmtId="0" fontId="4" fillId="0" borderId="0" xfId="0" applyFont="1" applyAlignment="1">
      <alignment horizontal="center"/>
    </xf>
    <xf numFmtId="0" fontId="18" fillId="0" borderId="12" xfId="0" applyFont="1" applyBorder="1"/>
    <xf numFmtId="0" fontId="18" fillId="2" borderId="0" xfId="0" applyFont="1" applyFill="1"/>
    <xf numFmtId="0" fontId="0" fillId="2" borderId="0" xfId="0" applyFill="1"/>
    <xf numFmtId="0" fontId="0" fillId="0" borderId="29" xfId="0" applyBorder="1"/>
    <xf numFmtId="0" fontId="18" fillId="2" borderId="10" xfId="0" applyFont="1" applyFill="1" applyBorder="1"/>
    <xf numFmtId="0" fontId="0" fillId="2" borderId="10" xfId="0" applyFill="1" applyBorder="1"/>
    <xf numFmtId="166" fontId="8" fillId="2" borderId="0" xfId="5" applyNumberFormat="1" applyFont="1" applyFill="1" applyBorder="1" applyProtection="1"/>
    <xf numFmtId="0" fontId="39" fillId="0" borderId="34" xfId="0" applyFont="1" applyBorder="1"/>
    <xf numFmtId="0" fontId="18" fillId="2" borderId="36" xfId="0" applyFont="1" applyFill="1" applyBorder="1"/>
    <xf numFmtId="0" fontId="17" fillId="2" borderId="26" xfId="0" applyFont="1" applyFill="1" applyBorder="1"/>
    <xf numFmtId="0" fontId="14" fillId="2" borderId="26" xfId="0" applyFont="1" applyFill="1" applyBorder="1"/>
    <xf numFmtId="166" fontId="17" fillId="2" borderId="27" xfId="5" applyNumberFormat="1" applyFont="1" applyFill="1" applyBorder="1" applyProtection="1"/>
    <xf numFmtId="0" fontId="0" fillId="0" borderId="12" xfId="0" applyBorder="1"/>
    <xf numFmtId="0" fontId="17" fillId="2" borderId="0" xfId="0" applyFont="1" applyFill="1"/>
    <xf numFmtId="0" fontId="14" fillId="2" borderId="0" xfId="0" applyFont="1" applyFill="1"/>
    <xf numFmtId="166" fontId="17" fillId="2" borderId="31" xfId="5" applyNumberFormat="1" applyFont="1" applyFill="1" applyBorder="1" applyProtection="1"/>
    <xf numFmtId="0" fontId="4" fillId="0" borderId="12" xfId="0" applyFont="1" applyBorder="1" applyAlignment="1">
      <alignment horizontal="center"/>
    </xf>
    <xf numFmtId="0" fontId="18" fillId="0" borderId="29" xfId="0" applyFont="1" applyBorder="1"/>
    <xf numFmtId="166" fontId="8" fillId="2" borderId="10" xfId="5" applyNumberFormat="1" applyFont="1" applyFill="1" applyBorder="1" applyProtection="1"/>
    <xf numFmtId="0" fontId="3" fillId="0" borderId="11" xfId="0" applyFont="1" applyBorder="1" applyAlignment="1">
      <alignment horizontal="left"/>
    </xf>
    <xf numFmtId="0" fontId="18" fillId="2" borderId="26" xfId="0" applyFont="1" applyFill="1" applyBorder="1"/>
    <xf numFmtId="0" fontId="0" fillId="2" borderId="26" xfId="0" applyFill="1" applyBorder="1"/>
    <xf numFmtId="0" fontId="4" fillId="2" borderId="0" xfId="0" applyFont="1" applyFill="1" applyAlignment="1">
      <alignment horizontal="center"/>
    </xf>
    <xf numFmtId="174" fontId="8" fillId="2" borderId="28" xfId="5" applyNumberFormat="1" applyFont="1" applyFill="1" applyBorder="1" applyProtection="1"/>
    <xf numFmtId="0" fontId="57" fillId="2" borderId="0" xfId="0" quotePrefix="1" applyFont="1" applyFill="1" applyAlignment="1">
      <alignment horizontal="center" vertical="center" wrapText="1"/>
    </xf>
    <xf numFmtId="0" fontId="57" fillId="2" borderId="0" xfId="0" applyFont="1" applyFill="1" applyAlignment="1">
      <alignment horizontal="center"/>
    </xf>
    <xf numFmtId="0" fontId="57" fillId="2" borderId="0" xfId="0" applyFont="1" applyFill="1" applyAlignment="1">
      <alignment horizontal="center" vertical="center" wrapText="1"/>
    </xf>
    <xf numFmtId="0" fontId="57" fillId="2" borderId="0" xfId="0" applyFont="1" applyFill="1" applyAlignment="1">
      <alignment horizontal="center" vertical="center"/>
    </xf>
    <xf numFmtId="0" fontId="3" fillId="0" borderId="12" xfId="0" applyFont="1" applyBorder="1" applyAlignment="1">
      <alignment horizontal="left"/>
    </xf>
    <xf numFmtId="0" fontId="18" fillId="0" borderId="10" xfId="0" applyFont="1" applyBorder="1"/>
    <xf numFmtId="0" fontId="0" fillId="0" borderId="10" xfId="0" applyBorder="1"/>
    <xf numFmtId="0" fontId="3" fillId="0" borderId="25" xfId="0" applyFont="1" applyBorder="1" applyAlignment="1">
      <alignment horizontal="left"/>
    </xf>
    <xf numFmtId="0" fontId="40" fillId="0" borderId="12" xfId="0" applyFont="1" applyBorder="1"/>
    <xf numFmtId="0" fontId="18" fillId="0" borderId="25" xfId="0" applyFont="1" applyBorder="1"/>
    <xf numFmtId="0" fontId="4" fillId="0" borderId="26" xfId="0" applyFont="1" applyBorder="1" applyAlignment="1">
      <alignment horizontal="center"/>
    </xf>
    <xf numFmtId="0" fontId="28" fillId="0" borderId="0" xfId="0" applyFont="1" applyAlignment="1">
      <alignment horizontal="left" wrapText="1"/>
    </xf>
    <xf numFmtId="0" fontId="28" fillId="0" borderId="0" xfId="0" applyFont="1" applyAlignment="1">
      <alignment horizontal="center" wrapText="1"/>
    </xf>
    <xf numFmtId="1" fontId="0" fillId="0" borderId="20" xfId="0" applyNumberFormat="1" applyBorder="1"/>
    <xf numFmtId="1" fontId="0" fillId="0" borderId="22" xfId="0" applyNumberFormat="1" applyBorder="1"/>
    <xf numFmtId="1" fontId="0" fillId="0" borderId="23" xfId="0" applyNumberFormat="1" applyBorder="1"/>
    <xf numFmtId="0" fontId="17" fillId="4" borderId="5" xfId="0" applyNumberFormat="1" applyFont="1" applyFill="1" applyBorder="1" applyAlignment="1" applyProtection="1">
      <alignment horizontal="center" vertical="center"/>
      <protection locked="0"/>
    </xf>
    <xf numFmtId="0" fontId="17" fillId="4" borderId="6" xfId="0" applyNumberFormat="1" applyFont="1" applyFill="1" applyBorder="1" applyAlignment="1" applyProtection="1">
      <alignment horizontal="center" vertical="center"/>
      <protection locked="0"/>
    </xf>
    <xf numFmtId="0" fontId="17" fillId="4" borderId="7" xfId="0" applyNumberFormat="1" applyFont="1" applyFill="1" applyBorder="1" applyAlignment="1" applyProtection="1">
      <alignment horizontal="center" vertical="center"/>
      <protection locked="0"/>
    </xf>
    <xf numFmtId="0" fontId="24" fillId="0" borderId="0" xfId="0" applyFont="1" applyFill="1" applyAlignment="1" applyProtection="1">
      <alignment horizontal="left" wrapText="1"/>
    </xf>
    <xf numFmtId="10" fontId="17" fillId="6" borderId="5" xfId="0" applyNumberFormat="1" applyFont="1" applyFill="1" applyBorder="1" applyAlignment="1" applyProtection="1">
      <alignment horizontal="center" vertical="center"/>
      <protection locked="0"/>
    </xf>
    <xf numFmtId="10" fontId="17" fillId="6" borderId="6" xfId="0" applyNumberFormat="1" applyFont="1" applyFill="1" applyBorder="1" applyAlignment="1" applyProtection="1">
      <alignment horizontal="center" vertical="center"/>
      <protection locked="0"/>
    </xf>
    <xf numFmtId="10" fontId="17" fillId="6" borderId="7" xfId="0" applyNumberFormat="1" applyFont="1" applyFill="1" applyBorder="1" applyAlignment="1" applyProtection="1">
      <alignment horizontal="center" vertical="center"/>
      <protection locked="0"/>
    </xf>
    <xf numFmtId="10" fontId="17" fillId="4" borderId="5" xfId="0" applyNumberFormat="1" applyFont="1" applyFill="1" applyBorder="1" applyAlignment="1" applyProtection="1">
      <alignment horizontal="center" vertical="center"/>
    </xf>
    <xf numFmtId="10" fontId="17" fillId="4" borderId="6" xfId="0" applyNumberFormat="1" applyFont="1" applyFill="1" applyBorder="1" applyAlignment="1" applyProtection="1">
      <alignment horizontal="center" vertical="center"/>
    </xf>
    <xf numFmtId="10" fontId="17" fillId="4" borderId="7" xfId="0" applyNumberFormat="1" applyFont="1" applyFill="1" applyBorder="1" applyAlignment="1" applyProtection="1">
      <alignment horizontal="center" vertical="center"/>
    </xf>
    <xf numFmtId="0" fontId="19" fillId="0" borderId="0" xfId="0" applyFont="1" applyAlignment="1" applyProtection="1">
      <alignment horizontal="left" vertical="top" wrapText="1"/>
    </xf>
    <xf numFmtId="0" fontId="20" fillId="0" borderId="10" xfId="0" applyFont="1" applyBorder="1" applyAlignment="1">
      <alignment horizontal="center" vertical="center" wrapText="1"/>
    </xf>
    <xf numFmtId="0" fontId="21" fillId="4" borderId="0" xfId="0" applyFont="1" applyFill="1" applyAlignment="1" applyProtection="1">
      <alignment horizontal="left" vertical="top" wrapText="1"/>
    </xf>
    <xf numFmtId="0" fontId="20" fillId="0" borderId="0" xfId="0" applyFont="1" applyAlignment="1">
      <alignment horizontal="center" vertical="center" wrapText="1"/>
    </xf>
    <xf numFmtId="0" fontId="0" fillId="0" borderId="0" xfId="0" applyAlignment="1" applyProtection="1">
      <alignment horizontal="left"/>
    </xf>
    <xf numFmtId="0" fontId="23" fillId="0" borderId="12" xfId="0" applyFont="1" applyBorder="1" applyAlignment="1" applyProtection="1">
      <alignment horizontal="left" vertical="top" wrapText="1"/>
    </xf>
    <xf numFmtId="0" fontId="23" fillId="0" borderId="0" xfId="0" applyFont="1" applyBorder="1" applyAlignment="1" applyProtection="1">
      <alignment horizontal="left" vertical="top" wrapText="1"/>
    </xf>
    <xf numFmtId="0" fontId="23" fillId="0" borderId="0" xfId="0" applyFont="1" applyAlignment="1" applyProtection="1">
      <alignment horizontal="left" wrapText="1"/>
    </xf>
    <xf numFmtId="0" fontId="0" fillId="0" borderId="0" xfId="0" applyAlignment="1" applyProtection="1">
      <alignment horizontal="left" wrapText="1"/>
    </xf>
    <xf numFmtId="0" fontId="17" fillId="0" borderId="0" xfId="0" applyFont="1" applyAlignment="1">
      <alignment horizontal="right" vertical="center" wrapText="1" indent="2"/>
    </xf>
    <xf numFmtId="0" fontId="17" fillId="0" borderId="33" xfId="0" applyFont="1" applyBorder="1" applyAlignment="1">
      <alignment horizontal="right" vertical="center" wrapText="1" indent="2"/>
    </xf>
    <xf numFmtId="0" fontId="51" fillId="0" borderId="0" xfId="0" applyFont="1" applyAlignment="1">
      <alignment horizontal="left" vertical="top" wrapText="1"/>
    </xf>
    <xf numFmtId="0" fontId="51" fillId="0" borderId="0" xfId="0" applyFont="1" applyAlignment="1">
      <alignment horizontal="left" vertical="center" wrapText="1"/>
    </xf>
    <xf numFmtId="0" fontId="50" fillId="14" borderId="5" xfId="7" applyNumberFormat="1" applyFill="1" applyBorder="1" applyAlignment="1" applyProtection="1">
      <alignment horizontal="left" vertical="center"/>
      <protection locked="0"/>
    </xf>
    <xf numFmtId="0" fontId="50" fillId="14" borderId="6" xfId="7" applyNumberFormat="1" applyFill="1" applyBorder="1" applyAlignment="1" applyProtection="1">
      <alignment horizontal="left" vertical="center"/>
      <protection locked="0"/>
    </xf>
    <xf numFmtId="0" fontId="50" fillId="14" borderId="7" xfId="7" applyNumberFormat="1" applyFill="1" applyBorder="1" applyAlignment="1" applyProtection="1">
      <alignment horizontal="left" vertical="center"/>
      <protection locked="0"/>
    </xf>
    <xf numFmtId="0" fontId="18" fillId="5" borderId="5" xfId="0" applyFont="1" applyFill="1" applyBorder="1" applyAlignment="1" applyProtection="1">
      <alignment horizontal="left" vertical="center" wrapText="1"/>
      <protection locked="0"/>
    </xf>
    <xf numFmtId="0" fontId="18" fillId="5" borderId="6" xfId="0" applyFont="1" applyFill="1" applyBorder="1" applyAlignment="1" applyProtection="1">
      <alignment horizontal="left" vertical="center" wrapText="1"/>
      <protection locked="0"/>
    </xf>
    <xf numFmtId="0" fontId="18" fillId="5" borderId="7" xfId="0" applyFont="1" applyFill="1" applyBorder="1" applyAlignment="1" applyProtection="1">
      <alignment horizontal="left" vertical="center" wrapText="1"/>
      <protection locked="0"/>
    </xf>
    <xf numFmtId="0" fontId="18" fillId="14" borderId="5" xfId="0" applyFont="1" applyFill="1" applyBorder="1" applyAlignment="1" applyProtection="1">
      <alignment horizontal="left" vertical="center"/>
      <protection locked="0"/>
    </xf>
    <xf numFmtId="0" fontId="18" fillId="14" borderId="6" xfId="0" applyFont="1" applyFill="1" applyBorder="1" applyAlignment="1" applyProtection="1">
      <alignment horizontal="left" vertical="center"/>
      <protection locked="0"/>
    </xf>
    <xf numFmtId="0" fontId="18" fillId="14" borderId="7" xfId="0" applyFont="1" applyFill="1" applyBorder="1" applyAlignment="1" applyProtection="1">
      <alignment horizontal="left" vertical="center"/>
      <protection locked="0"/>
    </xf>
    <xf numFmtId="0" fontId="17" fillId="0" borderId="0" xfId="0" applyFont="1" applyAlignment="1" applyProtection="1">
      <alignment horizontal="right" vertical="center" wrapText="1" indent="2"/>
    </xf>
    <xf numFmtId="0" fontId="17" fillId="0" borderId="8" xfId="0" applyFont="1" applyBorder="1" applyAlignment="1" applyProtection="1">
      <alignment horizontal="right" vertical="center" wrapText="1" indent="2"/>
    </xf>
    <xf numFmtId="0" fontId="17" fillId="4" borderId="5" xfId="0" applyNumberFormat="1" applyFont="1" applyFill="1" applyBorder="1" applyAlignment="1" applyProtection="1">
      <alignment horizontal="center" vertical="center"/>
    </xf>
    <xf numFmtId="0" fontId="17" fillId="4" borderId="6" xfId="0" applyNumberFormat="1" applyFont="1" applyFill="1" applyBorder="1" applyAlignment="1" applyProtection="1">
      <alignment horizontal="center" vertical="center"/>
    </xf>
    <xf numFmtId="0" fontId="17" fillId="4" borderId="7" xfId="0" applyNumberFormat="1" applyFont="1" applyFill="1" applyBorder="1" applyAlignment="1" applyProtection="1">
      <alignment horizontal="center" vertical="center"/>
    </xf>
    <xf numFmtId="0" fontId="17" fillId="5" borderId="5" xfId="0" applyNumberFormat="1" applyFont="1" applyFill="1" applyBorder="1" applyAlignment="1" applyProtection="1">
      <alignment horizontal="center" vertical="center"/>
      <protection locked="0"/>
    </xf>
    <xf numFmtId="0" fontId="17" fillId="5" borderId="6" xfId="0" applyNumberFormat="1" applyFont="1" applyFill="1" applyBorder="1" applyAlignment="1" applyProtection="1">
      <alignment horizontal="center" vertical="center"/>
      <protection locked="0"/>
    </xf>
    <xf numFmtId="0" fontId="17" fillId="5" borderId="7" xfId="0" applyNumberFormat="1" applyFont="1" applyFill="1" applyBorder="1" applyAlignment="1" applyProtection="1">
      <alignment horizontal="center" vertical="center"/>
      <protection locked="0"/>
    </xf>
    <xf numFmtId="0" fontId="17" fillId="0" borderId="0" xfId="0" applyFont="1" applyBorder="1" applyAlignment="1" applyProtection="1">
      <alignment horizontal="right" vertical="center" wrapText="1" indent="2"/>
    </xf>
    <xf numFmtId="0" fontId="27" fillId="8" borderId="13" xfId="0" applyFont="1" applyFill="1" applyBorder="1" applyAlignment="1" applyProtection="1">
      <protection locked="0"/>
    </xf>
    <xf numFmtId="0" fontId="27" fillId="8" borderId="14" xfId="0" applyFont="1" applyFill="1" applyBorder="1" applyAlignment="1" applyProtection="1">
      <protection locked="0"/>
    </xf>
    <xf numFmtId="0" fontId="27" fillId="8" borderId="15" xfId="0" applyFont="1" applyFill="1" applyBorder="1" applyAlignment="1" applyProtection="1">
      <protection locked="0"/>
    </xf>
    <xf numFmtId="0" fontId="27" fillId="8" borderId="13" xfId="0" applyFont="1" applyFill="1" applyBorder="1" applyAlignment="1" applyProtection="1">
      <alignment vertical="center"/>
      <protection locked="0"/>
    </xf>
    <xf numFmtId="0" fontId="27" fillId="8" borderId="14" xfId="0" applyFont="1" applyFill="1" applyBorder="1" applyAlignment="1" applyProtection="1">
      <alignment vertical="center"/>
      <protection locked="0"/>
    </xf>
    <xf numFmtId="0" fontId="27" fillId="8" borderId="15" xfId="0" applyFont="1" applyFill="1" applyBorder="1" applyAlignment="1" applyProtection="1">
      <alignment vertical="center"/>
      <protection locked="0"/>
    </xf>
    <xf numFmtId="49" fontId="17" fillId="0" borderId="0" xfId="0" applyNumberFormat="1" applyFont="1" applyAlignment="1">
      <alignment horizontal="left" vertical="top" wrapText="1"/>
    </xf>
    <xf numFmtId="0" fontId="14" fillId="0" borderId="0" xfId="0" applyFont="1" applyFill="1" applyBorder="1" applyAlignment="1">
      <alignment horizontal="left" vertical="center"/>
    </xf>
    <xf numFmtId="0" fontId="9" fillId="0" borderId="0" xfId="0" applyFont="1" applyAlignment="1" applyProtection="1">
      <alignment horizontal="left" vertical="top" wrapText="1"/>
    </xf>
    <xf numFmtId="0" fontId="29" fillId="0" borderId="10" xfId="0" applyFont="1" applyBorder="1" applyAlignment="1" applyProtection="1">
      <alignment horizontal="center" vertical="center"/>
    </xf>
    <xf numFmtId="0" fontId="30" fillId="0" borderId="10" xfId="0" applyFont="1" applyBorder="1" applyAlignment="1">
      <alignment horizontal="center" vertical="center"/>
    </xf>
    <xf numFmtId="0" fontId="36" fillId="0" borderId="10" xfId="0" applyFont="1" applyBorder="1" applyAlignment="1">
      <alignment horizontal="center" vertical="center"/>
    </xf>
    <xf numFmtId="0" fontId="34" fillId="0" borderId="10" xfId="3" applyFont="1" applyBorder="1" applyAlignment="1">
      <alignment horizontal="center" wrapText="1"/>
    </xf>
    <xf numFmtId="0" fontId="36" fillId="0" borderId="10" xfId="0" quotePrefix="1" applyFont="1" applyBorder="1" applyAlignment="1">
      <alignment horizontal="center" vertical="center" wrapText="1"/>
    </xf>
    <xf numFmtId="0" fontId="36" fillId="0" borderId="10" xfId="0" quotePrefix="1" applyFont="1" applyBorder="1" applyAlignment="1">
      <alignment horizontal="center" vertical="center"/>
    </xf>
    <xf numFmtId="10" fontId="14" fillId="0" borderId="0" xfId="0" applyNumberFormat="1" applyFont="1" applyAlignment="1">
      <alignment horizontal="left" vertical="top" wrapText="1"/>
    </xf>
    <xf numFmtId="0" fontId="36" fillId="0" borderId="10" xfId="0" applyFont="1" applyBorder="1" applyAlignment="1">
      <alignment horizontal="center" vertical="center" wrapText="1"/>
    </xf>
    <xf numFmtId="0" fontId="5" fillId="0" borderId="0" xfId="3" applyFont="1" applyAlignment="1" applyProtection="1">
      <alignment horizontal="center" vertical="center"/>
    </xf>
    <xf numFmtId="0" fontId="2" fillId="0" borderId="0" xfId="3" applyAlignment="1" applyProtection="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14" fillId="10" borderId="0" xfId="0" applyFont="1" applyFill="1" applyAlignment="1">
      <alignment horizontal="center" vertical="center"/>
    </xf>
    <xf numFmtId="0" fontId="14" fillId="0" borderId="0" xfId="0" applyFont="1" applyAlignment="1">
      <alignment horizontal="center" vertical="center"/>
    </xf>
    <xf numFmtId="0" fontId="38" fillId="7" borderId="0" xfId="0" applyFont="1" applyFill="1" applyAlignment="1">
      <alignment horizontal="center"/>
    </xf>
    <xf numFmtId="0" fontId="14" fillId="10" borderId="0" xfId="0" applyFont="1" applyFill="1" applyAlignment="1">
      <alignment horizontal="center"/>
    </xf>
    <xf numFmtId="0" fontId="14" fillId="0" borderId="0" xfId="0" applyFont="1" applyAlignment="1">
      <alignment horizontal="center"/>
    </xf>
    <xf numFmtId="0" fontId="0" fillId="0" borderId="0" xfId="0" applyAlignment="1">
      <alignment horizontal="left" wrapText="1"/>
    </xf>
    <xf numFmtId="0" fontId="54" fillId="15" borderId="34" xfId="0" applyFont="1" applyFill="1" applyBorder="1" applyAlignment="1">
      <alignment horizontal="center"/>
    </xf>
    <xf numFmtId="0" fontId="54" fillId="15" borderId="35" xfId="0" applyFont="1" applyFill="1" applyBorder="1" applyAlignment="1">
      <alignment horizontal="center"/>
    </xf>
    <xf numFmtId="0" fontId="54" fillId="15" borderId="36" xfId="0" applyFont="1" applyFill="1" applyBorder="1" applyAlignment="1">
      <alignment horizontal="center"/>
    </xf>
    <xf numFmtId="0" fontId="38" fillId="7" borderId="0" xfId="0" applyFont="1" applyFill="1" applyAlignment="1">
      <alignment horizontal="center" vertical="center"/>
    </xf>
    <xf numFmtId="166" fontId="57" fillId="2" borderId="12" xfId="5" applyNumberFormat="1" applyFont="1" applyFill="1" applyBorder="1" applyAlignment="1" applyProtection="1">
      <alignment horizontal="left" vertical="center" wrapText="1"/>
    </xf>
    <xf numFmtId="166" fontId="57" fillId="2" borderId="0" xfId="5" applyNumberFormat="1" applyFont="1" applyFill="1" applyBorder="1" applyAlignment="1" applyProtection="1">
      <alignment horizontal="left" vertical="center" wrapText="1"/>
    </xf>
    <xf numFmtId="166" fontId="57" fillId="2" borderId="0" xfId="5" applyNumberFormat="1" applyFont="1" applyFill="1" applyBorder="1" applyAlignment="1" applyProtection="1">
      <alignment horizontal="center" vertical="center"/>
    </xf>
    <xf numFmtId="166" fontId="57" fillId="2" borderId="31" xfId="5" applyNumberFormat="1" applyFont="1" applyFill="1" applyBorder="1" applyAlignment="1" applyProtection="1">
      <alignment horizontal="center" vertical="center"/>
    </xf>
    <xf numFmtId="0" fontId="58" fillId="10" borderId="0" xfId="0" applyFont="1" applyFill="1" applyAlignment="1">
      <alignment horizontal="center"/>
    </xf>
    <xf numFmtId="0" fontId="41" fillId="0" borderId="0" xfId="0" applyFont="1" applyAlignment="1">
      <alignment horizontal="left" vertical="top"/>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cellXfs>
  <cellStyles count="9">
    <cellStyle name="Currency" xfId="1" builtinId="4"/>
    <cellStyle name="Currency 2" xfId="8" xr:uid="{20776D5C-9799-4C54-A45A-14BC08FC6D4B}"/>
    <cellStyle name="Currency 3" xfId="5" xr:uid="{00000000-0005-0000-0000-000001000000}"/>
    <cellStyle name="Hyperlink" xfId="7" builtinId="8"/>
    <cellStyle name="Normal" xfId="0" builtinId="0"/>
    <cellStyle name="Normal 6" xfId="3" xr:uid="{00000000-0005-0000-0000-000004000000}"/>
    <cellStyle name="Normal_Core Model Version 0.1" xfId="6" xr:uid="{00000000-0005-0000-0000-000005000000}"/>
    <cellStyle name="Percent" xfId="2" builtinId="5"/>
    <cellStyle name="Percent 4" xfId="4" xr:uid="{00000000-0005-0000-0000-00000700000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9524" y="19051"/>
          <a:ext cx="10147436" cy="1924049"/>
          <a:chOff x="9524" y="19051"/>
          <a:chExt cx="8857420" cy="1915766"/>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146735" y="464944"/>
            <a:ext cx="8566570" cy="119276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1603511</xdr:colOff>
      <xdr:row>9</xdr:row>
      <xdr:rowOff>58391</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9652136" cy="1915766"/>
          <a:chOff x="200024" y="4499942"/>
          <a:chExt cx="8857420" cy="1915766"/>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900-000004000000}"/>
              </a:ext>
            </a:extLst>
          </xdr:cNvPr>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900-000005000000}"/>
              </a:ext>
            </a:extLst>
          </xdr:cNvPr>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9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1241561</xdr:colOff>
      <xdr:row>10</xdr:row>
      <xdr:rowOff>10766</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8813936" cy="1915766"/>
          <a:chOff x="200024" y="4499942"/>
          <a:chExt cx="8857420" cy="1915766"/>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A00-000004000000}"/>
              </a:ext>
            </a:extLst>
          </xdr:cNvPr>
          <xdr:cNvSpPr txBox="1"/>
        </xdr:nvSpPr>
        <xdr:spPr>
          <a:xfrm>
            <a:off x="314739" y="58889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0</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A00-000005000000}"/>
              </a:ext>
            </a:extLst>
          </xdr:cNvPr>
          <xdr:cNvSpPr/>
        </xdr:nvSpPr>
        <xdr:spPr>
          <a:xfrm>
            <a:off x="362082" y="4878490"/>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A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14</xdr:col>
      <xdr:colOff>12836</xdr:colOff>
      <xdr:row>10</xdr:row>
      <xdr:rowOff>10766</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9525" y="0"/>
          <a:ext cx="8813936" cy="1915766"/>
          <a:chOff x="200024" y="4499942"/>
          <a:chExt cx="8857420" cy="1915766"/>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100-000004000000}"/>
              </a:ext>
            </a:extLst>
          </xdr:cNvPr>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000000-0008-0000-0100-000005000000}"/>
              </a:ext>
            </a:extLst>
          </xdr:cNvPr>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100-000007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50936</xdr:colOff>
      <xdr:row>10</xdr:row>
      <xdr:rowOff>10766</xdr:rowOff>
    </xdr:to>
    <xdr:grpSp>
      <xdr:nvGrpSpPr>
        <xdr:cNvPr id="8" name="Group 7">
          <a:extLst>
            <a:ext uri="{FF2B5EF4-FFF2-40B4-BE49-F238E27FC236}">
              <a16:creationId xmlns:a16="http://schemas.microsoft.com/office/drawing/2014/main" id="{00000000-0008-0000-0200-000008000000}"/>
            </a:ext>
          </a:extLst>
        </xdr:cNvPr>
        <xdr:cNvGrpSpPr/>
      </xdr:nvGrpSpPr>
      <xdr:grpSpPr>
        <a:xfrm>
          <a:off x="0" y="9525"/>
          <a:ext cx="8813936" cy="1915766"/>
          <a:chOff x="200024" y="4499942"/>
          <a:chExt cx="8857420" cy="1915766"/>
        </a:xfrm>
      </xdr:grpSpPr>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a:extLst>
              <a:ext uri="{FF2B5EF4-FFF2-40B4-BE49-F238E27FC236}">
                <a16:creationId xmlns:a16="http://schemas.microsoft.com/office/drawing/2014/main" id="{00000000-0008-0000-0200-00000A000000}"/>
              </a:ext>
            </a:extLst>
          </xdr:cNvPr>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a:extLst>
              <a:ext uri="{FF2B5EF4-FFF2-40B4-BE49-F238E27FC236}">
                <a16:creationId xmlns:a16="http://schemas.microsoft.com/office/drawing/2014/main" id="{00000000-0008-0000-0200-00000B000000}"/>
              </a:ext>
            </a:extLst>
          </xdr:cNvPr>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200-00000D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231911</xdr:colOff>
      <xdr:row>10</xdr:row>
      <xdr:rowOff>10766</xdr:rowOff>
    </xdr:to>
    <xdr:grpSp>
      <xdr:nvGrpSpPr>
        <xdr:cNvPr id="8" name="Group 7">
          <a:extLst>
            <a:ext uri="{FF2B5EF4-FFF2-40B4-BE49-F238E27FC236}">
              <a16:creationId xmlns:a16="http://schemas.microsoft.com/office/drawing/2014/main" id="{00000000-0008-0000-0300-000008000000}"/>
            </a:ext>
          </a:extLst>
        </xdr:cNvPr>
        <xdr:cNvGrpSpPr/>
      </xdr:nvGrpSpPr>
      <xdr:grpSpPr>
        <a:xfrm>
          <a:off x="0" y="0"/>
          <a:ext cx="8813936" cy="1915766"/>
          <a:chOff x="200024" y="4499942"/>
          <a:chExt cx="8857420" cy="1915766"/>
        </a:xfrm>
      </xdr:grpSpPr>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0" name="TextBox 9">
            <a:extLst>
              <a:ext uri="{FF2B5EF4-FFF2-40B4-BE49-F238E27FC236}">
                <a16:creationId xmlns:a16="http://schemas.microsoft.com/office/drawing/2014/main" id="{00000000-0008-0000-0300-00000A000000}"/>
              </a:ext>
            </a:extLst>
          </xdr:cNvPr>
          <xdr:cNvSpPr txBox="1"/>
        </xdr:nvSpPr>
        <xdr:spPr>
          <a:xfrm>
            <a:off x="372171" y="5927039"/>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a:extLst>
              <a:ext uri="{FF2B5EF4-FFF2-40B4-BE49-F238E27FC236}">
                <a16:creationId xmlns:a16="http://schemas.microsoft.com/office/drawing/2014/main" id="{00000000-0008-0000-0300-00000B000000}"/>
              </a:ext>
            </a:extLst>
          </xdr:cNvPr>
          <xdr:cNvSpPr/>
        </xdr:nvSpPr>
        <xdr:spPr>
          <a:xfrm>
            <a:off x="362082" y="4811815"/>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300-00000D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28575</xdr:rowOff>
    </xdr:from>
    <xdr:to>
      <xdr:col>6</xdr:col>
      <xdr:colOff>47625</xdr:colOff>
      <xdr:row>5</xdr:row>
      <xdr:rowOff>9524</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66675" y="28575"/>
          <a:ext cx="10375106" cy="1921668"/>
          <a:chOff x="9524" y="19051"/>
          <a:chExt cx="10364524" cy="1915765"/>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0" y="0"/>
          <a:ext cx="10363200" cy="1924049"/>
          <a:chOff x="9524" y="19051"/>
          <a:chExt cx="10364524" cy="1915765"/>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847725</xdr:colOff>
      <xdr:row>10</xdr:row>
      <xdr:rowOff>19049</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0" y="0"/>
          <a:ext cx="10363200" cy="1924049"/>
          <a:chOff x="9524" y="19051"/>
          <a:chExt cx="10364524" cy="1915765"/>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10364524" cy="1915765"/>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84266" y="483513"/>
            <a:ext cx="1005314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1123950</xdr:colOff>
      <xdr:row>9</xdr:row>
      <xdr:rowOff>204787</xdr:rowOff>
    </xdr:from>
    <xdr:ext cx="6991349" cy="443006"/>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1" i="1">
                        <a:latin typeface="Cambria Math"/>
                      </a:rPr>
                      <m:t>𝑻𝒉𝒓𝒆𝒔𝒉𝒐𝒍𝒅</m:t>
                    </m:r>
                    <m:r>
                      <a:rPr lang="en-CA" sz="1200" b="1" i="1">
                        <a:latin typeface="Cambria Math"/>
                      </a:rPr>
                      <m:t> </m:t>
                    </m:r>
                    <m:r>
                      <a:rPr lang="en-CA" sz="1200" b="1" i="1">
                        <a:latin typeface="Cambria Math"/>
                      </a:rPr>
                      <m:t>𝑽𝒂𝒍𝒖𝒆</m:t>
                    </m:r>
                    <m:r>
                      <a:rPr lang="en-CA" sz="1200" b="1" i="1">
                        <a:latin typeface="Cambria Math"/>
                      </a:rPr>
                      <m:t> </m:t>
                    </m:r>
                    <m:d>
                      <m:dPr>
                        <m:ctrlPr>
                          <a:rPr lang="en-CA" sz="1200" b="1" i="1">
                            <a:latin typeface="Cambria Math" panose="02040503050406030204" pitchFamily="18" charset="0"/>
                          </a:rPr>
                        </m:ctrlPr>
                      </m:dPr>
                      <m:e>
                        <m:r>
                          <a:rPr lang="en-CA" sz="1200" b="1" i="1">
                            <a:latin typeface="Cambria Math"/>
                          </a:rPr>
                          <m:t>%</m:t>
                        </m:r>
                      </m:e>
                    </m:d>
                    <m:r>
                      <a:rPr lang="en-CA" sz="1200" b="1" i="1">
                        <a:latin typeface="Cambria Math"/>
                      </a:rPr>
                      <m:t>=</m:t>
                    </m:r>
                    <m:r>
                      <a:rPr lang="en-CA" sz="1200" b="1" i="1">
                        <a:latin typeface="Cambria Math"/>
                      </a:rPr>
                      <m:t>𝟏</m:t>
                    </m:r>
                    <m:r>
                      <a:rPr lang="en-CA" sz="1200" b="1" i="1">
                        <a:latin typeface="Cambria Math"/>
                      </a:rPr>
                      <m:t>+</m:t>
                    </m:r>
                    <m:d>
                      <m:dPr>
                        <m:begChr m:val="["/>
                        <m:endChr m:val="]"/>
                        <m:ctrlPr>
                          <a:rPr lang="en-CA" sz="1200" b="1" i="1">
                            <a:latin typeface="Cambria Math" panose="02040503050406030204" pitchFamily="18" charset="0"/>
                          </a:rPr>
                        </m:ctrlPr>
                      </m:dPr>
                      <m:e>
                        <m:d>
                          <m:dPr>
                            <m:ctrlPr>
                              <a:rPr lang="en-CA" sz="1200" b="1" i="1">
                                <a:latin typeface="Cambria Math" panose="02040503050406030204" pitchFamily="18" charset="0"/>
                              </a:rPr>
                            </m:ctrlPr>
                          </m:dPr>
                          <m:e>
                            <m:f>
                              <m:fPr>
                                <m:ctrlPr>
                                  <a:rPr lang="en-CA" sz="1200" b="1" i="1">
                                    <a:latin typeface="Cambria Math" panose="02040503050406030204" pitchFamily="18" charset="0"/>
                                  </a:rPr>
                                </m:ctrlPr>
                              </m:fPr>
                              <m:num>
                                <m:r>
                                  <a:rPr lang="en-CA" sz="1200" b="1" i="1">
                                    <a:latin typeface="Cambria Math"/>
                                  </a:rPr>
                                  <m:t>𝑹𝑩</m:t>
                                </m:r>
                              </m:num>
                              <m:den>
                                <m:r>
                                  <a:rPr lang="en-CA" sz="1200" b="1" i="1">
                                    <a:latin typeface="Cambria Math"/>
                                  </a:rPr>
                                  <m:t>𝒅</m:t>
                                </m:r>
                              </m:den>
                            </m:f>
                          </m:e>
                        </m:d>
                        <m:r>
                          <a:rPr lang="en-CA" sz="1200" b="1" i="1">
                            <a:latin typeface="Cambria Math"/>
                            <a:ea typeface="Cambria Math"/>
                          </a:rPr>
                          <m:t>×</m:t>
                        </m:r>
                        <m:d>
                          <m:dPr>
                            <m:ctrlPr>
                              <a:rPr lang="en-CA" sz="1200" b="1" i="1">
                                <a:latin typeface="Cambria Math" panose="02040503050406030204" pitchFamily="18" charset="0"/>
                                <a:ea typeface="Cambria Math"/>
                              </a:rPr>
                            </m:ctrlPr>
                          </m:dPr>
                          <m:e>
                            <m:r>
                              <a:rPr lang="en-CA" sz="1200" b="1" i="1">
                                <a:latin typeface="Cambria Math"/>
                                <a:ea typeface="Cambria Math"/>
                              </a:rPr>
                              <m:t>𝒈</m:t>
                            </m:r>
                            <m:r>
                              <a:rPr lang="en-CA" sz="1200" b="1" i="1">
                                <a:latin typeface="Cambria Math"/>
                                <a:ea typeface="Cambria Math"/>
                              </a:rPr>
                              <m:t>+</m:t>
                            </m:r>
                            <m:r>
                              <a:rPr lang="en-CA" sz="1200" b="1" i="1">
                                <a:latin typeface="Cambria Math"/>
                                <a:ea typeface="Cambria Math"/>
                              </a:rPr>
                              <m:t>𝑷𝑪𝑰</m:t>
                            </m:r>
                            <m:r>
                              <a:rPr lang="en-CA" sz="1200" b="1" i="1">
                                <a:latin typeface="Cambria Math"/>
                                <a:ea typeface="Cambria Math"/>
                              </a:rPr>
                              <m:t>×(</m:t>
                            </m:r>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r>
                              <a:rPr lang="en-CA" sz="1200" b="1" i="1">
                                <a:latin typeface="Cambria Math"/>
                                <a:ea typeface="Cambria Math"/>
                              </a:rPr>
                              <m:t>)</m:t>
                            </m:r>
                          </m:e>
                        </m:d>
                      </m:e>
                    </m:d>
                    <m:r>
                      <a:rPr lang="en-CA" sz="1200" b="1" i="1">
                        <a:latin typeface="Cambria Math"/>
                        <a:ea typeface="Cambria Math"/>
                      </a:rPr>
                      <m:t>×</m:t>
                    </m:r>
                    <m:d>
                      <m:dPr>
                        <m:ctrlPr>
                          <a:rPr lang="en-CA" sz="1200" b="1" i="1">
                            <a:latin typeface="Cambria Math" panose="02040503050406030204" pitchFamily="18" charset="0"/>
                            <a:ea typeface="Cambria Math"/>
                          </a:rPr>
                        </m:ctrlPr>
                      </m:dPr>
                      <m:e>
                        <m:d>
                          <m:dPr>
                            <m:ctrlPr>
                              <a:rPr lang="en-CA" sz="1200" b="1" i="1">
                                <a:latin typeface="Cambria Math" panose="02040503050406030204" pitchFamily="18" charset="0"/>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𝒈</m:t>
                            </m:r>
                          </m:e>
                        </m:d>
                        <m:r>
                          <a:rPr lang="en-CA" sz="1200" b="1" i="1">
                            <a:latin typeface="Cambria Math"/>
                            <a:ea typeface="Cambria Math"/>
                          </a:rPr>
                          <m:t>×</m:t>
                        </m:r>
                        <m:d>
                          <m:dPr>
                            <m:ctrlPr>
                              <a:rPr lang="en-CA" sz="1200" b="1" i="1">
                                <a:latin typeface="Cambria Math" panose="02040503050406030204" pitchFamily="18" charset="0"/>
                                <a:ea typeface="Cambria Math"/>
                              </a:rPr>
                            </m:ctrlPr>
                          </m:dPr>
                          <m:e>
                            <m:r>
                              <a:rPr lang="en-CA" sz="1200" b="1" i="1">
                                <a:latin typeface="Cambria Math"/>
                                <a:ea typeface="Cambria Math"/>
                              </a:rPr>
                              <m:t>𝟏</m:t>
                            </m:r>
                            <m:r>
                              <a:rPr lang="en-CA" sz="1200" b="1" i="1">
                                <a:latin typeface="Cambria Math"/>
                                <a:ea typeface="Cambria Math"/>
                              </a:rPr>
                              <m:t>+</m:t>
                            </m:r>
                            <m:r>
                              <a:rPr lang="en-CA" sz="1200" b="1" i="1">
                                <a:latin typeface="Cambria Math"/>
                                <a:ea typeface="Cambria Math"/>
                              </a:rPr>
                              <m:t>𝑷𝑪𝑰</m:t>
                            </m:r>
                          </m:e>
                        </m:d>
                      </m:e>
                    </m:d>
                    <m:r>
                      <a:rPr lang="en-CA" sz="1200" b="1" i="1" baseline="30000">
                        <a:latin typeface="Cambria Math"/>
                        <a:ea typeface="Cambria Math"/>
                      </a:rPr>
                      <m:t>𝒏</m:t>
                    </m:r>
                    <m:r>
                      <a:rPr lang="en-CA" sz="1200" b="1" i="1" baseline="30000">
                        <a:latin typeface="Cambria Math"/>
                        <a:ea typeface="Cambria Math"/>
                      </a:rPr>
                      <m:t> _ </m:t>
                    </m:r>
                    <m:r>
                      <a:rPr lang="en-CA" sz="1200" b="1" i="1" baseline="30000">
                        <a:latin typeface="Cambria Math"/>
                        <a:ea typeface="Cambria Math"/>
                      </a:rPr>
                      <m:t>𝟏</m:t>
                    </m:r>
                    <m:r>
                      <a:rPr lang="en-CA" sz="1200" b="1" i="1">
                        <a:latin typeface="Cambria Math"/>
                      </a:rPr>
                      <m:t>+</m:t>
                    </m:r>
                    <m:r>
                      <a:rPr lang="en-CA" sz="1200" b="1" i="1">
                        <a:latin typeface="Cambria Math"/>
                      </a:rPr>
                      <m:t>𝟏𝟎</m:t>
                    </m:r>
                    <m:r>
                      <a:rPr lang="en-CA" sz="1200" b="1" i="1">
                        <a:latin typeface="Cambria Math"/>
                      </a:rPr>
                      <m:t>%</m:t>
                    </m:r>
                  </m:oMath>
                </m:oMathPara>
              </a14:m>
              <a:endParaRPr lang="en-CA" sz="1200" b="1"/>
            </a:p>
          </xdr:txBody>
        </xdr:sp>
      </mc:Choice>
      <mc:Fallback xmlns="">
        <xdr:sp macro="" textlink="">
          <xdr:nvSpPr>
            <xdr:cNvPr id="8" name="TextBox 7"/>
            <xdr:cNvSpPr txBox="1"/>
          </xdr:nvSpPr>
          <xdr:spPr>
            <a:xfrm>
              <a:off x="714375" y="2614612"/>
              <a:ext cx="6991349" cy="443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1" i="0">
                  <a:latin typeface="Cambria Math"/>
                </a:rPr>
                <a:t>𝑻𝒉𝒓𝒆𝒔𝒉𝒐𝒍𝒅 𝑽𝒂𝒍𝒖𝒆 (%)=𝟏+[(𝑹𝑩/𝒅)</a:t>
              </a:r>
              <a:r>
                <a:rPr lang="en-CA" sz="1200" b="1" i="0">
                  <a:latin typeface="Cambria Math"/>
                  <a:ea typeface="Cambria Math"/>
                </a:rPr>
                <a:t>×(𝒈+𝑷𝑪𝑰×(𝟏+𝒈))]×((𝟏+𝒈)×(𝟏+𝑷𝑪𝑰))</a:t>
              </a:r>
              <a:r>
                <a:rPr lang="en-CA" sz="1200" b="1" i="0" baseline="30000">
                  <a:latin typeface="Cambria Math"/>
                  <a:ea typeface="Cambria Math"/>
                </a:rPr>
                <a:t>𝒏 _ 𝟏</a:t>
              </a:r>
              <a:r>
                <a:rPr lang="en-CA" sz="1200" b="1" i="0">
                  <a:latin typeface="Cambria Math"/>
                </a:rPr>
                <a:t>+𝟏𝟎%</a:t>
              </a:r>
              <a:endParaRPr lang="en-CA" sz="1200" b="1"/>
            </a:p>
          </xdr:txBody>
        </xdr:sp>
      </mc:Fallback>
    </mc:AlternateContent>
    <xdr:clientData/>
  </xdr:oneCellAnchor>
  <xdr:oneCellAnchor>
    <xdr:from>
      <xdr:col>5</xdr:col>
      <xdr:colOff>90487</xdr:colOff>
      <xdr:row>14</xdr:row>
      <xdr:rowOff>147637</xdr:rowOff>
    </xdr:from>
    <xdr:ext cx="1176338" cy="280205"/>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𝑃𝐶𝐼</m:t>
                    </m:r>
                  </m:oMath>
                </m:oMathPara>
              </a14:m>
              <a:endParaRPr lang="en-CA" sz="1200"/>
            </a:p>
          </xdr:txBody>
        </xdr:sp>
      </mc:Choice>
      <mc:Fallback xmlns="">
        <xdr:sp macro="" textlink="">
          <xdr:nvSpPr>
            <xdr:cNvPr id="9" name="TextBox 8"/>
            <xdr:cNvSpPr txBox="1"/>
          </xdr:nvSpPr>
          <xdr:spPr>
            <a:xfrm>
              <a:off x="6891337" y="36337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𝑃𝐶𝐼</a:t>
              </a:r>
              <a:endParaRPr lang="en-CA" sz="1200"/>
            </a:p>
          </xdr:txBody>
        </xdr:sp>
      </mc:Fallback>
    </mc:AlternateContent>
    <xdr:clientData/>
  </xdr:oneCellAnchor>
  <xdr:oneCellAnchor>
    <xdr:from>
      <xdr:col>5</xdr:col>
      <xdr:colOff>147636</xdr:colOff>
      <xdr:row>18</xdr:row>
      <xdr:rowOff>138112</xdr:rowOff>
    </xdr:from>
    <xdr:ext cx="1071563" cy="280205"/>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𝑔</m:t>
                    </m:r>
                    <m:r>
                      <a:rPr lang="en-CA" sz="1200" b="0" i="1">
                        <a:latin typeface="Cambria Math"/>
                      </a:rPr>
                      <m:t> (</m:t>
                    </m:r>
                    <m:r>
                      <a:rPr lang="en-CA" sz="1200" b="0" i="1">
                        <a:latin typeface="Cambria Math"/>
                      </a:rPr>
                      <m:t>𝑁𝑜𝑡𝑒</m:t>
                    </m:r>
                    <m:r>
                      <a:rPr lang="en-CA" sz="1200" b="0" i="1">
                        <a:latin typeface="Cambria Math"/>
                      </a:rPr>
                      <m:t> 1)</m:t>
                    </m:r>
                  </m:oMath>
                </m:oMathPara>
              </a14:m>
              <a:endParaRPr lang="en-CA" sz="1200"/>
            </a:p>
          </xdr:txBody>
        </xdr:sp>
      </mc:Choice>
      <mc:Fallback xmlns="">
        <xdr:sp macro="" textlink="">
          <xdr:nvSpPr>
            <xdr:cNvPr id="10" name="TextBox 9"/>
            <xdr:cNvSpPr txBox="1"/>
          </xdr:nvSpPr>
          <xdr:spPr>
            <a:xfrm>
              <a:off x="6948486" y="4414837"/>
              <a:ext cx="107156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𝑔 (𝑁𝑜𝑡𝑒 1)</a:t>
              </a:r>
              <a:endParaRPr lang="en-CA" sz="1200"/>
            </a:p>
          </xdr:txBody>
        </xdr:sp>
      </mc:Fallback>
    </mc:AlternateContent>
    <xdr:clientData/>
  </xdr:oneCellAnchor>
  <xdr:oneCellAnchor>
    <xdr:from>
      <xdr:col>5</xdr:col>
      <xdr:colOff>157162</xdr:colOff>
      <xdr:row>47</xdr:row>
      <xdr:rowOff>166687</xdr:rowOff>
    </xdr:from>
    <xdr:ext cx="1166813" cy="280205"/>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700-00000B000000}"/>
                </a:ext>
              </a:extLst>
            </xdr:cNvPr>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𝑅𝐵</m:t>
                    </m:r>
                  </m:oMath>
                </m:oMathPara>
              </a14:m>
              <a:endParaRPr lang="en-CA" sz="1200"/>
            </a:p>
          </xdr:txBody>
        </xdr:sp>
      </mc:Choice>
      <mc:Fallback xmlns="">
        <xdr:sp macro="" textlink="">
          <xdr:nvSpPr>
            <xdr:cNvPr id="11" name="TextBox 10"/>
            <xdr:cNvSpPr txBox="1"/>
          </xdr:nvSpPr>
          <xdr:spPr>
            <a:xfrm>
              <a:off x="6958012" y="10158412"/>
              <a:ext cx="116681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𝑅𝐵</a:t>
              </a:r>
              <a:endParaRPr lang="en-CA" sz="1200"/>
            </a:p>
          </xdr:txBody>
        </xdr:sp>
      </mc:Fallback>
    </mc:AlternateContent>
    <xdr:clientData/>
  </xdr:oneCellAnchor>
  <xdr:oneCellAnchor>
    <xdr:from>
      <xdr:col>5</xdr:col>
      <xdr:colOff>100012</xdr:colOff>
      <xdr:row>49</xdr:row>
      <xdr:rowOff>138112</xdr:rowOff>
    </xdr:from>
    <xdr:ext cx="1233488" cy="280205"/>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700-00000C000000}"/>
                </a:ext>
              </a:extLst>
            </xdr:cNvPr>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𝑑</m:t>
                    </m:r>
                  </m:oMath>
                </m:oMathPara>
              </a14:m>
              <a:endParaRPr lang="en-CA" sz="1200"/>
            </a:p>
          </xdr:txBody>
        </xdr:sp>
      </mc:Choice>
      <mc:Fallback xmlns="">
        <xdr:sp macro="" textlink="">
          <xdr:nvSpPr>
            <xdr:cNvPr id="12" name="TextBox 11"/>
            <xdr:cNvSpPr txBox="1"/>
          </xdr:nvSpPr>
          <xdr:spPr>
            <a:xfrm>
              <a:off x="6900862" y="10529887"/>
              <a:ext cx="123348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𝑑</a:t>
              </a:r>
              <a:endParaRPr lang="en-CA" sz="1200"/>
            </a:p>
          </xdr:txBody>
        </xdr:sp>
      </mc:Fallback>
    </mc:AlternateContent>
    <xdr:clientData/>
  </xdr:oneCellAnchor>
  <xdr:oneCellAnchor>
    <xdr:from>
      <xdr:col>5</xdr:col>
      <xdr:colOff>119062</xdr:colOff>
      <xdr:row>64</xdr:row>
      <xdr:rowOff>161926</xdr:rowOff>
    </xdr:from>
    <xdr:ext cx="1671638" cy="294492"/>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𝑇h𝑟𝑒𝑠h𝑜𝑙𝑑</m:t>
                    </m:r>
                    <m:r>
                      <a:rPr lang="en-CA" sz="1200" b="0" i="1">
                        <a:latin typeface="Cambria Math"/>
                      </a:rPr>
                      <m:t> </m:t>
                    </m:r>
                    <m:r>
                      <a:rPr lang="en-CA" sz="1200" b="0" i="1">
                        <a:latin typeface="Cambria Math"/>
                      </a:rPr>
                      <m:t>𝑉𝑎𝑙𝑢𝑒</m:t>
                    </m:r>
                    <m:r>
                      <a:rPr lang="en-CA" sz="1200" b="0" i="1">
                        <a:latin typeface="Cambria Math"/>
                      </a:rPr>
                      <m:t> ×</m:t>
                    </m:r>
                    <m:r>
                      <a:rPr lang="en-CA" sz="1200" b="0" i="1">
                        <a:latin typeface="Cambria Math"/>
                        <a:ea typeface="Cambria Math"/>
                      </a:rPr>
                      <m:t>𝑑</m:t>
                    </m:r>
                  </m:oMath>
                </m:oMathPara>
              </a14:m>
              <a:endParaRPr lang="en-CA" sz="1200"/>
            </a:p>
          </xdr:txBody>
        </xdr:sp>
      </mc:Choice>
      <mc:Fallback xmlns="">
        <xdr:sp macro="" textlink="">
          <xdr:nvSpPr>
            <xdr:cNvPr id="13" name="TextBox 12"/>
            <xdr:cNvSpPr txBox="1"/>
          </xdr:nvSpPr>
          <xdr:spPr>
            <a:xfrm>
              <a:off x="6919912" y="12134851"/>
              <a:ext cx="1671638" cy="294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n-CA" sz="1200" b="0" i="0">
                  <a:latin typeface="Cambria Math"/>
                </a:rPr>
                <a:t>𝑇ℎ𝑟𝑒𝑠ℎ𝑜𝑙𝑑 𝑉𝑎𝑙𝑢𝑒 ×</a:t>
              </a:r>
              <a:r>
                <a:rPr lang="en-CA" sz="1200" b="0" i="0">
                  <a:latin typeface="Cambria Math"/>
                  <a:ea typeface="Cambria Math"/>
                </a:rPr>
                <a:t>𝑑</a:t>
              </a:r>
              <a:endParaRPr lang="en-CA" sz="1200"/>
            </a:p>
          </xdr:txBody>
        </xdr:sp>
      </mc:Fallback>
    </mc:AlternateContent>
    <xdr:clientData/>
  </xdr:oneCellAnchor>
  <xdr:oneCellAnchor>
    <xdr:from>
      <xdr:col>5</xdr:col>
      <xdr:colOff>90487</xdr:colOff>
      <xdr:row>12</xdr:row>
      <xdr:rowOff>223837</xdr:rowOff>
    </xdr:from>
    <xdr:ext cx="1176338" cy="280205"/>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700-00000E000000}"/>
                </a:ext>
              </a:extLst>
            </xdr:cNvPr>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CA" sz="1200" b="0" i="1">
                        <a:latin typeface="Cambria Math"/>
                      </a:rPr>
                      <m:t>𝑛</m:t>
                    </m:r>
                  </m:oMath>
                </m:oMathPara>
              </a14:m>
              <a:endParaRPr lang="en-CA" sz="1200" b="0"/>
            </a:p>
          </xdr:txBody>
        </xdr:sp>
      </mc:Choice>
      <mc:Fallback xmlns="">
        <xdr:sp macro="" textlink="">
          <xdr:nvSpPr>
            <xdr:cNvPr id="14" name="TextBox 13"/>
            <xdr:cNvSpPr txBox="1"/>
          </xdr:nvSpPr>
          <xdr:spPr>
            <a:xfrm>
              <a:off x="6891337" y="3214687"/>
              <a:ext cx="117633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CA" sz="1200" b="0" i="0">
                  <a:latin typeface="Cambria Math"/>
                </a:rPr>
                <a:t>𝑛</a:t>
              </a:r>
              <a:endParaRPr lang="en-CA" sz="1200" b="0"/>
            </a:p>
          </xdr:txBody>
        </xdr:sp>
      </mc:Fallback>
    </mc:AlternateContent>
    <xdr:clientData/>
  </xdr:oneCellAnchor>
  <xdr:twoCellAnchor>
    <xdr:from>
      <xdr:col>0</xdr:col>
      <xdr:colOff>0</xdr:colOff>
      <xdr:row>0</xdr:row>
      <xdr:rowOff>0</xdr:rowOff>
    </xdr:from>
    <xdr:to>
      <xdr:col>5</xdr:col>
      <xdr:colOff>2013086</xdr:colOff>
      <xdr:row>7</xdr:row>
      <xdr:rowOff>171450</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0" y="0"/>
          <a:ext cx="9928361" cy="1657350"/>
          <a:chOff x="200024" y="4499942"/>
          <a:chExt cx="8857420" cy="1915766"/>
        </a:xfrm>
      </xdr:grpSpPr>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17" name="TextBox 16">
            <a:extLst>
              <a:ext uri="{FF2B5EF4-FFF2-40B4-BE49-F238E27FC236}">
                <a16:creationId xmlns:a16="http://schemas.microsoft.com/office/drawing/2014/main" id="{00000000-0008-0000-0700-000011000000}"/>
              </a:ext>
            </a:extLst>
          </xdr:cNvPr>
          <xdr:cNvSpPr txBox="1"/>
        </xdr:nvSpPr>
        <xdr:spPr>
          <a:xfrm>
            <a:off x="372171" y="5860978"/>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r>
              <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rPr>
              <a:t>Alectra</a:t>
            </a:r>
            <a:r>
              <a:rPr lang="en-CA" sz="1600" b="1" cap="none" spc="0" baseline="0">
                <a:ln w="11430">
                  <a:solidFill>
                    <a:sysClr val="windowText" lastClr="000000"/>
                  </a:solidFill>
                </a:ln>
                <a:solidFill>
                  <a:schemeClr val="tx1"/>
                </a:solidFill>
                <a:effectLst>
                  <a:outerShdw blurRad="50800" dist="39000" dir="5460000" algn="tl">
                    <a:srgbClr val="000000">
                      <a:alpha val="38000"/>
                    </a:srgbClr>
                  </a:outerShdw>
                </a:effectLst>
              </a:rPr>
              <a:t> Utilities Corporation - Enersource Hydro Mississauga Inc.</a:t>
            </a:r>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8" name="Rectangle 17">
            <a:extLst>
              <a:ext uri="{FF2B5EF4-FFF2-40B4-BE49-F238E27FC236}">
                <a16:creationId xmlns:a16="http://schemas.microsoft.com/office/drawing/2014/main" id="{00000000-0008-0000-0700-000012000000}"/>
              </a:ext>
            </a:extLst>
          </xdr:cNvPr>
          <xdr:cNvSpPr/>
        </xdr:nvSpPr>
        <xdr:spPr>
          <a:xfrm>
            <a:off x="362082" y="4635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9" name="Picture 18">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Rectangle 19">
            <a:extLst>
              <a:ext uri="{FF2B5EF4-FFF2-40B4-BE49-F238E27FC236}">
                <a16:creationId xmlns:a16="http://schemas.microsoft.com/office/drawing/2014/main" id="{00000000-0008-0000-0700-000014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266700</xdr:colOff>
      <xdr:row>10</xdr:row>
      <xdr:rowOff>19049</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363200" cy="1924049"/>
        </a:xfrm>
        <a:prstGeom prst="rect">
          <a:avLst/>
        </a:prstGeom>
        <a:ln>
          <a:noFill/>
        </a:ln>
        <a:effectLst>
          <a:softEdge rad="112500"/>
        </a:effectLst>
      </xdr:spPr>
    </xdr:pic>
    <xdr:clientData/>
  </xdr:twoCellAnchor>
  <xdr:twoCellAnchor>
    <xdr:from>
      <xdr:col>0</xdr:col>
      <xdr:colOff>174720</xdr:colOff>
      <xdr:row>2</xdr:row>
      <xdr:rowOff>85470</xdr:rowOff>
    </xdr:from>
    <xdr:to>
      <xdr:col>6</xdr:col>
      <xdr:colOff>130079</xdr:colOff>
      <xdr:row>5</xdr:row>
      <xdr:rowOff>62963</xdr:rowOff>
    </xdr:to>
    <xdr:sp macro="" textlink="">
      <xdr:nvSpPr>
        <xdr:cNvPr id="7" name="Rectangle 6">
          <a:extLst>
            <a:ext uri="{FF2B5EF4-FFF2-40B4-BE49-F238E27FC236}">
              <a16:creationId xmlns:a16="http://schemas.microsoft.com/office/drawing/2014/main" id="{00000000-0008-0000-0800-000007000000}"/>
            </a:ext>
          </a:extLst>
        </xdr:cNvPr>
        <xdr:cNvSpPr/>
      </xdr:nvSpPr>
      <xdr:spPr>
        <a:xfrm>
          <a:off x="174720" y="466470"/>
          <a:ext cx="10051859" cy="5489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Capital Module</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Applicable to ACM and ICM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180975</xdr:colOff>
      <xdr:row>0</xdr:row>
      <xdr:rowOff>166491</xdr:rowOff>
    </xdr:from>
    <xdr:to>
      <xdr:col>0</xdr:col>
      <xdr:colOff>534432</xdr:colOff>
      <xdr:row>2</xdr:row>
      <xdr:rowOff>80666</xdr:rowOff>
    </xdr:to>
    <xdr:pic>
      <xdr:nvPicPr>
        <xdr:cNvPr id="8" name="Picture 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80975" y="166491"/>
          <a:ext cx="353457" cy="29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490183</xdr:colOff>
      <xdr:row>0</xdr:row>
      <xdr:rowOff>142875</xdr:rowOff>
    </xdr:from>
    <xdr:to>
      <xdr:col>0</xdr:col>
      <xdr:colOff>2835670</xdr:colOff>
      <xdr:row>2</xdr:row>
      <xdr:rowOff>24348</xdr:rowOff>
    </xdr:to>
    <xdr:sp macro="" textlink="">
      <xdr:nvSpPr>
        <xdr:cNvPr id="9" name="Rectangle 8">
          <a:extLst>
            <a:ext uri="{FF2B5EF4-FFF2-40B4-BE49-F238E27FC236}">
              <a16:creationId xmlns:a16="http://schemas.microsoft.com/office/drawing/2014/main" id="{00000000-0008-0000-0800-000009000000}"/>
            </a:ext>
          </a:extLst>
        </xdr:cNvPr>
        <xdr:cNvSpPr/>
      </xdr:nvSpPr>
      <xdr:spPr>
        <a:xfrm>
          <a:off x="490183" y="142875"/>
          <a:ext cx="2345487" cy="262473"/>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0"/>
  <sheetViews>
    <sheetView showGridLines="0" topLeftCell="A22" workbookViewId="0">
      <selection activeCell="J42" sqref="J42:M46"/>
    </sheetView>
  </sheetViews>
  <sheetFormatPr defaultColWidth="9.140625" defaultRowHeight="15" x14ac:dyDescent="0.25"/>
  <cols>
    <col min="1" max="1" width="13.28515625" style="30" customWidth="1"/>
    <col min="2" max="2" width="13.5703125" style="30" customWidth="1"/>
    <col min="3" max="3" width="9.140625" style="30"/>
    <col min="4" max="4" width="10.28515625" style="30" customWidth="1"/>
    <col min="5" max="5" width="9.140625" style="30" customWidth="1"/>
    <col min="6" max="6" width="9.140625" style="30"/>
    <col min="7" max="7" width="13.28515625" style="30" customWidth="1"/>
    <col min="8" max="8" width="11.28515625" style="30" customWidth="1"/>
    <col min="9" max="9" width="9.140625" style="30"/>
    <col min="10" max="10" width="13" style="30" customWidth="1"/>
    <col min="11" max="12" width="9.140625" style="30"/>
    <col min="13" max="13" width="13.42578125" style="30" customWidth="1"/>
    <col min="14" max="26" width="9.140625" style="30"/>
    <col min="27" max="27" width="0" style="30" hidden="1" customWidth="1"/>
    <col min="28" max="16384" width="9.140625" style="30"/>
  </cols>
  <sheetData>
    <row r="1" spans="1:27" x14ac:dyDescent="0.25">
      <c r="U1" s="31" t="s">
        <v>33</v>
      </c>
      <c r="AA1" s="30" t="e">
        <f>IF(OR(#REF!="",#REF!= "(if applicable)"), F14, F14 &amp; " - " &amp;#REF!)</f>
        <v>#REF!</v>
      </c>
    </row>
    <row r="11" spans="1:27" x14ac:dyDescent="0.25">
      <c r="G11" s="32"/>
    </row>
    <row r="12" spans="1:27" x14ac:dyDescent="0.25">
      <c r="A12" s="33" t="s">
        <v>34</v>
      </c>
      <c r="B12" s="34"/>
      <c r="C12" s="34"/>
      <c r="D12" s="34"/>
      <c r="E12" s="34"/>
      <c r="F12" s="34"/>
      <c r="G12" s="32"/>
      <c r="M12" s="35" t="s">
        <v>35</v>
      </c>
      <c r="N12" s="206">
        <v>1</v>
      </c>
    </row>
    <row r="13" spans="1:27" ht="15.75" thickBot="1" x14ac:dyDescent="0.3">
      <c r="G13" s="32"/>
    </row>
    <row r="14" spans="1:27" ht="16.5" customHeight="1" thickTop="1" thickBot="1" x14ac:dyDescent="0.3">
      <c r="E14" s="36" t="s">
        <v>36</v>
      </c>
      <c r="F14" s="302" t="s">
        <v>277</v>
      </c>
      <c r="G14" s="303"/>
      <c r="H14" s="303"/>
      <c r="I14" s="303"/>
      <c r="J14" s="303"/>
      <c r="K14" s="303"/>
      <c r="L14" s="304"/>
    </row>
    <row r="15" spans="1:27" ht="15.75" thickBot="1" x14ac:dyDescent="0.3">
      <c r="E15" s="37"/>
      <c r="F15" s="38"/>
      <c r="G15" s="39"/>
      <c r="H15" s="38"/>
      <c r="I15" s="38"/>
      <c r="J15" s="38"/>
    </row>
    <row r="16" spans="1:27" ht="16.5" thickTop="1" thickBot="1" x14ac:dyDescent="0.3">
      <c r="E16" s="40" t="s">
        <v>37</v>
      </c>
      <c r="F16" s="305" t="s">
        <v>318</v>
      </c>
      <c r="G16" s="306"/>
      <c r="H16" s="306"/>
      <c r="I16" s="306"/>
      <c r="J16" s="307"/>
    </row>
    <row r="17" spans="1:13" ht="15.75" thickBot="1" x14ac:dyDescent="0.3">
      <c r="E17" s="41"/>
    </row>
    <row r="18" spans="1:13" ht="16.5" thickTop="1" thickBot="1" x14ac:dyDescent="0.3">
      <c r="E18" s="40" t="s">
        <v>38</v>
      </c>
      <c r="F18" s="305" t="s">
        <v>278</v>
      </c>
      <c r="G18" s="306"/>
      <c r="H18" s="306"/>
      <c r="I18" s="306"/>
      <c r="J18" s="307"/>
      <c r="M18" s="42"/>
    </row>
    <row r="19" spans="1:13" ht="15.75" thickBot="1" x14ac:dyDescent="0.3">
      <c r="E19" s="43"/>
      <c r="F19" s="38"/>
      <c r="G19" s="39"/>
      <c r="H19" s="38"/>
      <c r="I19" s="38"/>
      <c r="J19" s="38"/>
    </row>
    <row r="20" spans="1:13" ht="16.5" thickTop="1" thickBot="1" x14ac:dyDescent="0.3">
      <c r="E20" s="36" t="s">
        <v>39</v>
      </c>
      <c r="F20" s="305" t="s">
        <v>280</v>
      </c>
      <c r="G20" s="306"/>
      <c r="H20" s="306"/>
      <c r="I20" s="306"/>
      <c r="J20" s="307"/>
    </row>
    <row r="21" spans="1:13" ht="15.75" thickBot="1" x14ac:dyDescent="0.3">
      <c r="E21" s="43"/>
      <c r="F21" s="38"/>
      <c r="G21" s="39"/>
      <c r="H21" s="38"/>
      <c r="I21" s="38"/>
      <c r="J21" s="38"/>
    </row>
    <row r="22" spans="1:13" ht="16.5" thickTop="1" thickBot="1" x14ac:dyDescent="0.3">
      <c r="E22" s="36" t="s">
        <v>40</v>
      </c>
      <c r="F22" s="299" t="s">
        <v>279</v>
      </c>
      <c r="G22" s="300"/>
      <c r="H22" s="300"/>
      <c r="I22" s="300"/>
      <c r="J22" s="301"/>
    </row>
    <row r="23" spans="1:13" ht="15.75" thickBot="1" x14ac:dyDescent="0.3">
      <c r="E23" s="43"/>
      <c r="F23" s="38"/>
      <c r="G23" s="39"/>
      <c r="H23" s="38"/>
      <c r="I23" s="38"/>
      <c r="J23" s="38"/>
    </row>
    <row r="24" spans="1:13" ht="31.5" thickTop="1" thickBot="1" x14ac:dyDescent="0.3">
      <c r="A24" s="308" t="s">
        <v>41</v>
      </c>
      <c r="B24" s="308"/>
      <c r="C24" s="308"/>
      <c r="D24" s="308"/>
      <c r="E24" s="309"/>
      <c r="F24" s="313" t="s">
        <v>42</v>
      </c>
      <c r="G24" s="314"/>
      <c r="H24" s="315"/>
      <c r="I24" s="38"/>
      <c r="L24" s="44" t="s">
        <v>43</v>
      </c>
      <c r="M24" s="45">
        <v>2024</v>
      </c>
    </row>
    <row r="25" spans="1:13" ht="15.75" thickBot="1" x14ac:dyDescent="0.3">
      <c r="E25" s="43"/>
      <c r="F25" s="38"/>
      <c r="G25" s="39"/>
      <c r="H25" s="38"/>
      <c r="I25" s="38"/>
      <c r="J25" s="38"/>
    </row>
    <row r="26" spans="1:13" ht="30" customHeight="1" thickTop="1" thickBot="1" x14ac:dyDescent="0.3">
      <c r="A26" s="308" t="str">
        <f>"Indicate the Price-Cap IR Year (1, 2, 3, 4, etc) in which " &amp;F14 &amp; " is applying:"</f>
        <v>Indicate the Price-Cap IR Year (1, 2, 3, 4, etc) in which Alectra Utilities - Enersource Rate Zone is applying:</v>
      </c>
      <c r="B26" s="308"/>
      <c r="C26" s="308"/>
      <c r="D26" s="308"/>
      <c r="E26" s="309"/>
      <c r="F26" s="313">
        <v>11</v>
      </c>
      <c r="G26" s="314"/>
      <c r="H26" s="315"/>
      <c r="I26" s="38"/>
      <c r="J26" s="295" t="str">
        <f>"Next OEB Scheduled Rebasing Year"</f>
        <v>Next OEB Scheduled Rebasing Year</v>
      </c>
      <c r="K26" s="295"/>
      <c r="L26" s="296"/>
      <c r="M26" s="205">
        <v>2027</v>
      </c>
    </row>
    <row r="27" spans="1:13" ht="15.75" thickBot="1" x14ac:dyDescent="0.3">
      <c r="E27" s="43"/>
      <c r="F27" s="38"/>
      <c r="G27" s="39"/>
      <c r="H27" s="38"/>
      <c r="I27" s="38"/>
      <c r="J27" s="38"/>
    </row>
    <row r="28" spans="1:13" ht="16.5" thickTop="1" thickBot="1" x14ac:dyDescent="0.3">
      <c r="E28" s="46" t="str">
        <f>F14 &amp; " is applying for:"</f>
        <v>Alectra Utilities - Enersource Rate Zone is applying for:</v>
      </c>
      <c r="F28" s="313" t="s">
        <v>274</v>
      </c>
      <c r="G28" s="314"/>
      <c r="H28" s="315"/>
      <c r="I28" s="38"/>
      <c r="J28" s="38"/>
    </row>
    <row r="29" spans="1:13" ht="15.75" thickBot="1" x14ac:dyDescent="0.3">
      <c r="E29" s="43"/>
      <c r="F29" s="38"/>
      <c r="G29" s="39"/>
      <c r="H29" s="38"/>
      <c r="I29" s="38"/>
      <c r="J29" s="38"/>
    </row>
    <row r="30" spans="1:13" ht="16.5" thickTop="1" thickBot="1" x14ac:dyDescent="0.3">
      <c r="A30" s="308" t="s">
        <v>44</v>
      </c>
      <c r="B30" s="308"/>
      <c r="C30" s="308"/>
      <c r="D30" s="308"/>
      <c r="E30" s="316"/>
      <c r="F30" s="276">
        <v>2013</v>
      </c>
      <c r="G30" s="277"/>
      <c r="H30" s="278"/>
      <c r="I30" s="38"/>
      <c r="J30" s="38"/>
    </row>
    <row r="31" spans="1:13" ht="15.75" thickBot="1" x14ac:dyDescent="0.3">
      <c r="E31" s="43"/>
      <c r="F31" s="38"/>
      <c r="G31" s="39"/>
      <c r="H31" s="38"/>
      <c r="I31" s="38"/>
      <c r="J31" s="38"/>
    </row>
    <row r="32" spans="1:13" ht="30" customHeight="1" thickTop="1" thickBot="1" x14ac:dyDescent="0.3">
      <c r="A32" s="308" t="s">
        <v>45</v>
      </c>
      <c r="B32" s="308"/>
      <c r="C32" s="308"/>
      <c r="D32" s="308"/>
      <c r="E32" s="309"/>
      <c r="F32" s="310">
        <f>M24-2</f>
        <v>2022</v>
      </c>
      <c r="G32" s="311"/>
      <c r="H32" s="312"/>
      <c r="I32" s="38"/>
    </row>
    <row r="33" spans="1:14" ht="15.75" thickBot="1" x14ac:dyDescent="0.3">
      <c r="A33" s="199"/>
      <c r="B33" s="199"/>
      <c r="C33" s="199"/>
      <c r="D33" s="199"/>
      <c r="E33" s="199"/>
      <c r="F33" s="199"/>
      <c r="G33" s="199"/>
      <c r="H33" s="199"/>
      <c r="I33" s="199"/>
    </row>
    <row r="34" spans="1:14" ht="16.5" thickTop="1" thickBot="1" x14ac:dyDescent="0.3">
      <c r="E34" s="46" t="s">
        <v>46</v>
      </c>
      <c r="F34" s="280">
        <v>2.1700000000000001E-2</v>
      </c>
      <c r="G34" s="281"/>
      <c r="H34" s="282"/>
      <c r="I34" s="38"/>
    </row>
    <row r="35" spans="1:14" ht="15.75" thickBot="1" x14ac:dyDescent="0.3"/>
    <row r="36" spans="1:14" ht="16.5" thickTop="1" thickBot="1" x14ac:dyDescent="0.3">
      <c r="E36" s="46" t="s">
        <v>47</v>
      </c>
      <c r="F36" s="283" t="s">
        <v>48</v>
      </c>
      <c r="G36" s="284"/>
      <c r="H36" s="285"/>
      <c r="I36" s="38"/>
    </row>
    <row r="37" spans="1:14" ht="15.75" thickBot="1" x14ac:dyDescent="0.3"/>
    <row r="38" spans="1:14" ht="16.5" thickTop="1" thickBot="1" x14ac:dyDescent="0.3">
      <c r="E38" s="46" t="s">
        <v>49</v>
      </c>
      <c r="F38" s="283">
        <v>3.0000000000000001E-3</v>
      </c>
      <c r="G38" s="284"/>
      <c r="H38" s="285"/>
      <c r="I38" s="38"/>
    </row>
    <row r="39" spans="1:14" ht="15.75" thickBot="1" x14ac:dyDescent="0.3"/>
    <row r="40" spans="1:14" ht="16.5" thickTop="1" thickBot="1" x14ac:dyDescent="0.3">
      <c r="E40" s="46" t="s">
        <v>3</v>
      </c>
      <c r="F40" s="283">
        <f>F34-F38</f>
        <v>1.8700000000000001E-2</v>
      </c>
      <c r="G40" s="284"/>
      <c r="H40" s="285"/>
      <c r="I40" s="38"/>
    </row>
    <row r="41" spans="1:14" x14ac:dyDescent="0.25">
      <c r="I41" s="47"/>
      <c r="J41" s="47"/>
      <c r="K41" s="47"/>
      <c r="L41" s="47"/>
      <c r="M41" s="47"/>
    </row>
    <row r="42" spans="1:14" ht="26.25" customHeight="1" thickBot="1" x14ac:dyDescent="0.3">
      <c r="A42" s="286" t="s">
        <v>50</v>
      </c>
      <c r="B42" s="286"/>
      <c r="C42" s="286"/>
      <c r="D42" s="286"/>
      <c r="E42" s="286"/>
      <c r="F42" s="287" t="str">
        <f>CONCATENATE("Revenues Based on ",IF($F$24="COS",$M$24&amp;" Test Year Distribution Revenues",MAX(F30,F32) &amp; IF(F32&gt;F30," Actual Distribution Demand"," Board-Approved Distribution Demand")))</f>
        <v>Revenues Based on 2022 Actual Distribution Demand</v>
      </c>
      <c r="G42" s="287"/>
      <c r="H42" s="287"/>
      <c r="I42" s="209" t="str">
        <f>LEFT(RIGHT(F42,LEN(F42)-18),4)</f>
        <v>2022</v>
      </c>
      <c r="J42" s="288" t="s">
        <v>51</v>
      </c>
      <c r="K42" s="288"/>
      <c r="L42" s="288"/>
      <c r="M42" s="288"/>
      <c r="N42" s="49"/>
    </row>
    <row r="43" spans="1:14" ht="25.5" customHeight="1" x14ac:dyDescent="0.25">
      <c r="A43" s="286"/>
      <c r="B43" s="286"/>
      <c r="C43" s="286"/>
      <c r="D43" s="286"/>
      <c r="E43" s="286"/>
      <c r="F43" s="289" t="str">
        <f>CONCATENATE("Revenues Based on ",IF(F24="COS",F32&amp;" Actual Distribution Revenues", IF(F30&gt;F32,F32,IF(F30=F32,F30-1,F30)) &amp; IF(F32&gt;F30, " Board-Approved Distribution Demand", " Actual Distribution Demand")))</f>
        <v>Revenues Based on 2013 Board-Approved Distribution Demand</v>
      </c>
      <c r="G43" s="289"/>
      <c r="H43" s="289"/>
      <c r="I43" s="209" t="str">
        <f>LEFT(RIGHT(F43,LEN(F43)-18),4)</f>
        <v>2013</v>
      </c>
      <c r="J43" s="288"/>
      <c r="K43" s="288"/>
      <c r="L43" s="288"/>
      <c r="M43" s="288"/>
      <c r="N43" s="49"/>
    </row>
    <row r="44" spans="1:14" x14ac:dyDescent="0.25">
      <c r="A44" s="49"/>
      <c r="B44" s="49"/>
      <c r="C44" s="49"/>
      <c r="D44" s="49"/>
      <c r="E44" s="49"/>
      <c r="F44" s="49"/>
      <c r="G44" s="49"/>
      <c r="H44" s="49"/>
      <c r="I44" s="48"/>
      <c r="J44" s="288"/>
      <c r="K44" s="288"/>
      <c r="L44" s="288"/>
      <c r="M44" s="288"/>
      <c r="N44" s="49"/>
    </row>
    <row r="45" spans="1:14" x14ac:dyDescent="0.25">
      <c r="B45" s="50" t="s">
        <v>52</v>
      </c>
      <c r="I45" s="47"/>
      <c r="J45" s="288"/>
      <c r="K45" s="288"/>
      <c r="L45" s="288"/>
      <c r="M45" s="288"/>
    </row>
    <row r="46" spans="1:14" ht="15.75" thickBot="1" x14ac:dyDescent="0.3">
      <c r="I46" s="47"/>
      <c r="J46" s="288"/>
      <c r="K46" s="288"/>
      <c r="L46" s="288"/>
      <c r="M46" s="288"/>
    </row>
    <row r="47" spans="1:14" ht="15.75" thickBot="1" x14ac:dyDescent="0.3">
      <c r="B47" s="51"/>
      <c r="C47" s="290" t="s">
        <v>53</v>
      </c>
      <c r="D47" s="290"/>
      <c r="E47" s="290"/>
      <c r="F47" s="290"/>
      <c r="G47" s="290"/>
      <c r="H47" s="290"/>
      <c r="I47" s="290"/>
      <c r="J47" s="290"/>
      <c r="K47" s="290"/>
      <c r="L47" s="290"/>
    </row>
    <row r="48" spans="1:14" ht="15.75" thickBot="1" x14ac:dyDescent="0.3"/>
    <row r="49" spans="1:14" ht="15.75" thickBot="1" x14ac:dyDescent="0.3">
      <c r="B49" s="52"/>
      <c r="C49" s="291" t="s">
        <v>54</v>
      </c>
      <c r="D49" s="292"/>
      <c r="E49" s="292"/>
      <c r="F49" s="292"/>
      <c r="G49" s="292"/>
      <c r="H49" s="292"/>
      <c r="I49" s="292"/>
      <c r="J49" s="292"/>
      <c r="K49" s="292"/>
      <c r="L49" s="292"/>
      <c r="M49" s="292"/>
      <c r="N49" s="292"/>
    </row>
    <row r="50" spans="1:14" ht="15.75" thickBot="1" x14ac:dyDescent="0.3">
      <c r="B50" s="53"/>
    </row>
    <row r="51" spans="1:14" ht="15.75" thickBot="1" x14ac:dyDescent="0.3">
      <c r="B51" s="54"/>
      <c r="C51" s="293" t="s">
        <v>55</v>
      </c>
      <c r="D51" s="294"/>
      <c r="E51" s="294"/>
      <c r="F51" s="294"/>
      <c r="G51" s="294"/>
      <c r="H51" s="294"/>
      <c r="I51" s="294"/>
      <c r="J51" s="294"/>
      <c r="K51" s="294"/>
      <c r="L51" s="294"/>
      <c r="M51" s="294"/>
    </row>
    <row r="54" spans="1:14" ht="113.1" customHeight="1" x14ac:dyDescent="0.25">
      <c r="A54" s="297" t="s">
        <v>281</v>
      </c>
      <c r="B54" s="297"/>
      <c r="C54" s="297"/>
      <c r="D54" s="297"/>
      <c r="E54" s="297"/>
      <c r="F54" s="297"/>
      <c r="G54" s="297"/>
      <c r="H54" s="297"/>
      <c r="I54" s="297"/>
      <c r="J54" s="297"/>
      <c r="K54" s="297"/>
      <c r="L54" s="297"/>
    </row>
    <row r="55" spans="1:14" ht="56.45" customHeight="1" x14ac:dyDescent="0.25">
      <c r="A55" s="298" t="s">
        <v>56</v>
      </c>
      <c r="B55" s="298"/>
      <c r="C55" s="298"/>
      <c r="D55" s="298"/>
      <c r="E55" s="298"/>
      <c r="F55" s="298"/>
      <c r="G55" s="298"/>
      <c r="H55" s="298"/>
      <c r="I55" s="298"/>
      <c r="J55" s="298"/>
      <c r="K55" s="298"/>
      <c r="L55" s="298"/>
    </row>
    <row r="60" spans="1:14" x14ac:dyDescent="0.25">
      <c r="A60" s="279"/>
      <c r="B60" s="279"/>
      <c r="C60" s="279"/>
      <c r="D60" s="279"/>
      <c r="E60" s="279"/>
      <c r="F60" s="279"/>
      <c r="G60" s="279"/>
      <c r="H60" s="279"/>
      <c r="I60" s="279"/>
      <c r="J60" s="279"/>
      <c r="K60" s="279"/>
      <c r="L60" s="279"/>
      <c r="M60" s="279"/>
    </row>
  </sheetData>
  <mergeCells count="29">
    <mergeCell ref="J26:L26"/>
    <mergeCell ref="A54:L54"/>
    <mergeCell ref="A55:L55"/>
    <mergeCell ref="F22:J22"/>
    <mergeCell ref="F14:L14"/>
    <mergeCell ref="F16:J16"/>
    <mergeCell ref="F18:J18"/>
    <mergeCell ref="F20:J20"/>
    <mergeCell ref="A32:E32"/>
    <mergeCell ref="F32:H32"/>
    <mergeCell ref="A24:E24"/>
    <mergeCell ref="F24:H24"/>
    <mergeCell ref="A26:E26"/>
    <mergeCell ref="F26:H26"/>
    <mergeCell ref="F28:H28"/>
    <mergeCell ref="A30:E30"/>
    <mergeCell ref="F30:H30"/>
    <mergeCell ref="A60:M60"/>
    <mergeCell ref="F34:H34"/>
    <mergeCell ref="F36:H36"/>
    <mergeCell ref="F38:H38"/>
    <mergeCell ref="F40:H40"/>
    <mergeCell ref="A42:E43"/>
    <mergeCell ref="F42:H42"/>
    <mergeCell ref="J42:M46"/>
    <mergeCell ref="F43:H43"/>
    <mergeCell ref="C47:L47"/>
    <mergeCell ref="C49:N49"/>
    <mergeCell ref="C51:M51"/>
  </mergeCells>
  <dataValidations count="9">
    <dataValidation type="list" allowBlank="1" showInputMessage="1" showErrorMessage="1" sqref="F14:L14" xr:uid="{00000000-0002-0000-0000-000000000000}">
      <formula1>LDCNAMES</formula1>
    </dataValidation>
    <dataValidation allowBlank="1" showInputMessage="1" showErrorMessage="1" prompt="First and last name, title" sqref="F18:J18" xr:uid="{EF0A0ECD-EB71-4045-9E49-429D60B4A9FE}"/>
    <dataValidation showErrorMessage="1" errorTitle="Selection Needed" error="Please select an option from the drop-down list." prompt="Use the following format eg: January 1, 2013" sqref="F38:H38 F34:H34 F40:H40 F36:H36" xr:uid="{00000000-0002-0000-0000-000002000000}"/>
    <dataValidation type="whole" showErrorMessage="1" errorTitle="Incorrect Input" error="Please re-enter your last cost of service rebasing YEAR and ensure that it is in the following format: 20XX" prompt="Use the following format eg: January 1, 2013" sqref="F32:H32 F30:H30" xr:uid="{00000000-0002-0000-0000-000003000000}">
      <formula1>2000</formula1>
      <formula2>2100</formula2>
    </dataValidation>
    <dataValidation type="list" showErrorMessage="1" errorTitle="Selection Needed" error="Please select an option from the drop-down list." prompt="Use the following format eg: January 1, 2013" sqref="F24:H24" xr:uid="{00000000-0002-0000-0000-000004000000}">
      <formula1>"COS, Price-Cap IR"</formula1>
    </dataValidation>
    <dataValidation type="list" showErrorMessage="1" errorTitle="Incorrect Input" error="Please enter a number between 1 and 4." prompt="Use the following format eg: January 1, 2013" sqref="F26:H26" xr:uid="{00000000-0002-0000-0000-000005000000}">
      <formula1>"1, 2, 3,4,5,6,7,8,9,10,11,12,13"</formula1>
    </dataValidation>
    <dataValidation type="list" allowBlank="1" showInputMessage="1" showErrorMessage="1" sqref="M24" xr:uid="{00000000-0002-0000-0000-000007000000}">
      <formula1>"2020,2021,2022,2023,2024,2025,202"</formula1>
    </dataValidation>
    <dataValidation type="list" showErrorMessage="1" sqref="F28:H28" xr:uid="{00000000-0002-0000-0000-000008000000}">
      <formula1>"ICM Approval, ACM and ICM Approval"</formula1>
    </dataValidation>
    <dataValidation type="whole" allowBlank="1" showInputMessage="1" showErrorMessage="1" sqref="M26" xr:uid="{3510998F-666D-4CE1-A7D9-FA9940F930DE}">
      <formula1>2020</formula1>
      <formula2>2040</formula2>
    </dataValidation>
  </dataValidations>
  <pageMargins left="0.70866141732283472" right="0.70866141732283472" top="0.74803149606299213" bottom="0.74803149606299213" header="0.31496062992125984" footer="0.31496062992125984"/>
  <pageSetup scale="50" orientation="portrait" r:id="rId1"/>
  <headerFooter>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6:J96"/>
  <sheetViews>
    <sheetView showGridLines="0" workbookViewId="0">
      <selection activeCell="C9" sqref="C9:E9"/>
    </sheetView>
  </sheetViews>
  <sheetFormatPr defaultRowHeight="15" x14ac:dyDescent="0.25"/>
  <cols>
    <col min="2" max="2" width="60.5703125" customWidth="1"/>
    <col min="3" max="3" width="16.5703125" style="56" customWidth="1"/>
    <col min="4" max="4" width="4.5703125" bestFit="1" customWidth="1"/>
    <col min="5" max="5" width="29.85546875" customWidth="1"/>
    <col min="6" max="6" width="27.85546875" customWidth="1"/>
  </cols>
  <sheetData>
    <row r="6" spans="2:6" ht="26.25" x14ac:dyDescent="0.4">
      <c r="B6" s="229"/>
    </row>
    <row r="12" spans="2:6" ht="18.75" x14ac:dyDescent="0.3">
      <c r="B12" s="225" t="s">
        <v>216</v>
      </c>
      <c r="C12" s="226" t="s">
        <v>294</v>
      </c>
      <c r="D12" s="227"/>
      <c r="E12" s="228">
        <f>'1. Information Sheet'!M24</f>
        <v>2024</v>
      </c>
      <c r="F12" s="182"/>
    </row>
    <row r="13" spans="2:6" x14ac:dyDescent="0.25">
      <c r="B13" s="230"/>
      <c r="C13" s="230"/>
      <c r="D13" s="230"/>
      <c r="E13" s="230"/>
    </row>
    <row r="14" spans="2:6" x14ac:dyDescent="0.25">
      <c r="C14"/>
    </row>
    <row r="15" spans="2:6" ht="15.75" thickBot="1" x14ac:dyDescent="0.3"/>
    <row r="16" spans="2:6" ht="18.75" thickBot="1" x14ac:dyDescent="0.3">
      <c r="B16" s="231" t="s">
        <v>217</v>
      </c>
      <c r="E16" s="182"/>
    </row>
    <row r="17" spans="2:10" ht="15.75" x14ac:dyDescent="0.25">
      <c r="B17" s="232"/>
      <c r="C17" s="233"/>
      <c r="D17" s="234"/>
      <c r="E17" s="166"/>
      <c r="F17" s="235"/>
    </row>
    <row r="18" spans="2:10" ht="16.5" thickBot="1" x14ac:dyDescent="0.3">
      <c r="B18" s="236" t="s">
        <v>218</v>
      </c>
      <c r="C18" s="237"/>
      <c r="D18" s="238"/>
      <c r="E18" s="167">
        <f>'5. Rev_Requ_Check'!E62</f>
        <v>117994990.97370704</v>
      </c>
      <c r="F18" s="235" t="s">
        <v>88</v>
      </c>
    </row>
    <row r="19" spans="2:10" ht="16.5" thickBot="1" x14ac:dyDescent="0.3">
      <c r="B19" s="239"/>
      <c r="C19" s="240"/>
      <c r="D19" s="241"/>
      <c r="E19" s="168"/>
      <c r="F19" s="235"/>
    </row>
    <row r="20" spans="2:10" ht="16.5" thickBot="1" x14ac:dyDescent="0.3">
      <c r="C20" s="237"/>
      <c r="D20" s="238"/>
      <c r="E20" s="242"/>
      <c r="F20" s="235"/>
    </row>
    <row r="21" spans="2:10" ht="18.75" thickBot="1" x14ac:dyDescent="0.3">
      <c r="B21" s="243" t="s">
        <v>295</v>
      </c>
      <c r="C21" s="244"/>
      <c r="D21" s="238"/>
      <c r="E21" s="242"/>
      <c r="F21" s="235"/>
    </row>
    <row r="22" spans="2:10" ht="15.75" x14ac:dyDescent="0.25">
      <c r="B22" s="232"/>
      <c r="C22" s="245" t="s">
        <v>296</v>
      </c>
      <c r="D22" s="246"/>
      <c r="E22" s="247" t="s">
        <v>297</v>
      </c>
      <c r="F22" s="235"/>
    </row>
    <row r="23" spans="2:10" ht="14.45" customHeight="1" x14ac:dyDescent="0.25">
      <c r="B23" s="248"/>
      <c r="C23" s="249"/>
      <c r="D23" s="250"/>
      <c r="E23" s="251" t="str">
        <f>"("&amp;IF(('1. Information Sheet'!M28-'1. Information Sheet'!M26)=1,"Half Year*","Full Year")&amp;" Prorated Amount)"</f>
        <v>(Full Year Prorated Amount)</v>
      </c>
      <c r="F23" s="348" t="str">
        <f>IF(('1. Information Sheet'!M28-'1. Information Sheet'!M26)=1,"*The half year rule is applied as the distributor is scheduled to rebase in the next rate year.","")</f>
        <v/>
      </c>
      <c r="G23" s="349"/>
      <c r="H23" s="349"/>
    </row>
    <row r="24" spans="2:10" ht="15.6" customHeight="1" x14ac:dyDescent="0.25">
      <c r="B24" s="248"/>
      <c r="C24" s="350" t="s">
        <v>298</v>
      </c>
      <c r="D24" s="350"/>
      <c r="E24" s="351"/>
      <c r="F24" s="348"/>
      <c r="G24" s="349"/>
      <c r="H24" s="349"/>
    </row>
    <row r="25" spans="2:10" ht="15.75" x14ac:dyDescent="0.25">
      <c r="B25" s="236" t="s">
        <v>299</v>
      </c>
      <c r="C25" s="242">
        <f ca="1">INDIRECT("'9b. Proposed ACM ICM Projects'!"&amp;CHAR(68+MOD('1. Information Sheet'!$F$26-1,4)*3)&amp;(39*INT(('1. Information Sheet'!$F$26-1)/4))+46)</f>
        <v>7865203.2199999997</v>
      </c>
      <c r="D25" s="238"/>
      <c r="E25" s="242">
        <f ca="1">IF(('1. Information Sheet'!M26-'1. Information Sheet'!M24)=1,INDIRECT("'9b. Proposed ACM ICM Projects'!"&amp;CHAR(68+MOD('1. Information Sheet'!$F$26-1,4)*3)&amp;(39*INT(('1. Information Sheet'!$F$26-1)/4))+48)/2,INDIRECT("'9b. Proposed ACM ICM Projects'!"&amp;CHAR(68+MOD('1. Information Sheet'!$F$26-1,4)*3)&amp;(39*INT(('1. Information Sheet'!$F$26-1)/4))+48))</f>
        <v>7865203.2199999997</v>
      </c>
      <c r="F25" s="252" t="s">
        <v>89</v>
      </c>
      <c r="J25" s="242"/>
    </row>
    <row r="26" spans="2:10" ht="15.75" x14ac:dyDescent="0.25">
      <c r="B26" s="236" t="s">
        <v>17</v>
      </c>
      <c r="C26" s="242">
        <f ca="1">INDIRECT("'9b. Proposed ACM ICM Projects'!"&amp;CHAR(69+MOD('1. Information Sheet'!$F$26-1,4)*3)&amp;(39*INT(('1. Information Sheet'!$F$26-1)/4))+46)</f>
        <v>174782.29377777778</v>
      </c>
      <c r="D26" s="238"/>
      <c r="E26" s="170">
        <f ca="1">C26*(E25/C25)</f>
        <v>174782.29377777778</v>
      </c>
      <c r="F26" s="235" t="s">
        <v>90</v>
      </c>
    </row>
    <row r="27" spans="2:10" ht="16.5" thickBot="1" x14ac:dyDescent="0.3">
      <c r="B27" s="253" t="s">
        <v>215</v>
      </c>
      <c r="C27" s="254">
        <f ca="1">INDIRECT("'9b. Proposed ACM ICM Projects'!"&amp;CHAR(70+MOD('1. Information Sheet'!$F$26-1,4)*3)&amp;(39*INT(('1. Information Sheet'!$F$26-1)/4))+46)</f>
        <v>629216.25760000001</v>
      </c>
      <c r="D27" s="241"/>
      <c r="E27" s="168">
        <f ca="1">C27*(E25/C25)</f>
        <v>629216.25760000001</v>
      </c>
      <c r="F27" s="235" t="s">
        <v>137</v>
      </c>
    </row>
    <row r="28" spans="2:10" ht="15.75" x14ac:dyDescent="0.25">
      <c r="C28" s="237"/>
      <c r="D28" s="238"/>
      <c r="E28" s="242"/>
      <c r="F28" s="235"/>
    </row>
    <row r="29" spans="2:10" ht="18.75" customHeight="1" x14ac:dyDescent="0.3">
      <c r="B29" s="352" t="s">
        <v>300</v>
      </c>
      <c r="C29" s="352"/>
      <c r="D29" s="352"/>
      <c r="E29" s="352"/>
      <c r="F29" s="352"/>
    </row>
    <row r="30" spans="2:10" ht="16.5" thickBot="1" x14ac:dyDescent="0.3">
      <c r="C30" s="237"/>
      <c r="D30" s="238"/>
      <c r="E30" s="13"/>
      <c r="F30" s="235"/>
    </row>
    <row r="31" spans="2:10" ht="18.75" thickBot="1" x14ac:dyDescent="0.3">
      <c r="B31" s="255" t="s">
        <v>129</v>
      </c>
      <c r="C31" s="237"/>
      <c r="D31" s="238"/>
      <c r="E31" s="13"/>
      <c r="F31" s="235"/>
    </row>
    <row r="32" spans="2:10" ht="15.75" x14ac:dyDescent="0.25">
      <c r="B32" s="236" t="s">
        <v>219</v>
      </c>
      <c r="C32" s="256"/>
      <c r="D32" s="257"/>
      <c r="E32" s="169">
        <f ca="1">E25</f>
        <v>7865203.2199999997</v>
      </c>
      <c r="F32" s="235" t="s">
        <v>89</v>
      </c>
    </row>
    <row r="33" spans="2:6" ht="15.75" x14ac:dyDescent="0.25">
      <c r="B33" s="236" t="s">
        <v>301</v>
      </c>
      <c r="C33" s="237"/>
      <c r="D33" s="258"/>
      <c r="E33" s="170">
        <f ca="1">E26</f>
        <v>174782.29377777778</v>
      </c>
      <c r="F33" s="235" t="s">
        <v>90</v>
      </c>
    </row>
    <row r="34" spans="2:6" ht="16.5" thickBot="1" x14ac:dyDescent="0.3">
      <c r="B34" s="236" t="s">
        <v>302</v>
      </c>
      <c r="C34" s="237"/>
      <c r="D34" s="258"/>
      <c r="E34" s="259">
        <f ca="1">E32-E33/2</f>
        <v>7777812.0731111113</v>
      </c>
      <c r="F34" s="235" t="s">
        <v>303</v>
      </c>
    </row>
    <row r="35" spans="2:6" ht="25.5" x14ac:dyDescent="0.25">
      <c r="B35" s="236"/>
      <c r="C35" s="260" t="s">
        <v>304</v>
      </c>
      <c r="D35" s="258"/>
      <c r="E35" s="170"/>
      <c r="F35" s="235"/>
    </row>
    <row r="36" spans="2:6" ht="15.75" x14ac:dyDescent="0.25">
      <c r="B36" s="236" t="s">
        <v>305</v>
      </c>
      <c r="C36" s="171">
        <f>'5. Rev_Requ_Check'!C36</f>
        <v>0.04</v>
      </c>
      <c r="D36" s="258" t="s">
        <v>92</v>
      </c>
      <c r="E36" s="170">
        <f ca="1">E34*C36</f>
        <v>311112.48292444448</v>
      </c>
      <c r="F36" s="235" t="s">
        <v>220</v>
      </c>
    </row>
    <row r="37" spans="2:6" ht="15.75" x14ac:dyDescent="0.25">
      <c r="B37" s="236" t="s">
        <v>306</v>
      </c>
      <c r="C37" s="171">
        <f>'5. Rev_Requ_Check'!C37</f>
        <v>0.56000000000000005</v>
      </c>
      <c r="D37" s="258" t="s">
        <v>93</v>
      </c>
      <c r="E37" s="170">
        <f ca="1">E34*C37</f>
        <v>4355574.7609422226</v>
      </c>
      <c r="F37" s="235" t="s">
        <v>221</v>
      </c>
    </row>
    <row r="38" spans="2:6" ht="15.75" x14ac:dyDescent="0.25">
      <c r="B38" s="236"/>
      <c r="C38" s="261" t="s">
        <v>307</v>
      </c>
      <c r="D38" s="258"/>
      <c r="E38" s="170"/>
      <c r="F38" s="235"/>
    </row>
    <row r="39" spans="2:6" ht="15.75" x14ac:dyDescent="0.25">
      <c r="B39" s="236" t="s">
        <v>308</v>
      </c>
      <c r="C39" s="172">
        <f>'5. Rev_Requ_Check'!C40</f>
        <v>2.0799999999999999E-2</v>
      </c>
      <c r="D39" s="258" t="s">
        <v>114</v>
      </c>
      <c r="E39" s="170">
        <f ca="1">E36*C39</f>
        <v>6471.1396448284449</v>
      </c>
      <c r="F39" s="235" t="s">
        <v>222</v>
      </c>
    </row>
    <row r="40" spans="2:6" ht="15.75" x14ac:dyDescent="0.25">
      <c r="B40" s="236" t="s">
        <v>309</v>
      </c>
      <c r="C40" s="172">
        <f>'5. Rev_Requ_Check'!C41</f>
        <v>5.0914000000000001E-2</v>
      </c>
      <c r="D40" s="258" t="s">
        <v>116</v>
      </c>
      <c r="E40" s="170">
        <f ca="1">E37*C40</f>
        <v>221759.73337861232</v>
      </c>
      <c r="F40" s="235" t="s">
        <v>223</v>
      </c>
    </row>
    <row r="41" spans="2:6" ht="15.75" x14ac:dyDescent="0.25">
      <c r="B41" s="236"/>
      <c r="C41" s="237"/>
      <c r="D41" s="258"/>
      <c r="E41" s="170"/>
      <c r="F41" s="235"/>
    </row>
    <row r="42" spans="2:6" ht="16.5" thickBot="1" x14ac:dyDescent="0.3">
      <c r="B42" s="236" t="s">
        <v>224</v>
      </c>
      <c r="C42" s="237"/>
      <c r="D42" s="258"/>
      <c r="E42" s="167">
        <f ca="1">SUM(E39:E40)</f>
        <v>228230.87302344077</v>
      </c>
      <c r="F42" s="235" t="s">
        <v>225</v>
      </c>
    </row>
    <row r="43" spans="2:6" ht="15.75" x14ac:dyDescent="0.25">
      <c r="B43" s="236"/>
      <c r="C43" s="237"/>
      <c r="D43" s="258"/>
      <c r="E43" s="170"/>
      <c r="F43" s="235"/>
    </row>
    <row r="44" spans="2:6" ht="25.5" x14ac:dyDescent="0.25">
      <c r="B44" s="236"/>
      <c r="C44" s="262" t="str">
        <f>C35</f>
        <v>% of capital structure</v>
      </c>
      <c r="D44" s="258"/>
      <c r="E44" s="170"/>
      <c r="F44" s="235"/>
    </row>
    <row r="45" spans="2:6" ht="15.75" x14ac:dyDescent="0.25">
      <c r="B45" s="236" t="s">
        <v>136</v>
      </c>
      <c r="C45" s="172">
        <f>'5. Rev_Requ_Check'!C38</f>
        <v>0.39999999999999991</v>
      </c>
      <c r="D45" s="258" t="s">
        <v>226</v>
      </c>
      <c r="E45" s="170">
        <f ca="1">E34*C45</f>
        <v>3111124.8292444437</v>
      </c>
      <c r="F45" s="235" t="s">
        <v>227</v>
      </c>
    </row>
    <row r="46" spans="2:6" ht="15.75" x14ac:dyDescent="0.25">
      <c r="B46" s="236"/>
      <c r="C46" s="263" t="str">
        <f>C38</f>
        <v>Rate (%)</v>
      </c>
      <c r="D46" s="258"/>
      <c r="E46" s="170"/>
      <c r="F46" s="235"/>
    </row>
    <row r="47" spans="2:6" ht="15.75" x14ac:dyDescent="0.25">
      <c r="B47" s="236" t="s">
        <v>228</v>
      </c>
      <c r="C47" s="172">
        <f>'5. Rev_Requ_Check'!C42</f>
        <v>8.9300000000000004E-2</v>
      </c>
      <c r="D47" s="258" t="s">
        <v>229</v>
      </c>
      <c r="E47" s="170">
        <f ca="1">E45*C47</f>
        <v>277823.44725152885</v>
      </c>
      <c r="F47" s="235" t="s">
        <v>230</v>
      </c>
    </row>
    <row r="48" spans="2:6" ht="15.75" x14ac:dyDescent="0.25">
      <c r="B48" s="236"/>
      <c r="C48" s="237"/>
      <c r="D48" s="238"/>
      <c r="E48" s="170"/>
      <c r="F48" s="235"/>
    </row>
    <row r="49" spans="2:6" ht="16.5" thickBot="1" x14ac:dyDescent="0.3">
      <c r="B49" s="236" t="s">
        <v>231</v>
      </c>
      <c r="C49" s="237"/>
      <c r="D49" s="238"/>
      <c r="E49" s="167">
        <f ca="1">E42+E47</f>
        <v>506054.32027496962</v>
      </c>
      <c r="F49" s="235" t="s">
        <v>232</v>
      </c>
    </row>
    <row r="50" spans="2:6" ht="16.5" thickBot="1" x14ac:dyDescent="0.3">
      <c r="B50" s="253"/>
      <c r="C50" s="240"/>
      <c r="D50" s="241"/>
      <c r="E50" s="168"/>
      <c r="F50" s="235"/>
    </row>
    <row r="51" spans="2:6" ht="15.75" x14ac:dyDescent="0.25">
      <c r="C51" s="237"/>
      <c r="D51" s="238"/>
      <c r="E51" s="13"/>
      <c r="F51" s="235"/>
    </row>
    <row r="52" spans="2:6" ht="16.5" thickBot="1" x14ac:dyDescent="0.3">
      <c r="E52" s="173"/>
      <c r="F52" s="235"/>
    </row>
    <row r="53" spans="2:6" ht="18.75" thickBot="1" x14ac:dyDescent="0.3">
      <c r="B53" s="255" t="s">
        <v>214</v>
      </c>
      <c r="C53" s="233"/>
      <c r="D53" s="234"/>
      <c r="E53" s="166"/>
      <c r="F53" s="235"/>
    </row>
    <row r="54" spans="2:6" ht="18" x14ac:dyDescent="0.25">
      <c r="B54" s="264"/>
      <c r="E54" s="174"/>
      <c r="F54" s="235"/>
    </row>
    <row r="55" spans="2:6" ht="15.75" x14ac:dyDescent="0.25">
      <c r="B55" s="236" t="s">
        <v>233</v>
      </c>
      <c r="D55" s="235" t="s">
        <v>90</v>
      </c>
      <c r="E55" s="170">
        <f ca="1">E33</f>
        <v>174782.29377777778</v>
      </c>
      <c r="F55" s="235" t="s">
        <v>234</v>
      </c>
    </row>
    <row r="56" spans="2:6" ht="16.5" thickBot="1" x14ac:dyDescent="0.3">
      <c r="B56" s="239"/>
      <c r="C56" s="265"/>
      <c r="D56" s="266"/>
      <c r="E56" s="168"/>
      <c r="F56" s="235"/>
    </row>
    <row r="57" spans="2:6" ht="16.5" thickBot="1" x14ac:dyDescent="0.3">
      <c r="E57" s="13"/>
      <c r="F57" s="235"/>
    </row>
    <row r="58" spans="2:6" ht="18.75" thickBot="1" x14ac:dyDescent="0.3">
      <c r="B58" s="231" t="s">
        <v>310</v>
      </c>
      <c r="C58" s="233"/>
      <c r="D58" s="234"/>
      <c r="E58" s="169"/>
      <c r="F58" s="235"/>
    </row>
    <row r="59" spans="2:6" ht="18" x14ac:dyDescent="0.25">
      <c r="B59" s="267"/>
      <c r="E59" s="170"/>
      <c r="F59" s="235"/>
    </row>
    <row r="60" spans="2:6" ht="15.75" x14ac:dyDescent="0.25">
      <c r="B60" s="236" t="s">
        <v>235</v>
      </c>
      <c r="D60" s="235" t="s">
        <v>229</v>
      </c>
      <c r="E60" s="170">
        <f ca="1">E47</f>
        <v>277823.44725152885</v>
      </c>
      <c r="F60" s="235" t="s">
        <v>236</v>
      </c>
    </row>
    <row r="61" spans="2:6" ht="15.75" x14ac:dyDescent="0.25">
      <c r="B61" s="236"/>
      <c r="E61" s="170"/>
      <c r="F61" s="235"/>
    </row>
    <row r="62" spans="2:6" ht="15.75" x14ac:dyDescent="0.25">
      <c r="B62" s="236" t="s">
        <v>311</v>
      </c>
      <c r="D62" s="235" t="s">
        <v>234</v>
      </c>
      <c r="E62" s="170">
        <f ca="1">E55</f>
        <v>174782.29377777778</v>
      </c>
      <c r="F62" s="235" t="s">
        <v>134</v>
      </c>
    </row>
    <row r="63" spans="2:6" ht="15.75" x14ac:dyDescent="0.25">
      <c r="B63" s="236"/>
      <c r="E63" s="170"/>
      <c r="F63" s="235"/>
    </row>
    <row r="64" spans="2:6" ht="15.75" x14ac:dyDescent="0.25">
      <c r="B64" s="236" t="s">
        <v>312</v>
      </c>
      <c r="D64" s="235"/>
      <c r="E64" s="170">
        <f ca="1">E27</f>
        <v>629216.25760000001</v>
      </c>
      <c r="F64" s="235" t="s">
        <v>137</v>
      </c>
    </row>
    <row r="65" spans="2:6" ht="15.75" x14ac:dyDescent="0.25">
      <c r="B65" s="236"/>
      <c r="D65" s="235"/>
      <c r="E65" s="170"/>
      <c r="F65" s="235"/>
    </row>
    <row r="66" spans="2:6" ht="16.5" thickBot="1" x14ac:dyDescent="0.3">
      <c r="B66" s="236" t="s">
        <v>237</v>
      </c>
      <c r="D66" s="235"/>
      <c r="E66" s="167">
        <f ca="1">E60+E62-E64</f>
        <v>-176610.51657069335</v>
      </c>
      <c r="F66" s="235" t="s">
        <v>238</v>
      </c>
    </row>
    <row r="67" spans="2:6" ht="15.75" x14ac:dyDescent="0.25">
      <c r="B67" s="236"/>
      <c r="D67" s="235"/>
      <c r="E67" s="174"/>
      <c r="F67" s="235"/>
    </row>
    <row r="68" spans="2:6" ht="15.75" x14ac:dyDescent="0.25">
      <c r="B68" s="236" t="s">
        <v>239</v>
      </c>
      <c r="C68" s="175">
        <v>0.26500000000000001</v>
      </c>
      <c r="D68" s="235" t="s">
        <v>240</v>
      </c>
      <c r="E68" s="174"/>
      <c r="F68" s="235"/>
    </row>
    <row r="69" spans="2:6" ht="15.75" x14ac:dyDescent="0.25">
      <c r="B69" s="236"/>
      <c r="E69" s="174"/>
      <c r="F69" s="235"/>
    </row>
    <row r="70" spans="2:6" ht="15.75" x14ac:dyDescent="0.25">
      <c r="B70" s="236" t="s">
        <v>313</v>
      </c>
      <c r="E70" s="170">
        <f ca="1">E66*C68</f>
        <v>-46801.786891233736</v>
      </c>
      <c r="F70" s="235" t="s">
        <v>241</v>
      </c>
    </row>
    <row r="71" spans="2:6" ht="15.75" x14ac:dyDescent="0.25">
      <c r="B71" s="236"/>
      <c r="E71" s="170"/>
      <c r="F71" s="235"/>
    </row>
    <row r="72" spans="2:6" ht="15.75" x14ac:dyDescent="0.25">
      <c r="B72" s="236" t="s">
        <v>314</v>
      </c>
      <c r="E72" s="170">
        <f ca="1">E70/(1-C68)</f>
        <v>-63675.900532290798</v>
      </c>
      <c r="F72" s="235" t="s">
        <v>242</v>
      </c>
    </row>
    <row r="73" spans="2:6" ht="16.5" thickBot="1" x14ac:dyDescent="0.3">
      <c r="B73" s="253"/>
      <c r="C73" s="265"/>
      <c r="D73" s="266"/>
      <c r="E73" s="176"/>
      <c r="F73" s="235"/>
    </row>
    <row r="74" spans="2:6" ht="15.75" hidden="1" x14ac:dyDescent="0.25">
      <c r="E74" s="173"/>
      <c r="F74" s="235"/>
    </row>
    <row r="75" spans="2:6" ht="18" hidden="1" x14ac:dyDescent="0.25">
      <c r="B75" s="231" t="s">
        <v>154</v>
      </c>
      <c r="E75" s="173"/>
      <c r="F75" s="235"/>
    </row>
    <row r="76" spans="2:6" ht="15.75" hidden="1" x14ac:dyDescent="0.25">
      <c r="B76" s="236" t="s">
        <v>243</v>
      </c>
      <c r="C76" s="233"/>
      <c r="D76" s="234"/>
      <c r="E76" s="169"/>
      <c r="F76" s="235" t="s">
        <v>143</v>
      </c>
    </row>
    <row r="77" spans="2:6" ht="15.75" hidden="1" x14ac:dyDescent="0.25">
      <c r="B77" s="236"/>
      <c r="E77" s="174"/>
      <c r="F77" s="235"/>
    </row>
    <row r="78" spans="2:6" ht="15.75" hidden="1" x14ac:dyDescent="0.25">
      <c r="B78" s="236" t="s">
        <v>244</v>
      </c>
      <c r="E78" s="177"/>
      <c r="F78" s="235" t="s">
        <v>146</v>
      </c>
    </row>
    <row r="79" spans="2:6" ht="15.75" hidden="1" x14ac:dyDescent="0.25">
      <c r="B79" s="236"/>
      <c r="E79" s="174"/>
      <c r="F79" s="235"/>
    </row>
    <row r="80" spans="2:6" ht="15.75" hidden="1" x14ac:dyDescent="0.25">
      <c r="B80" s="236" t="s">
        <v>245</v>
      </c>
      <c r="E80" s="178"/>
      <c r="F80" s="235" t="s">
        <v>246</v>
      </c>
    </row>
    <row r="81" spans="2:6" ht="15.75" hidden="1" x14ac:dyDescent="0.25">
      <c r="B81" s="236"/>
      <c r="E81" s="174"/>
      <c r="F81" s="235"/>
    </row>
    <row r="82" spans="2:6" ht="15.75" hidden="1" x14ac:dyDescent="0.25">
      <c r="B82" s="236" t="s">
        <v>247</v>
      </c>
      <c r="C82" s="175"/>
      <c r="D82" s="235" t="s">
        <v>248</v>
      </c>
      <c r="E82" s="174"/>
      <c r="F82" s="235"/>
    </row>
    <row r="83" spans="2:6" ht="15.75" hidden="1" x14ac:dyDescent="0.25">
      <c r="B83" s="268"/>
      <c r="E83" s="174"/>
      <c r="F83" s="235"/>
    </row>
    <row r="84" spans="2:6" ht="16.5" hidden="1" thickBot="1" x14ac:dyDescent="0.3">
      <c r="B84" s="236" t="s">
        <v>249</v>
      </c>
      <c r="E84" s="167"/>
      <c r="F84" s="235" t="s">
        <v>250</v>
      </c>
    </row>
    <row r="85" spans="2:6" ht="16.5" hidden="1" thickBot="1" x14ac:dyDescent="0.3">
      <c r="B85" s="253"/>
      <c r="C85" s="265"/>
      <c r="D85" s="266"/>
      <c r="E85" s="176"/>
      <c r="F85" s="235"/>
    </row>
    <row r="86" spans="2:6" ht="16.5" thickBot="1" x14ac:dyDescent="0.3">
      <c r="E86" s="173"/>
      <c r="F86" s="235"/>
    </row>
    <row r="87" spans="2:6" ht="18.75" thickBot="1" x14ac:dyDescent="0.3">
      <c r="B87" s="231" t="s">
        <v>251</v>
      </c>
      <c r="E87" s="173"/>
      <c r="F87" s="235"/>
    </row>
    <row r="88" spans="2:6" ht="15.75" x14ac:dyDescent="0.25">
      <c r="B88" s="269" t="s">
        <v>231</v>
      </c>
      <c r="C88" s="233"/>
      <c r="D88" s="270" t="s">
        <v>126</v>
      </c>
      <c r="E88" s="179">
        <f ca="1">E49</f>
        <v>506054.32027496962</v>
      </c>
      <c r="F88" s="235" t="s">
        <v>143</v>
      </c>
    </row>
    <row r="89" spans="2:6" ht="15.75" x14ac:dyDescent="0.25">
      <c r="B89" s="236" t="s">
        <v>252</v>
      </c>
      <c r="D89" s="235" t="s">
        <v>234</v>
      </c>
      <c r="E89" s="180">
        <f ca="1">E55</f>
        <v>174782.29377777778</v>
      </c>
      <c r="F89" s="235" t="s">
        <v>146</v>
      </c>
    </row>
    <row r="90" spans="2:6" ht="15.75" x14ac:dyDescent="0.25">
      <c r="B90" s="236" t="str">
        <f>B72</f>
        <v>Grossed-Up Taxes/PILs</v>
      </c>
      <c r="D90" s="235" t="s">
        <v>140</v>
      </c>
      <c r="E90" s="180">
        <f ca="1">E72</f>
        <v>-63675.900532290798</v>
      </c>
      <c r="F90" s="235" t="s">
        <v>253</v>
      </c>
    </row>
    <row r="91" spans="2:6" ht="15.75" x14ac:dyDescent="0.25">
      <c r="B91" s="236"/>
      <c r="D91" s="235"/>
      <c r="E91" s="174"/>
      <c r="F91" s="235"/>
    </row>
    <row r="92" spans="2:6" ht="15.75" x14ac:dyDescent="0.25">
      <c r="B92" s="236"/>
      <c r="E92" s="174"/>
      <c r="F92" s="235"/>
    </row>
    <row r="93" spans="2:6" ht="16.5" thickBot="1" x14ac:dyDescent="0.3">
      <c r="B93" s="236" t="s">
        <v>251</v>
      </c>
      <c r="E93" s="181">
        <f ca="1">SUM(E88:E90)</f>
        <v>617160.71352045657</v>
      </c>
      <c r="F93" s="235" t="s">
        <v>254</v>
      </c>
    </row>
    <row r="94" spans="2:6" ht="16.5" thickBot="1" x14ac:dyDescent="0.3">
      <c r="B94" s="253"/>
      <c r="C94" s="265"/>
      <c r="D94" s="266"/>
      <c r="E94" s="176"/>
      <c r="F94" s="235"/>
    </row>
    <row r="95" spans="2:6" ht="15.75" x14ac:dyDescent="0.25">
      <c r="E95" s="182"/>
    </row>
    <row r="96" spans="2:6" ht="15.75" x14ac:dyDescent="0.25">
      <c r="E96" s="182"/>
    </row>
  </sheetData>
  <mergeCells count="3">
    <mergeCell ref="F23:H24"/>
    <mergeCell ref="C24:E24"/>
    <mergeCell ref="B29:F29"/>
  </mergeCells>
  <pageMargins left="0.70866141732283472" right="0.70866141732283472" top="0.74803149606299213" bottom="0.74803149606299213" header="0.31496062992125984" footer="0.31496062992125984"/>
  <pageSetup scale="60" orientation="portrait"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9"/>
  <sheetViews>
    <sheetView showGridLines="0" tabSelected="1" topLeftCell="G1" workbookViewId="0">
      <selection activeCell="P12" sqref="P12"/>
    </sheetView>
  </sheetViews>
  <sheetFormatPr defaultRowHeight="15" x14ac:dyDescent="0.25"/>
  <cols>
    <col min="1" max="1" width="49.28515625" customWidth="1"/>
    <col min="2" max="2" width="4.140625" customWidth="1"/>
    <col min="3" max="3" width="19.85546875" customWidth="1"/>
    <col min="4" max="4" width="22" customWidth="1"/>
    <col min="5" max="5" width="18.28515625" customWidth="1"/>
    <col min="6" max="7" width="22" customWidth="1"/>
    <col min="8" max="8" width="27.7109375" customWidth="1"/>
    <col min="9" max="9" width="15.42578125" bestFit="1" customWidth="1"/>
    <col min="10" max="10" width="3.42578125" customWidth="1"/>
    <col min="11" max="11" width="22" customWidth="1"/>
    <col min="12" max="12" width="17.42578125" customWidth="1"/>
    <col min="13" max="13" width="11.5703125" customWidth="1"/>
    <col min="14" max="14" width="2.28515625" customWidth="1"/>
    <col min="15" max="15" width="18" customWidth="1"/>
    <col min="16" max="16" width="24.7109375" customWidth="1"/>
    <col min="17" max="17" width="22.5703125" customWidth="1"/>
    <col min="18" max="18" width="18.7109375" customWidth="1"/>
    <col min="19" max="20" width="20" customWidth="1"/>
    <col min="26" max="26" width="9.140625" hidden="1" customWidth="1"/>
  </cols>
  <sheetData>
    <row r="1" spans="1:26" x14ac:dyDescent="0.25">
      <c r="Z1" s="76" t="b">
        <v>1</v>
      </c>
    </row>
    <row r="2" spans="1:26" x14ac:dyDescent="0.25">
      <c r="Z2" s="76" t="b">
        <v>0</v>
      </c>
    </row>
    <row r="3" spans="1:26" x14ac:dyDescent="0.25">
      <c r="Z3" s="76" t="b">
        <v>0</v>
      </c>
    </row>
    <row r="12" spans="1:26" ht="15.75" thickBot="1" x14ac:dyDescent="0.3"/>
    <row r="13" spans="1:26" ht="22.5" thickTop="1" thickBot="1" x14ac:dyDescent="0.3">
      <c r="A13" s="353" t="s">
        <v>255</v>
      </c>
      <c r="B13" s="353"/>
      <c r="C13" s="353"/>
      <c r="D13" s="353"/>
      <c r="E13" s="354" t="s">
        <v>315</v>
      </c>
      <c r="F13" s="355"/>
    </row>
    <row r="14" spans="1:26" ht="43.5" customHeight="1" x14ac:dyDescent="0.25">
      <c r="A14" s="202"/>
    </row>
    <row r="15" spans="1:26" ht="47.25" x14ac:dyDescent="0.25">
      <c r="A15" s="271" t="s">
        <v>70</v>
      </c>
      <c r="B15" s="272"/>
      <c r="C15" s="272" t="s">
        <v>84</v>
      </c>
      <c r="D15" s="272" t="s">
        <v>256</v>
      </c>
      <c r="E15" s="272" t="s">
        <v>257</v>
      </c>
      <c r="F15" s="272" t="s">
        <v>80</v>
      </c>
      <c r="G15" s="272" t="s">
        <v>258</v>
      </c>
      <c r="H15" s="272" t="s">
        <v>259</v>
      </c>
      <c r="I15" s="272" t="s">
        <v>260</v>
      </c>
      <c r="J15" s="272"/>
      <c r="K15" s="272" t="s">
        <v>72</v>
      </c>
      <c r="L15" s="272" t="s">
        <v>73</v>
      </c>
      <c r="M15" s="272" t="s">
        <v>181</v>
      </c>
      <c r="N15" s="272"/>
      <c r="O15" s="272" t="s">
        <v>261</v>
      </c>
      <c r="P15" s="272" t="s">
        <v>262</v>
      </c>
      <c r="Q15" s="272" t="s">
        <v>263</v>
      </c>
      <c r="R15" s="272"/>
      <c r="S15" s="272"/>
      <c r="T15" s="272"/>
    </row>
    <row r="16" spans="1:26" s="102" customFormat="1" ht="17.25" customHeight="1" x14ac:dyDescent="0.25">
      <c r="A16" s="99"/>
      <c r="B16" s="99"/>
      <c r="C16" s="183" t="s">
        <v>264</v>
      </c>
      <c r="D16" s="183" t="s">
        <v>264</v>
      </c>
      <c r="E16" s="183" t="s">
        <v>264</v>
      </c>
      <c r="F16" s="184" t="s">
        <v>265</v>
      </c>
      <c r="G16" s="184" t="s">
        <v>266</v>
      </c>
      <c r="H16" s="184" t="s">
        <v>267</v>
      </c>
      <c r="I16" s="185"/>
      <c r="J16" s="186"/>
      <c r="K16" s="183" t="s">
        <v>268</v>
      </c>
      <c r="L16" s="183" t="s">
        <v>268</v>
      </c>
      <c r="M16" s="183" t="s">
        <v>268</v>
      </c>
      <c r="N16" s="186"/>
      <c r="O16" s="184" t="s">
        <v>270</v>
      </c>
      <c r="P16" s="184" t="s">
        <v>271</v>
      </c>
      <c r="Q16" s="184" t="s">
        <v>272</v>
      </c>
      <c r="R16"/>
      <c r="S16"/>
      <c r="T16" s="187"/>
    </row>
    <row r="17" spans="1:26" x14ac:dyDescent="0.25">
      <c r="A17" s="103" t="s">
        <v>63</v>
      </c>
      <c r="B17" s="103"/>
      <c r="C17" s="156">
        <f>'7. Revenue Proportions'!P17</f>
        <v>0.41494815058255313</v>
      </c>
      <c r="D17" s="156">
        <f>'7. Revenue Proportions'!Q17</f>
        <v>0</v>
      </c>
      <c r="E17" s="156">
        <f>'7. Revenue Proportions'!R17</f>
        <v>0</v>
      </c>
      <c r="F17" s="193">
        <f ca="1">C17*$I$25</f>
        <v>256089.69668752234</v>
      </c>
      <c r="G17" s="193">
        <f ca="1">D17*$I$25</f>
        <v>0</v>
      </c>
      <c r="H17" s="193">
        <f ca="1">E17*$I$25</f>
        <v>0</v>
      </c>
      <c r="I17" s="193">
        <f ca="1">SUM(F17:H17)</f>
        <v>256089.69668752234</v>
      </c>
      <c r="J17" s="105"/>
      <c r="K17" s="104">
        <f>'3. Growth Factor - NUM_CALC1'!C17</f>
        <v>185254</v>
      </c>
      <c r="L17" s="104">
        <f>'3. Growth Factor - NUM_CALC1'!D17</f>
        <v>1599146375</v>
      </c>
      <c r="M17" s="104">
        <v>0</v>
      </c>
      <c r="N17" s="105"/>
      <c r="O17" s="194">
        <f ca="1">IF(ISERROR(ROUND(I17 / K17 / 12, 2)),0,ROUND(I17 / K17 / 12, 2))</f>
        <v>0.12</v>
      </c>
      <c r="P17" s="195">
        <v>0</v>
      </c>
      <c r="Q17" s="195">
        <v>0</v>
      </c>
      <c r="R17" s="196" t="s">
        <v>273</v>
      </c>
    </row>
    <row r="18" spans="1:26" x14ac:dyDescent="0.25">
      <c r="A18" s="110" t="s">
        <v>64</v>
      </c>
      <c r="B18" s="110"/>
      <c r="C18" s="156">
        <f>'7. Revenue Proportions'!P18</f>
        <v>8.0531500045066068E-2</v>
      </c>
      <c r="D18" s="156">
        <f>'7. Revenue Proportions'!Q18</f>
        <v>6.9927878540792993E-2</v>
      </c>
      <c r="E18" s="156">
        <f>'7. Revenue Proportions'!R18</f>
        <v>0</v>
      </c>
      <c r="F18" s="193">
        <f t="shared" ref="F18:H23" ca="1" si="0">C18*$I$25</f>
        <v>49700.878028685656</v>
      </c>
      <c r="G18" s="193">
        <f t="shared" ca="1" si="0"/>
        <v>43156.73941520763</v>
      </c>
      <c r="H18" s="193">
        <f t="shared" ca="1" si="0"/>
        <v>0</v>
      </c>
      <c r="I18" s="193">
        <f t="shared" ref="I18:I23" ca="1" si="1">SUM(F18:H18)</f>
        <v>92857.617443893279</v>
      </c>
      <c r="J18" s="112"/>
      <c r="K18" s="104">
        <f>'3. Growth Factor - NUM_CALC1'!C18</f>
        <v>19579</v>
      </c>
      <c r="L18" s="104">
        <f>'3. Growth Factor - NUM_CALC1'!D18</f>
        <v>696191917</v>
      </c>
      <c r="M18" s="111">
        <v>0</v>
      </c>
      <c r="N18" s="112"/>
      <c r="O18" s="197">
        <f t="shared" ref="O18:O23" ca="1" si="2">IF(ISERROR(ROUND(F18 / K18 / 12, 2)),0,ROUND(F18 / K18 / 12, 2))</f>
        <v>0.21</v>
      </c>
      <c r="P18" s="198">
        <f t="shared" ref="P18:Q23" ca="1" si="3">IF(ISERROR(ROUND(G18 / L18, 4)),0,ROUND(G18 / L18, 4))</f>
        <v>1E-4</v>
      </c>
      <c r="Q18" s="198">
        <f t="shared" ca="1" si="3"/>
        <v>0</v>
      </c>
    </row>
    <row r="19" spans="1:26" x14ac:dyDescent="0.25">
      <c r="A19" s="110" t="s">
        <v>65</v>
      </c>
      <c r="B19" s="110"/>
      <c r="C19" s="156">
        <f>'7. Revenue Proportions'!P19</f>
        <v>2.4602253206290736E-2</v>
      </c>
      <c r="D19" s="156">
        <f>'7. Revenue Proportions'!Q19</f>
        <v>0</v>
      </c>
      <c r="E19" s="156">
        <f>'7. Revenue Proportions'!R19</f>
        <v>0.19355384862231279</v>
      </c>
      <c r="F19" s="193">
        <f t="shared" ca="1" si="0"/>
        <v>15183.544143005331</v>
      </c>
      <c r="G19" s="193">
        <f t="shared" ca="1" si="0"/>
        <v>0</v>
      </c>
      <c r="H19" s="193">
        <f t="shared" ca="1" si="0"/>
        <v>119453.83132037699</v>
      </c>
      <c r="I19" s="193">
        <f t="shared" ca="1" si="1"/>
        <v>134637.37546338231</v>
      </c>
      <c r="J19" s="112"/>
      <c r="K19" s="104">
        <f>'3. Growth Factor - NUM_CALC1'!C19</f>
        <v>3396</v>
      </c>
      <c r="L19" s="104">
        <f>'3. Growth Factor - NUM_CALC1'!D19</f>
        <v>1863077828</v>
      </c>
      <c r="M19" s="104">
        <f>'3. Growth Factor - NUM_CALC1'!E19</f>
        <v>5327788</v>
      </c>
      <c r="N19" s="112"/>
      <c r="O19" s="197">
        <f t="shared" ca="1" si="2"/>
        <v>0.37</v>
      </c>
      <c r="P19" s="198">
        <f t="shared" ca="1" si="3"/>
        <v>0</v>
      </c>
      <c r="Q19" s="198">
        <f t="shared" ca="1" si="3"/>
        <v>2.24E-2</v>
      </c>
    </row>
    <row r="20" spans="1:26" x14ac:dyDescent="0.25">
      <c r="A20" s="110" t="s">
        <v>66</v>
      </c>
      <c r="B20" s="110"/>
      <c r="C20" s="156">
        <f>'7. Revenue Proportions'!P20</f>
        <v>6.8622604892809247E-2</v>
      </c>
      <c r="D20" s="156">
        <f>'7. Revenue Proportions'!Q20</f>
        <v>0</v>
      </c>
      <c r="E20" s="156">
        <f>'7. Revenue Proportions'!R20</f>
        <v>8.2179335294444961E-2</v>
      </c>
      <c r="F20" s="193">
        <f t="shared" ca="1" si="0"/>
        <v>42351.175799278528</v>
      </c>
      <c r="G20" s="193">
        <f t="shared" ca="1" si="0"/>
        <v>0</v>
      </c>
      <c r="H20" s="193">
        <f t="shared" ca="1" si="0"/>
        <v>50717.857206956491</v>
      </c>
      <c r="I20" s="193">
        <f t="shared" ca="1" si="1"/>
        <v>93069.033006235026</v>
      </c>
      <c r="J20" s="112"/>
      <c r="K20" s="104">
        <f>'3. Growth Factor - NUM_CALC1'!C20</f>
        <v>416</v>
      </c>
      <c r="L20" s="104">
        <f>'3. Growth Factor - NUM_CALC1'!D20</f>
        <v>1865649100</v>
      </c>
      <c r="M20" s="104">
        <f>'3. Growth Factor - NUM_CALC1'!E20</f>
        <v>4396114</v>
      </c>
      <c r="N20" s="112"/>
      <c r="O20" s="197">
        <f t="shared" ca="1" si="2"/>
        <v>8.48</v>
      </c>
      <c r="P20" s="198">
        <f t="shared" ca="1" si="3"/>
        <v>0</v>
      </c>
      <c r="Q20" s="198">
        <f t="shared" ca="1" si="3"/>
        <v>1.15E-2</v>
      </c>
    </row>
    <row r="21" spans="1:26" x14ac:dyDescent="0.25">
      <c r="A21" s="110" t="s">
        <v>67</v>
      </c>
      <c r="B21" s="110"/>
      <c r="C21" s="156">
        <f>'7. Revenue Proportions'!P21</f>
        <v>1.1705690634329443E-2</v>
      </c>
      <c r="D21" s="156">
        <f>'7. Revenue Proportions'!Q21</f>
        <v>0</v>
      </c>
      <c r="E21" s="156">
        <f>'7. Revenue Proportions'!R21</f>
        <v>3.9224300790539283E-2</v>
      </c>
      <c r="F21" s="193">
        <f t="shared" ca="1" si="0"/>
        <v>7224.2923841324846</v>
      </c>
      <c r="G21" s="193">
        <f t="shared" ca="1" si="0"/>
        <v>0</v>
      </c>
      <c r="H21" s="193">
        <f t="shared" ca="1" si="0"/>
        <v>24207.697463230234</v>
      </c>
      <c r="I21" s="193">
        <f t="shared" ca="1" si="1"/>
        <v>31431.989847362718</v>
      </c>
      <c r="J21" s="112"/>
      <c r="K21" s="104">
        <f>'3. Growth Factor - NUM_CALC1'!C21</f>
        <v>9</v>
      </c>
      <c r="L21" s="104">
        <f>'3. Growth Factor - NUM_CALC1'!D21</f>
        <v>991422381</v>
      </c>
      <c r="M21" s="104">
        <f>'3. Growth Factor - NUM_CALC1'!E21</f>
        <v>1690526</v>
      </c>
      <c r="N21" s="112"/>
      <c r="O21" s="197">
        <f t="shared" ca="1" si="2"/>
        <v>66.89</v>
      </c>
      <c r="P21" s="198">
        <f t="shared" ca="1" si="3"/>
        <v>0</v>
      </c>
      <c r="Q21" s="198">
        <f t="shared" ca="1" si="3"/>
        <v>1.43E-2</v>
      </c>
    </row>
    <row r="22" spans="1:26" x14ac:dyDescent="0.25">
      <c r="A22" s="110" t="s">
        <v>68</v>
      </c>
      <c r="B22" s="110"/>
      <c r="C22" s="156">
        <f>'7. Revenue Proportions'!P22</f>
        <v>2.6388069777139559E-3</v>
      </c>
      <c r="D22" s="156">
        <f>'7. Revenue Proportions'!Q22</f>
        <v>1.4471054892571068E-3</v>
      </c>
      <c r="E22" s="156">
        <f>'7. Revenue Proportions'!R22</f>
        <v>0</v>
      </c>
      <c r="F22" s="193">
        <f t="shared" ca="1" si="0"/>
        <v>1628.5679972087046</v>
      </c>
      <c r="G22" s="193">
        <f t="shared" ca="1" si="0"/>
        <v>893.09665628928542</v>
      </c>
      <c r="H22" s="193">
        <f t="shared" ca="1" si="0"/>
        <v>0</v>
      </c>
      <c r="I22" s="193">
        <f t="shared" ca="1" si="1"/>
        <v>2521.66465349799</v>
      </c>
      <c r="J22" s="112"/>
      <c r="K22" s="104">
        <f>'3. Growth Factor - NUM_CALC1'!C22</f>
        <v>3106</v>
      </c>
      <c r="L22" s="104">
        <f>'3. Growth Factor - NUM_CALC1'!D22</f>
        <v>11275180</v>
      </c>
      <c r="M22" s="111">
        <v>0</v>
      </c>
      <c r="N22" s="112"/>
      <c r="O22" s="197">
        <f t="shared" ca="1" si="2"/>
        <v>0.04</v>
      </c>
      <c r="P22" s="198">
        <f t="shared" ca="1" si="3"/>
        <v>1E-4</v>
      </c>
      <c r="Q22" s="198">
        <f t="shared" ca="1" si="3"/>
        <v>0</v>
      </c>
    </row>
    <row r="23" spans="1:26" x14ac:dyDescent="0.25">
      <c r="A23" s="110" t="s">
        <v>69</v>
      </c>
      <c r="B23" s="110"/>
      <c r="C23" s="156">
        <f>'7. Revenue Proportions'!P23</f>
        <v>7.272814823977701E-3</v>
      </c>
      <c r="D23" s="156">
        <f>'7. Revenue Proportions'!Q23</f>
        <v>0</v>
      </c>
      <c r="E23" s="156">
        <f>'7. Revenue Proportions'!R23</f>
        <v>3.3457100999126498E-3</v>
      </c>
      <c r="F23" s="193">
        <f t="shared" ca="1" si="0"/>
        <v>4488.4955860682321</v>
      </c>
      <c r="G23" s="193">
        <f t="shared" ca="1" si="0"/>
        <v>0</v>
      </c>
      <c r="H23" s="193">
        <f t="shared" ca="1" si="0"/>
        <v>2064.840832494689</v>
      </c>
      <c r="I23" s="193">
        <f t="shared" ca="1" si="1"/>
        <v>6553.3364185629216</v>
      </c>
      <c r="J23" s="112"/>
      <c r="K23" s="104">
        <f>'3. Growth Factor - NUM_CALC1'!C23</f>
        <v>50812</v>
      </c>
      <c r="L23" s="104">
        <f>'3. Growth Factor - NUM_CALC1'!D23</f>
        <v>13531876</v>
      </c>
      <c r="M23" s="104">
        <f>'3. Growth Factor - NUM_CALC1'!E23</f>
        <v>36860</v>
      </c>
      <c r="N23" s="112"/>
      <c r="O23" s="197">
        <f t="shared" ca="1" si="2"/>
        <v>0.01</v>
      </c>
      <c r="P23" s="198">
        <f t="shared" ca="1" si="3"/>
        <v>0</v>
      </c>
      <c r="Q23" s="198">
        <f t="shared" ca="1" si="3"/>
        <v>5.6000000000000001E-2</v>
      </c>
    </row>
    <row r="24" spans="1:26" x14ac:dyDescent="0.25">
      <c r="A24" s="117" t="s">
        <v>102</v>
      </c>
      <c r="B24" s="117"/>
      <c r="C24" s="188">
        <f t="shared" ref="C24:I24" si="4">SUM(C17:C23)</f>
        <v>0.61032182116274025</v>
      </c>
      <c r="D24" s="188">
        <f t="shared" si="4"/>
        <v>7.1374984030050104E-2</v>
      </c>
      <c r="E24" s="188">
        <f t="shared" si="4"/>
        <v>0.31830319480720964</v>
      </c>
      <c r="F24" s="189">
        <f t="shared" ca="1" si="4"/>
        <v>376666.6506259013</v>
      </c>
      <c r="G24" s="189">
        <f t="shared" ca="1" si="4"/>
        <v>44049.836071496917</v>
      </c>
      <c r="H24" s="189">
        <f t="shared" ca="1" si="4"/>
        <v>196444.22682305842</v>
      </c>
      <c r="I24" s="189">
        <f t="shared" ca="1" si="4"/>
        <v>617160.71352045657</v>
      </c>
      <c r="J24" s="119"/>
      <c r="K24" s="189">
        <f>SUM(K17:K23)</f>
        <v>262572</v>
      </c>
      <c r="L24" s="189">
        <f>SUM(L17:L23)</f>
        <v>7040294657</v>
      </c>
      <c r="M24" s="189">
        <f>SUM(M17:M23)</f>
        <v>11451288</v>
      </c>
      <c r="N24" s="119"/>
      <c r="O24" s="119"/>
      <c r="P24" s="119"/>
      <c r="Q24" s="119"/>
      <c r="R24" s="122"/>
      <c r="S24" s="122"/>
      <c r="T24" s="122"/>
      <c r="U24" s="122"/>
      <c r="V24" s="122"/>
      <c r="W24" s="122"/>
      <c r="X24" s="122"/>
      <c r="Y24" s="122"/>
      <c r="Z24" s="122"/>
    </row>
    <row r="25" spans="1:26" x14ac:dyDescent="0.25">
      <c r="C25" s="192"/>
      <c r="D25" s="192"/>
      <c r="E25" s="192"/>
      <c r="F25" s="192"/>
      <c r="G25" s="192"/>
      <c r="H25" s="192"/>
      <c r="I25" s="190">
        <f ca="1">'10. Incremental Capital Adj.'!E93</f>
        <v>617160.71352045657</v>
      </c>
      <c r="J25" s="192"/>
      <c r="K25" s="192"/>
      <c r="L25" s="192"/>
      <c r="M25" s="192"/>
      <c r="N25" s="192"/>
      <c r="O25" s="192"/>
      <c r="P25" s="192"/>
      <c r="Q25" s="192"/>
    </row>
    <row r="26" spans="1:26" x14ac:dyDescent="0.25">
      <c r="C26" s="123"/>
      <c r="D26" s="123"/>
      <c r="E26" s="123"/>
      <c r="F26" s="123"/>
      <c r="G26" s="123"/>
      <c r="H26" s="123"/>
      <c r="I26" s="191" t="s">
        <v>316</v>
      </c>
      <c r="J26" s="123"/>
      <c r="K26" s="123"/>
      <c r="L26" s="123"/>
      <c r="M26" s="123"/>
      <c r="N26" s="123"/>
      <c r="O26" s="123"/>
      <c r="P26" s="123"/>
      <c r="Q26" s="123"/>
    </row>
    <row r="27" spans="1:26" x14ac:dyDescent="0.25">
      <c r="C27" s="123"/>
      <c r="D27" s="123"/>
      <c r="E27" s="123"/>
      <c r="F27" s="123"/>
      <c r="G27" s="123"/>
      <c r="H27" s="123"/>
      <c r="I27" s="123"/>
      <c r="J27" s="123"/>
      <c r="K27" s="123"/>
      <c r="L27" s="123"/>
      <c r="M27" s="123"/>
      <c r="N27" s="123"/>
      <c r="O27" s="123"/>
      <c r="P27" s="123"/>
      <c r="Q27" s="123"/>
    </row>
    <row r="28" spans="1:26" x14ac:dyDescent="0.25">
      <c r="C28" s="123"/>
      <c r="D28" s="123"/>
      <c r="E28" s="123"/>
      <c r="F28" s="123"/>
      <c r="G28" s="123"/>
      <c r="H28" s="123"/>
      <c r="I28" s="123"/>
      <c r="J28" s="123"/>
      <c r="K28" s="123"/>
      <c r="L28" s="123"/>
      <c r="M28" s="123"/>
      <c r="N28" s="123"/>
      <c r="O28" s="123"/>
      <c r="P28" s="123"/>
      <c r="Q28" s="123"/>
    </row>
    <row r="29" spans="1:26" x14ac:dyDescent="0.25">
      <c r="C29" s="123"/>
      <c r="D29" s="123"/>
      <c r="E29" s="123"/>
      <c r="F29" s="123"/>
      <c r="G29" s="123"/>
      <c r="H29" s="123"/>
      <c r="I29" s="123"/>
      <c r="J29" s="123"/>
      <c r="K29" s="123"/>
      <c r="L29" s="123"/>
      <c r="M29" s="123"/>
      <c r="N29" s="123"/>
      <c r="O29" s="123"/>
      <c r="P29" s="123"/>
      <c r="Q29" s="123"/>
    </row>
    <row r="30" spans="1:26" x14ac:dyDescent="0.25">
      <c r="C30" s="123"/>
      <c r="D30" s="123"/>
      <c r="E30" s="123"/>
      <c r="F30" s="123"/>
      <c r="G30" s="123"/>
      <c r="H30" s="123"/>
      <c r="I30" s="123"/>
      <c r="J30" s="123"/>
      <c r="K30" s="123"/>
      <c r="L30" s="123"/>
      <c r="M30" s="123"/>
      <c r="N30" s="123"/>
      <c r="O30" s="123"/>
      <c r="P30" s="123"/>
      <c r="Q30" s="123"/>
    </row>
    <row r="31" spans="1:26" x14ac:dyDescent="0.25">
      <c r="C31" s="123"/>
      <c r="D31" s="123"/>
      <c r="E31" s="123"/>
      <c r="F31" s="123"/>
      <c r="G31" s="123"/>
      <c r="H31" s="123"/>
      <c r="I31" s="123"/>
      <c r="J31" s="123"/>
      <c r="K31" s="123"/>
      <c r="L31" s="123"/>
      <c r="M31" s="123"/>
      <c r="N31" s="123"/>
      <c r="O31" s="123"/>
      <c r="P31" s="123"/>
      <c r="Q31" s="123"/>
    </row>
    <row r="32" spans="1:26" x14ac:dyDescent="0.25">
      <c r="C32" s="123"/>
      <c r="D32" s="123"/>
      <c r="E32" s="123"/>
      <c r="F32" s="123"/>
      <c r="G32" s="123"/>
      <c r="H32" s="123"/>
      <c r="I32" s="123"/>
      <c r="J32" s="123"/>
      <c r="K32" s="123"/>
      <c r="L32" s="123"/>
      <c r="M32" s="123"/>
      <c r="N32" s="123"/>
      <c r="O32" s="123"/>
      <c r="P32" s="123"/>
      <c r="Q32" s="123"/>
    </row>
    <row r="33" spans="3:17" x14ac:dyDescent="0.25">
      <c r="C33" s="123"/>
      <c r="D33" s="123"/>
      <c r="E33" s="123"/>
      <c r="F33" s="123"/>
      <c r="G33" s="123"/>
      <c r="H33" s="123"/>
      <c r="I33" s="123"/>
      <c r="J33" s="123"/>
      <c r="K33" s="123"/>
      <c r="L33" s="123"/>
      <c r="M33" s="123"/>
      <c r="N33" s="123"/>
      <c r="O33" s="123"/>
      <c r="P33" s="123"/>
      <c r="Q33" s="123"/>
    </row>
    <row r="34" spans="3:17" x14ac:dyDescent="0.25">
      <c r="C34" s="123"/>
      <c r="D34" s="123"/>
      <c r="E34" s="123"/>
      <c r="F34" s="123"/>
      <c r="G34" s="123"/>
      <c r="H34" s="123"/>
      <c r="I34" s="123"/>
      <c r="J34" s="123"/>
      <c r="K34" s="123"/>
      <c r="L34" s="123"/>
      <c r="M34" s="123"/>
      <c r="N34" s="123"/>
      <c r="O34" s="123"/>
      <c r="P34" s="123"/>
      <c r="Q34" s="123"/>
    </row>
    <row r="35" spans="3:17" x14ac:dyDescent="0.25">
      <c r="C35" s="123"/>
      <c r="D35" s="123"/>
      <c r="E35" s="123"/>
      <c r="F35" s="123"/>
      <c r="G35" s="123"/>
      <c r="H35" s="123"/>
      <c r="I35" s="123"/>
      <c r="J35" s="123"/>
      <c r="K35" s="123"/>
      <c r="L35" s="123"/>
      <c r="M35" s="123"/>
      <c r="N35" s="123"/>
      <c r="O35" s="123"/>
      <c r="P35" s="123"/>
      <c r="Q35" s="123"/>
    </row>
    <row r="36" spans="3:17" x14ac:dyDescent="0.25">
      <c r="C36" s="123"/>
      <c r="D36" s="123"/>
      <c r="E36" s="123"/>
      <c r="F36" s="123"/>
      <c r="G36" s="123"/>
      <c r="H36" s="123"/>
      <c r="I36" s="123"/>
      <c r="J36" s="123"/>
      <c r="K36" s="123"/>
      <c r="L36" s="123"/>
      <c r="M36" s="123"/>
      <c r="N36" s="123"/>
      <c r="O36" s="123"/>
      <c r="P36" s="123"/>
      <c r="Q36" s="123"/>
    </row>
    <row r="37" spans="3:17" x14ac:dyDescent="0.25">
      <c r="C37" s="123"/>
      <c r="D37" s="123"/>
      <c r="E37" s="123"/>
      <c r="F37" s="123"/>
      <c r="G37" s="123"/>
      <c r="H37" s="123"/>
      <c r="I37" s="123"/>
      <c r="J37" s="123"/>
      <c r="K37" s="123"/>
      <c r="L37" s="123"/>
      <c r="M37" s="123"/>
      <c r="N37" s="123"/>
      <c r="O37" s="123"/>
      <c r="P37" s="123"/>
      <c r="Q37" s="123"/>
    </row>
    <row r="38" spans="3:17" x14ac:dyDescent="0.25">
      <c r="C38" s="123"/>
      <c r="D38" s="123"/>
      <c r="E38" s="123"/>
      <c r="F38" s="123"/>
      <c r="G38" s="123"/>
      <c r="H38" s="123"/>
      <c r="I38" s="123"/>
      <c r="J38" s="123"/>
      <c r="K38" s="123"/>
      <c r="L38" s="123"/>
      <c r="M38" s="123"/>
      <c r="N38" s="123"/>
      <c r="O38" s="123"/>
      <c r="P38" s="123"/>
      <c r="Q38" s="123"/>
    </row>
    <row r="39" spans="3:17" x14ac:dyDescent="0.25">
      <c r="C39" s="123"/>
      <c r="D39" s="123"/>
      <c r="E39" s="123"/>
      <c r="F39" s="123"/>
      <c r="G39" s="123"/>
      <c r="H39" s="123"/>
      <c r="I39" s="123"/>
      <c r="J39" s="123"/>
      <c r="K39" s="123"/>
      <c r="L39" s="123"/>
      <c r="M39" s="123"/>
      <c r="N39" s="123"/>
      <c r="O39" s="123"/>
      <c r="P39" s="123"/>
      <c r="Q39" s="123"/>
    </row>
  </sheetData>
  <mergeCells count="2">
    <mergeCell ref="A13:D13"/>
    <mergeCell ref="E13:F13"/>
  </mergeCells>
  <dataValidations count="1">
    <dataValidation type="list" allowBlank="1" showInputMessage="1" showErrorMessage="1" sqref="E13:F13" xr:uid="{428047E2-EED9-46DB-8ABE-914929F48344}">
      <formula1>"Fixed and Variable Rate Riders, Variable Only Rate Rider, Fixed Only Rate Rider"</formula1>
    </dataValidation>
  </dataValidations>
  <pageMargins left="0.70866141732283472" right="0.70866141732283472" top="0.74803149606299213" bottom="0.74803149606299213" header="0.31496062992125984" footer="0.31496062992125984"/>
  <pageSetup scale="37" orientation="landscape"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1:Q50"/>
  <sheetViews>
    <sheetView showGridLines="0" workbookViewId="0">
      <selection activeCell="C9" sqref="C9:E9"/>
    </sheetView>
  </sheetViews>
  <sheetFormatPr defaultRowHeight="15" x14ac:dyDescent="0.25"/>
  <cols>
    <col min="1" max="1" width="13.28515625" customWidth="1"/>
    <col min="5" max="5" width="9.140625" customWidth="1"/>
    <col min="16" max="18" width="0" hidden="1" customWidth="1"/>
  </cols>
  <sheetData>
    <row r="11" spans="1:14" x14ac:dyDescent="0.25">
      <c r="G11" s="55"/>
    </row>
    <row r="12" spans="1:14" x14ac:dyDescent="0.25">
      <c r="A12" s="323" t="s">
        <v>58</v>
      </c>
      <c r="B12" s="323"/>
      <c r="C12" s="323"/>
      <c r="D12" s="323"/>
      <c r="E12" s="323"/>
      <c r="F12" s="323"/>
      <c r="G12" s="323"/>
      <c r="H12" s="323"/>
      <c r="I12" s="323"/>
      <c r="J12" s="323"/>
      <c r="K12" s="323"/>
      <c r="L12" s="323"/>
      <c r="M12" s="323"/>
      <c r="N12" s="323"/>
    </row>
    <row r="13" spans="1:14" x14ac:dyDescent="0.25">
      <c r="A13" s="56"/>
      <c r="B13" s="56"/>
      <c r="C13" s="56"/>
      <c r="D13" s="56"/>
      <c r="E13" s="56"/>
      <c r="F13" s="56"/>
      <c r="G13" s="57"/>
      <c r="H13" s="56"/>
      <c r="I13" s="56"/>
      <c r="J13" s="56"/>
      <c r="K13" s="56"/>
      <c r="L13" s="56"/>
      <c r="M13" s="56"/>
      <c r="N13" s="56"/>
    </row>
    <row r="14" spans="1:14" x14ac:dyDescent="0.25">
      <c r="A14" s="56" t="s">
        <v>59</v>
      </c>
      <c r="B14" s="56"/>
      <c r="C14" s="58"/>
      <c r="D14" s="58"/>
      <c r="E14" s="58"/>
      <c r="F14" s="58"/>
      <c r="G14" s="58"/>
      <c r="H14" s="58"/>
      <c r="I14" s="58"/>
      <c r="J14" s="59">
        <v>7</v>
      </c>
      <c r="K14" s="58"/>
      <c r="L14" s="58"/>
      <c r="M14" s="56"/>
      <c r="N14" s="56"/>
    </row>
    <row r="15" spans="1:14" x14ac:dyDescent="0.25">
      <c r="A15" s="56"/>
      <c r="B15" s="56"/>
      <c r="C15" s="58"/>
      <c r="D15" s="58"/>
      <c r="E15" s="58"/>
      <c r="F15" s="58"/>
      <c r="G15" s="58"/>
      <c r="H15" s="58"/>
      <c r="I15" s="58"/>
      <c r="J15" s="58"/>
      <c r="K15" s="58"/>
      <c r="L15" s="58"/>
      <c r="M15" s="56"/>
      <c r="N15" s="56"/>
    </row>
    <row r="16" spans="1:14" x14ac:dyDescent="0.25">
      <c r="A16" s="56" t="s">
        <v>60</v>
      </c>
      <c r="B16" s="56"/>
      <c r="C16" s="58"/>
      <c r="D16" s="58"/>
      <c r="E16" s="60"/>
      <c r="F16" s="61"/>
      <c r="G16" s="61"/>
      <c r="H16" s="61"/>
      <c r="I16" s="61"/>
      <c r="J16" s="61"/>
      <c r="K16" s="58"/>
      <c r="L16" s="58"/>
      <c r="M16" s="56"/>
      <c r="N16" s="56"/>
    </row>
    <row r="17" spans="1:17" x14ac:dyDescent="0.25">
      <c r="A17" s="55"/>
      <c r="B17" s="62"/>
      <c r="C17" s="62"/>
      <c r="D17" s="62"/>
      <c r="E17" s="63"/>
      <c r="F17" s="64"/>
      <c r="G17" s="64"/>
      <c r="I17" s="64"/>
      <c r="J17" s="64"/>
      <c r="K17" s="62"/>
      <c r="L17" s="62"/>
    </row>
    <row r="18" spans="1:17" x14ac:dyDescent="0.25">
      <c r="A18" s="55"/>
      <c r="B18" s="324" t="s">
        <v>61</v>
      </c>
      <c r="C18" s="324"/>
      <c r="D18" s="324"/>
      <c r="E18" s="324"/>
      <c r="F18" s="324"/>
      <c r="G18" s="324"/>
      <c r="H18" s="324"/>
      <c r="I18" s="324"/>
      <c r="J18" s="324"/>
      <c r="K18" s="62"/>
      <c r="L18" s="62"/>
      <c r="Q18" t="s">
        <v>62</v>
      </c>
    </row>
    <row r="19" spans="1:17" x14ac:dyDescent="0.25">
      <c r="A19" s="65">
        <v>1</v>
      </c>
      <c r="B19" s="320" t="s">
        <v>63</v>
      </c>
      <c r="C19" s="321"/>
      <c r="D19" s="321"/>
      <c r="E19" s="321"/>
      <c r="F19" s="321"/>
      <c r="G19" s="321"/>
      <c r="H19" s="321"/>
      <c r="I19" s="321"/>
      <c r="J19" s="322"/>
      <c r="K19" s="62"/>
      <c r="L19" s="62"/>
      <c r="P19">
        <f>COUNTIF($B$19:$J$40, B19)</f>
        <v>1</v>
      </c>
      <c r="Q19">
        <f>COUNTIF(P19:P40, 2)/2</f>
        <v>0</v>
      </c>
    </row>
    <row r="20" spans="1:17" x14ac:dyDescent="0.25">
      <c r="A20" s="65">
        <v>2</v>
      </c>
      <c r="B20" s="317" t="s">
        <v>64</v>
      </c>
      <c r="C20" s="318"/>
      <c r="D20" s="318"/>
      <c r="E20" s="318"/>
      <c r="F20" s="318"/>
      <c r="G20" s="318"/>
      <c r="H20" s="318"/>
      <c r="I20" s="318"/>
      <c r="J20" s="319"/>
      <c r="K20" s="62"/>
      <c r="L20" s="62"/>
      <c r="P20">
        <f t="shared" ref="P20:P33" si="0">COUNTIF($B$19:$J$40, B20)</f>
        <v>1</v>
      </c>
    </row>
    <row r="21" spans="1:17" x14ac:dyDescent="0.25">
      <c r="A21" s="65">
        <v>3</v>
      </c>
      <c r="B21" s="317" t="s">
        <v>276</v>
      </c>
      <c r="C21" s="318"/>
      <c r="D21" s="318"/>
      <c r="E21" s="318"/>
      <c r="F21" s="318"/>
      <c r="G21" s="318"/>
      <c r="H21" s="318"/>
      <c r="I21" s="318"/>
      <c r="J21" s="319"/>
      <c r="K21" s="62"/>
      <c r="L21" s="62"/>
      <c r="P21">
        <f t="shared" si="0"/>
        <v>1</v>
      </c>
    </row>
    <row r="22" spans="1:17" x14ac:dyDescent="0.25">
      <c r="A22" s="65">
        <v>4</v>
      </c>
      <c r="B22" s="320" t="s">
        <v>66</v>
      </c>
      <c r="C22" s="321"/>
      <c r="D22" s="321"/>
      <c r="E22" s="321"/>
      <c r="F22" s="321"/>
      <c r="G22" s="321"/>
      <c r="H22" s="321"/>
      <c r="I22" s="321"/>
      <c r="J22" s="322"/>
      <c r="K22" s="62"/>
      <c r="L22" s="62"/>
      <c r="P22">
        <f t="shared" si="0"/>
        <v>1</v>
      </c>
    </row>
    <row r="23" spans="1:17" x14ac:dyDescent="0.25">
      <c r="A23" s="65">
        <v>5</v>
      </c>
      <c r="B23" s="317" t="s">
        <v>67</v>
      </c>
      <c r="C23" s="318"/>
      <c r="D23" s="318"/>
      <c r="E23" s="318"/>
      <c r="F23" s="318"/>
      <c r="G23" s="318"/>
      <c r="H23" s="318"/>
      <c r="I23" s="318"/>
      <c r="J23" s="319"/>
      <c r="K23" s="62"/>
      <c r="L23" s="62"/>
      <c r="P23">
        <f t="shared" si="0"/>
        <v>1</v>
      </c>
    </row>
    <row r="24" spans="1:17" x14ac:dyDescent="0.25">
      <c r="A24" s="65">
        <v>6</v>
      </c>
      <c r="B24" s="317" t="s">
        <v>68</v>
      </c>
      <c r="C24" s="318"/>
      <c r="D24" s="318"/>
      <c r="E24" s="318"/>
      <c r="F24" s="318"/>
      <c r="G24" s="318"/>
      <c r="H24" s="318"/>
      <c r="I24" s="318"/>
      <c r="J24" s="319"/>
      <c r="K24" s="62"/>
      <c r="L24" s="62"/>
      <c r="P24">
        <f t="shared" si="0"/>
        <v>1</v>
      </c>
    </row>
    <row r="25" spans="1:17" x14ac:dyDescent="0.25">
      <c r="A25" s="66">
        <v>7</v>
      </c>
      <c r="B25" s="320" t="s">
        <v>69</v>
      </c>
      <c r="C25" s="321"/>
      <c r="D25" s="321"/>
      <c r="E25" s="321"/>
      <c r="F25" s="321"/>
      <c r="G25" s="321"/>
      <c r="H25" s="321"/>
      <c r="I25" s="321"/>
      <c r="J25" s="322"/>
      <c r="K25" s="62"/>
      <c r="L25" s="62"/>
      <c r="P25">
        <f t="shared" si="0"/>
        <v>1</v>
      </c>
    </row>
    <row r="26" spans="1:17" x14ac:dyDescent="0.25">
      <c r="A26" s="66"/>
      <c r="B26" s="67"/>
      <c r="C26" s="68"/>
      <c r="D26" s="68"/>
      <c r="E26" s="68"/>
      <c r="F26" s="68"/>
      <c r="G26" s="68"/>
      <c r="H26" s="68"/>
      <c r="I26" s="68"/>
      <c r="J26" s="69"/>
      <c r="K26" s="62"/>
      <c r="L26" s="62"/>
      <c r="P26">
        <f t="shared" si="0"/>
        <v>0</v>
      </c>
    </row>
    <row r="27" spans="1:17" x14ac:dyDescent="0.25">
      <c r="A27" s="66"/>
      <c r="B27" s="67"/>
      <c r="C27" s="68"/>
      <c r="D27" s="68"/>
      <c r="E27" s="68"/>
      <c r="F27" s="68"/>
      <c r="G27" s="68"/>
      <c r="H27" s="68"/>
      <c r="I27" s="68"/>
      <c r="J27" s="69"/>
      <c r="K27" s="62"/>
      <c r="L27" s="62"/>
      <c r="P27">
        <f t="shared" si="0"/>
        <v>0</v>
      </c>
    </row>
    <row r="28" spans="1:17" x14ac:dyDescent="0.25">
      <c r="A28" s="66"/>
      <c r="B28" s="70"/>
      <c r="C28" s="71"/>
      <c r="D28" s="71"/>
      <c r="E28" s="71"/>
      <c r="F28" s="71"/>
      <c r="G28" s="71"/>
      <c r="H28" s="71"/>
      <c r="I28" s="71"/>
      <c r="J28" s="72"/>
      <c r="P28">
        <f t="shared" si="0"/>
        <v>0</v>
      </c>
    </row>
    <row r="29" spans="1:17" x14ac:dyDescent="0.25">
      <c r="A29" s="66"/>
      <c r="B29" s="73"/>
      <c r="C29" s="74"/>
      <c r="D29" s="74"/>
      <c r="E29" s="74"/>
      <c r="F29" s="74"/>
      <c r="G29" s="74"/>
      <c r="H29" s="74"/>
      <c r="I29" s="74"/>
      <c r="J29" s="75"/>
      <c r="P29">
        <f t="shared" si="0"/>
        <v>0</v>
      </c>
    </row>
    <row r="30" spans="1:17" x14ac:dyDescent="0.25">
      <c r="A30" s="66"/>
      <c r="B30" s="73"/>
      <c r="C30" s="74"/>
      <c r="D30" s="74"/>
      <c r="E30" s="74"/>
      <c r="F30" s="74"/>
      <c r="G30" s="74"/>
      <c r="H30" s="74"/>
      <c r="I30" s="74"/>
      <c r="J30" s="75"/>
      <c r="P30">
        <f t="shared" si="0"/>
        <v>0</v>
      </c>
    </row>
    <row r="31" spans="1:17" x14ac:dyDescent="0.25">
      <c r="A31" s="66"/>
      <c r="B31" s="70"/>
      <c r="C31" s="71"/>
      <c r="D31" s="71"/>
      <c r="E31" s="71"/>
      <c r="F31" s="71"/>
      <c r="G31" s="71"/>
      <c r="H31" s="71"/>
      <c r="I31" s="71"/>
      <c r="J31" s="72"/>
      <c r="P31">
        <f t="shared" si="0"/>
        <v>0</v>
      </c>
    </row>
    <row r="32" spans="1:17" x14ac:dyDescent="0.25">
      <c r="A32" s="66"/>
      <c r="B32" s="73"/>
      <c r="C32" s="74"/>
      <c r="D32" s="74"/>
      <c r="E32" s="74"/>
      <c r="F32" s="74"/>
      <c r="G32" s="74"/>
      <c r="H32" s="74"/>
      <c r="I32" s="74"/>
      <c r="J32" s="75"/>
      <c r="P32">
        <f t="shared" si="0"/>
        <v>0</v>
      </c>
    </row>
    <row r="33" spans="1:16" x14ac:dyDescent="0.25">
      <c r="A33" s="66"/>
      <c r="B33" s="73"/>
      <c r="C33" s="74"/>
      <c r="D33" s="74"/>
      <c r="E33" s="74"/>
      <c r="F33" s="74"/>
      <c r="G33" s="74"/>
      <c r="H33" s="74"/>
      <c r="I33" s="74"/>
      <c r="J33" s="75"/>
      <c r="P33">
        <f t="shared" si="0"/>
        <v>0</v>
      </c>
    </row>
    <row r="34" spans="1:16" x14ac:dyDescent="0.25">
      <c r="A34" s="76"/>
      <c r="B34" s="77"/>
      <c r="C34" s="77"/>
      <c r="D34" s="77"/>
      <c r="E34" s="77"/>
      <c r="F34" s="77"/>
      <c r="G34" s="77"/>
      <c r="H34" s="77"/>
      <c r="I34" s="77"/>
      <c r="J34" s="77"/>
    </row>
    <row r="35" spans="1:16" x14ac:dyDescent="0.25">
      <c r="A35" s="76"/>
      <c r="B35" s="78"/>
      <c r="C35" s="78"/>
      <c r="D35" s="78"/>
      <c r="E35" s="78"/>
      <c r="F35" s="79"/>
      <c r="G35" s="79"/>
      <c r="H35" s="79"/>
      <c r="I35" s="79"/>
      <c r="J35" s="79"/>
    </row>
    <row r="36" spans="1:16" x14ac:dyDescent="0.25">
      <c r="A36" s="76"/>
      <c r="B36" s="80"/>
      <c r="C36" s="80"/>
      <c r="D36" s="80"/>
      <c r="E36" s="80"/>
      <c r="F36" s="76"/>
      <c r="G36" s="76"/>
      <c r="H36" s="76"/>
      <c r="I36" s="76"/>
      <c r="J36" s="76"/>
    </row>
    <row r="37" spans="1:16" x14ac:dyDescent="0.25">
      <c r="A37" s="76"/>
      <c r="B37" s="80"/>
      <c r="C37" s="80"/>
      <c r="D37" s="80"/>
      <c r="E37" s="80"/>
      <c r="F37" s="76"/>
      <c r="G37" s="76"/>
      <c r="H37" s="76"/>
      <c r="I37" s="76"/>
      <c r="J37" s="76"/>
    </row>
    <row r="38" spans="1:16" x14ac:dyDescent="0.25">
      <c r="A38" s="76"/>
      <c r="B38" s="80"/>
      <c r="C38" s="80"/>
      <c r="D38" s="80"/>
      <c r="E38" s="80"/>
      <c r="F38" s="76"/>
      <c r="G38" s="76"/>
      <c r="H38" s="76"/>
      <c r="I38" s="76"/>
      <c r="J38" s="76"/>
    </row>
    <row r="39" spans="1:16" x14ac:dyDescent="0.25">
      <c r="A39" s="76"/>
      <c r="B39" s="80"/>
      <c r="C39" s="80"/>
      <c r="D39" s="80"/>
      <c r="E39" s="80"/>
      <c r="F39" s="76"/>
      <c r="G39" s="76"/>
      <c r="H39" s="76"/>
      <c r="I39" s="76"/>
      <c r="J39" s="76"/>
    </row>
    <row r="40" spans="1:16" x14ac:dyDescent="0.25">
      <c r="A40" s="76"/>
      <c r="B40" s="76"/>
      <c r="C40" s="76"/>
      <c r="D40" s="76"/>
      <c r="E40" s="76"/>
      <c r="F40" s="76"/>
      <c r="G40" s="76"/>
      <c r="H40" s="76"/>
      <c r="I40" s="76"/>
      <c r="J40" s="76"/>
    </row>
    <row r="41" spans="1:16" x14ac:dyDescent="0.25">
      <c r="A41" s="76"/>
      <c r="B41" s="76"/>
      <c r="C41" s="76"/>
      <c r="D41" s="76"/>
      <c r="E41" s="76"/>
      <c r="F41" s="76"/>
      <c r="G41" s="76"/>
      <c r="H41" s="76"/>
      <c r="I41" s="76"/>
      <c r="J41" s="76"/>
    </row>
    <row r="42" spans="1:16" x14ac:dyDescent="0.25">
      <c r="A42" s="76"/>
      <c r="B42" s="76"/>
      <c r="C42" s="76"/>
      <c r="D42" s="76"/>
      <c r="E42" s="76"/>
      <c r="F42" s="76"/>
      <c r="G42" s="76"/>
      <c r="H42" s="76"/>
      <c r="I42" s="76"/>
      <c r="J42" s="76"/>
    </row>
    <row r="43" spans="1:16" x14ac:dyDescent="0.25">
      <c r="A43" s="76"/>
      <c r="B43" s="76"/>
      <c r="C43" s="76"/>
      <c r="D43" s="76"/>
      <c r="E43" s="76"/>
      <c r="F43" s="76"/>
      <c r="G43" s="76"/>
      <c r="H43" s="76"/>
      <c r="I43" s="76"/>
      <c r="J43" s="76"/>
    </row>
    <row r="44" spans="1:16" x14ac:dyDescent="0.25">
      <c r="A44" s="76"/>
      <c r="B44" s="76"/>
      <c r="C44" s="76"/>
      <c r="D44" s="76"/>
      <c r="E44" s="76"/>
      <c r="F44" s="76"/>
      <c r="G44" s="76"/>
      <c r="H44" s="76"/>
      <c r="I44" s="76"/>
      <c r="J44" s="76"/>
    </row>
    <row r="45" spans="1:16" x14ac:dyDescent="0.25">
      <c r="A45" s="76"/>
      <c r="B45" s="76"/>
      <c r="C45" s="76"/>
      <c r="D45" s="76"/>
      <c r="E45" s="76"/>
      <c r="F45" s="76"/>
      <c r="G45" s="76"/>
      <c r="H45" s="76"/>
      <c r="I45" s="76"/>
      <c r="J45" s="76"/>
    </row>
    <row r="46" spans="1:16" x14ac:dyDescent="0.25">
      <c r="A46" s="76"/>
      <c r="B46" s="76"/>
      <c r="C46" s="76"/>
      <c r="D46" s="76"/>
      <c r="E46" s="76"/>
      <c r="F46" s="76"/>
      <c r="G46" s="76"/>
      <c r="H46" s="76"/>
      <c r="I46" s="76"/>
      <c r="J46" s="76"/>
    </row>
    <row r="47" spans="1:16" x14ac:dyDescent="0.25">
      <c r="A47" s="76"/>
      <c r="B47" s="76"/>
      <c r="C47" s="76"/>
      <c r="D47" s="76"/>
      <c r="E47" s="76"/>
      <c r="F47" s="76"/>
      <c r="G47" s="76"/>
      <c r="H47" s="76"/>
      <c r="I47" s="76"/>
      <c r="J47" s="76"/>
    </row>
    <row r="48" spans="1:16" x14ac:dyDescent="0.25">
      <c r="A48" s="76"/>
      <c r="B48" s="76"/>
      <c r="C48" s="76"/>
      <c r="D48" s="76"/>
      <c r="E48" s="76"/>
      <c r="F48" s="76"/>
      <c r="G48" s="76"/>
      <c r="H48" s="76"/>
      <c r="I48" s="76"/>
      <c r="J48" s="76"/>
    </row>
    <row r="49" spans="1:10" x14ac:dyDescent="0.25">
      <c r="A49" s="76"/>
      <c r="B49" s="76"/>
      <c r="C49" s="76"/>
      <c r="D49" s="76"/>
      <c r="E49" s="76"/>
      <c r="F49" s="76"/>
      <c r="G49" s="76"/>
      <c r="H49" s="76"/>
      <c r="I49" s="76"/>
      <c r="J49" s="76"/>
    </row>
    <row r="50" spans="1:10" x14ac:dyDescent="0.25">
      <c r="A50" s="76"/>
      <c r="B50" s="76"/>
      <c r="C50" s="76"/>
      <c r="D50" s="76"/>
      <c r="E50" s="76"/>
      <c r="F50" s="76"/>
      <c r="G50" s="76"/>
      <c r="H50" s="76"/>
      <c r="I50" s="76"/>
      <c r="J50" s="76"/>
    </row>
  </sheetData>
  <mergeCells count="9">
    <mergeCell ref="B23:J23"/>
    <mergeCell ref="B24:J24"/>
    <mergeCell ref="B25:J25"/>
    <mergeCell ref="A12:N12"/>
    <mergeCell ref="B18:J18"/>
    <mergeCell ref="B19:J19"/>
    <mergeCell ref="B20:J20"/>
    <mergeCell ref="B21:J21"/>
    <mergeCell ref="B22:J22"/>
  </mergeCells>
  <dataValidations count="3">
    <dataValidation type="list" allowBlank="1" showInputMessage="1" showErrorMessage="1" sqref="B19:J25" xr:uid="{00000000-0002-0000-0100-000000000000}">
      <formula1>Rate_Class</formula1>
    </dataValidation>
    <dataValidation allowBlank="1" showInputMessage="1" showErrorMessage="1" sqref="B26:J34" xr:uid="{00000000-0002-0000-0100-000001000000}"/>
    <dataValidation type="list" allowBlank="1" showInputMessage="1" showErrorMessage="1" sqref="J14" xr:uid="{00000000-0002-0000-0100-000002000000}">
      <formula1>"1,2,3,4,5,6,7,8, 9, 10,11,12,13,14,15"</formula1>
    </dataValidation>
  </dataValidations>
  <pageMargins left="0.70866141732283472" right="0.70866141732283472" top="0.74803149606299213" bottom="0.74803149606299213" header="0.31496062992125984" footer="0.31496062992125984"/>
  <pageSetup scale="63" orientation="portrait"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4"/>
  <sheetViews>
    <sheetView showGridLines="0" topLeftCell="A10" workbookViewId="0">
      <selection activeCell="A19" sqref="A19"/>
    </sheetView>
  </sheetViews>
  <sheetFormatPr defaultColWidth="9.140625" defaultRowHeight="15" x14ac:dyDescent="0.25"/>
  <cols>
    <col min="1" max="1" width="65.85546875" style="30" customWidth="1"/>
    <col min="2" max="2" width="21.85546875" style="30" customWidth="1"/>
    <col min="3" max="4" width="21.85546875" style="76" customWidth="1"/>
    <col min="5" max="5" width="20.85546875" style="76" customWidth="1"/>
    <col min="6" max="6" width="3.28515625" style="76" customWidth="1"/>
    <col min="7" max="7" width="15.42578125" style="76" bestFit="1" customWidth="1"/>
    <col min="8" max="9" width="18.140625" style="76" bestFit="1" customWidth="1"/>
    <col min="10" max="11" width="28" style="30" customWidth="1"/>
    <col min="12" max="16384" width="9.140625" style="30"/>
  </cols>
  <sheetData>
    <row r="1" spans="1:9" x14ac:dyDescent="0.25">
      <c r="A1" s="81"/>
      <c r="C1" s="30"/>
      <c r="D1" s="30"/>
      <c r="E1" s="30"/>
      <c r="F1" s="30"/>
      <c r="G1" s="30"/>
      <c r="H1" s="30"/>
      <c r="I1" s="30"/>
    </row>
    <row r="2" spans="1:9" x14ac:dyDescent="0.25">
      <c r="C2" s="30"/>
      <c r="D2" s="30"/>
      <c r="E2" s="30"/>
      <c r="F2" s="30"/>
      <c r="G2" s="30"/>
      <c r="H2" s="30"/>
      <c r="I2" s="30"/>
    </row>
    <row r="3" spans="1:9" x14ac:dyDescent="0.25">
      <c r="C3" s="30"/>
      <c r="D3" s="30"/>
      <c r="E3" s="30"/>
      <c r="F3" s="30"/>
      <c r="G3" s="30"/>
      <c r="H3" s="30"/>
      <c r="I3" s="30"/>
    </row>
    <row r="4" spans="1:9" x14ac:dyDescent="0.25">
      <c r="C4" s="30"/>
      <c r="D4" s="30"/>
      <c r="E4" s="30"/>
      <c r="F4" s="30"/>
      <c r="G4" s="30"/>
      <c r="H4" s="30"/>
      <c r="I4" s="30"/>
    </row>
    <row r="5" spans="1:9" ht="15.75" x14ac:dyDescent="0.25">
      <c r="C5" s="30"/>
      <c r="D5" s="30"/>
      <c r="E5" s="30"/>
      <c r="F5" s="30"/>
      <c r="G5" s="30"/>
      <c r="H5" s="82"/>
      <c r="I5" s="30"/>
    </row>
    <row r="6" spans="1:9" x14ac:dyDescent="0.25">
      <c r="C6" s="30"/>
      <c r="D6" s="30"/>
      <c r="E6" s="30"/>
      <c r="F6" s="30"/>
      <c r="G6" s="30"/>
      <c r="H6" s="30"/>
      <c r="I6" s="30"/>
    </row>
    <row r="7" spans="1:9" x14ac:dyDescent="0.25">
      <c r="C7" s="30"/>
      <c r="D7" s="30"/>
      <c r="E7" s="30"/>
      <c r="F7" s="30"/>
      <c r="G7" s="30"/>
      <c r="H7" s="30"/>
      <c r="I7" s="30"/>
    </row>
    <row r="8" spans="1:9" x14ac:dyDescent="0.25">
      <c r="C8" s="30"/>
      <c r="D8" s="30"/>
      <c r="E8" s="30"/>
      <c r="F8" s="30"/>
      <c r="G8" s="30"/>
      <c r="H8" s="30"/>
      <c r="I8" s="30"/>
    </row>
    <row r="9" spans="1:9" x14ac:dyDescent="0.25">
      <c r="C9" s="30"/>
      <c r="D9" s="30"/>
      <c r="E9" s="30"/>
      <c r="F9" s="30"/>
      <c r="G9" s="30"/>
      <c r="H9" s="30"/>
      <c r="I9" s="30"/>
    </row>
    <row r="10" spans="1:9" x14ac:dyDescent="0.25">
      <c r="C10" s="30"/>
      <c r="D10" s="30"/>
      <c r="E10" s="30"/>
      <c r="F10" s="30"/>
      <c r="G10" s="30"/>
      <c r="H10" s="30"/>
      <c r="I10" s="30"/>
    </row>
    <row r="11" spans="1:9" ht="15.75" x14ac:dyDescent="0.25">
      <c r="A11" s="83"/>
      <c r="C11" s="30"/>
      <c r="D11" s="30"/>
      <c r="E11" s="30"/>
      <c r="F11" s="30"/>
      <c r="G11" s="30"/>
      <c r="H11" s="30"/>
      <c r="I11" s="30"/>
    </row>
    <row r="12" spans="1:9" x14ac:dyDescent="0.25">
      <c r="C12" s="30"/>
      <c r="D12" s="30"/>
      <c r="E12" s="30"/>
      <c r="F12" s="30"/>
      <c r="G12" s="30"/>
      <c r="H12" s="30"/>
      <c r="I12" s="30"/>
    </row>
    <row r="13" spans="1:9" ht="15.75" x14ac:dyDescent="0.25">
      <c r="A13" s="325" t="str">
        <f>"Input the billing determinants associated with " &amp; '1. Information Sheet'!F14 &amp; "'s " &amp; '1. Information Sheet'!F32 &amp; ". Input the current approved distribution rates.  Sheets 4 &amp; 5 calculate the NUMERATOR portion of the growth factor calculation."</f>
        <v>Input the billing determinants associated with Alectra Utilities - Enersource Rate Zone's 2022. Input the current approved distribution rates.  Sheets 4 &amp; 5 calculate the NUMERATOR portion of the growth factor calculation.</v>
      </c>
      <c r="B13" s="325"/>
      <c r="C13" s="325"/>
      <c r="D13" s="325"/>
      <c r="E13" s="325"/>
      <c r="F13" s="30"/>
      <c r="G13" s="30"/>
      <c r="H13" s="30"/>
      <c r="I13" s="30"/>
    </row>
    <row r="14" spans="1:9" ht="15.75" x14ac:dyDescent="0.25">
      <c r="A14" s="83"/>
      <c r="C14" s="30"/>
      <c r="D14" s="30"/>
      <c r="E14" s="30"/>
      <c r="F14" s="30"/>
      <c r="G14" s="30"/>
      <c r="H14" s="30"/>
      <c r="I14" s="30"/>
    </row>
    <row r="15" spans="1:9" ht="19.5" thickBot="1" x14ac:dyDescent="0.3">
      <c r="A15" s="83"/>
      <c r="C15" s="326" t="str">
        <f>RIGHT('1. Information Sheet'!F42,LEN('1. Information Sheet'!F42)-18)</f>
        <v>2022 Actual Distribution Demand</v>
      </c>
      <c r="D15" s="326"/>
      <c r="E15" s="326"/>
      <c r="F15" s="84"/>
      <c r="G15" s="326" t="str">
        <f>IF('1. Information Sheet'!F26="COS","Proposed Distribution Rates","Current Approved Distribution Rates")</f>
        <v>Current Approved Distribution Rates</v>
      </c>
      <c r="H15" s="326"/>
      <c r="I15" s="326"/>
    </row>
    <row r="16" spans="1:9" ht="47.25" x14ac:dyDescent="0.25">
      <c r="A16" s="85" t="s">
        <v>70</v>
      </c>
      <c r="B16" s="86" t="s">
        <v>71</v>
      </c>
      <c r="C16" s="82" t="s">
        <v>72</v>
      </c>
      <c r="D16" s="82" t="s">
        <v>73</v>
      </c>
      <c r="E16" s="82" t="s">
        <v>74</v>
      </c>
      <c r="F16" s="82"/>
      <c r="G16" s="82" t="s">
        <v>75</v>
      </c>
      <c r="H16" s="82" t="s">
        <v>76</v>
      </c>
      <c r="I16" s="82" t="s">
        <v>77</v>
      </c>
    </row>
    <row r="17" spans="1:9" ht="15.75" thickBot="1" x14ac:dyDescent="0.3">
      <c r="A17" s="30" t="s">
        <v>63</v>
      </c>
      <c r="B17" s="87" t="s">
        <v>78</v>
      </c>
      <c r="C17" s="88">
        <v>185254</v>
      </c>
      <c r="D17" s="93">
        <v>1599146375</v>
      </c>
      <c r="E17" s="93">
        <v>0</v>
      </c>
      <c r="F17" s="273"/>
      <c r="G17" s="89">
        <v>26.76</v>
      </c>
      <c r="H17" s="90"/>
      <c r="I17" s="91"/>
    </row>
    <row r="18" spans="1:9" ht="15.75" thickBot="1" x14ac:dyDescent="0.3">
      <c r="A18" s="30" t="s">
        <v>64</v>
      </c>
      <c r="B18" s="92" t="s">
        <v>78</v>
      </c>
      <c r="C18" s="88">
        <v>19579</v>
      </c>
      <c r="D18" s="93">
        <v>696191917</v>
      </c>
      <c r="E18" s="93">
        <v>0</v>
      </c>
      <c r="F18" s="274"/>
      <c r="G18" s="89">
        <v>49.14</v>
      </c>
      <c r="H18" s="90">
        <v>1.44E-2</v>
      </c>
      <c r="I18" s="95"/>
    </row>
    <row r="19" spans="1:9" ht="15.75" thickBot="1" x14ac:dyDescent="0.3">
      <c r="A19" s="30" t="s">
        <v>276</v>
      </c>
      <c r="B19" s="92" t="s">
        <v>79</v>
      </c>
      <c r="C19" s="88">
        <v>3396</v>
      </c>
      <c r="D19" s="93">
        <v>1863077828</v>
      </c>
      <c r="E19" s="93">
        <v>5327788</v>
      </c>
      <c r="F19" s="274"/>
      <c r="G19" s="89">
        <v>86.55</v>
      </c>
      <c r="H19" s="94"/>
      <c r="I19" s="90">
        <v>5.2083000000000004</v>
      </c>
    </row>
    <row r="20" spans="1:9" ht="15.75" thickBot="1" x14ac:dyDescent="0.3">
      <c r="A20" s="30" t="s">
        <v>66</v>
      </c>
      <c r="B20" s="92" t="s">
        <v>79</v>
      </c>
      <c r="C20" s="88">
        <v>416</v>
      </c>
      <c r="D20" s="93">
        <v>1865649100</v>
      </c>
      <c r="E20" s="93">
        <v>4396114</v>
      </c>
      <c r="F20" s="274"/>
      <c r="G20" s="89">
        <v>1970.76</v>
      </c>
      <c r="H20" s="94"/>
      <c r="I20" s="90">
        <v>2.68</v>
      </c>
    </row>
    <row r="21" spans="1:9" ht="15.75" thickBot="1" x14ac:dyDescent="0.3">
      <c r="A21" s="30" t="s">
        <v>67</v>
      </c>
      <c r="B21" s="92" t="s">
        <v>79</v>
      </c>
      <c r="C21" s="88">
        <v>9</v>
      </c>
      <c r="D21" s="93">
        <v>991422381</v>
      </c>
      <c r="E21" s="93">
        <v>1690526</v>
      </c>
      <c r="F21" s="274"/>
      <c r="G21" s="89">
        <v>15538.69</v>
      </c>
      <c r="H21" s="94"/>
      <c r="I21" s="90">
        <v>3.3264</v>
      </c>
    </row>
    <row r="22" spans="1:9" ht="15.75" thickBot="1" x14ac:dyDescent="0.3">
      <c r="A22" s="30" t="s">
        <v>68</v>
      </c>
      <c r="B22" s="92" t="s">
        <v>78</v>
      </c>
      <c r="C22" s="88">
        <v>3106</v>
      </c>
      <c r="D22" s="93">
        <v>11275180</v>
      </c>
      <c r="E22" s="93">
        <v>0</v>
      </c>
      <c r="F22" s="274"/>
      <c r="G22" s="89">
        <v>10.15</v>
      </c>
      <c r="H22" s="90">
        <v>1.84E-2</v>
      </c>
      <c r="I22" s="95"/>
    </row>
    <row r="23" spans="1:9" ht="15.75" thickBot="1" x14ac:dyDescent="0.3">
      <c r="A23" s="30" t="s">
        <v>69</v>
      </c>
      <c r="B23" s="92" t="s">
        <v>79</v>
      </c>
      <c r="C23" s="88">
        <v>50812</v>
      </c>
      <c r="D23" s="93">
        <v>13531876</v>
      </c>
      <c r="E23" s="93">
        <v>36860</v>
      </c>
      <c r="F23" s="275"/>
      <c r="G23" s="89">
        <v>1.71</v>
      </c>
      <c r="H23" s="94"/>
      <c r="I23" s="90">
        <v>13.0129</v>
      </c>
    </row>
    <row r="24" spans="1:9" x14ac:dyDescent="0.25">
      <c r="G24" s="96"/>
      <c r="H24" s="96"/>
      <c r="I24" s="96"/>
    </row>
  </sheetData>
  <mergeCells count="3">
    <mergeCell ref="A13:E13"/>
    <mergeCell ref="C15:E15"/>
    <mergeCell ref="G15:I15"/>
  </mergeCells>
  <dataValidations disablePrompts="1" count="1">
    <dataValidation type="list" allowBlank="1" showInputMessage="1" showErrorMessage="1" sqref="B17:B23" xr:uid="{00000000-0002-0000-0200-000000000000}">
      <formula1>Units1</formula1>
    </dataValidation>
  </dataValidations>
  <pageMargins left="0.70866141732283472" right="0.70866141732283472" top="0.74803149606299213" bottom="0.74803149606299213" header="0.31496062992125984" footer="0.31496062992125984"/>
  <pageSetup scale="58" orientation="landscape"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2:Z50"/>
  <sheetViews>
    <sheetView showGridLines="0" topLeftCell="B1" workbookViewId="0">
      <selection activeCell="C9" sqref="C9:E9"/>
    </sheetView>
  </sheetViews>
  <sheetFormatPr defaultRowHeight="15" x14ac:dyDescent="0.25"/>
  <cols>
    <col min="1" max="1" width="50" customWidth="1"/>
    <col min="3" max="4" width="16" bestFit="1" customWidth="1"/>
    <col min="5" max="5" width="18.85546875"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9.28515625" bestFit="1"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97" t="str">
        <f>IF('1. Information Sheet'!F24="COS", "Calculation of " &amp; '1. Information Sheet'!M24 &amp; " Revenue Requirement.  No input required.", "Calculation of pro forma " &amp; '1. Information Sheet'!F30 &amp; " Revenues.  No input required.")</f>
        <v>Calculation of pro forma 2013 Revenues.  No input required.</v>
      </c>
    </row>
    <row r="14" spans="1:19" ht="21.75" thickBot="1" x14ac:dyDescent="0.3">
      <c r="C14" s="327" t="str">
        <f>'3. Growth Factor - NUM_CALC1'!C15</f>
        <v>2022 Actual Distribution Demand</v>
      </c>
      <c r="D14" s="327"/>
      <c r="E14" s="327"/>
      <c r="F14" s="207"/>
      <c r="G14" s="328" t="str">
        <f>'3. Growth Factor - NUM_CALC1'!G15:I15</f>
        <v>Current Approved Distribution Rates</v>
      </c>
      <c r="H14" s="328"/>
      <c r="I14" s="328"/>
    </row>
    <row r="15" spans="1:19" s="100" customFormat="1" ht="63" x14ac:dyDescent="0.25">
      <c r="A15" s="98" t="s">
        <v>70</v>
      </c>
      <c r="B15" s="99"/>
      <c r="C15" s="86" t="s">
        <v>72</v>
      </c>
      <c r="D15" s="86" t="s">
        <v>73</v>
      </c>
      <c r="E15" s="86" t="s">
        <v>74</v>
      </c>
      <c r="F15" s="86"/>
      <c r="G15" s="86" t="s">
        <v>75</v>
      </c>
      <c r="H15" s="86" t="s">
        <v>76</v>
      </c>
      <c r="I15" s="86" t="s">
        <v>77</v>
      </c>
      <c r="J15" s="86"/>
      <c r="K15" s="86" t="s">
        <v>80</v>
      </c>
      <c r="L15" s="86" t="s">
        <v>81</v>
      </c>
      <c r="M15" s="86" t="s">
        <v>82</v>
      </c>
      <c r="N15" s="86" t="s">
        <v>83</v>
      </c>
      <c r="O15" s="86"/>
      <c r="P15" s="86" t="s">
        <v>84</v>
      </c>
      <c r="Q15" s="86" t="s">
        <v>85</v>
      </c>
      <c r="R15" s="86" t="s">
        <v>86</v>
      </c>
      <c r="S15" s="86" t="s">
        <v>87</v>
      </c>
    </row>
    <row r="16" spans="1:19" s="102" customFormat="1" ht="15.75" x14ac:dyDescent="0.25">
      <c r="A16" s="101"/>
      <c r="B16" s="99"/>
      <c r="C16" s="99" t="s">
        <v>88</v>
      </c>
      <c r="D16" s="99" t="s">
        <v>89</v>
      </c>
      <c r="E16" s="99" t="s">
        <v>90</v>
      </c>
      <c r="F16" s="99"/>
      <c r="G16" s="99" t="s">
        <v>91</v>
      </c>
      <c r="H16" s="99" t="s">
        <v>92</v>
      </c>
      <c r="I16" s="99" t="s">
        <v>93</v>
      </c>
      <c r="J16" s="99"/>
      <c r="K16" s="99" t="s">
        <v>94</v>
      </c>
      <c r="L16" s="99" t="s">
        <v>95</v>
      </c>
      <c r="M16" s="99" t="s">
        <v>96</v>
      </c>
      <c r="N16" s="99" t="s">
        <v>97</v>
      </c>
      <c r="O16" s="99"/>
      <c r="P16" s="99" t="s">
        <v>98</v>
      </c>
      <c r="Q16" s="99" t="s">
        <v>99</v>
      </c>
      <c r="R16" s="99" t="s">
        <v>100</v>
      </c>
      <c r="S16" s="99" t="s">
        <v>101</v>
      </c>
    </row>
    <row r="17" spans="1:26" x14ac:dyDescent="0.25">
      <c r="A17" s="103" t="s">
        <v>63</v>
      </c>
      <c r="B17" s="103"/>
      <c r="C17" s="104">
        <f>'3. Growth Factor - NUM_CALC1'!C17</f>
        <v>185254</v>
      </c>
      <c r="D17" s="104">
        <f>'3. Growth Factor - NUM_CALC1'!D17</f>
        <v>1599146375</v>
      </c>
      <c r="E17" s="104">
        <f>'3. Growth Factor - NUM_CALC1'!E17</f>
        <v>0</v>
      </c>
      <c r="F17" s="105"/>
      <c r="G17" s="106">
        <f>'3. Growth Factor - NUM_CALC1'!G17</f>
        <v>26.76</v>
      </c>
      <c r="H17" s="107">
        <f>'3. Growth Factor - NUM_CALC1'!H17</f>
        <v>0</v>
      </c>
      <c r="I17" s="107">
        <f>'3. Growth Factor - NUM_CALC1'!I17</f>
        <v>0</v>
      </c>
      <c r="J17" s="103"/>
      <c r="K17" s="108">
        <f t="shared" ref="K17:K23" si="0">G17*C17*12</f>
        <v>59488764.480000004</v>
      </c>
      <c r="L17" s="108">
        <f>H17*D17</f>
        <v>0</v>
      </c>
      <c r="M17" s="108">
        <v>0</v>
      </c>
      <c r="N17" s="108">
        <f t="shared" ref="N17:N23" si="1">SUM(K17,L17,M17)</f>
        <v>59488764.480000004</v>
      </c>
      <c r="O17" s="103"/>
      <c r="P17" s="109">
        <f t="shared" ref="P17:P23" si="2">IF(ISERROR(K17/N17),0,ROUND(K17/N17,3))</f>
        <v>1</v>
      </c>
      <c r="Q17" s="109">
        <f t="shared" ref="Q17:Q23" si="3">IF(ISERROR(L17/N17),0,ROUND(L17/N17,3))</f>
        <v>0</v>
      </c>
      <c r="R17" s="109">
        <f t="shared" ref="R17:R23" si="4">IF(ISERROR(M17/N17),0,ROUND(M17/N17,3))</f>
        <v>0</v>
      </c>
      <c r="S17" s="109">
        <f>N17/N24</f>
        <v>0.41494815058255313</v>
      </c>
    </row>
    <row r="18" spans="1:26" x14ac:dyDescent="0.25">
      <c r="A18" s="110" t="s">
        <v>64</v>
      </c>
      <c r="B18" s="110"/>
      <c r="C18" s="111">
        <f>'3. Growth Factor - NUM_CALC1'!C18</f>
        <v>19579</v>
      </c>
      <c r="D18" s="111">
        <f>'3. Growth Factor - NUM_CALC1'!D18</f>
        <v>696191917</v>
      </c>
      <c r="E18" s="111">
        <f>'3. Growth Factor - NUM_CALC1'!E18</f>
        <v>0</v>
      </c>
      <c r="F18" s="112"/>
      <c r="G18" s="113">
        <f>'3. Growth Factor - NUM_CALC1'!G18</f>
        <v>49.14</v>
      </c>
      <c r="H18" s="114">
        <f>'3. Growth Factor - NUM_CALC1'!H18</f>
        <v>1.44E-2</v>
      </c>
      <c r="I18" s="114">
        <f>'3. Growth Factor - NUM_CALC1'!I18</f>
        <v>0</v>
      </c>
      <c r="J18" s="110"/>
      <c r="K18" s="115">
        <f t="shared" si="0"/>
        <v>11545344.720000001</v>
      </c>
      <c r="L18" s="115">
        <f>H18*D18</f>
        <v>10025163.604799999</v>
      </c>
      <c r="M18" s="115">
        <v>0</v>
      </c>
      <c r="N18" s="115">
        <f t="shared" si="1"/>
        <v>21570508.3248</v>
      </c>
      <c r="O18" s="110"/>
      <c r="P18" s="116">
        <f t="shared" si="2"/>
        <v>0.53500000000000003</v>
      </c>
      <c r="Q18" s="116">
        <f t="shared" si="3"/>
        <v>0.46500000000000002</v>
      </c>
      <c r="R18" s="116">
        <f t="shared" si="4"/>
        <v>0</v>
      </c>
      <c r="S18" s="116">
        <f>N18/N24</f>
        <v>0.15045937858585906</v>
      </c>
    </row>
    <row r="19" spans="1:26" x14ac:dyDescent="0.25">
      <c r="A19" s="110" t="s">
        <v>65</v>
      </c>
      <c r="B19" s="110"/>
      <c r="C19" s="111">
        <f>'3. Growth Factor - NUM_CALC1'!C19</f>
        <v>3396</v>
      </c>
      <c r="D19" s="111">
        <f>'3. Growth Factor - NUM_CALC1'!D19</f>
        <v>1863077828</v>
      </c>
      <c r="E19" s="111">
        <f>'3. Growth Factor - NUM_CALC1'!E19</f>
        <v>5327788</v>
      </c>
      <c r="F19" s="112"/>
      <c r="G19" s="113">
        <f>'3. Growth Factor - NUM_CALC1'!G19</f>
        <v>86.55</v>
      </c>
      <c r="H19" s="114">
        <f>'3. Growth Factor - NUM_CALC1'!H19</f>
        <v>0</v>
      </c>
      <c r="I19" s="114">
        <f>'3. Growth Factor - NUM_CALC1'!I19</f>
        <v>5.2083000000000004</v>
      </c>
      <c r="J19" s="110"/>
      <c r="K19" s="115">
        <f t="shared" si="0"/>
        <v>3527085.5999999996</v>
      </c>
      <c r="L19" s="115">
        <v>0</v>
      </c>
      <c r="M19" s="115">
        <f>I19*E19</f>
        <v>27748718.240400001</v>
      </c>
      <c r="N19" s="115">
        <f t="shared" si="1"/>
        <v>31275803.840400003</v>
      </c>
      <c r="O19" s="110"/>
      <c r="P19" s="116">
        <f t="shared" si="2"/>
        <v>0.113</v>
      </c>
      <c r="Q19" s="116">
        <f t="shared" si="3"/>
        <v>0</v>
      </c>
      <c r="R19" s="116">
        <f t="shared" si="4"/>
        <v>0.88700000000000001</v>
      </c>
      <c r="S19" s="116">
        <f>N19/N24</f>
        <v>0.21815610182860351</v>
      </c>
    </row>
    <row r="20" spans="1:26" x14ac:dyDescent="0.25">
      <c r="A20" s="110" t="s">
        <v>66</v>
      </c>
      <c r="B20" s="110"/>
      <c r="C20" s="111">
        <f>'3. Growth Factor - NUM_CALC1'!C20</f>
        <v>416</v>
      </c>
      <c r="D20" s="111">
        <f>'3. Growth Factor - NUM_CALC1'!D20</f>
        <v>1865649100</v>
      </c>
      <c r="E20" s="111">
        <f>'3. Growth Factor - NUM_CALC1'!E20</f>
        <v>4396114</v>
      </c>
      <c r="F20" s="112"/>
      <c r="G20" s="113">
        <f>'3. Growth Factor - NUM_CALC1'!G20</f>
        <v>1970.76</v>
      </c>
      <c r="H20" s="114">
        <f>'3. Growth Factor - NUM_CALC1'!H20</f>
        <v>0</v>
      </c>
      <c r="I20" s="114">
        <f>'3. Growth Factor - NUM_CALC1'!I20</f>
        <v>2.68</v>
      </c>
      <c r="J20" s="110"/>
      <c r="K20" s="115">
        <f t="shared" si="0"/>
        <v>9838033.9199999999</v>
      </c>
      <c r="L20" s="115">
        <v>0</v>
      </c>
      <c r="M20" s="115">
        <f>I20*E20</f>
        <v>11781585.520000001</v>
      </c>
      <c r="N20" s="115">
        <f t="shared" si="1"/>
        <v>21619619.440000001</v>
      </c>
      <c r="O20" s="110"/>
      <c r="P20" s="116">
        <f t="shared" si="2"/>
        <v>0.45500000000000002</v>
      </c>
      <c r="Q20" s="116">
        <f t="shared" si="3"/>
        <v>0</v>
      </c>
      <c r="R20" s="116">
        <f t="shared" si="4"/>
        <v>0.54500000000000004</v>
      </c>
      <c r="S20" s="116">
        <f>N20/N24</f>
        <v>0.15080194018725421</v>
      </c>
    </row>
    <row r="21" spans="1:26" x14ac:dyDescent="0.25">
      <c r="A21" s="110" t="s">
        <v>67</v>
      </c>
      <c r="B21" s="110"/>
      <c r="C21" s="111">
        <f>'3. Growth Factor - NUM_CALC1'!C21</f>
        <v>9</v>
      </c>
      <c r="D21" s="111">
        <f>'3. Growth Factor - NUM_CALC1'!D21</f>
        <v>991422381</v>
      </c>
      <c r="E21" s="111">
        <f>'3. Growth Factor - NUM_CALC1'!E21</f>
        <v>1690526</v>
      </c>
      <c r="F21" s="112"/>
      <c r="G21" s="113">
        <f>'3. Growth Factor - NUM_CALC1'!G21</f>
        <v>15538.69</v>
      </c>
      <c r="H21" s="114">
        <f>'3. Growth Factor - NUM_CALC1'!H21</f>
        <v>0</v>
      </c>
      <c r="I21" s="114">
        <f>'3. Growth Factor - NUM_CALC1'!I21</f>
        <v>3.3264</v>
      </c>
      <c r="J21" s="110"/>
      <c r="K21" s="115">
        <f t="shared" si="0"/>
        <v>1678178.52</v>
      </c>
      <c r="L21" s="115">
        <v>0</v>
      </c>
      <c r="M21" s="115">
        <f>I21*E21</f>
        <v>5623365.6864</v>
      </c>
      <c r="N21" s="115">
        <f t="shared" si="1"/>
        <v>7301544.2063999996</v>
      </c>
      <c r="O21" s="110"/>
      <c r="P21" s="116">
        <f t="shared" si="2"/>
        <v>0.23</v>
      </c>
      <c r="Q21" s="116">
        <f t="shared" si="3"/>
        <v>0</v>
      </c>
      <c r="R21" s="116">
        <f t="shared" si="4"/>
        <v>0.77</v>
      </c>
      <c r="S21" s="116">
        <f>N21/N24</f>
        <v>5.0929991424868724E-2</v>
      </c>
    </row>
    <row r="22" spans="1:26" x14ac:dyDescent="0.25">
      <c r="A22" s="110" t="s">
        <v>68</v>
      </c>
      <c r="B22" s="110"/>
      <c r="C22" s="111">
        <f>'3. Growth Factor - NUM_CALC1'!C22</f>
        <v>3106</v>
      </c>
      <c r="D22" s="111">
        <f>'3. Growth Factor - NUM_CALC1'!D22</f>
        <v>11275180</v>
      </c>
      <c r="E22" s="111">
        <f>'3. Growth Factor - NUM_CALC1'!E22</f>
        <v>0</v>
      </c>
      <c r="F22" s="112"/>
      <c r="G22" s="113">
        <f>'3. Growth Factor - NUM_CALC1'!G22</f>
        <v>10.15</v>
      </c>
      <c r="H22" s="114">
        <f>'3. Growth Factor - NUM_CALC1'!H22</f>
        <v>1.84E-2</v>
      </c>
      <c r="I22" s="114">
        <f>'3. Growth Factor - NUM_CALC1'!I22</f>
        <v>0</v>
      </c>
      <c r="J22" s="110"/>
      <c r="K22" s="115">
        <f t="shared" si="0"/>
        <v>378310.80000000005</v>
      </c>
      <c r="L22" s="115">
        <f>H22*D22</f>
        <v>207463.31200000001</v>
      </c>
      <c r="M22" s="115">
        <v>0</v>
      </c>
      <c r="N22" s="115">
        <f t="shared" si="1"/>
        <v>585774.11200000008</v>
      </c>
      <c r="O22" s="110"/>
      <c r="P22" s="116">
        <f t="shared" si="2"/>
        <v>0.64600000000000002</v>
      </c>
      <c r="Q22" s="116">
        <f t="shared" si="3"/>
        <v>0.35399999999999998</v>
      </c>
      <c r="R22" s="116">
        <f t="shared" si="4"/>
        <v>0</v>
      </c>
      <c r="S22" s="116">
        <f>N22/N24</f>
        <v>4.0859124669710631E-3</v>
      </c>
    </row>
    <row r="23" spans="1:26" x14ac:dyDescent="0.25">
      <c r="A23" s="110" t="s">
        <v>69</v>
      </c>
      <c r="B23" s="110"/>
      <c r="C23" s="111">
        <f>'3. Growth Factor - NUM_CALC1'!C23</f>
        <v>50812</v>
      </c>
      <c r="D23" s="111">
        <f>'3. Growth Factor - NUM_CALC1'!D23</f>
        <v>13531876</v>
      </c>
      <c r="E23" s="111">
        <f>'3. Growth Factor - NUM_CALC1'!E23</f>
        <v>36860</v>
      </c>
      <c r="F23" s="112"/>
      <c r="G23" s="113">
        <f>'3. Growth Factor - NUM_CALC1'!G23</f>
        <v>1.71</v>
      </c>
      <c r="H23" s="114">
        <f>'3. Growth Factor - NUM_CALC1'!H23</f>
        <v>0</v>
      </c>
      <c r="I23" s="114">
        <f>'3. Growth Factor - NUM_CALC1'!I23</f>
        <v>13.0129</v>
      </c>
      <c r="J23" s="110"/>
      <c r="K23" s="115">
        <f t="shared" si="0"/>
        <v>1042662.24</v>
      </c>
      <c r="L23" s="115">
        <v>0</v>
      </c>
      <c r="M23" s="115">
        <f>I23*E23</f>
        <v>479655.49400000001</v>
      </c>
      <c r="N23" s="115">
        <f t="shared" si="1"/>
        <v>1522317.7339999999</v>
      </c>
      <c r="O23" s="110"/>
      <c r="P23" s="116">
        <f t="shared" si="2"/>
        <v>0.68500000000000005</v>
      </c>
      <c r="Q23" s="116">
        <f t="shared" si="3"/>
        <v>0</v>
      </c>
      <c r="R23" s="116">
        <f t="shared" si="4"/>
        <v>0.315</v>
      </c>
      <c r="S23" s="116">
        <f>N23/N24</f>
        <v>1.061852492389035E-2</v>
      </c>
    </row>
    <row r="24" spans="1:26" x14ac:dyDescent="0.25">
      <c r="A24" s="117" t="s">
        <v>102</v>
      </c>
      <c r="B24" s="117"/>
      <c r="C24" s="118">
        <f>SUM(C17:C23)</f>
        <v>262572</v>
      </c>
      <c r="D24" s="118">
        <f>SUM(D17:D23)</f>
        <v>7040294657</v>
      </c>
      <c r="E24" s="118">
        <f>SUM(E17:E23)</f>
        <v>11451288</v>
      </c>
      <c r="F24" s="119"/>
      <c r="G24" s="119"/>
      <c r="H24" s="119"/>
      <c r="I24" s="119"/>
      <c r="J24" s="117"/>
      <c r="K24" s="120">
        <f>SUM(K17:K23)</f>
        <v>87498380.279999986</v>
      </c>
      <c r="L24" s="120">
        <f>SUM(L17:L23)</f>
        <v>10232626.9168</v>
      </c>
      <c r="M24" s="120">
        <f>SUM(M17:M23)</f>
        <v>45633324.940800011</v>
      </c>
      <c r="N24" s="120">
        <f>SUM(N17:N23)</f>
        <v>143364332.1376</v>
      </c>
      <c r="O24" s="117"/>
      <c r="P24" s="121"/>
      <c r="Q24" s="121"/>
      <c r="R24" s="121"/>
      <c r="S24" s="121">
        <f>SUM(S17:S23)</f>
        <v>1.0000000000000002</v>
      </c>
      <c r="T24" s="122"/>
      <c r="U24" s="122"/>
      <c r="V24" s="122"/>
      <c r="W24" s="122"/>
      <c r="X24" s="122"/>
      <c r="Y24" s="122"/>
      <c r="Z24" s="122"/>
    </row>
    <row r="25" spans="1:26" x14ac:dyDescent="0.25">
      <c r="C25" s="123"/>
      <c r="D25" s="123"/>
      <c r="E25" s="123"/>
      <c r="F25" s="123"/>
      <c r="G25" s="123"/>
      <c r="H25" s="123"/>
      <c r="I25" s="123"/>
    </row>
    <row r="26" spans="1:26" x14ac:dyDescent="0.25">
      <c r="C26" s="123"/>
      <c r="D26" s="123"/>
      <c r="E26" s="123"/>
      <c r="F26" s="123"/>
      <c r="G26" s="123"/>
      <c r="H26" s="123"/>
      <c r="I26" s="123"/>
    </row>
    <row r="27" spans="1:26" x14ac:dyDescent="0.25">
      <c r="C27" s="123"/>
      <c r="D27" s="123"/>
      <c r="E27" s="123"/>
      <c r="F27" s="123"/>
      <c r="G27" s="123"/>
      <c r="H27" s="123"/>
      <c r="I27" s="123"/>
    </row>
    <row r="28" spans="1:26" x14ac:dyDescent="0.25">
      <c r="C28" s="123"/>
      <c r="D28" s="123"/>
      <c r="E28" s="123"/>
      <c r="F28" s="123"/>
      <c r="G28" s="123"/>
      <c r="H28" s="123"/>
      <c r="I28" s="123"/>
    </row>
    <row r="29" spans="1:26" x14ac:dyDescent="0.25">
      <c r="C29" s="123"/>
      <c r="D29" s="123"/>
      <c r="E29" s="123"/>
      <c r="F29" s="123"/>
      <c r="G29" s="123"/>
      <c r="H29" s="123"/>
      <c r="I29" s="123"/>
    </row>
    <row r="30" spans="1:26" x14ac:dyDescent="0.25">
      <c r="C30" s="123"/>
      <c r="D30" s="123"/>
      <c r="E30" s="123"/>
      <c r="F30" s="123"/>
      <c r="G30" s="123"/>
      <c r="H30" s="123"/>
      <c r="I30" s="123"/>
    </row>
    <row r="31" spans="1:26" x14ac:dyDescent="0.25">
      <c r="C31" s="123"/>
      <c r="D31" s="123"/>
      <c r="E31" s="123"/>
      <c r="F31" s="123"/>
      <c r="G31" s="123"/>
      <c r="H31" s="123"/>
      <c r="I31" s="123"/>
    </row>
    <row r="32" spans="1:26" x14ac:dyDescent="0.25">
      <c r="C32" s="123"/>
      <c r="D32" s="123"/>
      <c r="E32" s="123"/>
      <c r="F32" s="123"/>
      <c r="G32" s="123"/>
      <c r="H32" s="123"/>
      <c r="I32" s="123"/>
    </row>
    <row r="33" spans="3:9" x14ac:dyDescent="0.25">
      <c r="C33" s="123"/>
      <c r="D33" s="123"/>
      <c r="E33" s="123"/>
      <c r="F33" s="123"/>
      <c r="G33" s="123"/>
      <c r="H33" s="123"/>
      <c r="I33" s="123"/>
    </row>
    <row r="34" spans="3:9" x14ac:dyDescent="0.25">
      <c r="C34" s="123"/>
      <c r="D34" s="123"/>
      <c r="E34" s="123"/>
      <c r="F34" s="123"/>
      <c r="G34" s="123"/>
      <c r="H34" s="123"/>
      <c r="I34" s="123"/>
    </row>
    <row r="35" spans="3:9" x14ac:dyDescent="0.25">
      <c r="C35" s="123"/>
      <c r="D35" s="123"/>
      <c r="E35" s="123"/>
      <c r="F35" s="123"/>
      <c r="G35" s="123"/>
      <c r="H35" s="123"/>
      <c r="I35" s="123"/>
    </row>
    <row r="36" spans="3:9" x14ac:dyDescent="0.25">
      <c r="C36" s="123"/>
      <c r="D36" s="123"/>
      <c r="E36" s="123"/>
      <c r="F36" s="123"/>
      <c r="G36" s="123"/>
      <c r="H36" s="123"/>
      <c r="I36" s="123"/>
    </row>
    <row r="37" spans="3:9" x14ac:dyDescent="0.25">
      <c r="C37" s="123"/>
      <c r="D37" s="123"/>
      <c r="E37" s="123"/>
      <c r="F37" s="123"/>
      <c r="G37" s="123"/>
      <c r="H37" s="123"/>
      <c r="I37" s="123"/>
    </row>
    <row r="38" spans="3:9" x14ac:dyDescent="0.25">
      <c r="C38" s="123"/>
      <c r="D38" s="123"/>
      <c r="E38" s="123"/>
      <c r="F38" s="123"/>
      <c r="G38" s="123"/>
      <c r="H38" s="123"/>
      <c r="I38" s="123"/>
    </row>
    <row r="39" spans="3:9" x14ac:dyDescent="0.25">
      <c r="C39" s="123"/>
      <c r="D39" s="123"/>
      <c r="E39" s="123"/>
      <c r="F39" s="123"/>
      <c r="G39" s="123"/>
      <c r="H39" s="123"/>
      <c r="I39" s="123"/>
    </row>
    <row r="40" spans="3:9" x14ac:dyDescent="0.25">
      <c r="C40" s="123"/>
      <c r="D40" s="123"/>
      <c r="E40" s="123"/>
      <c r="F40" s="123"/>
      <c r="G40" s="123"/>
      <c r="H40" s="123"/>
      <c r="I40" s="123"/>
    </row>
    <row r="41" spans="3:9" x14ac:dyDescent="0.25">
      <c r="C41" s="123"/>
      <c r="D41" s="123"/>
      <c r="E41" s="123"/>
      <c r="F41" s="123"/>
      <c r="G41" s="123"/>
      <c r="H41" s="123"/>
      <c r="I41" s="123"/>
    </row>
    <row r="42" spans="3:9" x14ac:dyDescent="0.25">
      <c r="C42" s="123"/>
      <c r="D42" s="123"/>
      <c r="E42" s="123"/>
      <c r="F42" s="123"/>
      <c r="G42" s="123"/>
      <c r="H42" s="123"/>
      <c r="I42" s="123"/>
    </row>
    <row r="43" spans="3:9" x14ac:dyDescent="0.25">
      <c r="C43" s="123"/>
      <c r="D43" s="123"/>
      <c r="E43" s="123"/>
      <c r="F43" s="123"/>
      <c r="G43" s="123"/>
      <c r="H43" s="123"/>
      <c r="I43" s="123"/>
    </row>
    <row r="44" spans="3:9" x14ac:dyDescent="0.25">
      <c r="C44" s="123"/>
      <c r="D44" s="123"/>
      <c r="E44" s="123"/>
      <c r="F44" s="123"/>
      <c r="G44" s="123"/>
      <c r="H44" s="123"/>
      <c r="I44" s="123"/>
    </row>
    <row r="45" spans="3:9" x14ac:dyDescent="0.25">
      <c r="C45" s="123"/>
      <c r="D45" s="123"/>
      <c r="E45" s="123"/>
      <c r="F45" s="123"/>
      <c r="G45" s="123"/>
      <c r="H45" s="123"/>
      <c r="I45" s="123"/>
    </row>
    <row r="46" spans="3:9" x14ac:dyDescent="0.25">
      <c r="C46" s="123"/>
      <c r="D46" s="123"/>
      <c r="E46" s="123"/>
      <c r="F46" s="123"/>
      <c r="G46" s="123"/>
      <c r="H46" s="123"/>
      <c r="I46" s="123"/>
    </row>
    <row r="47" spans="3:9" x14ac:dyDescent="0.25">
      <c r="C47" s="123"/>
      <c r="D47" s="123"/>
      <c r="E47" s="123"/>
      <c r="F47" s="123"/>
      <c r="G47" s="123"/>
      <c r="H47" s="123"/>
      <c r="I47" s="123"/>
    </row>
    <row r="48" spans="3:9" x14ac:dyDescent="0.25">
      <c r="C48" s="123"/>
      <c r="D48" s="123"/>
      <c r="E48" s="123"/>
      <c r="F48" s="123"/>
      <c r="G48" s="123"/>
      <c r="H48" s="123"/>
      <c r="I48" s="123"/>
    </row>
    <row r="49" spans="3:9" x14ac:dyDescent="0.25">
      <c r="C49" s="123"/>
      <c r="D49" s="123"/>
      <c r="E49" s="123"/>
      <c r="F49" s="123"/>
      <c r="G49" s="123"/>
      <c r="H49" s="123"/>
      <c r="I49" s="123"/>
    </row>
    <row r="50" spans="3:9" x14ac:dyDescent="0.25">
      <c r="C50" s="123"/>
      <c r="D50" s="123"/>
      <c r="E50" s="123"/>
      <c r="F50" s="123"/>
      <c r="G50" s="123"/>
      <c r="H50" s="123"/>
      <c r="I50" s="123"/>
    </row>
  </sheetData>
  <mergeCells count="2">
    <mergeCell ref="C14:E14"/>
    <mergeCell ref="G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1"/>
  <sheetViews>
    <sheetView showGridLines="0" zoomScale="80" zoomScaleNormal="80" workbookViewId="0">
      <selection activeCell="C15" sqref="C15"/>
    </sheetView>
  </sheetViews>
  <sheetFormatPr defaultColWidth="9.140625" defaultRowHeight="15" customHeight="1" zeroHeight="1" x14ac:dyDescent="0.2"/>
  <cols>
    <col min="1" max="1" width="70.140625" style="2" bestFit="1" customWidth="1"/>
    <col min="2" max="2" width="9.140625" style="2" customWidth="1"/>
    <col min="3" max="3" width="22.42578125" style="2" customWidth="1"/>
    <col min="4" max="4" width="3.5703125" style="2" customWidth="1"/>
    <col min="5" max="5" width="26.7109375" style="2" customWidth="1"/>
    <col min="6" max="6" width="23.7109375" style="151" bestFit="1" customWidth="1"/>
    <col min="7" max="7" width="26.7109375" style="2" customWidth="1"/>
    <col min="8" max="8" width="23.5703125" style="151" bestFit="1" customWidth="1"/>
    <col min="9" max="9" width="11.85546875" style="151" customWidth="1"/>
    <col min="10" max="11" width="11.42578125" style="2" customWidth="1"/>
    <col min="12" max="16384" width="9.140625" style="2"/>
  </cols>
  <sheetData>
    <row r="1" spans="1:11" ht="33.75" customHeight="1" x14ac:dyDescent="0.2">
      <c r="A1" s="1"/>
      <c r="B1" s="1"/>
      <c r="C1" s="1"/>
      <c r="D1" s="1"/>
      <c r="E1" s="1"/>
      <c r="F1" s="1"/>
      <c r="G1" s="1"/>
      <c r="H1" s="1"/>
      <c r="I1" s="124"/>
      <c r="J1" s="1"/>
      <c r="K1" s="1"/>
    </row>
    <row r="2" spans="1:11" s="1" customFormat="1" ht="33.75" customHeight="1" x14ac:dyDescent="0.25">
      <c r="C2" s="3"/>
      <c r="F2" s="124"/>
      <c r="H2" s="124"/>
      <c r="I2" s="124"/>
    </row>
    <row r="3" spans="1:11" s="1" customFormat="1" ht="33.75" customHeight="1" x14ac:dyDescent="0.25">
      <c r="C3" s="3"/>
      <c r="F3" s="124"/>
      <c r="H3" s="124"/>
      <c r="I3" s="124"/>
    </row>
    <row r="4" spans="1:11" s="1" customFormat="1" ht="33.75" customHeight="1" x14ac:dyDescent="0.25">
      <c r="C4" s="3"/>
      <c r="F4" s="124"/>
      <c r="H4" s="124"/>
      <c r="I4" s="124"/>
    </row>
    <row r="5" spans="1:11" s="1" customFormat="1" ht="18" x14ac:dyDescent="0.25">
      <c r="C5" s="3"/>
      <c r="F5" s="124"/>
      <c r="H5" s="124"/>
      <c r="I5" s="124"/>
    </row>
    <row r="6" spans="1:11" s="1" customFormat="1" ht="15.75" x14ac:dyDescent="0.25">
      <c r="A6" s="6"/>
      <c r="F6" s="124"/>
      <c r="H6" s="124"/>
      <c r="I6" s="124"/>
    </row>
    <row r="7" spans="1:11" s="1" customFormat="1" x14ac:dyDescent="0.2">
      <c r="F7" s="124"/>
      <c r="H7" s="124"/>
      <c r="I7" s="124"/>
    </row>
    <row r="8" spans="1:11" s="1" customFormat="1" ht="20.45" customHeight="1" thickBot="1" x14ac:dyDescent="0.35">
      <c r="A8" s="125" t="s">
        <v>103</v>
      </c>
      <c r="B8" s="126"/>
      <c r="C8" s="329" t="str">
        <f>IF('1. Information Sheet'!F24="COS",CONCATENATE('1. Information Sheet'!M24," Test Year COS Rebasing"),CONCATENATE("Last COS Rebasing: ",'1. Information Sheet'!F30))</f>
        <v>Last COS Rebasing: 2013</v>
      </c>
      <c r="D8" s="329"/>
      <c r="E8" s="329"/>
      <c r="F8" s="329"/>
      <c r="G8" s="124"/>
    </row>
    <row r="9" spans="1:11" s="1" customFormat="1" ht="18" x14ac:dyDescent="0.25">
      <c r="A9" s="127" t="s">
        <v>7</v>
      </c>
      <c r="B9" s="126"/>
      <c r="C9" s="128"/>
      <c r="D9" s="128"/>
      <c r="E9" s="128"/>
      <c r="F9" s="128"/>
      <c r="G9" s="124"/>
    </row>
    <row r="10" spans="1:11" s="1" customFormat="1" x14ac:dyDescent="0.2">
      <c r="A10" s="14" t="s">
        <v>104</v>
      </c>
      <c r="B10" s="126"/>
      <c r="C10" s="129">
        <v>554341087</v>
      </c>
      <c r="D10" s="130" t="s">
        <v>88</v>
      </c>
      <c r="E10" s="131"/>
      <c r="F10" s="132"/>
      <c r="G10" s="124"/>
    </row>
    <row r="11" spans="1:11" s="1" customFormat="1" x14ac:dyDescent="0.2">
      <c r="A11" s="14" t="s">
        <v>105</v>
      </c>
      <c r="B11" s="126"/>
      <c r="C11" s="129">
        <v>4371726</v>
      </c>
      <c r="D11" s="130" t="s">
        <v>89</v>
      </c>
      <c r="E11" s="131"/>
      <c r="F11" s="132"/>
      <c r="G11" s="124"/>
    </row>
    <row r="12" spans="1:11" s="1" customFormat="1" x14ac:dyDescent="0.2">
      <c r="A12" s="14" t="s">
        <v>106</v>
      </c>
      <c r="B12" s="126"/>
      <c r="C12" s="129">
        <v>46257875</v>
      </c>
      <c r="D12" s="130" t="s">
        <v>90</v>
      </c>
      <c r="E12" s="131"/>
      <c r="F12" s="132"/>
      <c r="G12" s="124"/>
    </row>
    <row r="13" spans="1:11" s="1" customFormat="1" x14ac:dyDescent="0.2">
      <c r="A13" s="14" t="s">
        <v>107</v>
      </c>
      <c r="B13" s="126"/>
      <c r="C13" s="129">
        <v>-1026755</v>
      </c>
      <c r="D13" s="130" t="s">
        <v>91</v>
      </c>
      <c r="E13" s="131"/>
      <c r="F13" s="132"/>
      <c r="G13" s="124"/>
    </row>
    <row r="14" spans="1:11" s="1" customFormat="1" x14ac:dyDescent="0.2">
      <c r="A14" s="14" t="s">
        <v>108</v>
      </c>
      <c r="B14" s="126"/>
      <c r="C14" s="129">
        <v>-2063957</v>
      </c>
      <c r="D14" s="133" t="s">
        <v>92</v>
      </c>
      <c r="E14" s="131"/>
      <c r="F14" s="132"/>
      <c r="G14" s="124"/>
    </row>
    <row r="15" spans="1:11" s="1" customFormat="1" x14ac:dyDescent="0.2">
      <c r="A15" s="14" t="s">
        <v>109</v>
      </c>
      <c r="B15" s="126"/>
      <c r="C15" s="129">
        <v>-4371726</v>
      </c>
      <c r="D15" s="130" t="s">
        <v>93</v>
      </c>
      <c r="E15" s="131"/>
      <c r="F15" s="132"/>
      <c r="G15" s="124"/>
    </row>
    <row r="16" spans="1:11" s="1" customFormat="1" x14ac:dyDescent="0.2">
      <c r="A16" s="14" t="s">
        <v>110</v>
      </c>
      <c r="B16" s="126"/>
      <c r="C16" s="134">
        <f>SUM(C10:C15)</f>
        <v>597508250</v>
      </c>
      <c r="D16" s="135" t="s">
        <v>111</v>
      </c>
      <c r="E16" s="131"/>
      <c r="F16" s="130"/>
      <c r="G16" s="124"/>
    </row>
    <row r="17" spans="1:9" s="1" customFormat="1" x14ac:dyDescent="0.2">
      <c r="A17" s="14" t="s">
        <v>15</v>
      </c>
      <c r="B17" s="126"/>
      <c r="C17" s="23"/>
      <c r="D17" s="132"/>
      <c r="E17" s="134">
        <f>(C10+C16)/2</f>
        <v>575924668.5</v>
      </c>
      <c r="F17" s="136" t="s">
        <v>112</v>
      </c>
      <c r="G17" s="124"/>
    </row>
    <row r="18" spans="1:9" s="1" customFormat="1" x14ac:dyDescent="0.2">
      <c r="B18" s="126"/>
      <c r="C18" s="23"/>
      <c r="D18" s="132"/>
      <c r="E18" s="23"/>
      <c r="F18" s="130"/>
      <c r="G18" s="124"/>
    </row>
    <row r="19" spans="1:9" s="1" customFormat="1" x14ac:dyDescent="0.2">
      <c r="A19" s="14" t="s">
        <v>113</v>
      </c>
      <c r="B19" s="126"/>
      <c r="C19" s="129">
        <v>47380643</v>
      </c>
      <c r="D19" s="136" t="s">
        <v>114</v>
      </c>
      <c r="E19" s="23"/>
      <c r="F19" s="130"/>
      <c r="G19" s="124"/>
    </row>
    <row r="20" spans="1:9" s="1" customFormat="1" x14ac:dyDescent="0.2">
      <c r="A20" s="14" t="s">
        <v>115</v>
      </c>
      <c r="B20" s="126"/>
      <c r="C20" s="129">
        <v>25461389</v>
      </c>
      <c r="D20" s="136" t="s">
        <v>116</v>
      </c>
      <c r="E20" s="23"/>
      <c r="F20" s="130"/>
      <c r="G20" s="124"/>
      <c r="I20" s="137"/>
    </row>
    <row r="21" spans="1:9" s="1" customFormat="1" x14ac:dyDescent="0.2">
      <c r="A21" s="14" t="s">
        <v>117</v>
      </c>
      <c r="B21" s="126"/>
      <c r="C21" s="129">
        <v>-2063957</v>
      </c>
      <c r="D21" s="138" t="s">
        <v>118</v>
      </c>
      <c r="E21" s="23"/>
      <c r="F21" s="130"/>
      <c r="G21" s="124"/>
    </row>
    <row r="22" spans="1:9" s="1" customFormat="1" x14ac:dyDescent="0.2">
      <c r="A22" s="14" t="s">
        <v>119</v>
      </c>
      <c r="B22" s="126"/>
      <c r="C22" s="129">
        <v>-1026755</v>
      </c>
      <c r="D22" s="130" t="s">
        <v>120</v>
      </c>
      <c r="E22" s="23"/>
      <c r="F22" s="130"/>
      <c r="G22" s="124"/>
    </row>
    <row r="23" spans="1:9" s="1" customFormat="1" x14ac:dyDescent="0.2">
      <c r="A23" s="14" t="s">
        <v>121</v>
      </c>
      <c r="B23" s="126"/>
      <c r="C23" s="134">
        <f>SUM(C19:C22)</f>
        <v>69751320</v>
      </c>
      <c r="D23" s="130" t="s">
        <v>122</v>
      </c>
      <c r="E23" s="23"/>
      <c r="F23" s="130"/>
      <c r="G23" s="124"/>
    </row>
    <row r="24" spans="1:9" s="1" customFormat="1" x14ac:dyDescent="0.2">
      <c r="A24" s="14" t="s">
        <v>21</v>
      </c>
      <c r="B24" s="126"/>
      <c r="C24" s="23"/>
      <c r="D24" s="132"/>
      <c r="E24" s="134">
        <f>SUM(C19,C23)/2</f>
        <v>58565981.5</v>
      </c>
      <c r="F24" s="130" t="s">
        <v>123</v>
      </c>
      <c r="G24" s="124"/>
    </row>
    <row r="25" spans="1:9" s="1" customFormat="1" x14ac:dyDescent="0.2">
      <c r="B25" s="126"/>
      <c r="C25" s="23"/>
      <c r="D25" s="132"/>
      <c r="E25" s="23"/>
      <c r="F25" s="132"/>
      <c r="G25" s="124"/>
    </row>
    <row r="26" spans="1:9" s="1" customFormat="1" ht="15.75" x14ac:dyDescent="0.25">
      <c r="A26" s="6" t="s">
        <v>22</v>
      </c>
      <c r="B26" s="126"/>
      <c r="C26" s="23"/>
      <c r="D26" s="132"/>
      <c r="E26" s="20">
        <f>E17-E24</f>
        <v>517358687</v>
      </c>
      <c r="F26" s="138" t="s">
        <v>124</v>
      </c>
      <c r="G26" s="124"/>
    </row>
    <row r="27" spans="1:9" s="1" customFormat="1" x14ac:dyDescent="0.2">
      <c r="B27" s="126"/>
      <c r="C27" s="23"/>
      <c r="D27" s="132"/>
      <c r="E27" s="23"/>
      <c r="F27" s="132"/>
      <c r="G27" s="124"/>
    </row>
    <row r="28" spans="1:9" s="1" customFormat="1" ht="15.75" x14ac:dyDescent="0.25">
      <c r="A28" s="6" t="s">
        <v>23</v>
      </c>
      <c r="B28" s="126"/>
      <c r="C28" s="23"/>
      <c r="D28" s="132"/>
      <c r="E28" s="131"/>
      <c r="F28" s="130"/>
      <c r="G28" s="124"/>
    </row>
    <row r="29" spans="1:9" s="1" customFormat="1" x14ac:dyDescent="0.2">
      <c r="A29" s="14" t="s">
        <v>24</v>
      </c>
      <c r="B29" s="126"/>
      <c r="C29" s="129">
        <v>786215891</v>
      </c>
      <c r="D29" s="139" t="s">
        <v>125</v>
      </c>
      <c r="E29" s="23"/>
      <c r="F29" s="132"/>
      <c r="G29" s="124"/>
    </row>
    <row r="30" spans="1:9" s="1" customFormat="1" x14ac:dyDescent="0.2">
      <c r="A30" s="14" t="s">
        <v>25</v>
      </c>
      <c r="B30" s="126"/>
      <c r="C30" s="140">
        <v>0.13500000000000001</v>
      </c>
      <c r="D30" s="138" t="s">
        <v>126</v>
      </c>
      <c r="E30" s="23"/>
      <c r="F30" s="132"/>
      <c r="G30" s="124"/>
    </row>
    <row r="31" spans="1:9" s="1" customFormat="1" ht="15.75" x14ac:dyDescent="0.25">
      <c r="A31" s="6" t="s">
        <v>23</v>
      </c>
      <c r="B31" s="126"/>
      <c r="C31" s="23"/>
      <c r="D31" s="138"/>
      <c r="E31" s="20">
        <f>C29*C30</f>
        <v>106139145.28500001</v>
      </c>
      <c r="F31" s="130" t="s">
        <v>127</v>
      </c>
      <c r="G31" s="124"/>
    </row>
    <row r="32" spans="1:9" s="1" customFormat="1" x14ac:dyDescent="0.2">
      <c r="B32" s="126"/>
      <c r="C32" s="23"/>
      <c r="D32" s="132"/>
      <c r="E32" s="23"/>
      <c r="F32" s="132"/>
      <c r="G32" s="124"/>
    </row>
    <row r="33" spans="1:7" s="1" customFormat="1" ht="15.75" x14ac:dyDescent="0.25">
      <c r="A33" s="6" t="s">
        <v>26</v>
      </c>
      <c r="B33" s="126"/>
      <c r="C33" s="23"/>
      <c r="D33" s="132"/>
      <c r="E33" s="141">
        <f>SUM(E26,E31)</f>
        <v>623497832.28499997</v>
      </c>
      <c r="F33" s="130" t="s">
        <v>128</v>
      </c>
      <c r="G33" s="124"/>
    </row>
    <row r="34" spans="1:7" s="1" customFormat="1" ht="15.75" x14ac:dyDescent="0.25">
      <c r="A34" s="6"/>
      <c r="B34" s="126"/>
      <c r="C34" s="23"/>
      <c r="D34" s="132"/>
      <c r="E34" s="142"/>
      <c r="F34" s="132"/>
      <c r="G34" s="124"/>
    </row>
    <row r="35" spans="1:7" s="1" customFormat="1" ht="18" x14ac:dyDescent="0.25">
      <c r="A35" s="127" t="s">
        <v>129</v>
      </c>
      <c r="B35" s="126"/>
      <c r="C35" s="23"/>
      <c r="D35" s="132"/>
      <c r="E35" s="23"/>
      <c r="F35" s="132"/>
      <c r="G35" s="124"/>
    </row>
    <row r="36" spans="1:7" s="1" customFormat="1" x14ac:dyDescent="0.2">
      <c r="A36" s="1" t="s">
        <v>130</v>
      </c>
      <c r="B36" s="126"/>
      <c r="C36" s="143">
        <v>0.04</v>
      </c>
      <c r="D36" s="132" t="s">
        <v>131</v>
      </c>
      <c r="E36" s="134">
        <f>E33*C36</f>
        <v>24939913.2914</v>
      </c>
      <c r="F36" s="130" t="s">
        <v>132</v>
      </c>
      <c r="G36" s="124"/>
    </row>
    <row r="37" spans="1:7" s="1" customFormat="1" x14ac:dyDescent="0.2">
      <c r="A37" s="1" t="s">
        <v>133</v>
      </c>
      <c r="B37" s="126"/>
      <c r="C37" s="144">
        <v>0.56000000000000005</v>
      </c>
      <c r="D37" s="130" t="s">
        <v>134</v>
      </c>
      <c r="E37" s="134">
        <f>E33*C37</f>
        <v>349158786.07960004</v>
      </c>
      <c r="F37" s="132" t="s">
        <v>135</v>
      </c>
      <c r="G37" s="124"/>
    </row>
    <row r="38" spans="1:7" s="1" customFormat="1" x14ac:dyDescent="0.2">
      <c r="A38" s="1" t="s">
        <v>136</v>
      </c>
      <c r="B38" s="126"/>
      <c r="C38" s="143">
        <f>1-C36-C37</f>
        <v>0.39999999999999991</v>
      </c>
      <c r="D38" s="145" t="s">
        <v>137</v>
      </c>
      <c r="E38" s="134">
        <f>E33*C38</f>
        <v>249399132.91399994</v>
      </c>
      <c r="F38" s="130" t="s">
        <v>138</v>
      </c>
      <c r="G38" s="124"/>
    </row>
    <row r="39" spans="1:7" s="1" customFormat="1" x14ac:dyDescent="0.2">
      <c r="B39" s="126"/>
      <c r="C39" s="132"/>
      <c r="D39" s="132"/>
      <c r="E39" s="23"/>
      <c r="F39" s="132"/>
      <c r="G39" s="124"/>
    </row>
    <row r="40" spans="1:7" s="1" customFormat="1" x14ac:dyDescent="0.2">
      <c r="A40" s="1" t="s">
        <v>139</v>
      </c>
      <c r="B40" s="126"/>
      <c r="C40" s="144">
        <v>2.0799999999999999E-2</v>
      </c>
      <c r="D40" s="135" t="s">
        <v>140</v>
      </c>
      <c r="E40" s="134">
        <f>E36*C40</f>
        <v>518750.19646111998</v>
      </c>
      <c r="F40" s="132" t="s">
        <v>141</v>
      </c>
      <c r="G40" s="124"/>
    </row>
    <row r="41" spans="1:7" s="1" customFormat="1" x14ac:dyDescent="0.2">
      <c r="A41" s="1" t="s">
        <v>142</v>
      </c>
      <c r="B41" s="126"/>
      <c r="C41" s="144">
        <v>5.0914000000000001E-2</v>
      </c>
      <c r="D41" s="132" t="s">
        <v>143</v>
      </c>
      <c r="E41" s="134">
        <f>E37*C41</f>
        <v>17777070.434456758</v>
      </c>
      <c r="F41" s="132" t="s">
        <v>144</v>
      </c>
      <c r="G41" s="124"/>
    </row>
    <row r="42" spans="1:7" s="1" customFormat="1" x14ac:dyDescent="0.2">
      <c r="A42" s="1" t="s">
        <v>145</v>
      </c>
      <c r="B42" s="126"/>
      <c r="C42" s="144">
        <v>8.9300000000000004E-2</v>
      </c>
      <c r="D42" s="132" t="s">
        <v>146</v>
      </c>
      <c r="E42" s="146">
        <f>E38*C42</f>
        <v>22271342.569220196</v>
      </c>
      <c r="F42" s="132" t="s">
        <v>147</v>
      </c>
      <c r="G42" s="124"/>
    </row>
    <row r="43" spans="1:7" s="1" customFormat="1" ht="16.5" thickBot="1" x14ac:dyDescent="0.3">
      <c r="A43" s="6" t="s">
        <v>129</v>
      </c>
      <c r="B43" s="126"/>
      <c r="C43" s="23"/>
      <c r="D43" s="132"/>
      <c r="E43" s="18">
        <f>SUM(E40:E42)</f>
        <v>40567163.200138077</v>
      </c>
      <c r="F43" s="132" t="s">
        <v>148</v>
      </c>
      <c r="G43" s="124"/>
    </row>
    <row r="44" spans="1:7" s="1" customFormat="1" x14ac:dyDescent="0.2">
      <c r="B44" s="126"/>
      <c r="C44" s="23"/>
      <c r="D44" s="132"/>
      <c r="E44" s="131"/>
      <c r="F44" s="130"/>
      <c r="G44" s="124"/>
    </row>
    <row r="45" spans="1:7" s="1" customFormat="1" ht="18" x14ac:dyDescent="0.25">
      <c r="A45" s="127" t="s">
        <v>149</v>
      </c>
      <c r="B45" s="126"/>
      <c r="C45" s="23"/>
      <c r="D45" s="132"/>
      <c r="E45" s="131"/>
      <c r="F45" s="130"/>
      <c r="G45" s="124"/>
    </row>
    <row r="46" spans="1:7" s="1" customFormat="1" x14ac:dyDescent="0.2">
      <c r="A46" s="14" t="s">
        <v>150</v>
      </c>
      <c r="B46" s="126"/>
      <c r="C46" s="129">
        <v>51364731</v>
      </c>
      <c r="D46" s="132" t="s">
        <v>151</v>
      </c>
      <c r="E46" s="23"/>
      <c r="F46" s="132"/>
      <c r="G46" s="124"/>
    </row>
    <row r="47" spans="1:7" s="1" customFormat="1" x14ac:dyDescent="0.2">
      <c r="A47" s="14" t="s">
        <v>152</v>
      </c>
      <c r="B47" s="126"/>
      <c r="C47" s="129">
        <v>25461389</v>
      </c>
      <c r="D47" s="132" t="s">
        <v>153</v>
      </c>
      <c r="E47" s="23"/>
      <c r="F47" s="132"/>
      <c r="G47" s="124"/>
    </row>
    <row r="48" spans="1:7" s="1" customFormat="1" x14ac:dyDescent="0.2">
      <c r="A48" s="14" t="s">
        <v>154</v>
      </c>
      <c r="B48" s="126"/>
      <c r="C48" s="129"/>
      <c r="D48" s="132" t="s">
        <v>155</v>
      </c>
      <c r="E48" s="23"/>
      <c r="F48" s="132"/>
      <c r="G48" s="124"/>
    </row>
    <row r="49" spans="1:7" s="1" customFormat="1" x14ac:dyDescent="0.2">
      <c r="A49" s="14" t="s">
        <v>156</v>
      </c>
      <c r="B49" s="126"/>
      <c r="C49" s="129">
        <v>3079931.7735689613</v>
      </c>
      <c r="D49" s="132" t="s">
        <v>157</v>
      </c>
      <c r="E49" s="23"/>
      <c r="F49" s="132"/>
      <c r="G49" s="124"/>
    </row>
    <row r="50" spans="1:7" s="1" customFormat="1" x14ac:dyDescent="0.2">
      <c r="A50" s="14" t="s">
        <v>158</v>
      </c>
      <c r="B50" s="126"/>
      <c r="C50" s="129"/>
      <c r="D50" s="132" t="s">
        <v>159</v>
      </c>
      <c r="E50" s="23"/>
      <c r="F50" s="132"/>
      <c r="G50" s="124"/>
    </row>
    <row r="51" spans="1:7" s="1" customFormat="1" x14ac:dyDescent="0.2">
      <c r="A51" s="14" t="s">
        <v>160</v>
      </c>
      <c r="B51" s="126"/>
      <c r="C51" s="129"/>
      <c r="D51" s="132" t="s">
        <v>161</v>
      </c>
      <c r="E51" s="23"/>
      <c r="F51" s="132"/>
      <c r="G51" s="124"/>
    </row>
    <row r="52" spans="1:7" s="1" customFormat="1" x14ac:dyDescent="0.2">
      <c r="A52" s="147"/>
      <c r="B52" s="126"/>
      <c r="C52" s="129">
        <v>3200167</v>
      </c>
      <c r="D52" s="132" t="s">
        <v>162</v>
      </c>
      <c r="E52" s="23"/>
      <c r="F52" s="132"/>
      <c r="G52" s="124"/>
    </row>
    <row r="53" spans="1:7" s="1" customFormat="1" x14ac:dyDescent="0.2">
      <c r="A53" s="148"/>
      <c r="B53" s="126"/>
      <c r="C53" s="129">
        <v>-848514</v>
      </c>
      <c r="D53" s="132" t="s">
        <v>163</v>
      </c>
      <c r="E53" s="23"/>
      <c r="F53" s="132"/>
      <c r="G53" s="124"/>
    </row>
    <row r="54" spans="1:7" s="1" customFormat="1" x14ac:dyDescent="0.2">
      <c r="A54" s="148"/>
      <c r="B54" s="126"/>
      <c r="C54" s="129"/>
      <c r="D54" s="132" t="s">
        <v>164</v>
      </c>
      <c r="E54" s="23"/>
      <c r="F54" s="132"/>
      <c r="G54" s="124"/>
    </row>
    <row r="55" spans="1:7" s="1" customFormat="1" ht="15.75" x14ac:dyDescent="0.25">
      <c r="C55" s="23"/>
      <c r="D55" s="132"/>
      <c r="E55" s="149">
        <f>SUM(C46:C54)</f>
        <v>82257704.773568958</v>
      </c>
      <c r="F55" s="132" t="s">
        <v>165</v>
      </c>
      <c r="G55" s="124"/>
    </row>
    <row r="56" spans="1:7" s="1" customFormat="1" ht="18" x14ac:dyDescent="0.25">
      <c r="A56" s="127" t="s">
        <v>166</v>
      </c>
      <c r="B56" s="126"/>
      <c r="C56" s="23"/>
      <c r="D56" s="132"/>
      <c r="E56" s="23"/>
      <c r="F56" s="132"/>
      <c r="G56" s="124"/>
    </row>
    <row r="57" spans="1:7" s="1" customFormat="1" x14ac:dyDescent="0.2">
      <c r="A57" s="1" t="s">
        <v>167</v>
      </c>
      <c r="B57" s="126"/>
      <c r="C57" s="129">
        <v>-1236975</v>
      </c>
      <c r="D57" s="132" t="s">
        <v>168</v>
      </c>
      <c r="E57" s="23"/>
      <c r="F57" s="132"/>
      <c r="G57" s="124"/>
    </row>
    <row r="58" spans="1:7" s="1" customFormat="1" x14ac:dyDescent="0.2">
      <c r="A58" s="1" t="s">
        <v>169</v>
      </c>
      <c r="B58" s="126"/>
      <c r="C58" s="129">
        <v>-1800000</v>
      </c>
      <c r="D58" s="132" t="s">
        <v>170</v>
      </c>
      <c r="E58" s="23"/>
      <c r="F58" s="132"/>
      <c r="G58" s="124"/>
    </row>
    <row r="59" spans="1:7" s="1" customFormat="1" x14ac:dyDescent="0.2">
      <c r="A59" s="1" t="s">
        <v>171</v>
      </c>
      <c r="B59" s="126"/>
      <c r="C59" s="129">
        <v>-1260695</v>
      </c>
      <c r="D59" s="132" t="s">
        <v>172</v>
      </c>
      <c r="E59" s="23"/>
      <c r="F59" s="132"/>
      <c r="G59" s="124"/>
    </row>
    <row r="60" spans="1:7" s="1" customFormat="1" ht="15.75" x14ac:dyDescent="0.25">
      <c r="A60" s="1" t="s">
        <v>173</v>
      </c>
      <c r="B60" s="126"/>
      <c r="C60" s="129">
        <v>-532207</v>
      </c>
      <c r="D60" s="132" t="s">
        <v>174</v>
      </c>
      <c r="E60" s="20">
        <f>SUM(C57:C60)</f>
        <v>-4829877</v>
      </c>
      <c r="F60" s="132" t="s">
        <v>175</v>
      </c>
      <c r="G60" s="124"/>
    </row>
    <row r="61" spans="1:7" s="1" customFormat="1" x14ac:dyDescent="0.2">
      <c r="B61" s="126"/>
      <c r="C61" s="23"/>
      <c r="D61" s="132"/>
      <c r="E61" s="131"/>
      <c r="F61" s="130"/>
      <c r="G61" s="124"/>
    </row>
    <row r="62" spans="1:7" s="1" customFormat="1" ht="18.75" thickBot="1" x14ac:dyDescent="0.3">
      <c r="A62" s="3" t="s">
        <v>176</v>
      </c>
      <c r="B62" s="126"/>
      <c r="C62" s="23"/>
      <c r="D62" s="132"/>
      <c r="E62" s="150">
        <f>SUM(E60,E55,E43)</f>
        <v>117994990.97370704</v>
      </c>
      <c r="F62" s="132" t="s">
        <v>177</v>
      </c>
      <c r="G62" s="124"/>
    </row>
    <row r="63" spans="1:7" s="1" customFormat="1" ht="15.75" x14ac:dyDescent="0.25">
      <c r="A63" s="6"/>
      <c r="B63" s="126"/>
      <c r="C63" s="23"/>
      <c r="D63" s="132"/>
      <c r="E63" s="142"/>
      <c r="F63" s="132"/>
      <c r="G63" s="124"/>
    </row>
    <row r="64" spans="1:7" s="1" customFormat="1" ht="18" x14ac:dyDescent="0.25">
      <c r="A64" s="127" t="s">
        <v>178</v>
      </c>
      <c r="B64" s="126"/>
      <c r="C64" s="23"/>
      <c r="D64" s="132"/>
      <c r="E64" s="23"/>
      <c r="F64" s="132"/>
      <c r="G64" s="124"/>
    </row>
    <row r="65" spans="1:9" s="1" customFormat="1" ht="15.75" x14ac:dyDescent="0.25">
      <c r="A65" s="6" t="s">
        <v>282</v>
      </c>
      <c r="C65" s="23"/>
      <c r="D65" s="23"/>
      <c r="E65" s="134">
        <f>+'4. Growth Factor - NUM_CALC2'!N24</f>
        <v>143364332.1376</v>
      </c>
      <c r="F65" s="132" t="s">
        <v>179</v>
      </c>
      <c r="G65" s="124"/>
    </row>
    <row r="66" spans="1:9" s="1" customFormat="1" x14ac:dyDescent="0.2">
      <c r="C66" s="23"/>
      <c r="D66" s="132"/>
      <c r="E66" s="23"/>
      <c r="F66" s="132"/>
      <c r="G66" s="124"/>
    </row>
    <row r="67" spans="1:9" s="1" customFormat="1" x14ac:dyDescent="0.2">
      <c r="F67" s="124"/>
      <c r="H67" s="124"/>
      <c r="I67" s="124"/>
    </row>
    <row r="68" spans="1:9" s="1" customFormat="1" x14ac:dyDescent="0.2">
      <c r="F68" s="124"/>
      <c r="H68" s="124"/>
      <c r="I68" s="124"/>
    </row>
    <row r="69" spans="1:9" s="1" customFormat="1" x14ac:dyDescent="0.2">
      <c r="F69" s="124"/>
      <c r="H69" s="124"/>
      <c r="I69" s="124"/>
    </row>
    <row r="70" spans="1:9" s="1" customFormat="1" x14ac:dyDescent="0.2">
      <c r="F70" s="124"/>
      <c r="H70" s="124"/>
      <c r="I70" s="124"/>
    </row>
    <row r="71" spans="1:9" s="1" customFormat="1" x14ac:dyDescent="0.2">
      <c r="F71" s="124"/>
      <c r="H71" s="124"/>
      <c r="I71" s="124"/>
    </row>
    <row r="72" spans="1:9" s="1" customFormat="1" x14ac:dyDescent="0.2">
      <c r="F72" s="124"/>
      <c r="H72" s="124"/>
      <c r="I72" s="124"/>
    </row>
    <row r="73" spans="1:9" s="1" customFormat="1" x14ac:dyDescent="0.2">
      <c r="F73" s="124"/>
      <c r="H73" s="124"/>
      <c r="I73" s="124"/>
    </row>
    <row r="74" spans="1:9" s="1" customFormat="1" x14ac:dyDescent="0.2">
      <c r="F74" s="124"/>
      <c r="H74" s="124"/>
      <c r="I74" s="124"/>
    </row>
    <row r="75" spans="1:9" s="1" customFormat="1" x14ac:dyDescent="0.2">
      <c r="F75" s="124"/>
      <c r="H75" s="124"/>
      <c r="I75" s="124"/>
    </row>
    <row r="76" spans="1:9" s="1" customFormat="1" x14ac:dyDescent="0.2">
      <c r="F76" s="124"/>
      <c r="H76" s="124"/>
      <c r="I76" s="124"/>
    </row>
    <row r="77" spans="1:9" s="1" customFormat="1" x14ac:dyDescent="0.2">
      <c r="F77" s="124"/>
      <c r="H77" s="124"/>
      <c r="I77" s="124"/>
    </row>
    <row r="78" spans="1:9" s="1" customFormat="1" x14ac:dyDescent="0.2">
      <c r="F78" s="124"/>
      <c r="H78" s="124"/>
      <c r="I78" s="124"/>
    </row>
    <row r="79" spans="1:9" s="1" customFormat="1" x14ac:dyDescent="0.2">
      <c r="F79" s="124"/>
      <c r="H79" s="124"/>
      <c r="I79" s="124"/>
    </row>
    <row r="80" spans="1:9" s="1" customFormat="1" x14ac:dyDescent="0.2">
      <c r="F80" s="124"/>
      <c r="H80" s="124"/>
      <c r="I80" s="124"/>
    </row>
    <row r="81" spans="6:9" s="1" customFormat="1" x14ac:dyDescent="0.2">
      <c r="F81" s="124"/>
      <c r="H81" s="124"/>
      <c r="I81" s="124"/>
    </row>
    <row r="82" spans="6:9" s="1" customFormat="1" x14ac:dyDescent="0.2">
      <c r="F82" s="124"/>
      <c r="H82" s="124"/>
      <c r="I82" s="124"/>
    </row>
    <row r="83" spans="6:9" s="1" customFormat="1" x14ac:dyDescent="0.2">
      <c r="F83" s="124"/>
      <c r="H83" s="124"/>
      <c r="I83" s="124"/>
    </row>
    <row r="84" spans="6:9" s="1" customFormat="1" x14ac:dyDescent="0.2">
      <c r="F84" s="124"/>
      <c r="H84" s="124"/>
      <c r="I84" s="124"/>
    </row>
    <row r="85" spans="6:9" s="1" customFormat="1" x14ac:dyDescent="0.2">
      <c r="F85" s="124"/>
      <c r="H85" s="124"/>
      <c r="I85" s="124"/>
    </row>
    <row r="86" spans="6:9" x14ac:dyDescent="0.2"/>
    <row r="87" spans="6:9" x14ac:dyDescent="0.2"/>
    <row r="88" spans="6:9" x14ac:dyDescent="0.2"/>
    <row r="89" spans="6:9" x14ac:dyDescent="0.2"/>
    <row r="90" spans="6:9" x14ac:dyDescent="0.2"/>
    <row r="91" spans="6:9" x14ac:dyDescent="0.2"/>
    <row r="92" spans="6:9" x14ac:dyDescent="0.2"/>
    <row r="93" spans="6:9" x14ac:dyDescent="0.2"/>
    <row r="94" spans="6:9" x14ac:dyDescent="0.2">
      <c r="F94" s="2"/>
      <c r="H94" s="2"/>
      <c r="I94" s="2"/>
    </row>
    <row r="95" spans="6:9" x14ac:dyDescent="0.2">
      <c r="F95" s="2"/>
      <c r="H95" s="2"/>
      <c r="I95" s="2"/>
    </row>
    <row r="96" spans="6:9" x14ac:dyDescent="0.2">
      <c r="F96" s="2"/>
      <c r="H96" s="2"/>
      <c r="I96" s="2"/>
    </row>
    <row r="97" spans="6:9" x14ac:dyDescent="0.2">
      <c r="F97" s="2"/>
      <c r="H97" s="2"/>
      <c r="I97" s="2"/>
    </row>
    <row r="98" spans="6:9" x14ac:dyDescent="0.2">
      <c r="F98" s="2"/>
      <c r="H98" s="2"/>
      <c r="I98" s="2"/>
    </row>
    <row r="99" spans="6:9" ht="15" customHeight="1" x14ac:dyDescent="0.2"/>
    <row r="100" spans="6:9" ht="15" customHeight="1" x14ac:dyDescent="0.2"/>
    <row r="101" spans="6:9" ht="15" customHeight="1" x14ac:dyDescent="0.2"/>
  </sheetData>
  <mergeCells count="1">
    <mergeCell ref="C8:F8"/>
  </mergeCells>
  <conditionalFormatting sqref="C57:C60">
    <cfRule type="cellIs" dxfId="0" priority="1" stopIfTrue="1" operator="greaterThan">
      <formula>0</formula>
    </cfRule>
  </conditionalFormatting>
  <pageMargins left="0.70866141732283472" right="0.70866141732283472" top="0.74803149606299213" bottom="0.74803149606299213" header="0.31496062992125984" footer="0.31496062992125984"/>
  <pageSetup scale="49" orientation="portrait"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2:Z50"/>
  <sheetViews>
    <sheetView showGridLines="0" workbookViewId="0">
      <selection activeCell="C9" sqref="C9:E9"/>
    </sheetView>
  </sheetViews>
  <sheetFormatPr defaultRowHeight="15" x14ac:dyDescent="0.25"/>
  <cols>
    <col min="1" max="1" width="50" customWidth="1"/>
    <col min="3" max="5" width="16" bestFit="1"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9.28515625" bestFit="1"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97" t="s">
        <v>275</v>
      </c>
    </row>
    <row r="13" spans="1:19" ht="15.75" x14ac:dyDescent="0.25">
      <c r="A13" s="97" t="s">
        <v>180</v>
      </c>
    </row>
    <row r="14" spans="1:19" ht="17.45" customHeight="1" thickBot="1" x14ac:dyDescent="0.3">
      <c r="C14" s="330" t="str">
        <f>RIGHT('1. Information Sheet'!F43,LEN('1. Information Sheet'!F43)-18)</f>
        <v>2013 Board-Approved Distribution Demand</v>
      </c>
      <c r="D14" s="330"/>
      <c r="E14" s="330"/>
      <c r="G14" s="331" t="str">
        <f>'4. Growth Factor - NUM_CALC2'!G14</f>
        <v>Current Approved Distribution Rates</v>
      </c>
      <c r="H14" s="328"/>
      <c r="I14" s="328"/>
    </row>
    <row r="15" spans="1:19" s="100" customFormat="1" ht="63" x14ac:dyDescent="0.25">
      <c r="A15" s="98" t="s">
        <v>70</v>
      </c>
      <c r="B15" s="99"/>
      <c r="C15" s="86" t="s">
        <v>72</v>
      </c>
      <c r="D15" s="86" t="s">
        <v>73</v>
      </c>
      <c r="E15" s="86" t="s">
        <v>181</v>
      </c>
      <c r="F15" s="86"/>
      <c r="G15" s="86" t="s">
        <v>75</v>
      </c>
      <c r="H15" s="86" t="s">
        <v>76</v>
      </c>
      <c r="I15" s="86" t="s">
        <v>77</v>
      </c>
      <c r="J15" s="86"/>
      <c r="K15" s="86" t="s">
        <v>80</v>
      </c>
      <c r="L15" s="86" t="s">
        <v>81</v>
      </c>
      <c r="M15" s="86" t="s">
        <v>82</v>
      </c>
      <c r="N15" s="86" t="s">
        <v>182</v>
      </c>
      <c r="O15" s="86"/>
      <c r="P15" s="86" t="s">
        <v>84</v>
      </c>
      <c r="Q15" s="86" t="s">
        <v>85</v>
      </c>
      <c r="R15" s="86" t="s">
        <v>86</v>
      </c>
      <c r="S15" s="86" t="s">
        <v>87</v>
      </c>
    </row>
    <row r="16" spans="1:19" s="102" customFormat="1" ht="18.75" x14ac:dyDescent="0.35">
      <c r="A16" s="101"/>
      <c r="B16" s="99"/>
      <c r="C16" s="99" t="s">
        <v>88</v>
      </c>
      <c r="D16" s="99" t="s">
        <v>89</v>
      </c>
      <c r="E16" s="99" t="s">
        <v>90</v>
      </c>
      <c r="F16" s="99"/>
      <c r="G16" s="99" t="s">
        <v>91</v>
      </c>
      <c r="H16" s="99" t="s">
        <v>92</v>
      </c>
      <c r="I16" s="99" t="s">
        <v>93</v>
      </c>
      <c r="J16" s="99"/>
      <c r="K16" s="99" t="s">
        <v>94</v>
      </c>
      <c r="L16" s="99" t="s">
        <v>95</v>
      </c>
      <c r="M16" s="99" t="s">
        <v>96</v>
      </c>
      <c r="N16" s="99" t="s">
        <v>97</v>
      </c>
      <c r="O16" s="99"/>
      <c r="P16" s="99" t="s">
        <v>183</v>
      </c>
      <c r="Q16" s="99" t="s">
        <v>184</v>
      </c>
      <c r="R16" s="99" t="s">
        <v>185</v>
      </c>
      <c r="S16" s="99" t="s">
        <v>186</v>
      </c>
    </row>
    <row r="17" spans="1:26" x14ac:dyDescent="0.25">
      <c r="A17" s="103" t="s">
        <v>63</v>
      </c>
      <c r="B17" s="103"/>
      <c r="C17" s="153">
        <v>176865</v>
      </c>
      <c r="D17" s="153">
        <v>1423857475</v>
      </c>
      <c r="E17" s="153">
        <v>0</v>
      </c>
      <c r="F17" s="105"/>
      <c r="G17" s="106">
        <f>'4. Growth Factor - NUM_CALC2'!G17</f>
        <v>26.76</v>
      </c>
      <c r="H17" s="107">
        <f>'4. Growth Factor - NUM_CALC2'!H17</f>
        <v>0</v>
      </c>
      <c r="I17" s="107">
        <f>'4. Growth Factor - NUM_CALC2'!I17</f>
        <v>0</v>
      </c>
      <c r="J17" s="103"/>
      <c r="K17" s="152">
        <f t="shared" ref="K17:K23" si="0">G17*C17*12</f>
        <v>56794888.800000004</v>
      </c>
      <c r="L17" s="152">
        <f t="shared" ref="L17:M23" si="1">H17*D17</f>
        <v>0</v>
      </c>
      <c r="M17" s="152">
        <f t="shared" si="1"/>
        <v>0</v>
      </c>
      <c r="N17" s="152">
        <f t="shared" ref="N17:N23" si="2">SUM(K17,L17,M17)</f>
        <v>56794888.800000004</v>
      </c>
      <c r="O17" s="103"/>
      <c r="P17" s="109">
        <f>IF(ISERROR(K17/N24),0,ROUND(K17/N24,3))</f>
        <v>0.38600000000000001</v>
      </c>
      <c r="Q17" s="109">
        <f>IF(ISERROR(L17/N24),0,ROUND(L17/N24,3))</f>
        <v>0</v>
      </c>
      <c r="R17" s="109">
        <f>IF(ISERROR(M17/N24),0,ROUND(M17/N24,3))</f>
        <v>0</v>
      </c>
      <c r="S17" s="109">
        <f>N17/N24</f>
        <v>0.38629236515103604</v>
      </c>
    </row>
    <row r="18" spans="1:26" x14ac:dyDescent="0.25">
      <c r="A18" s="110" t="s">
        <v>64</v>
      </c>
      <c r="B18" s="110"/>
      <c r="C18" s="153">
        <v>17702</v>
      </c>
      <c r="D18" s="153">
        <v>612188101</v>
      </c>
      <c r="E18" s="153">
        <v>0</v>
      </c>
      <c r="F18" s="112"/>
      <c r="G18" s="106">
        <f>'4. Growth Factor - NUM_CALC2'!G18</f>
        <v>49.14</v>
      </c>
      <c r="H18" s="107">
        <f>'4. Growth Factor - NUM_CALC2'!H18</f>
        <v>1.44E-2</v>
      </c>
      <c r="I18" s="107">
        <f>'4. Growth Factor - NUM_CALC2'!I18</f>
        <v>0</v>
      </c>
      <c r="J18" s="110"/>
      <c r="K18" s="154">
        <f t="shared" si="0"/>
        <v>10438515.359999999</v>
      </c>
      <c r="L18" s="154">
        <f t="shared" si="1"/>
        <v>8815508.6544000003</v>
      </c>
      <c r="M18" s="154">
        <f t="shared" si="1"/>
        <v>0</v>
      </c>
      <c r="N18" s="154">
        <f t="shared" si="2"/>
        <v>19254024.014399998</v>
      </c>
      <c r="O18" s="110"/>
      <c r="P18" s="116">
        <f>IF(ISERROR(K18/N24),0,ROUND(K18/N24,3))</f>
        <v>7.0999999999999994E-2</v>
      </c>
      <c r="Q18" s="116">
        <f>IF(ISERROR(L18/N24),0,ROUND(L18/N24,3))</f>
        <v>0.06</v>
      </c>
      <c r="R18" s="116">
        <f>IF(ISERROR(M18/N24),0,ROUND(M18/N24,3))</f>
        <v>0</v>
      </c>
      <c r="S18" s="116">
        <f>N18/N24</f>
        <v>0.13095689827633611</v>
      </c>
    </row>
    <row r="19" spans="1:26" x14ac:dyDescent="0.25">
      <c r="A19" s="110" t="s">
        <v>65</v>
      </c>
      <c r="B19" s="110"/>
      <c r="C19" s="153">
        <v>3950</v>
      </c>
      <c r="D19" s="153">
        <v>0</v>
      </c>
      <c r="E19" s="153">
        <v>6222022</v>
      </c>
      <c r="F19" s="112"/>
      <c r="G19" s="106">
        <f>'4. Growth Factor - NUM_CALC2'!G19</f>
        <v>86.55</v>
      </c>
      <c r="H19" s="107">
        <f>'4. Growth Factor - NUM_CALC2'!H19</f>
        <v>0</v>
      </c>
      <c r="I19" s="107">
        <f>'4. Growth Factor - NUM_CALC2'!I19</f>
        <v>5.2083000000000004</v>
      </c>
      <c r="J19" s="110"/>
      <c r="K19" s="154">
        <f t="shared" si="0"/>
        <v>4102470</v>
      </c>
      <c r="L19" s="154">
        <f t="shared" si="1"/>
        <v>0</v>
      </c>
      <c r="M19" s="154">
        <f t="shared" si="1"/>
        <v>32406157.182600003</v>
      </c>
      <c r="N19" s="154">
        <f t="shared" si="2"/>
        <v>36508627.182600006</v>
      </c>
      <c r="O19" s="110"/>
      <c r="P19" s="116">
        <f>IF(ISERROR(K19/N24),0,ROUND(K19/N24,3))</f>
        <v>2.8000000000000001E-2</v>
      </c>
      <c r="Q19" s="116">
        <f>IF(ISERROR(L19/N24),0,ROUND(L19/N24,3))</f>
        <v>0</v>
      </c>
      <c r="R19" s="116">
        <f>IF(ISERROR(M19/N24),0,ROUND(M19/N24,3))</f>
        <v>0.22</v>
      </c>
      <c r="S19" s="116">
        <f>N19/N24</f>
        <v>0.24831466775904595</v>
      </c>
    </row>
    <row r="20" spans="1:26" x14ac:dyDescent="0.25">
      <c r="A20" s="110" t="s">
        <v>66</v>
      </c>
      <c r="B20" s="110"/>
      <c r="C20" s="153">
        <v>464</v>
      </c>
      <c r="D20" s="153">
        <v>0</v>
      </c>
      <c r="E20" s="153">
        <v>5154338</v>
      </c>
      <c r="F20" s="112"/>
      <c r="G20" s="106">
        <f>'4. Growth Factor - NUM_CALC2'!G20</f>
        <v>1970.76</v>
      </c>
      <c r="H20" s="107">
        <f>'4. Growth Factor - NUM_CALC2'!H20</f>
        <v>0</v>
      </c>
      <c r="I20" s="107">
        <f>'4. Growth Factor - NUM_CALC2'!I20</f>
        <v>2.68</v>
      </c>
      <c r="J20" s="110"/>
      <c r="K20" s="154">
        <f t="shared" si="0"/>
        <v>10973191.68</v>
      </c>
      <c r="L20" s="154">
        <f t="shared" si="1"/>
        <v>0</v>
      </c>
      <c r="M20" s="154">
        <f t="shared" si="1"/>
        <v>13813625.840000002</v>
      </c>
      <c r="N20" s="154">
        <f t="shared" si="2"/>
        <v>24786817.520000003</v>
      </c>
      <c r="O20" s="110"/>
      <c r="P20" s="116">
        <f>IF(ISERROR(K20/N24),0,ROUND(K20/N24,3))</f>
        <v>7.4999999999999997E-2</v>
      </c>
      <c r="Q20" s="116">
        <f>IF(ISERROR(L20/N24),0,ROUND(L20/N24,3))</f>
        <v>0</v>
      </c>
      <c r="R20" s="116">
        <f>IF(ISERROR(M20/N24),0,ROUND(M20/N24,3))</f>
        <v>9.4E-2</v>
      </c>
      <c r="S20" s="116">
        <f>N20/N24</f>
        <v>0.16858838122010616</v>
      </c>
    </row>
    <row r="21" spans="1:26" x14ac:dyDescent="0.25">
      <c r="A21" s="110" t="s">
        <v>67</v>
      </c>
      <c r="B21" s="110"/>
      <c r="C21" s="153">
        <v>9</v>
      </c>
      <c r="D21" s="153">
        <v>0</v>
      </c>
      <c r="E21" s="153">
        <v>1737267</v>
      </c>
      <c r="F21" s="112"/>
      <c r="G21" s="106">
        <f>'4. Growth Factor - NUM_CALC2'!G21</f>
        <v>15538.69</v>
      </c>
      <c r="H21" s="107">
        <f>'4. Growth Factor - NUM_CALC2'!H21</f>
        <v>0</v>
      </c>
      <c r="I21" s="107">
        <f>'4. Growth Factor - NUM_CALC2'!I21</f>
        <v>3.3264</v>
      </c>
      <c r="J21" s="110"/>
      <c r="K21" s="154">
        <f t="shared" si="0"/>
        <v>1678178.52</v>
      </c>
      <c r="L21" s="154">
        <f t="shared" si="1"/>
        <v>0</v>
      </c>
      <c r="M21" s="154">
        <f t="shared" si="1"/>
        <v>5778844.9488000004</v>
      </c>
      <c r="N21" s="154">
        <f t="shared" si="2"/>
        <v>7457023.4688000008</v>
      </c>
      <c r="O21" s="110"/>
      <c r="P21" s="116">
        <f>IF(ISERROR(K21/N24),0,ROUND(K21/N24,3))</f>
        <v>1.0999999999999999E-2</v>
      </c>
      <c r="Q21" s="116">
        <f>IF(ISERROR(L21/N24),0,ROUND(L21/N24,3))</f>
        <v>0</v>
      </c>
      <c r="R21" s="116">
        <f>IF(ISERROR(M21/N24),0,ROUND(M21/N24,3))</f>
        <v>3.9E-2</v>
      </c>
      <c r="S21" s="116">
        <f>N21/N24</f>
        <v>5.0719198392893676E-2</v>
      </c>
    </row>
    <row r="22" spans="1:26" x14ac:dyDescent="0.25">
      <c r="A22" s="110" t="s">
        <v>68</v>
      </c>
      <c r="B22" s="110"/>
      <c r="C22" s="153">
        <v>2942</v>
      </c>
      <c r="D22" s="153">
        <v>10383027</v>
      </c>
      <c r="E22" s="153">
        <v>0</v>
      </c>
      <c r="F22" s="112"/>
      <c r="G22" s="106">
        <f>'4. Growth Factor - NUM_CALC2'!G22</f>
        <v>10.15</v>
      </c>
      <c r="H22" s="107">
        <f>'4. Growth Factor - NUM_CALC2'!H22</f>
        <v>1.84E-2</v>
      </c>
      <c r="I22" s="107">
        <f>'4. Growth Factor - NUM_CALC2'!I22</f>
        <v>0</v>
      </c>
      <c r="J22" s="110"/>
      <c r="K22" s="154">
        <f t="shared" si="0"/>
        <v>358335.6</v>
      </c>
      <c r="L22" s="154">
        <f t="shared" si="1"/>
        <v>191047.69680000001</v>
      </c>
      <c r="M22" s="154">
        <f t="shared" si="1"/>
        <v>0</v>
      </c>
      <c r="N22" s="154">
        <f t="shared" si="2"/>
        <v>549383.29680000001</v>
      </c>
      <c r="O22" s="110"/>
      <c r="P22" s="116">
        <f>IF(ISERROR(K22/N24),0,ROUND(K22/N24,3))</f>
        <v>2E-3</v>
      </c>
      <c r="Q22" s="116">
        <f>IF(ISERROR(L22/N24),0,ROUND(L22/N24,3))</f>
        <v>1E-3</v>
      </c>
      <c r="R22" s="116">
        <f>IF(ISERROR(M22/N24),0,ROUND(M22/N24,3))</f>
        <v>0</v>
      </c>
      <c r="S22" s="116">
        <f>N22/N24</f>
        <v>3.7366491524030523E-3</v>
      </c>
    </row>
    <row r="23" spans="1:26" x14ac:dyDescent="0.25">
      <c r="A23" s="110" t="s">
        <v>69</v>
      </c>
      <c r="B23" s="110"/>
      <c r="C23" s="153">
        <v>49985</v>
      </c>
      <c r="D23" s="153">
        <v>0</v>
      </c>
      <c r="E23" s="153">
        <v>49889</v>
      </c>
      <c r="F23" s="112"/>
      <c r="G23" s="106">
        <f>'4. Growth Factor - NUM_CALC2'!G23</f>
        <v>1.71</v>
      </c>
      <c r="H23" s="107">
        <f>'4. Growth Factor - NUM_CALC2'!H23</f>
        <v>0</v>
      </c>
      <c r="I23" s="107">
        <f>'4. Growth Factor - NUM_CALC2'!I23</f>
        <v>13.0129</v>
      </c>
      <c r="J23" s="110"/>
      <c r="K23" s="154">
        <f t="shared" si="0"/>
        <v>1025692.2</v>
      </c>
      <c r="L23" s="154">
        <f t="shared" si="1"/>
        <v>0</v>
      </c>
      <c r="M23" s="154">
        <f t="shared" si="1"/>
        <v>649200.56810000003</v>
      </c>
      <c r="N23" s="154">
        <f t="shared" si="2"/>
        <v>1674892.7681</v>
      </c>
      <c r="O23" s="110"/>
      <c r="P23" s="116">
        <f>IF(ISERROR(K23/N24),0,ROUND(K23/N24,3))</f>
        <v>7.0000000000000001E-3</v>
      </c>
      <c r="Q23" s="116">
        <f>IF(ISERROR(L23/N24),0,ROUND(L23/N24,3))</f>
        <v>0</v>
      </c>
      <c r="R23" s="116">
        <f>IF(ISERROR(M23/N24),0,ROUND(M23/N24,3))</f>
        <v>4.0000000000000001E-3</v>
      </c>
      <c r="S23" s="116">
        <f>N23/N24</f>
        <v>1.1391840048179031E-2</v>
      </c>
    </row>
    <row r="24" spans="1:26" x14ac:dyDescent="0.25">
      <c r="A24" s="117" t="s">
        <v>102</v>
      </c>
      <c r="B24" s="117"/>
      <c r="C24" s="118">
        <f>SUM(C17:C23)</f>
        <v>251917</v>
      </c>
      <c r="D24" s="118">
        <f>SUM(D17:D23)</f>
        <v>2046428603</v>
      </c>
      <c r="E24" s="118">
        <f>SUM(E17:E23)</f>
        <v>13163516</v>
      </c>
      <c r="F24" s="119"/>
      <c r="G24" s="119"/>
      <c r="H24" s="119"/>
      <c r="I24" s="119"/>
      <c r="J24" s="117"/>
      <c r="K24" s="155">
        <f>SUM(K17:K23)</f>
        <v>85371272.159999996</v>
      </c>
      <c r="L24" s="155">
        <f>SUM(L17:L23)</f>
        <v>9006556.3511999995</v>
      </c>
      <c r="M24" s="155">
        <f>SUM(M17:M23)</f>
        <v>52647828.539499998</v>
      </c>
      <c r="N24" s="155">
        <f>SUM(N17:N23)</f>
        <v>147025657.05070001</v>
      </c>
      <c r="O24" s="117"/>
      <c r="P24" s="121"/>
      <c r="Q24" s="121"/>
      <c r="R24" s="121"/>
      <c r="S24" s="121">
        <f>SUM(S17:S23)</f>
        <v>1</v>
      </c>
      <c r="T24" s="122"/>
      <c r="U24" s="122"/>
      <c r="V24" s="122"/>
      <c r="W24" s="122"/>
      <c r="X24" s="122"/>
      <c r="Y24" s="122"/>
      <c r="Z24" s="122"/>
    </row>
    <row r="25" spans="1:26" x14ac:dyDescent="0.25">
      <c r="C25" s="123"/>
      <c r="D25" s="123"/>
      <c r="E25" s="123"/>
      <c r="F25" s="123"/>
      <c r="G25" s="123"/>
      <c r="H25" s="123"/>
      <c r="I25" s="123"/>
    </row>
    <row r="26" spans="1:26" x14ac:dyDescent="0.25">
      <c r="C26" s="123"/>
      <c r="D26" s="123"/>
      <c r="E26" s="123"/>
      <c r="F26" s="123"/>
      <c r="G26" s="123"/>
      <c r="H26" s="123"/>
      <c r="I26" s="123"/>
    </row>
    <row r="27" spans="1:26" x14ac:dyDescent="0.25">
      <c r="C27" s="123"/>
      <c r="D27" s="123"/>
      <c r="E27" s="123"/>
      <c r="F27" s="123"/>
      <c r="G27" s="123"/>
      <c r="H27" s="123"/>
      <c r="I27" s="123"/>
    </row>
    <row r="28" spans="1:26" x14ac:dyDescent="0.25">
      <c r="C28" s="123"/>
      <c r="D28" s="123"/>
      <c r="E28" s="123"/>
      <c r="F28" s="123"/>
      <c r="G28" s="123"/>
      <c r="H28" s="123"/>
      <c r="I28" s="123"/>
    </row>
    <row r="29" spans="1:26" x14ac:dyDescent="0.25">
      <c r="C29" s="123"/>
      <c r="D29" s="123"/>
      <c r="E29" s="123"/>
      <c r="F29" s="123"/>
      <c r="G29" s="123"/>
      <c r="H29" s="123"/>
      <c r="I29" s="123"/>
    </row>
    <row r="30" spans="1:26" x14ac:dyDescent="0.25">
      <c r="C30" s="123"/>
      <c r="D30" s="123"/>
      <c r="E30" s="123"/>
      <c r="F30" s="123"/>
      <c r="G30" s="123"/>
      <c r="H30" s="123"/>
      <c r="I30" s="123"/>
    </row>
    <row r="31" spans="1:26" x14ac:dyDescent="0.25">
      <c r="C31" s="123"/>
      <c r="D31" s="123"/>
      <c r="E31" s="123"/>
      <c r="F31" s="123"/>
      <c r="G31" s="123"/>
      <c r="H31" s="123"/>
      <c r="I31" s="123"/>
    </row>
    <row r="32" spans="1:26" x14ac:dyDescent="0.25">
      <c r="C32" s="123"/>
      <c r="D32" s="123"/>
      <c r="E32" s="123"/>
      <c r="F32" s="123"/>
      <c r="G32" s="123"/>
      <c r="H32" s="123"/>
      <c r="I32" s="123"/>
    </row>
    <row r="33" spans="3:9" x14ac:dyDescent="0.25">
      <c r="C33" s="123"/>
      <c r="D33" s="123"/>
      <c r="E33" s="123"/>
      <c r="F33" s="123"/>
      <c r="G33" s="123"/>
      <c r="H33" s="123"/>
      <c r="I33" s="123"/>
    </row>
    <row r="34" spans="3:9" x14ac:dyDescent="0.25">
      <c r="C34" s="123"/>
      <c r="D34" s="123"/>
      <c r="E34" s="123"/>
      <c r="F34" s="123"/>
      <c r="G34" s="123"/>
      <c r="H34" s="123"/>
      <c r="I34" s="123"/>
    </row>
    <row r="35" spans="3:9" x14ac:dyDescent="0.25">
      <c r="C35" s="123"/>
      <c r="D35" s="123"/>
      <c r="E35" s="123"/>
      <c r="F35" s="123"/>
      <c r="G35" s="123"/>
      <c r="H35" s="123"/>
      <c r="I35" s="123"/>
    </row>
    <row r="36" spans="3:9" x14ac:dyDescent="0.25">
      <c r="C36" s="123"/>
      <c r="D36" s="123"/>
      <c r="E36" s="123"/>
      <c r="F36" s="123"/>
      <c r="G36" s="123"/>
      <c r="H36" s="123"/>
      <c r="I36" s="123"/>
    </row>
    <row r="37" spans="3:9" x14ac:dyDescent="0.25">
      <c r="C37" s="123"/>
      <c r="D37" s="123"/>
      <c r="E37" s="123"/>
      <c r="F37" s="123"/>
      <c r="G37" s="123"/>
      <c r="H37" s="123"/>
      <c r="I37" s="123"/>
    </row>
    <row r="38" spans="3:9" x14ac:dyDescent="0.25">
      <c r="C38" s="123"/>
      <c r="D38" s="123"/>
      <c r="E38" s="123"/>
      <c r="F38" s="123"/>
      <c r="G38" s="123"/>
      <c r="H38" s="123"/>
      <c r="I38" s="123"/>
    </row>
    <row r="39" spans="3:9" x14ac:dyDescent="0.25">
      <c r="C39" s="123"/>
      <c r="D39" s="123"/>
      <c r="E39" s="123"/>
      <c r="F39" s="123"/>
      <c r="G39" s="123"/>
      <c r="H39" s="123"/>
      <c r="I39" s="123"/>
    </row>
    <row r="40" spans="3:9" x14ac:dyDescent="0.25">
      <c r="C40" s="123"/>
      <c r="D40" s="123"/>
      <c r="E40" s="123"/>
      <c r="F40" s="123"/>
      <c r="G40" s="123"/>
      <c r="H40" s="123"/>
      <c r="I40" s="123"/>
    </row>
    <row r="41" spans="3:9" x14ac:dyDescent="0.25">
      <c r="C41" s="123"/>
      <c r="D41" s="123"/>
      <c r="E41" s="123"/>
      <c r="F41" s="123"/>
      <c r="G41" s="123"/>
      <c r="H41" s="123"/>
      <c r="I41" s="123"/>
    </row>
    <row r="42" spans="3:9" x14ac:dyDescent="0.25">
      <c r="C42" s="123"/>
      <c r="D42" s="123"/>
      <c r="E42" s="123"/>
      <c r="F42" s="123"/>
      <c r="G42" s="123"/>
      <c r="H42" s="123"/>
      <c r="I42" s="123"/>
    </row>
    <row r="43" spans="3:9" x14ac:dyDescent="0.25">
      <c r="C43" s="123"/>
      <c r="D43" s="123"/>
      <c r="E43" s="123"/>
      <c r="F43" s="123"/>
      <c r="G43" s="123"/>
      <c r="H43" s="123"/>
      <c r="I43" s="123"/>
    </row>
    <row r="44" spans="3:9" x14ac:dyDescent="0.25">
      <c r="C44" s="123"/>
      <c r="D44" s="123"/>
      <c r="E44" s="123"/>
      <c r="F44" s="123"/>
      <c r="G44" s="123"/>
      <c r="H44" s="123"/>
      <c r="I44" s="123"/>
    </row>
    <row r="45" spans="3:9" x14ac:dyDescent="0.25">
      <c r="C45" s="123"/>
      <c r="D45" s="123"/>
      <c r="E45" s="123"/>
      <c r="F45" s="123"/>
      <c r="G45" s="123"/>
      <c r="H45" s="123"/>
      <c r="I45" s="123"/>
    </row>
    <row r="46" spans="3:9" x14ac:dyDescent="0.25">
      <c r="C46" s="123"/>
      <c r="D46" s="123"/>
      <c r="E46" s="123"/>
      <c r="F46" s="123"/>
      <c r="G46" s="123"/>
      <c r="H46" s="123"/>
      <c r="I46" s="123"/>
    </row>
    <row r="47" spans="3:9" x14ac:dyDescent="0.25">
      <c r="C47" s="123"/>
      <c r="D47" s="123"/>
      <c r="E47" s="123"/>
      <c r="F47" s="123"/>
      <c r="G47" s="123"/>
      <c r="H47" s="123"/>
      <c r="I47" s="123"/>
    </row>
    <row r="48" spans="3:9" x14ac:dyDescent="0.25">
      <c r="C48" s="123"/>
      <c r="D48" s="123"/>
      <c r="E48" s="123"/>
      <c r="F48" s="123"/>
      <c r="G48" s="123"/>
      <c r="H48" s="123"/>
      <c r="I48" s="123"/>
    </row>
    <row r="49" spans="3:9" x14ac:dyDescent="0.25">
      <c r="C49" s="123"/>
      <c r="D49" s="123"/>
      <c r="E49" s="123"/>
      <c r="F49" s="123"/>
      <c r="G49" s="123"/>
      <c r="H49" s="123"/>
      <c r="I49" s="123"/>
    </row>
    <row r="50" spans="3:9" x14ac:dyDescent="0.25">
      <c r="C50" s="123"/>
      <c r="D50" s="123"/>
      <c r="E50" s="123"/>
      <c r="F50" s="123"/>
      <c r="G50" s="123"/>
      <c r="H50" s="123"/>
      <c r="I50" s="123"/>
    </row>
  </sheetData>
  <mergeCells count="2">
    <mergeCell ref="C14:E14"/>
    <mergeCell ref="G14:I14"/>
  </mergeCells>
  <pageMargins left="0.70866141732283472" right="0.70866141732283472" top="0.74803149606299213" bottom="0.74803149606299213" header="0.31496062992125984" footer="0.31496062992125984"/>
  <pageSetup scale="39" orientation="landscape"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2:Z50"/>
  <sheetViews>
    <sheetView showGridLines="0" workbookViewId="0">
      <selection activeCell="C9" sqref="C9:E9"/>
    </sheetView>
  </sheetViews>
  <sheetFormatPr defaultRowHeight="15" x14ac:dyDescent="0.25"/>
  <cols>
    <col min="1" max="1" width="50" customWidth="1"/>
    <col min="3" max="5" width="16" bestFit="1"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7.28515625"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97" t="s">
        <v>187</v>
      </c>
    </row>
    <row r="13" spans="1:19" ht="33.6" customHeight="1" x14ac:dyDescent="0.25">
      <c r="A13" s="332" t="s">
        <v>317</v>
      </c>
      <c r="B13" s="332"/>
      <c r="C13" s="332"/>
      <c r="D13" s="332"/>
      <c r="E13" s="332"/>
      <c r="F13" s="332"/>
      <c r="G13" s="332"/>
    </row>
    <row r="14" spans="1:19" ht="18" thickBot="1" x14ac:dyDescent="0.3">
      <c r="C14" s="333" t="str">
        <f>'3. Growth Factor - NUM_CALC1'!G15</f>
        <v>Current Approved Distribution Rates</v>
      </c>
      <c r="D14" s="333"/>
      <c r="E14" s="333"/>
      <c r="G14" s="333" t="str">
        <f>+'3. Growth Factor - NUM_CALC1'!C15</f>
        <v>2022 Actual Distribution Demand</v>
      </c>
      <c r="H14" s="333"/>
      <c r="I14" s="333"/>
    </row>
    <row r="15" spans="1:19" s="100" customFormat="1" ht="63" x14ac:dyDescent="0.25">
      <c r="A15" s="98" t="s">
        <v>70</v>
      </c>
      <c r="B15" s="99"/>
      <c r="C15" s="86" t="s">
        <v>75</v>
      </c>
      <c r="D15" s="86" t="s">
        <v>76</v>
      </c>
      <c r="E15" s="86" t="s">
        <v>77</v>
      </c>
      <c r="F15" s="86"/>
      <c r="G15" s="86" t="s">
        <v>188</v>
      </c>
      <c r="H15" s="86" t="s">
        <v>189</v>
      </c>
      <c r="I15" s="86" t="s">
        <v>190</v>
      </c>
      <c r="J15" s="86"/>
      <c r="K15" s="86" t="s">
        <v>191</v>
      </c>
      <c r="L15" s="86" t="s">
        <v>192</v>
      </c>
      <c r="M15" s="86" t="s">
        <v>193</v>
      </c>
      <c r="N15" s="86" t="s">
        <v>194</v>
      </c>
      <c r="O15" s="86"/>
      <c r="P15" s="86" t="s">
        <v>195</v>
      </c>
      <c r="Q15" s="86" t="s">
        <v>196</v>
      </c>
      <c r="R15" s="86" t="s">
        <v>196</v>
      </c>
      <c r="S15" s="86" t="s">
        <v>87</v>
      </c>
    </row>
    <row r="16" spans="1:19" s="102" customFormat="1" ht="18.75" x14ac:dyDescent="0.35">
      <c r="A16" s="101"/>
      <c r="B16" s="99"/>
      <c r="C16" s="99" t="s">
        <v>88</v>
      </c>
      <c r="D16" s="99" t="s">
        <v>89</v>
      </c>
      <c r="E16" s="99" t="s">
        <v>90</v>
      </c>
      <c r="F16" s="99"/>
      <c r="G16" s="99" t="s">
        <v>91</v>
      </c>
      <c r="H16" s="99" t="s">
        <v>92</v>
      </c>
      <c r="I16" s="99" t="s">
        <v>93</v>
      </c>
      <c r="J16" s="99"/>
      <c r="K16" s="99" t="s">
        <v>94</v>
      </c>
      <c r="L16" s="99" t="s">
        <v>95</v>
      </c>
      <c r="M16" s="99" t="s">
        <v>96</v>
      </c>
      <c r="N16" s="99" t="s">
        <v>97</v>
      </c>
      <c r="O16" s="99"/>
      <c r="P16" s="99" t="s">
        <v>197</v>
      </c>
      <c r="Q16" s="99" t="s">
        <v>198</v>
      </c>
      <c r="R16" s="99" t="s">
        <v>199</v>
      </c>
      <c r="S16" s="99" t="s">
        <v>200</v>
      </c>
    </row>
    <row r="17" spans="1:26" x14ac:dyDescent="0.25">
      <c r="A17" s="103" t="s">
        <v>63</v>
      </c>
      <c r="B17" s="103"/>
      <c r="C17" s="221">
        <f>'3. Growth Factor - NUM_CALC1'!G17</f>
        <v>26.76</v>
      </c>
      <c r="D17" s="222">
        <f>'3. Growth Factor - NUM_CALC1'!H17</f>
        <v>0</v>
      </c>
      <c r="E17" s="222">
        <f>'3. Growth Factor - NUM_CALC1'!I17</f>
        <v>0</v>
      </c>
      <c r="F17" s="105"/>
      <c r="G17" s="104">
        <f>'3. Growth Factor - NUM_CALC1'!C17</f>
        <v>185254</v>
      </c>
      <c r="H17" s="104">
        <f>'3. Growth Factor - NUM_CALC1'!D17</f>
        <v>1599146375</v>
      </c>
      <c r="I17" s="104">
        <v>0</v>
      </c>
      <c r="J17" s="103"/>
      <c r="K17" s="108">
        <f t="shared" ref="K17:K23" si="0">G17*C17*12</f>
        <v>59488764.480000004</v>
      </c>
      <c r="L17" s="108">
        <f t="shared" ref="L17:M23" si="1">H17*D17</f>
        <v>0</v>
      </c>
      <c r="M17" s="108">
        <f t="shared" si="1"/>
        <v>0</v>
      </c>
      <c r="N17" s="108">
        <f t="shared" ref="N17:N23" si="2">SUM(K17,L17,M17)</f>
        <v>59488764.480000004</v>
      </c>
      <c r="O17" s="103"/>
      <c r="P17" s="156">
        <f>IF(ISERROR(K17/N24),0,K17/N24)</f>
        <v>0.41494815058255313</v>
      </c>
      <c r="Q17" s="156">
        <f>IF(ISERROR(L17/N24),0,L17/N24)</f>
        <v>0</v>
      </c>
      <c r="R17" s="156">
        <f>IF(ISERROR(M17/N24),0,M17/N24)</f>
        <v>0</v>
      </c>
      <c r="S17" s="109">
        <f>N17/N24</f>
        <v>0.41494815058255313</v>
      </c>
    </row>
    <row r="18" spans="1:26" x14ac:dyDescent="0.25">
      <c r="A18" s="110" t="s">
        <v>64</v>
      </c>
      <c r="B18" s="110"/>
      <c r="C18" s="223">
        <f>'3. Growth Factor - NUM_CALC1'!G18</f>
        <v>49.14</v>
      </c>
      <c r="D18" s="224">
        <f>'3. Growth Factor - NUM_CALC1'!H18</f>
        <v>1.44E-2</v>
      </c>
      <c r="E18" s="224">
        <f>'3. Growth Factor - NUM_CALC1'!I18</f>
        <v>0</v>
      </c>
      <c r="F18" s="112"/>
      <c r="G18" s="104">
        <f>'3. Growth Factor - NUM_CALC1'!C18</f>
        <v>19579</v>
      </c>
      <c r="H18" s="104">
        <f>'3. Growth Factor - NUM_CALC1'!D18</f>
        <v>696191917</v>
      </c>
      <c r="I18" s="111">
        <v>0</v>
      </c>
      <c r="J18" s="110"/>
      <c r="K18" s="115">
        <f t="shared" si="0"/>
        <v>11545344.720000001</v>
      </c>
      <c r="L18" s="115">
        <f t="shared" si="1"/>
        <v>10025163.604799999</v>
      </c>
      <c r="M18" s="115">
        <f t="shared" si="1"/>
        <v>0</v>
      </c>
      <c r="N18" s="115">
        <f t="shared" si="2"/>
        <v>21570508.3248</v>
      </c>
      <c r="O18" s="110"/>
      <c r="P18" s="157">
        <f>IF(ISERROR(K18/N24),0,K18/N24)</f>
        <v>8.0531500045066068E-2</v>
      </c>
      <c r="Q18" s="157">
        <f>IF(ISERROR(L18/N24),0,L18/N24)</f>
        <v>6.9927878540792993E-2</v>
      </c>
      <c r="R18" s="157">
        <f>IF(ISERROR(M18/N24),0,M18/N24)</f>
        <v>0</v>
      </c>
      <c r="S18" s="116">
        <f>N18/N24</f>
        <v>0.15045937858585906</v>
      </c>
    </row>
    <row r="19" spans="1:26" x14ac:dyDescent="0.25">
      <c r="A19" s="110" t="s">
        <v>65</v>
      </c>
      <c r="B19" s="110"/>
      <c r="C19" s="223">
        <f>'3. Growth Factor - NUM_CALC1'!G19</f>
        <v>86.55</v>
      </c>
      <c r="D19" s="224">
        <f>'3. Growth Factor - NUM_CALC1'!H19</f>
        <v>0</v>
      </c>
      <c r="E19" s="224">
        <f>'3. Growth Factor - NUM_CALC1'!I19</f>
        <v>5.2083000000000004</v>
      </c>
      <c r="F19" s="112"/>
      <c r="G19" s="104">
        <f>'3. Growth Factor - NUM_CALC1'!C19</f>
        <v>3396</v>
      </c>
      <c r="H19" s="104">
        <f>'3. Growth Factor - NUM_CALC1'!D19</f>
        <v>1863077828</v>
      </c>
      <c r="I19" s="104">
        <f>'3. Growth Factor - NUM_CALC1'!E19</f>
        <v>5327788</v>
      </c>
      <c r="J19" s="110"/>
      <c r="K19" s="115">
        <f t="shared" si="0"/>
        <v>3527085.5999999996</v>
      </c>
      <c r="L19" s="115">
        <f t="shared" si="1"/>
        <v>0</v>
      </c>
      <c r="M19" s="115">
        <f t="shared" si="1"/>
        <v>27748718.240400001</v>
      </c>
      <c r="N19" s="115">
        <f t="shared" si="2"/>
        <v>31275803.840400003</v>
      </c>
      <c r="O19" s="110"/>
      <c r="P19" s="157">
        <f>IF(ISERROR(K19/N24),0,K19/N24)</f>
        <v>2.4602253206290736E-2</v>
      </c>
      <c r="Q19" s="157">
        <f>IF(ISERROR(L19/N24),0,L19/N24)</f>
        <v>0</v>
      </c>
      <c r="R19" s="157">
        <f>IF(ISERROR(M19/N24),0,M19/N24)</f>
        <v>0.19355384862231279</v>
      </c>
      <c r="S19" s="116">
        <f>N19/N24</f>
        <v>0.21815610182860351</v>
      </c>
    </row>
    <row r="20" spans="1:26" x14ac:dyDescent="0.25">
      <c r="A20" s="110" t="s">
        <v>66</v>
      </c>
      <c r="B20" s="110"/>
      <c r="C20" s="223">
        <f>'3. Growth Factor - NUM_CALC1'!G20</f>
        <v>1970.76</v>
      </c>
      <c r="D20" s="224">
        <f>'3. Growth Factor - NUM_CALC1'!H20</f>
        <v>0</v>
      </c>
      <c r="E20" s="224">
        <f>'3. Growth Factor - NUM_CALC1'!I20</f>
        <v>2.68</v>
      </c>
      <c r="F20" s="112"/>
      <c r="G20" s="104">
        <f>'3. Growth Factor - NUM_CALC1'!C20</f>
        <v>416</v>
      </c>
      <c r="H20" s="104">
        <f>'3. Growth Factor - NUM_CALC1'!D20</f>
        <v>1865649100</v>
      </c>
      <c r="I20" s="104">
        <f>'3. Growth Factor - NUM_CALC1'!E20</f>
        <v>4396114</v>
      </c>
      <c r="J20" s="110"/>
      <c r="K20" s="115">
        <f t="shared" si="0"/>
        <v>9838033.9199999999</v>
      </c>
      <c r="L20" s="115">
        <f t="shared" si="1"/>
        <v>0</v>
      </c>
      <c r="M20" s="115">
        <f t="shared" si="1"/>
        <v>11781585.520000001</v>
      </c>
      <c r="N20" s="115">
        <f t="shared" si="2"/>
        <v>21619619.440000001</v>
      </c>
      <c r="O20" s="110"/>
      <c r="P20" s="157">
        <f>IF(ISERROR(K20/N24),0,K20/N24)</f>
        <v>6.8622604892809247E-2</v>
      </c>
      <c r="Q20" s="157">
        <f>IF(ISERROR(L20/N24),0,L20/N24)</f>
        <v>0</v>
      </c>
      <c r="R20" s="157">
        <f>IF(ISERROR(M20/N24),0,M20/N24)</f>
        <v>8.2179335294444961E-2</v>
      </c>
      <c r="S20" s="116">
        <f>N20/N24</f>
        <v>0.15080194018725421</v>
      </c>
    </row>
    <row r="21" spans="1:26" x14ac:dyDescent="0.25">
      <c r="A21" s="110" t="s">
        <v>67</v>
      </c>
      <c r="B21" s="110"/>
      <c r="C21" s="223">
        <f>'3. Growth Factor - NUM_CALC1'!G21</f>
        <v>15538.69</v>
      </c>
      <c r="D21" s="224">
        <f>'3. Growth Factor - NUM_CALC1'!H21</f>
        <v>0</v>
      </c>
      <c r="E21" s="224">
        <f>'3. Growth Factor - NUM_CALC1'!I21</f>
        <v>3.3264</v>
      </c>
      <c r="F21" s="112"/>
      <c r="G21" s="104">
        <f>'3. Growth Factor - NUM_CALC1'!C21</f>
        <v>9</v>
      </c>
      <c r="H21" s="104">
        <f>'3. Growth Factor - NUM_CALC1'!D21</f>
        <v>991422381</v>
      </c>
      <c r="I21" s="104">
        <f>'3. Growth Factor - NUM_CALC1'!E21</f>
        <v>1690526</v>
      </c>
      <c r="J21" s="110"/>
      <c r="K21" s="115">
        <f t="shared" si="0"/>
        <v>1678178.52</v>
      </c>
      <c r="L21" s="115">
        <f t="shared" si="1"/>
        <v>0</v>
      </c>
      <c r="M21" s="115">
        <f t="shared" si="1"/>
        <v>5623365.6864</v>
      </c>
      <c r="N21" s="115">
        <f t="shared" si="2"/>
        <v>7301544.2063999996</v>
      </c>
      <c r="O21" s="110"/>
      <c r="P21" s="157">
        <f>IF(ISERROR(K21/N24),0,K21/N24)</f>
        <v>1.1705690634329443E-2</v>
      </c>
      <c r="Q21" s="157">
        <f>IF(ISERROR(L21/N24),0,L21/N24)</f>
        <v>0</v>
      </c>
      <c r="R21" s="157">
        <f>IF(ISERROR(M21/N24),0,M21/N24)</f>
        <v>3.9224300790539283E-2</v>
      </c>
      <c r="S21" s="116">
        <f>N21/N24</f>
        <v>5.0929991424868724E-2</v>
      </c>
    </row>
    <row r="22" spans="1:26" x14ac:dyDescent="0.25">
      <c r="A22" s="110" t="s">
        <v>68</v>
      </c>
      <c r="B22" s="110"/>
      <c r="C22" s="223">
        <f>'3. Growth Factor - NUM_CALC1'!G22</f>
        <v>10.15</v>
      </c>
      <c r="D22" s="224">
        <f>'3. Growth Factor - NUM_CALC1'!H22</f>
        <v>1.84E-2</v>
      </c>
      <c r="E22" s="224">
        <f>'3. Growth Factor - NUM_CALC1'!I22</f>
        <v>0</v>
      </c>
      <c r="F22" s="112"/>
      <c r="G22" s="104">
        <f>'3. Growth Factor - NUM_CALC1'!C22</f>
        <v>3106</v>
      </c>
      <c r="H22" s="104">
        <f>'3. Growth Factor - NUM_CALC1'!D22</f>
        <v>11275180</v>
      </c>
      <c r="I22" s="111">
        <v>0</v>
      </c>
      <c r="J22" s="110"/>
      <c r="K22" s="115">
        <f t="shared" si="0"/>
        <v>378310.80000000005</v>
      </c>
      <c r="L22" s="115">
        <f t="shared" si="1"/>
        <v>207463.31200000001</v>
      </c>
      <c r="M22" s="115">
        <f t="shared" si="1"/>
        <v>0</v>
      </c>
      <c r="N22" s="115">
        <f t="shared" si="2"/>
        <v>585774.11200000008</v>
      </c>
      <c r="O22" s="110"/>
      <c r="P22" s="157">
        <f>IF(ISERROR(K22/N24),0,K22/N24)</f>
        <v>2.6388069777139559E-3</v>
      </c>
      <c r="Q22" s="157">
        <f>IF(ISERROR(L22/N24),0,L22/N24)</f>
        <v>1.4471054892571068E-3</v>
      </c>
      <c r="R22" s="157">
        <f>IF(ISERROR(M22/N24),0,M22/N24)</f>
        <v>0</v>
      </c>
      <c r="S22" s="116">
        <f>N22/N24</f>
        <v>4.0859124669710631E-3</v>
      </c>
    </row>
    <row r="23" spans="1:26" x14ac:dyDescent="0.25">
      <c r="A23" s="110" t="s">
        <v>69</v>
      </c>
      <c r="B23" s="110"/>
      <c r="C23" s="223">
        <f>'3. Growth Factor - NUM_CALC1'!G23</f>
        <v>1.71</v>
      </c>
      <c r="D23" s="224">
        <f>'3. Growth Factor - NUM_CALC1'!H23</f>
        <v>0</v>
      </c>
      <c r="E23" s="224">
        <f>'3. Growth Factor - NUM_CALC1'!I23</f>
        <v>13.0129</v>
      </c>
      <c r="F23" s="112"/>
      <c r="G23" s="104">
        <f>'3. Growth Factor - NUM_CALC1'!C23</f>
        <v>50812</v>
      </c>
      <c r="H23" s="104">
        <f>'3. Growth Factor - NUM_CALC1'!D23</f>
        <v>13531876</v>
      </c>
      <c r="I23" s="104">
        <f>'3. Growth Factor - NUM_CALC1'!E23</f>
        <v>36860</v>
      </c>
      <c r="J23" s="110"/>
      <c r="K23" s="115">
        <f t="shared" si="0"/>
        <v>1042662.24</v>
      </c>
      <c r="L23" s="115">
        <f t="shared" si="1"/>
        <v>0</v>
      </c>
      <c r="M23" s="115">
        <f t="shared" si="1"/>
        <v>479655.49400000001</v>
      </c>
      <c r="N23" s="115">
        <f t="shared" si="2"/>
        <v>1522317.7339999999</v>
      </c>
      <c r="O23" s="110"/>
      <c r="P23" s="157">
        <f>IF(ISERROR(K23/N24),0,K23/N24)</f>
        <v>7.272814823977701E-3</v>
      </c>
      <c r="Q23" s="157">
        <f>IF(ISERROR(L23/N24),0,L23/N24)</f>
        <v>0</v>
      </c>
      <c r="R23" s="157">
        <f>IF(ISERROR(M23/N24),0,M23/N24)</f>
        <v>3.3457100999126498E-3</v>
      </c>
      <c r="S23" s="116">
        <f>N23/N24</f>
        <v>1.061852492389035E-2</v>
      </c>
    </row>
    <row r="24" spans="1:26" x14ac:dyDescent="0.25">
      <c r="A24" s="117" t="s">
        <v>102</v>
      </c>
      <c r="B24" s="117"/>
      <c r="C24" s="119"/>
      <c r="D24" s="119"/>
      <c r="E24" s="119"/>
      <c r="F24" s="119"/>
      <c r="G24" s="119"/>
      <c r="H24" s="119"/>
      <c r="I24" s="119"/>
      <c r="J24" s="117"/>
      <c r="K24" s="120">
        <f>SUM(K17:K23)</f>
        <v>87498380.279999986</v>
      </c>
      <c r="L24" s="120">
        <f>SUM(L17:L23)</f>
        <v>10232626.9168</v>
      </c>
      <c r="M24" s="120">
        <f>SUM(M17:M23)</f>
        <v>45633324.940800011</v>
      </c>
      <c r="N24" s="120">
        <f>SUM(N17:N23)</f>
        <v>143364332.1376</v>
      </c>
      <c r="O24" s="117"/>
      <c r="P24" s="121"/>
      <c r="Q24" s="121"/>
      <c r="R24" s="121"/>
      <c r="S24" s="121">
        <f>SUM(S17:S23)</f>
        <v>1.0000000000000002</v>
      </c>
      <c r="T24" s="122"/>
      <c r="U24" s="122"/>
      <c r="V24" s="122"/>
      <c r="W24" s="122"/>
      <c r="X24" s="122"/>
      <c r="Y24" s="122"/>
      <c r="Z24" s="122"/>
    </row>
    <row r="25" spans="1:26" x14ac:dyDescent="0.25">
      <c r="C25" s="123"/>
      <c r="D25" s="123"/>
      <c r="E25" s="123"/>
      <c r="F25" s="123"/>
      <c r="G25" s="123"/>
      <c r="H25" s="123"/>
      <c r="I25" s="123"/>
    </row>
    <row r="26" spans="1:26" x14ac:dyDescent="0.25">
      <c r="C26" s="123"/>
      <c r="D26" s="123"/>
      <c r="E26" s="123"/>
      <c r="F26" s="123"/>
      <c r="G26" s="123"/>
      <c r="H26" s="123"/>
      <c r="I26" s="123"/>
    </row>
    <row r="27" spans="1:26" x14ac:dyDescent="0.25">
      <c r="C27" s="123"/>
      <c r="D27" s="123"/>
      <c r="E27" s="123"/>
      <c r="F27" s="123"/>
      <c r="G27" s="123"/>
      <c r="H27" s="123"/>
      <c r="I27" s="123"/>
    </row>
    <row r="28" spans="1:26" x14ac:dyDescent="0.25">
      <c r="C28" s="123"/>
      <c r="D28" s="123"/>
      <c r="E28" s="123"/>
      <c r="F28" s="123"/>
      <c r="G28" s="123"/>
      <c r="H28" s="123"/>
      <c r="I28" s="123"/>
    </row>
    <row r="29" spans="1:26" x14ac:dyDescent="0.25">
      <c r="C29" s="123"/>
      <c r="D29" s="123"/>
      <c r="E29" s="123"/>
      <c r="F29" s="123"/>
      <c r="G29" s="123"/>
      <c r="H29" s="123"/>
      <c r="I29" s="123"/>
    </row>
    <row r="30" spans="1:26" x14ac:dyDescent="0.25">
      <c r="C30" s="123"/>
      <c r="D30" s="123"/>
      <c r="E30" s="123"/>
      <c r="F30" s="123"/>
      <c r="G30" s="123"/>
      <c r="H30" s="123"/>
      <c r="I30" s="123"/>
    </row>
    <row r="31" spans="1:26" x14ac:dyDescent="0.25">
      <c r="C31" s="123"/>
      <c r="D31" s="123"/>
      <c r="E31" s="123"/>
      <c r="F31" s="123"/>
      <c r="G31" s="123"/>
      <c r="H31" s="123"/>
      <c r="I31" s="123"/>
    </row>
    <row r="32" spans="1:26" x14ac:dyDescent="0.25">
      <c r="C32" s="123"/>
      <c r="D32" s="123"/>
      <c r="E32" s="123"/>
      <c r="F32" s="123"/>
      <c r="G32" s="123"/>
      <c r="H32" s="123"/>
      <c r="I32" s="123"/>
    </row>
    <row r="33" spans="3:9" x14ac:dyDescent="0.25">
      <c r="C33" s="123"/>
      <c r="D33" s="123"/>
      <c r="E33" s="123"/>
      <c r="F33" s="123"/>
      <c r="G33" s="123"/>
      <c r="H33" s="123"/>
      <c r="I33" s="123"/>
    </row>
    <row r="34" spans="3:9" x14ac:dyDescent="0.25">
      <c r="C34" s="123"/>
      <c r="D34" s="123"/>
      <c r="E34" s="123"/>
      <c r="F34" s="123"/>
      <c r="G34" s="123"/>
      <c r="H34" s="123"/>
      <c r="I34" s="123"/>
    </row>
    <row r="35" spans="3:9" x14ac:dyDescent="0.25">
      <c r="C35" s="123"/>
      <c r="D35" s="123"/>
      <c r="E35" s="123"/>
      <c r="F35" s="123"/>
      <c r="G35" s="123"/>
      <c r="H35" s="123"/>
      <c r="I35" s="123"/>
    </row>
    <row r="36" spans="3:9" x14ac:dyDescent="0.25">
      <c r="C36" s="123"/>
      <c r="D36" s="123"/>
      <c r="E36" s="123"/>
      <c r="F36" s="123"/>
      <c r="G36" s="123"/>
      <c r="H36" s="123"/>
      <c r="I36" s="123"/>
    </row>
    <row r="37" spans="3:9" x14ac:dyDescent="0.25">
      <c r="C37" s="123"/>
      <c r="D37" s="123"/>
      <c r="E37" s="123"/>
      <c r="F37" s="123"/>
      <c r="G37" s="123"/>
      <c r="H37" s="123"/>
      <c r="I37" s="123"/>
    </row>
    <row r="38" spans="3:9" x14ac:dyDescent="0.25">
      <c r="C38" s="123"/>
      <c r="D38" s="123"/>
      <c r="E38" s="123"/>
      <c r="F38" s="123"/>
      <c r="G38" s="123"/>
      <c r="H38" s="123"/>
      <c r="I38" s="123"/>
    </row>
    <row r="39" spans="3:9" x14ac:dyDescent="0.25">
      <c r="C39" s="123"/>
      <c r="D39" s="123"/>
      <c r="E39" s="123"/>
      <c r="F39" s="123"/>
      <c r="G39" s="123"/>
      <c r="H39" s="123"/>
      <c r="I39" s="123"/>
    </row>
    <row r="40" spans="3:9" x14ac:dyDescent="0.25">
      <c r="C40" s="123"/>
      <c r="D40" s="123"/>
      <c r="E40" s="123"/>
      <c r="F40" s="123"/>
      <c r="G40" s="123"/>
      <c r="H40" s="123"/>
      <c r="I40" s="123"/>
    </row>
    <row r="41" spans="3:9" x14ac:dyDescent="0.25">
      <c r="C41" s="123"/>
      <c r="D41" s="123"/>
      <c r="E41" s="123"/>
      <c r="F41" s="123"/>
      <c r="G41" s="123"/>
      <c r="H41" s="123"/>
      <c r="I41" s="123"/>
    </row>
    <row r="42" spans="3:9" x14ac:dyDescent="0.25">
      <c r="C42" s="123"/>
      <c r="D42" s="123"/>
      <c r="E42" s="123"/>
      <c r="F42" s="123"/>
      <c r="G42" s="123"/>
      <c r="H42" s="123"/>
      <c r="I42" s="123"/>
    </row>
    <row r="43" spans="3:9" x14ac:dyDescent="0.25">
      <c r="C43" s="123"/>
      <c r="D43" s="123"/>
      <c r="E43" s="123"/>
      <c r="F43" s="123"/>
      <c r="G43" s="123"/>
      <c r="H43" s="123"/>
      <c r="I43" s="123"/>
    </row>
    <row r="44" spans="3:9" x14ac:dyDescent="0.25">
      <c r="C44" s="123"/>
      <c r="D44" s="123"/>
      <c r="E44" s="123"/>
      <c r="F44" s="123"/>
      <c r="G44" s="123"/>
      <c r="H44" s="123"/>
      <c r="I44" s="123"/>
    </row>
    <row r="45" spans="3:9" x14ac:dyDescent="0.25">
      <c r="C45" s="123"/>
      <c r="D45" s="123"/>
      <c r="E45" s="123"/>
      <c r="F45" s="123"/>
      <c r="G45" s="123"/>
      <c r="H45" s="123"/>
      <c r="I45" s="123"/>
    </row>
    <row r="46" spans="3:9" x14ac:dyDescent="0.25">
      <c r="C46" s="123"/>
      <c r="D46" s="123"/>
      <c r="E46" s="123"/>
      <c r="F46" s="123"/>
      <c r="G46" s="123"/>
      <c r="H46" s="123"/>
      <c r="I46" s="123"/>
    </row>
    <row r="47" spans="3:9" x14ac:dyDescent="0.25">
      <c r="C47" s="123"/>
      <c r="D47" s="123"/>
      <c r="E47" s="123"/>
      <c r="F47" s="123"/>
      <c r="G47" s="123"/>
      <c r="H47" s="123"/>
      <c r="I47" s="123"/>
    </row>
    <row r="48" spans="3:9" x14ac:dyDescent="0.25">
      <c r="C48" s="123"/>
      <c r="D48" s="123"/>
      <c r="E48" s="123"/>
      <c r="F48" s="123"/>
      <c r="G48" s="123"/>
      <c r="H48" s="123"/>
      <c r="I48" s="123"/>
    </row>
    <row r="49" spans="3:9" x14ac:dyDescent="0.25">
      <c r="C49" s="123"/>
      <c r="D49" s="123"/>
      <c r="E49" s="123"/>
      <c r="F49" s="123"/>
      <c r="G49" s="123"/>
      <c r="H49" s="123"/>
      <c r="I49" s="123"/>
    </row>
    <row r="50" spans="3:9" x14ac:dyDescent="0.25">
      <c r="C50" s="123"/>
      <c r="D50" s="123"/>
      <c r="E50" s="123"/>
      <c r="F50" s="123"/>
      <c r="G50" s="123"/>
      <c r="H50" s="123"/>
      <c r="I50" s="123"/>
    </row>
  </sheetData>
  <mergeCells count="3">
    <mergeCell ref="A13:G13"/>
    <mergeCell ref="C14:E14"/>
    <mergeCell ref="G14:I14"/>
  </mergeCells>
  <pageMargins left="0.70866141732283472" right="0.70866141732283472" top="0.74803149606299213" bottom="0.74803149606299213" header="0.31496062992125984" footer="0.31496062992125984"/>
  <pageSetup scale="40" orientation="landscape"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91"/>
  <sheetViews>
    <sheetView showGridLines="0" workbookViewId="0">
      <selection activeCell="C9" sqref="C9:E9"/>
    </sheetView>
  </sheetViews>
  <sheetFormatPr defaultColWidth="9.140625" defaultRowHeight="15" x14ac:dyDescent="0.2"/>
  <cols>
    <col min="1" max="1" width="10.7109375" style="2" customWidth="1"/>
    <col min="2" max="2" width="13.7109375" style="2" customWidth="1"/>
    <col min="3" max="3" width="63.140625" style="2" customWidth="1"/>
    <col min="4" max="4" width="3.5703125" style="2" customWidth="1"/>
    <col min="5" max="5" width="27.5703125" style="2" customWidth="1"/>
    <col min="6" max="6" width="39.140625" style="2" bestFit="1" customWidth="1"/>
    <col min="7" max="7" width="6.42578125" style="2" bestFit="1" customWidth="1"/>
    <col min="8" max="8" width="15.5703125" style="2" bestFit="1" customWidth="1"/>
    <col min="9" max="15" width="9.140625" style="2" customWidth="1"/>
    <col min="16" max="16" width="3.5703125" style="2" customWidth="1"/>
    <col min="17" max="16384" width="9.140625" style="2"/>
  </cols>
  <sheetData>
    <row r="1" spans="1:6" x14ac:dyDescent="0.2">
      <c r="A1" s="1"/>
      <c r="B1" s="1"/>
      <c r="C1" s="1"/>
      <c r="D1" s="1"/>
      <c r="E1" s="1"/>
      <c r="F1" s="1"/>
    </row>
    <row r="2" spans="1:6" s="1" customFormat="1" ht="18" x14ac:dyDescent="0.25">
      <c r="C2" s="3"/>
    </row>
    <row r="3" spans="1:6" s="1" customFormat="1" ht="18" x14ac:dyDescent="0.25">
      <c r="C3" s="3"/>
    </row>
    <row r="4" spans="1:6" s="1" customFormat="1" ht="18" x14ac:dyDescent="0.25">
      <c r="C4" s="3"/>
    </row>
    <row r="5" spans="1:6" s="1" customFormat="1" ht="18" x14ac:dyDescent="0.25">
      <c r="C5" s="3"/>
    </row>
    <row r="6" spans="1:6" s="1" customFormat="1" x14ac:dyDescent="0.2"/>
    <row r="7" spans="1:6" s="1" customFormat="1" x14ac:dyDescent="0.2"/>
    <row r="8" spans="1:6" s="1" customFormat="1" ht="27.75" customHeight="1" x14ac:dyDescent="0.25">
      <c r="A8" s="4" t="s">
        <v>0</v>
      </c>
    </row>
    <row r="9" spans="1:6" s="1" customFormat="1" ht="23.25" x14ac:dyDescent="0.2">
      <c r="C9" s="334" t="s">
        <v>319</v>
      </c>
      <c r="D9" s="334"/>
      <c r="E9" s="334"/>
    </row>
    <row r="10" spans="1:6" s="1" customFormat="1" ht="26.25" x14ac:dyDescent="0.4">
      <c r="C10" s="5"/>
    </row>
    <row r="11" spans="1:6" s="1" customFormat="1" x14ac:dyDescent="0.2"/>
    <row r="12" spans="1:6" s="1" customFormat="1" x14ac:dyDescent="0.2"/>
    <row r="13" spans="1:6" s="1" customFormat="1" ht="15.75" x14ac:dyDescent="0.25">
      <c r="C13" s="6" t="s">
        <v>1</v>
      </c>
      <c r="E13" s="200">
        <f>+'1. Information Sheet'!F30</f>
        <v>2013</v>
      </c>
    </row>
    <row r="14" spans="1:6" s="1" customFormat="1" ht="15.75" x14ac:dyDescent="0.25">
      <c r="C14" s="6" t="s">
        <v>2</v>
      </c>
      <c r="E14" s="200">
        <v>5</v>
      </c>
      <c r="F14" s="4"/>
    </row>
    <row r="15" spans="1:6" s="1" customFormat="1" x14ac:dyDescent="0.2">
      <c r="E15" s="7"/>
    </row>
    <row r="16" spans="1:6" s="1" customFormat="1" ht="15.75" x14ac:dyDescent="0.25">
      <c r="C16" s="8" t="s">
        <v>3</v>
      </c>
      <c r="D16" s="9"/>
      <c r="E16" s="10">
        <f>'1. Information Sheet'!F40</f>
        <v>1.8700000000000001E-2</v>
      </c>
      <c r="F16" s="4"/>
    </row>
    <row r="17" spans="3:6" s="1" customFormat="1" ht="15.75" x14ac:dyDescent="0.25">
      <c r="C17" s="6" t="s">
        <v>4</v>
      </c>
    </row>
    <row r="18" spans="3:6" s="1" customFormat="1" ht="15.75" x14ac:dyDescent="0.25">
      <c r="C18" s="208" t="str">
        <f>'1. Information Sheet'!F42</f>
        <v>Revenues Based on 2022 Actual Distribution Demand</v>
      </c>
      <c r="E18" s="11">
        <f>'4. Growth Factor - NUM_CALC2'!N24</f>
        <v>143364332.1376</v>
      </c>
      <c r="F18" s="6"/>
    </row>
    <row r="19" spans="3:6" s="1" customFormat="1" ht="25.5" x14ac:dyDescent="0.25">
      <c r="C19" s="208" t="str">
        <f>'1. Information Sheet'!F43</f>
        <v>Revenues Based on 2013 Board-Approved Distribution Demand</v>
      </c>
      <c r="E19" s="11">
        <f>'6. Growth Factor - DEN_CALC1'!N24</f>
        <v>147025657.05070001</v>
      </c>
      <c r="F19" s="6"/>
    </row>
    <row r="20" spans="3:6" s="1" customFormat="1" ht="15.75" x14ac:dyDescent="0.25">
      <c r="C20" s="8" t="s">
        <v>5</v>
      </c>
      <c r="D20" s="9"/>
      <c r="E20" s="201">
        <f>IF(ISERROR(E18/E19-1),0,(E18/E19-1)/('1. Information Sheet'!I42-'1. Information Sheet'!I43))</f>
        <v>-2.7669584166051253E-3</v>
      </c>
      <c r="F20" s="4"/>
    </row>
    <row r="21" spans="3:6" s="1" customFormat="1" ht="15.75" x14ac:dyDescent="0.25">
      <c r="C21" s="8" t="s">
        <v>6</v>
      </c>
      <c r="D21" s="9"/>
      <c r="E21" s="12">
        <v>0.1</v>
      </c>
      <c r="F21" s="6"/>
    </row>
    <row r="22" spans="3:6" s="1" customFormat="1" ht="15.75" x14ac:dyDescent="0.25">
      <c r="C22" s="6" t="s">
        <v>7</v>
      </c>
      <c r="E22" s="7"/>
    </row>
    <row r="23" spans="3:6" s="1" customFormat="1" x14ac:dyDescent="0.2">
      <c r="C23" s="1" t="s">
        <v>8</v>
      </c>
      <c r="E23" s="13">
        <f>'5. Rev_Requ_Check'!C10</f>
        <v>554341087</v>
      </c>
    </row>
    <row r="24" spans="3:6" s="1" customFormat="1" x14ac:dyDescent="0.2">
      <c r="C24" s="14" t="s">
        <v>9</v>
      </c>
      <c r="E24" s="13">
        <f>'5. Rev_Requ_Check'!C11</f>
        <v>4371726</v>
      </c>
    </row>
    <row r="25" spans="3:6" s="1" customFormat="1" x14ac:dyDescent="0.2">
      <c r="C25" s="14" t="s">
        <v>10</v>
      </c>
      <c r="E25" s="13">
        <f>'5. Rev_Requ_Check'!C12</f>
        <v>46257875</v>
      </c>
    </row>
    <row r="26" spans="3:6" s="1" customFormat="1" x14ac:dyDescent="0.2">
      <c r="C26" s="14" t="s">
        <v>11</v>
      </c>
      <c r="E26" s="13">
        <f>'5. Rev_Requ_Check'!C13</f>
        <v>-1026755</v>
      </c>
    </row>
    <row r="27" spans="3:6" s="1" customFormat="1" x14ac:dyDescent="0.2">
      <c r="C27" s="14" t="s">
        <v>12</v>
      </c>
      <c r="E27" s="13">
        <f>'5. Rev_Requ_Check'!C14</f>
        <v>-2063957</v>
      </c>
    </row>
    <row r="28" spans="3:6" s="1" customFormat="1" x14ac:dyDescent="0.2">
      <c r="C28" s="14" t="s">
        <v>13</v>
      </c>
      <c r="E28" s="13">
        <f>'5. Rev_Requ_Check'!C15</f>
        <v>-4371726</v>
      </c>
    </row>
    <row r="29" spans="3:6" s="1" customFormat="1" x14ac:dyDescent="0.2">
      <c r="C29" s="1" t="s">
        <v>14</v>
      </c>
      <c r="E29" s="13">
        <f>'5. Rev_Requ_Check'!C16</f>
        <v>597508250</v>
      </c>
    </row>
    <row r="30" spans="3:6" s="1" customFormat="1" x14ac:dyDescent="0.2">
      <c r="E30" s="13"/>
    </row>
    <row r="31" spans="3:6" s="1" customFormat="1" x14ac:dyDescent="0.2">
      <c r="C31" s="1" t="s">
        <v>15</v>
      </c>
      <c r="E31" s="15">
        <f>(E23+E29)/2</f>
        <v>575924668.5</v>
      </c>
    </row>
    <row r="32" spans="3:6" s="1" customFormat="1" x14ac:dyDescent="0.2">
      <c r="E32" s="13"/>
    </row>
    <row r="33" spans="3:6" s="1" customFormat="1" x14ac:dyDescent="0.2">
      <c r="C33" s="14" t="s">
        <v>16</v>
      </c>
      <c r="E33" s="13">
        <f>'5. Rev_Requ_Check'!C19</f>
        <v>47380643</v>
      </c>
    </row>
    <row r="34" spans="3:6" s="1" customFormat="1" ht="15.75" x14ac:dyDescent="0.25">
      <c r="C34" s="16" t="s">
        <v>17</v>
      </c>
      <c r="E34" s="13">
        <f>'5. Rev_Requ_Check'!C20</f>
        <v>25461389</v>
      </c>
      <c r="F34" s="6"/>
    </row>
    <row r="35" spans="3:6" s="1" customFormat="1" x14ac:dyDescent="0.2">
      <c r="C35" s="16" t="s">
        <v>18</v>
      </c>
      <c r="E35" s="13">
        <f>'5. Rev_Requ_Check'!C21</f>
        <v>-2063957</v>
      </c>
    </row>
    <row r="36" spans="3:6" s="1" customFormat="1" x14ac:dyDescent="0.2">
      <c r="C36" s="16" t="s">
        <v>19</v>
      </c>
      <c r="E36" s="13">
        <f>'5. Rev_Requ_Check'!C22</f>
        <v>-1026755</v>
      </c>
    </row>
    <row r="37" spans="3:6" s="1" customFormat="1" x14ac:dyDescent="0.2">
      <c r="C37" s="14" t="s">
        <v>20</v>
      </c>
      <c r="E37" s="13">
        <f>'5. Rev_Requ_Check'!C23</f>
        <v>69751320</v>
      </c>
    </row>
    <row r="38" spans="3:6" s="1" customFormat="1" x14ac:dyDescent="0.2">
      <c r="C38" s="14"/>
      <c r="E38" s="13"/>
    </row>
    <row r="39" spans="3:6" s="1" customFormat="1" x14ac:dyDescent="0.2">
      <c r="C39" s="1" t="s">
        <v>21</v>
      </c>
      <c r="E39" s="15">
        <f>(E33+E37)/2</f>
        <v>58565981.5</v>
      </c>
    </row>
    <row r="40" spans="3:6" s="1" customFormat="1" x14ac:dyDescent="0.2">
      <c r="E40" s="13"/>
    </row>
    <row r="41" spans="3:6" s="1" customFormat="1" ht="15.75" x14ac:dyDescent="0.25">
      <c r="C41" s="6" t="s">
        <v>22</v>
      </c>
      <c r="E41" s="15">
        <f>E31-E39</f>
        <v>517358687</v>
      </c>
      <c r="F41" s="6"/>
    </row>
    <row r="42" spans="3:6" s="1" customFormat="1" x14ac:dyDescent="0.2">
      <c r="E42" s="17"/>
    </row>
    <row r="43" spans="3:6" s="1" customFormat="1" x14ac:dyDescent="0.2">
      <c r="E43" s="17"/>
    </row>
    <row r="44" spans="3:6" s="1" customFormat="1" ht="15.75" x14ac:dyDescent="0.25">
      <c r="C44" s="6" t="s">
        <v>23</v>
      </c>
      <c r="E44" s="17"/>
    </row>
    <row r="45" spans="3:6" s="1" customFormat="1" x14ac:dyDescent="0.2">
      <c r="C45" s="14" t="s">
        <v>24</v>
      </c>
      <c r="E45" s="13">
        <f>'5. Rev_Requ_Check'!C29</f>
        <v>786215891</v>
      </c>
    </row>
    <row r="46" spans="3:6" s="1" customFormat="1" x14ac:dyDescent="0.2">
      <c r="C46" s="14" t="s">
        <v>25</v>
      </c>
      <c r="E46" s="28">
        <f>'5. Rev_Requ_Check'!C30</f>
        <v>0.13500000000000001</v>
      </c>
    </row>
    <row r="47" spans="3:6" s="1" customFormat="1" ht="15.75" x14ac:dyDescent="0.25">
      <c r="C47" s="6" t="s">
        <v>23</v>
      </c>
      <c r="E47" s="15">
        <f>E45*E46</f>
        <v>106139145.28500001</v>
      </c>
      <c r="F47" s="6"/>
    </row>
    <row r="48" spans="3:6" s="1" customFormat="1" x14ac:dyDescent="0.2">
      <c r="E48" s="17"/>
    </row>
    <row r="49" spans="3:6" s="1" customFormat="1" ht="16.5" thickBot="1" x14ac:dyDescent="0.3">
      <c r="C49" s="6" t="s">
        <v>26</v>
      </c>
      <c r="E49" s="18">
        <f>E41+E47</f>
        <v>623497832.28499997</v>
      </c>
      <c r="F49" s="4"/>
    </row>
    <row r="50" spans="3:6" s="1" customFormat="1" x14ac:dyDescent="0.2">
      <c r="E50" s="17"/>
      <c r="F50" s="14"/>
    </row>
    <row r="51" spans="3:6" s="1" customFormat="1" ht="15.75" x14ac:dyDescent="0.25">
      <c r="C51" s="6" t="s">
        <v>27</v>
      </c>
      <c r="D51" s="19"/>
      <c r="E51" s="20">
        <f>E34</f>
        <v>25461389</v>
      </c>
      <c r="F51" s="4"/>
    </row>
    <row r="52" spans="3:6" s="1" customFormat="1" x14ac:dyDescent="0.2">
      <c r="E52" s="17"/>
    </row>
    <row r="53" spans="3:6" s="1" customFormat="1" ht="15.75" x14ac:dyDescent="0.25">
      <c r="C53" s="6" t="s">
        <v>28</v>
      </c>
      <c r="E53" s="21"/>
      <c r="F53" s="22"/>
    </row>
    <row r="54" spans="3:6" s="1" customFormat="1" ht="15.75" x14ac:dyDescent="0.25">
      <c r="C54" s="23" t="s">
        <v>32</v>
      </c>
      <c r="E54" s="29">
        <f t="shared" ref="E54:E64" si="0">IF(ISERROR(1+((RB/d)*(g+PCI*(1+g)))*((1+g)*(1+PCI))^(1-1) + 10%), 0, 1+((RB/d)*(g+PCI*(1+g)))*((1+g)*(1+PCI))^(F54-1) + 10%)</f>
        <v>1.4889008485674196</v>
      </c>
      <c r="F54" s="210">
        <v>1</v>
      </c>
    </row>
    <row r="55" spans="3:6" s="1" customFormat="1" ht="15.75" x14ac:dyDescent="0.25">
      <c r="C55" s="23" t="str">
        <f>"    Price Cap IR Year "&amp;RIGHT(C54,4)+1</f>
        <v xml:space="preserve">    Price Cap IR Year 2015</v>
      </c>
      <c r="E55" s="29">
        <f t="shared" si="0"/>
        <v>1.4950770994041573</v>
      </c>
      <c r="F55" s="210">
        <f>+F54+1</f>
        <v>2</v>
      </c>
    </row>
    <row r="56" spans="3:6" s="1" customFormat="1" ht="15.75" x14ac:dyDescent="0.25">
      <c r="C56" s="23" t="str">
        <f t="shared" ref="C56:C58" si="1">"    Price Cap IR Year "&amp;RIGHT(C55,4)+1</f>
        <v xml:space="preserve">    Price Cap IR Year 2016</v>
      </c>
      <c r="E56" s="29">
        <f t="shared" si="0"/>
        <v>1.5013514371299799</v>
      </c>
      <c r="F56" s="210">
        <f t="shared" ref="F56:F57" si="2">+F55+1</f>
        <v>3</v>
      </c>
    </row>
    <row r="57" spans="3:6" s="1" customFormat="1" ht="15.75" x14ac:dyDescent="0.25">
      <c r="C57" s="23" t="str">
        <f t="shared" si="1"/>
        <v xml:space="preserve">    Price Cap IR Year 2017</v>
      </c>
      <c r="E57" s="29">
        <f t="shared" si="0"/>
        <v>1.5077254194921454</v>
      </c>
      <c r="F57" s="210">
        <f t="shared" si="2"/>
        <v>4</v>
      </c>
    </row>
    <row r="58" spans="3:6" s="1" customFormat="1" ht="15.75" x14ac:dyDescent="0.25">
      <c r="C58" s="23" t="str">
        <f t="shared" si="1"/>
        <v xml:space="preserve">    Price Cap IR Year 2018</v>
      </c>
      <c r="E58" s="29">
        <f t="shared" si="0"/>
        <v>1.5142006289769636</v>
      </c>
      <c r="F58" s="210">
        <f t="shared" ref="F58" si="3">+F57+1</f>
        <v>5</v>
      </c>
    </row>
    <row r="59" spans="3:6" s="1" customFormat="1" ht="15.75" x14ac:dyDescent="0.25">
      <c r="C59" s="23" t="str">
        <f t="shared" ref="C59:C64" si="4">"    Price Cap IR Year "&amp;RIGHT(C58,4)+1</f>
        <v xml:space="preserve">    Price Cap IR Year 2019</v>
      </c>
      <c r="E59" s="29">
        <f t="shared" si="0"/>
        <v>1.5207786732026833</v>
      </c>
      <c r="F59" s="210">
        <f t="shared" ref="F59:F64" si="5">+F58+1</f>
        <v>6</v>
      </c>
    </row>
    <row r="60" spans="3:6" s="1" customFormat="1" ht="15.75" x14ac:dyDescent="0.25">
      <c r="C60" s="23" t="str">
        <f t="shared" si="4"/>
        <v xml:space="preserve">    Price Cap IR Year 2020</v>
      </c>
      <c r="E60" s="29">
        <f t="shared" si="0"/>
        <v>1.5274611853186191</v>
      </c>
      <c r="F60" s="210">
        <f t="shared" si="5"/>
        <v>7</v>
      </c>
    </row>
    <row r="61" spans="3:6" s="1" customFormat="1" ht="15.75" x14ac:dyDescent="0.25">
      <c r="C61" s="23" t="str">
        <f t="shared" si="4"/>
        <v xml:space="preserve">    Price Cap IR Year 2021</v>
      </c>
      <c r="E61" s="29">
        <f t="shared" si="0"/>
        <v>1.53424982441062</v>
      </c>
      <c r="F61" s="210">
        <f t="shared" si="5"/>
        <v>8</v>
      </c>
    </row>
    <row r="62" spans="3:6" s="1" customFormat="1" ht="15.75" x14ac:dyDescent="0.25">
      <c r="C62" s="23" t="str">
        <f t="shared" si="4"/>
        <v xml:space="preserve">    Price Cap IR Year 2022</v>
      </c>
      <c r="E62" s="29">
        <f t="shared" si="0"/>
        <v>1.5411462759129735</v>
      </c>
      <c r="F62" s="210">
        <f t="shared" si="5"/>
        <v>9</v>
      </c>
    </row>
    <row r="63" spans="3:6" s="1" customFormat="1" ht="15.75" x14ac:dyDescent="0.25">
      <c r="C63" s="23" t="str">
        <f t="shared" si="4"/>
        <v xml:space="preserve">    Price Cap IR Year 2023</v>
      </c>
      <c r="E63" s="29">
        <f t="shared" si="0"/>
        <v>1.5481522520268542</v>
      </c>
      <c r="F63" s="210">
        <f t="shared" si="5"/>
        <v>10</v>
      </c>
    </row>
    <row r="64" spans="3:6" s="1" customFormat="1" ht="15.75" x14ac:dyDescent="0.25">
      <c r="C64" s="23" t="str">
        <f t="shared" si="4"/>
        <v xml:space="preserve">    Price Cap IR Year 2024</v>
      </c>
      <c r="E64" s="29">
        <f t="shared" si="0"/>
        <v>1.5552694921454162</v>
      </c>
      <c r="F64" s="210">
        <f t="shared" si="5"/>
        <v>11</v>
      </c>
    </row>
    <row r="65" spans="2:6" s="1" customFormat="1" ht="15.75" x14ac:dyDescent="0.25">
      <c r="C65" s="6"/>
      <c r="E65" s="17"/>
    </row>
    <row r="66" spans="2:6" s="1" customFormat="1" ht="15.75" x14ac:dyDescent="0.25">
      <c r="C66" s="6" t="s">
        <v>29</v>
      </c>
      <c r="E66" s="24"/>
      <c r="F66" s="22"/>
    </row>
    <row r="67" spans="2:6" s="1" customFormat="1" ht="15.75" x14ac:dyDescent="0.25">
      <c r="C67" s="1" t="str">
        <f t="shared" ref="C67:C77" si="6">C54</f>
        <v xml:space="preserve">    Price Cap IR Year 2014</v>
      </c>
      <c r="E67" s="25">
        <f t="shared" ref="E67:E77" si="7">IF(ISERROR(d*E54), "", d*E54)</f>
        <v>37909483.687805161</v>
      </c>
    </row>
    <row r="68" spans="2:6" s="1" customFormat="1" ht="15.75" x14ac:dyDescent="0.25">
      <c r="C68" s="1" t="str">
        <f t="shared" si="6"/>
        <v xml:space="preserve">    Price Cap IR Year 2015</v>
      </c>
      <c r="E68" s="25">
        <f t="shared" si="7"/>
        <v>38066739.612920918</v>
      </c>
    </row>
    <row r="69" spans="2:6" s="1" customFormat="1" ht="15.75" x14ac:dyDescent="0.25">
      <c r="C69" s="1" t="str">
        <f t="shared" si="6"/>
        <v xml:space="preserve">    Price Cap IR Year 2016</v>
      </c>
      <c r="E69" s="25">
        <f t="shared" si="7"/>
        <v>38226492.966475464</v>
      </c>
    </row>
    <row r="70" spans="2:6" s="1" customFormat="1" ht="15.75" x14ac:dyDescent="0.25">
      <c r="C70" s="1" t="str">
        <f t="shared" si="6"/>
        <v xml:space="preserve">    Price Cap IR Year 2017</v>
      </c>
      <c r="E70" s="25">
        <f t="shared" si="7"/>
        <v>38388783.410877697</v>
      </c>
    </row>
    <row r="71" spans="2:6" s="1" customFormat="1" ht="15.75" x14ac:dyDescent="0.25">
      <c r="C71" s="1" t="str">
        <f t="shared" si="6"/>
        <v xml:space="preserve">    Price Cap IR Year 2018</v>
      </c>
      <c r="E71" s="25">
        <f t="shared" si="7"/>
        <v>38553651.23842714</v>
      </c>
    </row>
    <row r="72" spans="2:6" s="1" customFormat="1" ht="15.75" x14ac:dyDescent="0.25">
      <c r="C72" s="1" t="str">
        <f t="shared" si="6"/>
        <v xml:space="preserve">    Price Cap IR Year 2019</v>
      </c>
      <c r="E72" s="25">
        <f t="shared" si="7"/>
        <v>38721137.381317399</v>
      </c>
    </row>
    <row r="73" spans="2:6" s="1" customFormat="1" ht="15.75" x14ac:dyDescent="0.25">
      <c r="C73" s="1" t="str">
        <f t="shared" si="6"/>
        <v xml:space="preserve">    Price Cap IR Year 2020</v>
      </c>
      <c r="E73" s="25">
        <f t="shared" si="7"/>
        <v>38891283.421798453</v>
      </c>
    </row>
    <row r="74" spans="2:6" s="1" customFormat="1" ht="15.75" x14ac:dyDescent="0.25">
      <c r="C74" s="1" t="str">
        <f t="shared" si="6"/>
        <v xml:space="preserve">    Price Cap IR Year 2021</v>
      </c>
      <c r="E74" s="25">
        <f t="shared" si="7"/>
        <v>39064131.602500491</v>
      </c>
    </row>
    <row r="75" spans="2:6" s="1" customFormat="1" ht="15.75" x14ac:dyDescent="0.25">
      <c r="C75" s="1" t="str">
        <f t="shared" si="6"/>
        <v xml:space="preserve">    Price Cap IR Year 2022</v>
      </c>
      <c r="E75" s="25">
        <f t="shared" si="7"/>
        <v>39239724.83692155</v>
      </c>
    </row>
    <row r="76" spans="2:6" s="1" customFormat="1" ht="15.75" x14ac:dyDescent="0.25">
      <c r="C76" s="1" t="str">
        <f t="shared" si="6"/>
        <v xml:space="preserve">    Price Cap IR Year 2023</v>
      </c>
      <c r="E76" s="25">
        <f t="shared" si="7"/>
        <v>39418106.720081776</v>
      </c>
    </row>
    <row r="77" spans="2:6" s="1" customFormat="1" ht="15.75" x14ac:dyDescent="0.25">
      <c r="C77" s="1" t="str">
        <f t="shared" si="6"/>
        <v xml:space="preserve">    Price Cap IR Year 2024</v>
      </c>
      <c r="E77" s="25">
        <f t="shared" si="7"/>
        <v>39599321.539346889</v>
      </c>
    </row>
    <row r="78" spans="2:6" s="1" customFormat="1" x14ac:dyDescent="0.2"/>
    <row r="79" spans="2:6" s="1" customFormat="1" ht="48.95" customHeight="1" x14ac:dyDescent="0.2">
      <c r="B79" s="26" t="s">
        <v>30</v>
      </c>
      <c r="C79" s="335" t="s">
        <v>31</v>
      </c>
      <c r="D79" s="335"/>
      <c r="E79" s="335"/>
      <c r="F79" s="335"/>
    </row>
    <row r="80" spans="2:6" s="1" customFormat="1" x14ac:dyDescent="0.2">
      <c r="F80" s="27"/>
    </row>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sheetData>
  <mergeCells count="2">
    <mergeCell ref="C9:E9"/>
    <mergeCell ref="C79:F79"/>
  </mergeCells>
  <pageMargins left="0.70866141732283472" right="0.70866141732283472" top="0.74803149606299213" bottom="0.74803149606299213" header="0.31496062992125984" footer="0.31496062992125984"/>
  <pageSetup scale="63" orientation="portrait"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1:O131"/>
  <sheetViews>
    <sheetView showGridLines="0" topLeftCell="A9" workbookViewId="0">
      <selection activeCell="C9" sqref="C9:E9"/>
    </sheetView>
  </sheetViews>
  <sheetFormatPr defaultColWidth="8.85546875" defaultRowHeight="15" x14ac:dyDescent="0.25"/>
  <cols>
    <col min="1" max="1" width="61.140625" customWidth="1"/>
    <col min="2" max="3" width="16.42578125" customWidth="1"/>
    <col min="4" max="4" width="20.5703125" bestFit="1" customWidth="1"/>
    <col min="5" max="5" width="20.5703125" customWidth="1"/>
    <col min="6" max="6" width="16.42578125" customWidth="1"/>
    <col min="7" max="7" width="20.5703125" bestFit="1" customWidth="1"/>
    <col min="8" max="8" width="20.5703125" customWidth="1"/>
    <col min="9" max="9" width="14.42578125" bestFit="1" customWidth="1"/>
    <col min="10" max="10" width="20.5703125" bestFit="1" customWidth="1"/>
    <col min="11" max="11" width="20.5703125" customWidth="1"/>
    <col min="12" max="12" width="14.42578125" bestFit="1" customWidth="1"/>
    <col min="13" max="13" width="18.85546875" bestFit="1" customWidth="1"/>
    <col min="14" max="14" width="20.5703125" customWidth="1"/>
    <col min="15" max="15" width="12.5703125" bestFit="1" customWidth="1"/>
  </cols>
  <sheetData>
    <row r="11" spans="1:15" ht="15.75" x14ac:dyDescent="0.25">
      <c r="A11" s="158" t="s">
        <v>283</v>
      </c>
    </row>
    <row r="12" spans="1:15" ht="15.75" x14ac:dyDescent="0.25">
      <c r="A12" s="158"/>
    </row>
    <row r="13" spans="1:15" x14ac:dyDescent="0.25">
      <c r="C13" s="159" t="s">
        <v>201</v>
      </c>
      <c r="D13" s="340" t="s">
        <v>57</v>
      </c>
      <c r="E13" s="340"/>
      <c r="F13" s="340"/>
      <c r="G13" s="340" t="s">
        <v>57</v>
      </c>
      <c r="H13" s="340"/>
      <c r="I13" s="340"/>
      <c r="J13" s="340" t="s">
        <v>57</v>
      </c>
      <c r="K13" s="340"/>
      <c r="L13" s="340"/>
      <c r="M13" s="340" t="s">
        <v>57</v>
      </c>
      <c r="N13" s="340"/>
      <c r="O13" s="340"/>
    </row>
    <row r="14" spans="1:15" x14ac:dyDescent="0.25">
      <c r="C14" s="203" t="s">
        <v>202</v>
      </c>
      <c r="D14" s="338" t="s">
        <v>203</v>
      </c>
      <c r="E14" s="338"/>
      <c r="F14" s="338"/>
      <c r="G14" s="339" t="s">
        <v>204</v>
      </c>
      <c r="H14" s="339"/>
      <c r="I14" s="339"/>
      <c r="J14" s="338" t="s">
        <v>205</v>
      </c>
      <c r="K14" s="338"/>
      <c r="L14" s="338"/>
      <c r="M14" s="337" t="s">
        <v>206</v>
      </c>
      <c r="N14" s="337"/>
      <c r="O14" s="337"/>
    </row>
    <row r="15" spans="1:15" x14ac:dyDescent="0.25">
      <c r="C15" s="220">
        <f>'1. Information Sheet'!F30</f>
        <v>2013</v>
      </c>
      <c r="D15" s="338">
        <f>C15+1</f>
        <v>2014</v>
      </c>
      <c r="E15" s="338"/>
      <c r="F15" s="338"/>
      <c r="G15" s="337">
        <f>D15+1</f>
        <v>2015</v>
      </c>
      <c r="H15" s="337"/>
      <c r="I15" s="337"/>
      <c r="J15" s="338">
        <f>G15+1</f>
        <v>2016</v>
      </c>
      <c r="K15" s="338"/>
      <c r="L15" s="338"/>
      <c r="M15" s="337">
        <f>J15+1</f>
        <v>2017</v>
      </c>
      <c r="N15" s="337"/>
      <c r="O15" s="337"/>
    </row>
    <row r="16" spans="1:15" ht="15" customHeight="1" x14ac:dyDescent="0.25">
      <c r="A16" s="160" t="s">
        <v>284</v>
      </c>
      <c r="B16" s="336"/>
      <c r="C16" s="211"/>
      <c r="D16" s="211"/>
      <c r="G16" s="211"/>
      <c r="J16" s="211"/>
      <c r="M16" s="211"/>
    </row>
    <row r="17" spans="1:15" x14ac:dyDescent="0.25">
      <c r="A17" s="160"/>
      <c r="B17" s="336"/>
    </row>
    <row r="18" spans="1:15" x14ac:dyDescent="0.25">
      <c r="A18" s="160" t="s">
        <v>208</v>
      </c>
      <c r="B18" s="336"/>
      <c r="C18" s="161"/>
      <c r="D18" s="212">
        <f>IF('8. Threshold Test'!$E$67="", 0, '8. Threshold Test'!$E$67)</f>
        <v>37909483.687805161</v>
      </c>
      <c r="G18" s="212">
        <f>IF('8. Threshold Test'!$E$68="", 0, '8. Threshold Test'!$E$68)</f>
        <v>38066739.612920918</v>
      </c>
      <c r="J18" s="212">
        <f>IF('8. Threshold Test'!$E$69="", 0, '8. Threshold Test'!$E$69)</f>
        <v>38226492.966475464</v>
      </c>
      <c r="M18" s="212">
        <f>IF('8. Threshold Test'!$E$70="", 0, '8. Threshold Test'!$E$70)</f>
        <v>38388783.410877697</v>
      </c>
    </row>
    <row r="19" spans="1:15" x14ac:dyDescent="0.25">
      <c r="A19" s="122"/>
      <c r="B19" s="336"/>
    </row>
    <row r="20" spans="1:15" ht="30" x14ac:dyDescent="0.25">
      <c r="A20" s="162" t="s">
        <v>209</v>
      </c>
      <c r="B20" s="160"/>
      <c r="C20" s="163"/>
      <c r="D20" s="164">
        <f>IF(D18&gt;D16,0,D16-D18)</f>
        <v>0</v>
      </c>
      <c r="G20" s="164">
        <f>IF(G18&gt;G16,0,G16-G18)</f>
        <v>0</v>
      </c>
      <c r="J20" s="164">
        <f>IF(J18&gt;J16,0,J16-J18)</f>
        <v>0</v>
      </c>
      <c r="M20" s="164">
        <f>IF(M18&gt;M16,0,M16-M18)</f>
        <v>0</v>
      </c>
    </row>
    <row r="21" spans="1:15" x14ac:dyDescent="0.25">
      <c r="A21" s="162"/>
      <c r="B21" s="160"/>
      <c r="C21" s="163"/>
      <c r="D21" s="213"/>
      <c r="G21" s="213"/>
      <c r="J21" s="213"/>
      <c r="M21" s="213"/>
    </row>
    <row r="22" spans="1:15" x14ac:dyDescent="0.25">
      <c r="A22" s="122"/>
      <c r="B22" s="122"/>
      <c r="C22" s="203" t="s">
        <v>202</v>
      </c>
      <c r="D22" s="341" t="s">
        <v>203</v>
      </c>
      <c r="E22" s="341"/>
      <c r="F22" s="341"/>
      <c r="G22" s="342" t="s">
        <v>204</v>
      </c>
      <c r="H22" s="342"/>
      <c r="I22" s="342"/>
      <c r="J22" s="341" t="s">
        <v>205</v>
      </c>
      <c r="K22" s="341"/>
      <c r="L22" s="341"/>
      <c r="M22" s="342" t="s">
        <v>206</v>
      </c>
      <c r="N22" s="342"/>
      <c r="O22" s="342"/>
    </row>
    <row r="23" spans="1:15" x14ac:dyDescent="0.25">
      <c r="A23" s="122"/>
      <c r="B23" s="122"/>
      <c r="C23" s="165">
        <f>C15</f>
        <v>2013</v>
      </c>
      <c r="D23" s="338">
        <f>D15</f>
        <v>2014</v>
      </c>
      <c r="E23" s="338"/>
      <c r="F23" s="338"/>
      <c r="G23" s="339">
        <f>G15</f>
        <v>2015</v>
      </c>
      <c r="H23" s="339"/>
      <c r="I23" s="339"/>
      <c r="J23" s="338">
        <f>J15</f>
        <v>2016</v>
      </c>
      <c r="K23" s="338"/>
      <c r="L23" s="338"/>
      <c r="M23" s="339">
        <f>M15</f>
        <v>2017</v>
      </c>
      <c r="N23" s="339"/>
      <c r="O23" s="339"/>
    </row>
    <row r="24" spans="1:15" x14ac:dyDescent="0.25">
      <c r="A24" s="122" t="s">
        <v>210</v>
      </c>
      <c r="B24" s="203" t="s">
        <v>211</v>
      </c>
      <c r="C24" s="203"/>
      <c r="D24" s="204" t="s">
        <v>213</v>
      </c>
      <c r="E24" s="203" t="s">
        <v>214</v>
      </c>
      <c r="F24" s="203" t="s">
        <v>215</v>
      </c>
      <c r="G24" s="204" t="s">
        <v>213</v>
      </c>
      <c r="H24" s="203" t="s">
        <v>214</v>
      </c>
      <c r="I24" s="203" t="s">
        <v>215</v>
      </c>
      <c r="J24" s="204" t="s">
        <v>213</v>
      </c>
      <c r="K24" s="203" t="s">
        <v>214</v>
      </c>
      <c r="L24" s="203" t="s">
        <v>215</v>
      </c>
      <c r="M24" s="204" t="s">
        <v>213</v>
      </c>
      <c r="N24" s="203" t="s">
        <v>214</v>
      </c>
      <c r="O24" s="203" t="s">
        <v>215</v>
      </c>
    </row>
    <row r="25" spans="1:15" x14ac:dyDescent="0.25">
      <c r="A25" s="214"/>
      <c r="B25" s="215"/>
      <c r="C25" s="161"/>
      <c r="D25" s="211"/>
      <c r="E25" s="211"/>
      <c r="F25" s="211"/>
      <c r="G25" s="211"/>
      <c r="H25" s="211"/>
      <c r="I25" s="211"/>
      <c r="J25" s="211"/>
      <c r="K25" s="211"/>
      <c r="L25" s="211"/>
      <c r="M25" s="211"/>
      <c r="N25" s="211"/>
      <c r="O25" s="211"/>
    </row>
    <row r="26" spans="1:15" x14ac:dyDescent="0.25">
      <c r="A26" s="214"/>
      <c r="B26" s="215"/>
      <c r="C26" s="161"/>
      <c r="D26" s="211"/>
      <c r="E26" s="211"/>
      <c r="F26" s="211"/>
      <c r="G26" s="211"/>
      <c r="H26" s="211"/>
      <c r="I26" s="211"/>
      <c r="J26" s="211"/>
      <c r="K26" s="211"/>
      <c r="L26" s="211"/>
      <c r="M26" s="211"/>
      <c r="N26" s="211"/>
      <c r="O26" s="211"/>
    </row>
    <row r="27" spans="1:15" x14ac:dyDescent="0.25">
      <c r="A27" s="214"/>
      <c r="B27" s="215"/>
      <c r="C27" s="161"/>
      <c r="D27" s="211"/>
      <c r="E27" s="211"/>
      <c r="F27" s="211"/>
      <c r="G27" s="211"/>
      <c r="H27" s="211"/>
      <c r="I27" s="211"/>
      <c r="J27" s="211"/>
      <c r="K27" s="211"/>
      <c r="L27" s="211"/>
      <c r="M27" s="211"/>
      <c r="N27" s="211"/>
      <c r="O27" s="211"/>
    </row>
    <row r="28" spans="1:15" x14ac:dyDescent="0.25">
      <c r="A28" s="214"/>
      <c r="B28" s="215"/>
      <c r="C28" s="161"/>
      <c r="D28" s="211"/>
      <c r="E28" s="211"/>
      <c r="F28" s="211"/>
      <c r="G28" s="211"/>
      <c r="H28" s="211"/>
      <c r="I28" s="211"/>
      <c r="J28" s="211"/>
      <c r="K28" s="211"/>
      <c r="L28" s="211"/>
      <c r="M28" s="211"/>
      <c r="N28" s="211"/>
      <c r="O28" s="211"/>
    </row>
    <row r="29" spans="1:15" x14ac:dyDescent="0.25">
      <c r="A29" s="214"/>
      <c r="B29" s="215"/>
      <c r="C29" s="161"/>
      <c r="D29" s="211"/>
      <c r="E29" s="211"/>
      <c r="F29" s="211"/>
      <c r="G29" s="211"/>
      <c r="H29" s="211"/>
      <c r="I29" s="211"/>
      <c r="J29" s="211"/>
      <c r="K29" s="211"/>
      <c r="L29" s="211"/>
      <c r="M29" s="211"/>
      <c r="N29" s="211"/>
      <c r="O29" s="211"/>
    </row>
    <row r="30" spans="1:15" x14ac:dyDescent="0.25">
      <c r="A30" s="214"/>
      <c r="B30" s="215"/>
      <c r="C30" s="161"/>
      <c r="D30" s="211"/>
      <c r="E30" s="211"/>
      <c r="F30" s="211"/>
      <c r="G30" s="211"/>
      <c r="H30" s="211"/>
      <c r="I30" s="211"/>
      <c r="J30" s="211"/>
      <c r="K30" s="211"/>
      <c r="L30" s="211"/>
      <c r="M30" s="211"/>
      <c r="N30" s="211"/>
      <c r="O30" s="211"/>
    </row>
    <row r="31" spans="1:15" x14ac:dyDescent="0.25">
      <c r="A31" s="214"/>
      <c r="B31" s="215"/>
      <c r="C31" s="161"/>
      <c r="D31" s="211"/>
      <c r="E31" s="211"/>
      <c r="F31" s="211"/>
      <c r="G31" s="211"/>
      <c r="H31" s="211"/>
      <c r="I31" s="211"/>
      <c r="J31" s="211"/>
      <c r="K31" s="211"/>
      <c r="L31" s="211"/>
      <c r="M31" s="211"/>
      <c r="N31" s="211"/>
      <c r="O31" s="211"/>
    </row>
    <row r="32" spans="1:15" x14ac:dyDescent="0.25">
      <c r="A32" s="214"/>
      <c r="B32" s="215"/>
      <c r="C32" s="161"/>
      <c r="D32" s="211"/>
      <c r="E32" s="211"/>
      <c r="F32" s="211"/>
      <c r="G32" s="211"/>
      <c r="H32" s="211"/>
      <c r="I32" s="211"/>
      <c r="J32" s="211"/>
      <c r="K32" s="211"/>
      <c r="L32" s="211"/>
      <c r="M32" s="211"/>
      <c r="N32" s="211"/>
      <c r="O32" s="211"/>
    </row>
    <row r="33" spans="1:15" x14ac:dyDescent="0.25">
      <c r="A33" s="214"/>
      <c r="B33" s="215"/>
      <c r="C33" s="161"/>
      <c r="D33" s="211"/>
      <c r="E33" s="211"/>
      <c r="F33" s="211"/>
      <c r="G33" s="211"/>
      <c r="H33" s="211"/>
      <c r="I33" s="211"/>
      <c r="J33" s="211"/>
      <c r="K33" s="211"/>
      <c r="L33" s="211"/>
      <c r="M33" s="211"/>
      <c r="N33" s="211"/>
      <c r="O33" s="211"/>
    </row>
    <row r="34" spans="1:15" x14ac:dyDescent="0.25">
      <c r="A34" s="214"/>
      <c r="B34" s="215"/>
      <c r="C34" s="161"/>
      <c r="D34" s="211"/>
      <c r="E34" s="211"/>
      <c r="F34" s="211"/>
      <c r="G34" s="211"/>
      <c r="H34" s="211"/>
      <c r="I34" s="211"/>
      <c r="J34" s="211"/>
      <c r="K34" s="211"/>
      <c r="L34" s="211"/>
      <c r="M34" s="211"/>
      <c r="N34" s="211"/>
      <c r="O34" s="211"/>
    </row>
    <row r="35" spans="1:15" x14ac:dyDescent="0.25">
      <c r="A35" s="214"/>
      <c r="B35" s="215"/>
      <c r="C35" s="161"/>
      <c r="D35" s="211"/>
      <c r="E35" s="211"/>
      <c r="F35" s="211"/>
      <c r="G35" s="211"/>
      <c r="H35" s="211"/>
      <c r="I35" s="211"/>
      <c r="J35" s="211"/>
      <c r="K35" s="211"/>
      <c r="L35" s="211"/>
      <c r="M35" s="211"/>
      <c r="N35" s="211"/>
      <c r="O35" s="211"/>
    </row>
    <row r="36" spans="1:15" x14ac:dyDescent="0.25">
      <c r="A36" s="214"/>
      <c r="B36" s="215"/>
      <c r="C36" s="161"/>
      <c r="D36" s="211"/>
      <c r="E36" s="211"/>
      <c r="F36" s="211"/>
      <c r="G36" s="211"/>
      <c r="H36" s="211"/>
      <c r="I36" s="211"/>
      <c r="J36" s="211"/>
      <c r="K36" s="211"/>
      <c r="L36" s="211"/>
      <c r="M36" s="211"/>
      <c r="N36" s="211"/>
      <c r="O36" s="211"/>
    </row>
    <row r="37" spans="1:15" x14ac:dyDescent="0.25">
      <c r="A37" s="214"/>
      <c r="B37" s="215"/>
      <c r="C37" s="161"/>
      <c r="D37" s="211"/>
      <c r="E37" s="211"/>
      <c r="F37" s="211"/>
      <c r="G37" s="211"/>
      <c r="H37" s="211"/>
      <c r="I37" s="211"/>
      <c r="J37" s="211"/>
      <c r="K37" s="211"/>
      <c r="L37" s="211"/>
      <c r="M37" s="211"/>
      <c r="N37" s="211"/>
      <c r="O37" s="211"/>
    </row>
    <row r="38" spans="1:15" x14ac:dyDescent="0.25">
      <c r="A38" s="214"/>
      <c r="B38" s="215"/>
      <c r="C38" s="161"/>
      <c r="D38" s="211"/>
      <c r="E38" s="211"/>
      <c r="F38" s="211"/>
      <c r="G38" s="211"/>
      <c r="H38" s="211"/>
      <c r="I38" s="211"/>
      <c r="J38" s="211"/>
      <c r="K38" s="211"/>
      <c r="L38" s="211"/>
      <c r="M38" s="211"/>
      <c r="N38" s="211"/>
      <c r="O38" s="211"/>
    </row>
    <row r="39" spans="1:15" x14ac:dyDescent="0.25">
      <c r="A39" s="214"/>
      <c r="B39" s="215"/>
      <c r="C39" s="161"/>
      <c r="D39" s="211"/>
      <c r="E39" s="211"/>
      <c r="F39" s="211"/>
      <c r="G39" s="211"/>
      <c r="H39" s="211"/>
      <c r="I39" s="211"/>
      <c r="J39" s="211"/>
      <c r="K39" s="211"/>
      <c r="L39" s="211"/>
      <c r="M39" s="211"/>
      <c r="N39" s="211"/>
      <c r="O39" s="211"/>
    </row>
    <row r="40" spans="1:15" x14ac:dyDescent="0.25">
      <c r="A40" s="214"/>
      <c r="B40" s="215"/>
      <c r="C40" s="161"/>
      <c r="D40" s="211"/>
      <c r="E40" s="211"/>
      <c r="F40" s="211"/>
      <c r="G40" s="211"/>
      <c r="H40" s="211"/>
      <c r="I40" s="211"/>
      <c r="J40" s="211"/>
      <c r="K40" s="211"/>
      <c r="L40" s="211"/>
      <c r="M40" s="211"/>
      <c r="N40" s="211"/>
      <c r="O40" s="211"/>
    </row>
    <row r="41" spans="1:15" x14ac:dyDescent="0.25">
      <c r="A41" s="214"/>
      <c r="B41" s="215"/>
      <c r="C41" s="161"/>
      <c r="D41" s="211"/>
      <c r="E41" s="211"/>
      <c r="F41" s="211"/>
      <c r="G41" s="211"/>
      <c r="H41" s="211"/>
      <c r="I41" s="211"/>
      <c r="J41" s="211"/>
      <c r="K41" s="211"/>
      <c r="L41" s="211"/>
      <c r="M41" s="211"/>
      <c r="N41" s="211"/>
      <c r="O41" s="211"/>
    </row>
    <row r="42" spans="1:15" x14ac:dyDescent="0.25">
      <c r="A42" s="214"/>
      <c r="B42" s="215"/>
      <c r="C42" s="161"/>
      <c r="D42" s="211"/>
      <c r="E42" s="211"/>
      <c r="F42" s="211"/>
      <c r="G42" s="211"/>
      <c r="H42" s="211"/>
      <c r="I42" s="211"/>
      <c r="J42" s="211"/>
      <c r="K42" s="211"/>
      <c r="L42" s="211"/>
      <c r="M42" s="211"/>
      <c r="N42" s="211"/>
      <c r="O42" s="211"/>
    </row>
    <row r="43" spans="1:15" x14ac:dyDescent="0.25">
      <c r="A43" s="214"/>
      <c r="B43" s="215"/>
      <c r="C43" s="161"/>
      <c r="D43" s="211"/>
      <c r="E43" s="211"/>
      <c r="F43" s="211"/>
      <c r="G43" s="211"/>
      <c r="H43" s="211"/>
      <c r="I43" s="211"/>
      <c r="J43" s="211"/>
      <c r="K43" s="211"/>
      <c r="L43" s="211"/>
      <c r="M43" s="211"/>
      <c r="N43" s="211"/>
      <c r="O43" s="211"/>
    </row>
    <row r="44" spans="1:15" x14ac:dyDescent="0.25">
      <c r="A44" s="214"/>
      <c r="B44" s="215"/>
      <c r="C44" s="161"/>
      <c r="D44" s="211"/>
      <c r="E44" s="211"/>
      <c r="F44" s="211"/>
      <c r="G44" s="211"/>
      <c r="H44" s="211"/>
      <c r="I44" s="211"/>
      <c r="J44" s="211"/>
      <c r="K44" s="211"/>
      <c r="L44" s="211"/>
      <c r="M44" s="211"/>
      <c r="N44" s="211"/>
      <c r="O44" s="211"/>
    </row>
    <row r="46" spans="1:15" x14ac:dyDescent="0.25">
      <c r="A46" s="160" t="s">
        <v>285</v>
      </c>
      <c r="B46" s="160"/>
      <c r="D46" s="212">
        <f>SUM(D25:D44)</f>
        <v>0</v>
      </c>
      <c r="E46" s="212">
        <f t="shared" ref="E46:O46" si="0">SUM(E25:E44)</f>
        <v>0</v>
      </c>
      <c r="F46" s="212">
        <f t="shared" si="0"/>
        <v>0</v>
      </c>
      <c r="G46" s="212">
        <f t="shared" si="0"/>
        <v>0</v>
      </c>
      <c r="H46" s="212">
        <f t="shared" si="0"/>
        <v>0</v>
      </c>
      <c r="I46" s="212">
        <f t="shared" si="0"/>
        <v>0</v>
      </c>
      <c r="J46" s="212">
        <f t="shared" si="0"/>
        <v>0</v>
      </c>
      <c r="K46" s="212">
        <f t="shared" si="0"/>
        <v>0</v>
      </c>
      <c r="L46" s="212">
        <f t="shared" si="0"/>
        <v>0</v>
      </c>
      <c r="M46" s="212">
        <f t="shared" si="0"/>
        <v>0</v>
      </c>
      <c r="N46" s="212">
        <f t="shared" si="0"/>
        <v>0</v>
      </c>
      <c r="O46" s="212">
        <f t="shared" si="0"/>
        <v>0</v>
      </c>
    </row>
    <row r="47" spans="1:15" x14ac:dyDescent="0.25">
      <c r="A47" s="160"/>
      <c r="B47" s="160"/>
      <c r="D47" s="216"/>
      <c r="E47" s="216"/>
      <c r="F47" s="216"/>
      <c r="G47" s="216"/>
      <c r="H47" s="216"/>
      <c r="I47" s="216"/>
      <c r="J47" s="216"/>
      <c r="K47" s="216"/>
      <c r="L47" s="216"/>
      <c r="M47" s="216"/>
      <c r="N47" s="216"/>
      <c r="O47" s="216"/>
    </row>
    <row r="48" spans="1:15" x14ac:dyDescent="0.25">
      <c r="A48" s="160" t="s">
        <v>212</v>
      </c>
      <c r="B48" s="160"/>
      <c r="D48" s="212">
        <f>MIN(D46,D20)</f>
        <v>0</v>
      </c>
      <c r="E48" s="216"/>
      <c r="F48" s="216"/>
      <c r="G48" s="212">
        <f>MIN(G46,G20)</f>
        <v>0</v>
      </c>
      <c r="H48" s="216"/>
      <c r="I48" s="216"/>
      <c r="J48" s="212">
        <f>MIN(J46,J20)</f>
        <v>0</v>
      </c>
      <c r="K48" s="216"/>
      <c r="L48" s="216"/>
      <c r="M48" s="212">
        <f>MIN(M46,M20)</f>
        <v>0</v>
      </c>
      <c r="N48" s="216"/>
      <c r="O48" s="216"/>
    </row>
    <row r="49" spans="1:15" ht="15.75" thickBot="1" x14ac:dyDescent="0.3"/>
    <row r="50" spans="1:15" ht="15" customHeight="1" thickBot="1" x14ac:dyDescent="0.3">
      <c r="A50" s="343" t="s">
        <v>286</v>
      </c>
      <c r="B50" s="343"/>
      <c r="D50" s="344" t="s">
        <v>287</v>
      </c>
      <c r="E50" s="345"/>
      <c r="F50" s="345"/>
      <c r="G50" s="344" t="s">
        <v>287</v>
      </c>
      <c r="H50" s="345"/>
      <c r="I50" s="346"/>
      <c r="J50" s="344" t="s">
        <v>287</v>
      </c>
      <c r="K50" s="345"/>
      <c r="L50" s="345"/>
      <c r="M50" s="344" t="s">
        <v>287</v>
      </c>
      <c r="N50" s="345"/>
      <c r="O50" s="346"/>
    </row>
    <row r="51" spans="1:15" x14ac:dyDescent="0.25">
      <c r="A51" s="343"/>
      <c r="B51" s="343"/>
    </row>
    <row r="52" spans="1:15" x14ac:dyDescent="0.25">
      <c r="A52" s="343"/>
      <c r="B52" s="343"/>
      <c r="D52" s="340" t="s">
        <v>57</v>
      </c>
      <c r="E52" s="340"/>
      <c r="F52" s="340"/>
      <c r="G52" s="340" t="s">
        <v>57</v>
      </c>
      <c r="H52" s="340"/>
      <c r="I52" s="340"/>
      <c r="J52" s="340" t="s">
        <v>57</v>
      </c>
      <c r="K52" s="340"/>
      <c r="L52" s="340"/>
      <c r="M52" s="340" t="s">
        <v>57</v>
      </c>
      <c r="N52" s="340"/>
      <c r="O52" s="340"/>
    </row>
    <row r="53" spans="1:15" x14ac:dyDescent="0.25">
      <c r="A53" s="343"/>
      <c r="B53" s="343"/>
      <c r="D53" s="338" t="s">
        <v>269</v>
      </c>
      <c r="E53" s="338"/>
      <c r="F53" s="338"/>
      <c r="G53" s="339" t="s">
        <v>288</v>
      </c>
      <c r="H53" s="339"/>
      <c r="I53" s="339"/>
      <c r="J53" s="338" t="s">
        <v>289</v>
      </c>
      <c r="K53" s="338"/>
      <c r="L53" s="338"/>
      <c r="M53" s="337" t="s">
        <v>290</v>
      </c>
      <c r="N53" s="337"/>
      <c r="O53" s="337"/>
    </row>
    <row r="54" spans="1:15" x14ac:dyDescent="0.25">
      <c r="D54" s="338">
        <f>M15+1</f>
        <v>2018</v>
      </c>
      <c r="E54" s="338"/>
      <c r="F54" s="338"/>
      <c r="G54" s="339">
        <f>D54+1</f>
        <v>2019</v>
      </c>
      <c r="H54" s="339"/>
      <c r="I54" s="339"/>
      <c r="J54" s="338">
        <f>G54+1</f>
        <v>2020</v>
      </c>
      <c r="K54" s="338"/>
      <c r="L54" s="338"/>
      <c r="M54" s="339">
        <f>J54+1</f>
        <v>2021</v>
      </c>
      <c r="N54" s="339"/>
      <c r="O54" s="339"/>
    </row>
    <row r="55" spans="1:15" x14ac:dyDescent="0.25">
      <c r="A55" s="160" t="s">
        <v>207</v>
      </c>
      <c r="B55" s="336"/>
      <c r="D55" s="211"/>
      <c r="G55" s="211"/>
      <c r="J55" s="211"/>
      <c r="M55" s="211"/>
    </row>
    <row r="56" spans="1:15" x14ac:dyDescent="0.25">
      <c r="A56" s="160"/>
      <c r="B56" s="336"/>
    </row>
    <row r="57" spans="1:15" x14ac:dyDescent="0.25">
      <c r="A57" s="160" t="s">
        <v>208</v>
      </c>
      <c r="B57" s="336"/>
      <c r="D57" s="212">
        <f>IF('8. Threshold Test'!$E$71="", 0, '8. Threshold Test'!$E$71)</f>
        <v>38553651.23842714</v>
      </c>
      <c r="G57" s="212">
        <f>IF('8. Threshold Test'!$E$72="", 0, '8. Threshold Test'!$E$72)</f>
        <v>38721137.381317399</v>
      </c>
      <c r="J57" s="212">
        <f>IF('8. Threshold Test'!$E$73="", 0, '8. Threshold Test'!$E$73)</f>
        <v>38891283.421798453</v>
      </c>
      <c r="M57" s="212">
        <f>IF('8. Threshold Test'!$E$74="", 0, '8. Threshold Test'!$E$74)</f>
        <v>39064131.602500491</v>
      </c>
    </row>
    <row r="58" spans="1:15" x14ac:dyDescent="0.25">
      <c r="A58" s="122"/>
      <c r="B58" s="336"/>
    </row>
    <row r="59" spans="1:15" ht="30" x14ac:dyDescent="0.25">
      <c r="A59" s="162" t="s">
        <v>209</v>
      </c>
      <c r="B59" s="160"/>
      <c r="C59" s="163"/>
      <c r="D59" s="164">
        <f t="shared" ref="D59" si="1">IF(D57&gt;D55,0,D55-D57)</f>
        <v>0</v>
      </c>
      <c r="G59" s="164">
        <f t="shared" ref="G59" si="2">IF(G57&gt;G55,0,G55-G57)</f>
        <v>0</v>
      </c>
      <c r="J59" s="164">
        <f t="shared" ref="J59" si="3">IF(J57&gt;J55,0,J55-J57)</f>
        <v>0</v>
      </c>
      <c r="M59" s="164">
        <f t="shared" ref="M59" si="4">IF(M57&gt;M55,0,M55-M57)</f>
        <v>0</v>
      </c>
    </row>
    <row r="60" spans="1:15" x14ac:dyDescent="0.25">
      <c r="A60" s="162"/>
      <c r="B60" s="160"/>
      <c r="C60" s="163"/>
      <c r="D60" s="213"/>
      <c r="G60" s="213"/>
      <c r="J60" s="213"/>
      <c r="M60" s="213"/>
    </row>
    <row r="61" spans="1:15" x14ac:dyDescent="0.25">
      <c r="A61" s="122"/>
      <c r="B61" s="122"/>
      <c r="C61" s="163"/>
      <c r="D61" s="338" t="str">
        <f>D53</f>
        <v>Year 5</v>
      </c>
      <c r="E61" s="338"/>
      <c r="F61" s="338"/>
      <c r="G61" s="339" t="str">
        <f>G53</f>
        <v>Year 6</v>
      </c>
      <c r="H61" s="339"/>
      <c r="I61" s="339"/>
      <c r="J61" s="338" t="str">
        <f>J53</f>
        <v>Year 7</v>
      </c>
      <c r="K61" s="338"/>
      <c r="L61" s="338"/>
      <c r="M61" s="339" t="str">
        <f>M53</f>
        <v>Year 8</v>
      </c>
      <c r="N61" s="339"/>
      <c r="O61" s="339"/>
    </row>
    <row r="62" spans="1:15" x14ac:dyDescent="0.25">
      <c r="A62" s="122"/>
      <c r="B62" s="122"/>
      <c r="C62" s="163"/>
      <c r="D62" s="338">
        <f>D54</f>
        <v>2018</v>
      </c>
      <c r="E62" s="338"/>
      <c r="F62" s="338"/>
      <c r="G62" s="339">
        <f>G54</f>
        <v>2019</v>
      </c>
      <c r="H62" s="339"/>
      <c r="I62" s="339"/>
      <c r="J62" s="338">
        <f>J54</f>
        <v>2020</v>
      </c>
      <c r="K62" s="338"/>
      <c r="L62" s="338"/>
      <c r="M62" s="339">
        <f>M54</f>
        <v>2021</v>
      </c>
      <c r="N62" s="339"/>
      <c r="O62" s="339"/>
    </row>
    <row r="63" spans="1:15" x14ac:dyDescent="0.25">
      <c r="A63" s="122" t="s">
        <v>210</v>
      </c>
      <c r="B63" s="203" t="s">
        <v>211</v>
      </c>
      <c r="C63" s="163"/>
      <c r="D63" s="204" t="s">
        <v>213</v>
      </c>
      <c r="E63" s="203" t="s">
        <v>214</v>
      </c>
      <c r="F63" s="203" t="s">
        <v>215</v>
      </c>
      <c r="G63" s="204" t="s">
        <v>213</v>
      </c>
      <c r="H63" s="203" t="s">
        <v>214</v>
      </c>
      <c r="I63" s="203" t="s">
        <v>215</v>
      </c>
      <c r="J63" s="204" t="s">
        <v>213</v>
      </c>
      <c r="K63" s="203" t="s">
        <v>214</v>
      </c>
      <c r="L63" s="203" t="s">
        <v>215</v>
      </c>
      <c r="M63" s="204" t="s">
        <v>213</v>
      </c>
      <c r="N63" s="203" t="s">
        <v>214</v>
      </c>
      <c r="O63" s="203" t="s">
        <v>215</v>
      </c>
    </row>
    <row r="64" spans="1:15" x14ac:dyDescent="0.25">
      <c r="A64" s="214"/>
      <c r="B64" s="215"/>
      <c r="C64" s="161"/>
      <c r="D64" s="211"/>
      <c r="E64" s="211"/>
      <c r="F64" s="211"/>
      <c r="G64" s="211"/>
      <c r="H64" s="211"/>
      <c r="I64" s="211"/>
      <c r="J64" s="211"/>
      <c r="K64" s="211"/>
      <c r="L64" s="211"/>
      <c r="M64" s="211"/>
      <c r="N64" s="211"/>
      <c r="O64" s="211"/>
    </row>
    <row r="65" spans="1:15" x14ac:dyDescent="0.25">
      <c r="A65" s="214"/>
      <c r="B65" s="215"/>
      <c r="C65" s="161"/>
      <c r="D65" s="211"/>
      <c r="E65" s="211"/>
      <c r="F65" s="211"/>
      <c r="G65" s="211"/>
      <c r="H65" s="211"/>
      <c r="I65" s="211"/>
      <c r="J65" s="211"/>
      <c r="K65" s="211"/>
      <c r="L65" s="211"/>
      <c r="M65" s="211"/>
      <c r="N65" s="211"/>
      <c r="O65" s="211"/>
    </row>
    <row r="66" spans="1:15" x14ac:dyDescent="0.25">
      <c r="A66" s="214"/>
      <c r="B66" s="215"/>
      <c r="C66" s="161"/>
      <c r="D66" s="211"/>
      <c r="E66" s="211"/>
      <c r="F66" s="211"/>
      <c r="G66" s="211"/>
      <c r="H66" s="211"/>
      <c r="I66" s="211"/>
      <c r="J66" s="211"/>
      <c r="K66" s="211"/>
      <c r="L66" s="211"/>
      <c r="M66" s="211"/>
      <c r="N66" s="211"/>
      <c r="O66" s="211"/>
    </row>
    <row r="67" spans="1:15" x14ac:dyDescent="0.25">
      <c r="A67" s="214"/>
      <c r="B67" s="215"/>
      <c r="C67" s="161"/>
      <c r="D67" s="211"/>
      <c r="E67" s="211"/>
      <c r="F67" s="211"/>
      <c r="G67" s="211"/>
      <c r="H67" s="211"/>
      <c r="I67" s="211"/>
      <c r="J67" s="211"/>
      <c r="K67" s="211"/>
      <c r="L67" s="211"/>
      <c r="M67" s="211"/>
      <c r="N67" s="211"/>
      <c r="O67" s="211"/>
    </row>
    <row r="68" spans="1:15" x14ac:dyDescent="0.25">
      <c r="A68" s="214"/>
      <c r="B68" s="215"/>
      <c r="C68" s="161"/>
      <c r="D68" s="211"/>
      <c r="E68" s="211"/>
      <c r="F68" s="211"/>
      <c r="G68" s="211"/>
      <c r="H68" s="211"/>
      <c r="I68" s="211"/>
      <c r="J68" s="211"/>
      <c r="K68" s="211"/>
      <c r="L68" s="211"/>
      <c r="M68" s="211"/>
      <c r="N68" s="211"/>
      <c r="O68" s="211"/>
    </row>
    <row r="69" spans="1:15" x14ac:dyDescent="0.25">
      <c r="A69" s="214"/>
      <c r="B69" s="215"/>
      <c r="C69" s="161"/>
      <c r="D69" s="211"/>
      <c r="E69" s="211"/>
      <c r="F69" s="211"/>
      <c r="G69" s="211"/>
      <c r="H69" s="211"/>
      <c r="I69" s="211"/>
      <c r="J69" s="211"/>
      <c r="K69" s="211"/>
      <c r="L69" s="211"/>
      <c r="M69" s="211"/>
      <c r="N69" s="211"/>
      <c r="O69" s="211"/>
    </row>
    <row r="70" spans="1:15" x14ac:dyDescent="0.25">
      <c r="A70" s="214"/>
      <c r="B70" s="215"/>
      <c r="C70" s="161"/>
      <c r="D70" s="211"/>
      <c r="E70" s="211"/>
      <c r="F70" s="211"/>
      <c r="G70" s="211"/>
      <c r="H70" s="211"/>
      <c r="I70" s="211"/>
      <c r="J70" s="211"/>
      <c r="K70" s="211"/>
      <c r="L70" s="211"/>
      <c r="M70" s="211"/>
      <c r="N70" s="211"/>
      <c r="O70" s="211"/>
    </row>
    <row r="71" spans="1:15" x14ac:dyDescent="0.25">
      <c r="A71" s="214"/>
      <c r="B71" s="215"/>
      <c r="C71" s="161"/>
      <c r="D71" s="211"/>
      <c r="E71" s="211"/>
      <c r="F71" s="211"/>
      <c r="G71" s="211"/>
      <c r="H71" s="211"/>
      <c r="I71" s="211"/>
      <c r="J71" s="211"/>
      <c r="K71" s="211"/>
      <c r="L71" s="211"/>
      <c r="M71" s="211"/>
      <c r="N71" s="211"/>
      <c r="O71" s="211"/>
    </row>
    <row r="72" spans="1:15" x14ac:dyDescent="0.25">
      <c r="A72" s="214"/>
      <c r="B72" s="215"/>
      <c r="C72" s="161"/>
      <c r="D72" s="211"/>
      <c r="E72" s="211"/>
      <c r="F72" s="211"/>
      <c r="G72" s="211"/>
      <c r="H72" s="211"/>
      <c r="I72" s="211"/>
      <c r="J72" s="211"/>
      <c r="K72" s="211"/>
      <c r="L72" s="211"/>
      <c r="M72" s="211"/>
      <c r="N72" s="211"/>
      <c r="O72" s="211"/>
    </row>
    <row r="73" spans="1:15" x14ac:dyDescent="0.25">
      <c r="A73" s="214"/>
      <c r="B73" s="215"/>
      <c r="C73" s="161"/>
      <c r="D73" s="211"/>
      <c r="E73" s="211"/>
      <c r="F73" s="211"/>
      <c r="G73" s="211"/>
      <c r="H73" s="211"/>
      <c r="I73" s="211"/>
      <c r="J73" s="211"/>
      <c r="K73" s="211"/>
      <c r="L73" s="211"/>
      <c r="M73" s="211"/>
      <c r="N73" s="211"/>
      <c r="O73" s="211"/>
    </row>
    <row r="74" spans="1:15" x14ac:dyDescent="0.25">
      <c r="A74" s="214"/>
      <c r="B74" s="215"/>
      <c r="C74" s="161"/>
      <c r="D74" s="211"/>
      <c r="E74" s="211"/>
      <c r="F74" s="211"/>
      <c r="G74" s="211"/>
      <c r="H74" s="211"/>
      <c r="I74" s="211"/>
      <c r="J74" s="211"/>
      <c r="K74" s="211"/>
      <c r="L74" s="211"/>
      <c r="M74" s="211"/>
      <c r="N74" s="211"/>
      <c r="O74" s="211"/>
    </row>
    <row r="75" spans="1:15" x14ac:dyDescent="0.25">
      <c r="A75" s="214"/>
      <c r="B75" s="215"/>
      <c r="C75" s="161"/>
      <c r="D75" s="211"/>
      <c r="E75" s="211"/>
      <c r="F75" s="211"/>
      <c r="G75" s="211"/>
      <c r="H75" s="211"/>
      <c r="I75" s="211"/>
      <c r="J75" s="211"/>
      <c r="K75" s="211"/>
      <c r="L75" s="211"/>
      <c r="M75" s="211"/>
      <c r="N75" s="211"/>
      <c r="O75" s="211"/>
    </row>
    <row r="76" spans="1:15" x14ac:dyDescent="0.25">
      <c r="A76" s="214"/>
      <c r="B76" s="215"/>
      <c r="C76" s="161"/>
      <c r="D76" s="211"/>
      <c r="E76" s="211"/>
      <c r="F76" s="211"/>
      <c r="G76" s="211"/>
      <c r="H76" s="211"/>
      <c r="I76" s="211"/>
      <c r="J76" s="211"/>
      <c r="K76" s="211"/>
      <c r="L76" s="211"/>
      <c r="M76" s="211"/>
      <c r="N76" s="211"/>
      <c r="O76" s="211"/>
    </row>
    <row r="77" spans="1:15" x14ac:dyDescent="0.25">
      <c r="A77" s="214"/>
      <c r="B77" s="215"/>
      <c r="C77" s="161"/>
      <c r="D77" s="211"/>
      <c r="E77" s="211"/>
      <c r="F77" s="211"/>
      <c r="G77" s="211"/>
      <c r="H77" s="211"/>
      <c r="I77" s="211"/>
      <c r="J77" s="211"/>
      <c r="K77" s="211"/>
      <c r="L77" s="211"/>
      <c r="M77" s="211"/>
      <c r="N77" s="211"/>
      <c r="O77" s="211"/>
    </row>
    <row r="78" spans="1:15" x14ac:dyDescent="0.25">
      <c r="A78" s="214"/>
      <c r="B78" s="215"/>
      <c r="C78" s="161"/>
      <c r="D78" s="211"/>
      <c r="E78" s="211"/>
      <c r="F78" s="211"/>
      <c r="G78" s="211"/>
      <c r="H78" s="211"/>
      <c r="I78" s="211"/>
      <c r="J78" s="211"/>
      <c r="K78" s="211"/>
      <c r="L78" s="211"/>
      <c r="M78" s="211"/>
      <c r="N78" s="211"/>
      <c r="O78" s="211"/>
    </row>
    <row r="79" spans="1:15" x14ac:dyDescent="0.25">
      <c r="A79" s="214"/>
      <c r="B79" s="215"/>
      <c r="C79" s="161"/>
      <c r="D79" s="211"/>
      <c r="E79" s="211"/>
      <c r="F79" s="211"/>
      <c r="G79" s="211"/>
      <c r="H79" s="211"/>
      <c r="I79" s="211"/>
      <c r="J79" s="211"/>
      <c r="K79" s="211"/>
      <c r="L79" s="211"/>
      <c r="M79" s="211"/>
      <c r="N79" s="211"/>
      <c r="O79" s="211"/>
    </row>
    <row r="80" spans="1:15" x14ac:dyDescent="0.25">
      <c r="A80" s="214"/>
      <c r="B80" s="215"/>
      <c r="C80" s="161"/>
      <c r="D80" s="211"/>
      <c r="E80" s="211"/>
      <c r="F80" s="211"/>
      <c r="G80" s="211"/>
      <c r="H80" s="211"/>
      <c r="I80" s="211"/>
      <c r="J80" s="211"/>
      <c r="K80" s="211"/>
      <c r="L80" s="211"/>
      <c r="M80" s="211"/>
      <c r="N80" s="211"/>
      <c r="O80" s="211"/>
    </row>
    <row r="81" spans="1:15" x14ac:dyDescent="0.25">
      <c r="A81" s="214"/>
      <c r="B81" s="215"/>
      <c r="C81" s="161"/>
      <c r="D81" s="211"/>
      <c r="E81" s="211"/>
      <c r="F81" s="211"/>
      <c r="G81" s="211"/>
      <c r="H81" s="211"/>
      <c r="I81" s="211"/>
      <c r="J81" s="211"/>
      <c r="K81" s="211"/>
      <c r="L81" s="211"/>
      <c r="M81" s="211"/>
      <c r="N81" s="211"/>
      <c r="O81" s="211"/>
    </row>
    <row r="82" spans="1:15" x14ac:dyDescent="0.25">
      <c r="A82" s="214"/>
      <c r="B82" s="215"/>
      <c r="C82" s="161"/>
      <c r="D82" s="211"/>
      <c r="E82" s="211"/>
      <c r="F82" s="211"/>
      <c r="G82" s="211"/>
      <c r="H82" s="211"/>
      <c r="I82" s="211"/>
      <c r="J82" s="211"/>
      <c r="K82" s="211"/>
      <c r="L82" s="211"/>
      <c r="M82" s="211"/>
      <c r="N82" s="211"/>
      <c r="O82" s="211"/>
    </row>
    <row r="83" spans="1:15" x14ac:dyDescent="0.25">
      <c r="A83" s="214"/>
      <c r="B83" s="215"/>
      <c r="C83" s="161"/>
      <c r="D83" s="211"/>
      <c r="E83" s="211"/>
      <c r="F83" s="211"/>
      <c r="G83" s="211"/>
      <c r="H83" s="211"/>
      <c r="I83" s="211"/>
      <c r="J83" s="211"/>
      <c r="K83" s="211"/>
      <c r="L83" s="211"/>
      <c r="M83" s="211"/>
      <c r="N83" s="211"/>
      <c r="O83" s="211"/>
    </row>
    <row r="85" spans="1:15" x14ac:dyDescent="0.25">
      <c r="A85" s="160" t="s">
        <v>285</v>
      </c>
      <c r="B85" s="160"/>
      <c r="D85" s="212">
        <f t="shared" ref="D85:O85" si="5">SUM(D64:D83)</f>
        <v>0</v>
      </c>
      <c r="E85" s="212">
        <f t="shared" si="5"/>
        <v>0</v>
      </c>
      <c r="F85" s="212">
        <f t="shared" si="5"/>
        <v>0</v>
      </c>
      <c r="G85" s="212">
        <f t="shared" si="5"/>
        <v>0</v>
      </c>
      <c r="H85" s="212">
        <f t="shared" si="5"/>
        <v>0</v>
      </c>
      <c r="I85" s="212">
        <f t="shared" si="5"/>
        <v>0</v>
      </c>
      <c r="J85" s="212">
        <f t="shared" si="5"/>
        <v>0</v>
      </c>
      <c r="K85" s="212">
        <f t="shared" si="5"/>
        <v>0</v>
      </c>
      <c r="L85" s="212">
        <f t="shared" si="5"/>
        <v>0</v>
      </c>
      <c r="M85" s="212">
        <f t="shared" si="5"/>
        <v>0</v>
      </c>
      <c r="N85" s="212">
        <f t="shared" si="5"/>
        <v>0</v>
      </c>
      <c r="O85" s="212">
        <f t="shared" si="5"/>
        <v>0</v>
      </c>
    </row>
    <row r="86" spans="1:15" x14ac:dyDescent="0.25">
      <c r="A86" s="160"/>
      <c r="B86" s="160"/>
      <c r="D86" s="216"/>
      <c r="E86" s="216"/>
      <c r="F86" s="216"/>
      <c r="G86" s="216"/>
      <c r="H86" s="216"/>
      <c r="I86" s="216"/>
      <c r="J86" s="216"/>
      <c r="K86" s="216"/>
      <c r="L86" s="216"/>
      <c r="M86" s="216"/>
      <c r="N86" s="216"/>
      <c r="O86" s="216"/>
    </row>
    <row r="87" spans="1:15" x14ac:dyDescent="0.25">
      <c r="A87" s="160" t="s">
        <v>212</v>
      </c>
      <c r="B87" s="160"/>
      <c r="D87" s="212">
        <f>MIN(D85,D59)</f>
        <v>0</v>
      </c>
      <c r="E87" s="216"/>
      <c r="F87" s="216"/>
      <c r="G87" s="212">
        <f>MIN(G85,G59)</f>
        <v>0</v>
      </c>
      <c r="H87" s="216"/>
      <c r="I87" s="216"/>
      <c r="J87" s="212">
        <f>MIN(J85,J59)</f>
        <v>0</v>
      </c>
      <c r="K87" s="216"/>
      <c r="L87" s="216"/>
      <c r="M87" s="212">
        <f>MIN(M85,M59)</f>
        <v>0</v>
      </c>
      <c r="N87" s="216"/>
      <c r="O87" s="216"/>
    </row>
    <row r="88" spans="1:15" ht="15.75" thickBot="1" x14ac:dyDescent="0.3"/>
    <row r="89" spans="1:15" ht="15.75" thickBot="1" x14ac:dyDescent="0.3">
      <c r="A89" s="343" t="s">
        <v>286</v>
      </c>
      <c r="B89" s="343"/>
      <c r="D89" s="344" t="str">
        <f>D50</f>
        <v>Price Cap IR (Deferred Rebasing) (if necessary)</v>
      </c>
      <c r="E89" s="345"/>
      <c r="F89" s="345"/>
      <c r="G89" s="344" t="str">
        <f>G50</f>
        <v>Price Cap IR (Deferred Rebasing) (if necessary)</v>
      </c>
      <c r="H89" s="345"/>
      <c r="I89" s="346"/>
      <c r="J89" s="344" t="str">
        <f>J50</f>
        <v>Price Cap IR (Deferred Rebasing) (if necessary)</v>
      </c>
      <c r="K89" s="345"/>
      <c r="L89" s="346"/>
      <c r="M89" s="337"/>
      <c r="N89" s="337"/>
      <c r="O89" s="337"/>
    </row>
    <row r="90" spans="1:15" x14ac:dyDescent="0.25">
      <c r="A90" s="343"/>
      <c r="B90" s="343"/>
      <c r="M90" s="337"/>
      <c r="N90" s="337"/>
      <c r="O90" s="337"/>
    </row>
    <row r="91" spans="1:15" x14ac:dyDescent="0.25">
      <c r="A91" s="343"/>
      <c r="B91" s="343"/>
      <c r="D91" s="347" t="s">
        <v>57</v>
      </c>
      <c r="E91" s="347"/>
      <c r="F91" s="347"/>
      <c r="G91" s="347" t="s">
        <v>57</v>
      </c>
      <c r="H91" s="347"/>
      <c r="I91" s="347"/>
      <c r="J91" s="347" t="s">
        <v>57</v>
      </c>
      <c r="K91" s="347"/>
      <c r="L91" s="347"/>
      <c r="M91" s="337"/>
      <c r="N91" s="337"/>
      <c r="O91" s="337"/>
    </row>
    <row r="92" spans="1:15" x14ac:dyDescent="0.25">
      <c r="A92" s="343"/>
      <c r="B92" s="343"/>
      <c r="D92" s="338" t="s">
        <v>291</v>
      </c>
      <c r="E92" s="338"/>
      <c r="F92" s="338"/>
      <c r="G92" s="339" t="s">
        <v>292</v>
      </c>
      <c r="H92" s="339"/>
      <c r="I92" s="339"/>
      <c r="J92" s="339" t="s">
        <v>292</v>
      </c>
      <c r="K92" s="339"/>
      <c r="L92" s="339"/>
      <c r="M92" s="337"/>
      <c r="N92" s="337"/>
      <c r="O92" s="337"/>
    </row>
    <row r="93" spans="1:15" x14ac:dyDescent="0.25">
      <c r="D93" s="338">
        <f>M54+1</f>
        <v>2022</v>
      </c>
      <c r="E93" s="338"/>
      <c r="F93" s="338"/>
      <c r="G93" s="339">
        <f>D93+1</f>
        <v>2023</v>
      </c>
      <c r="H93" s="339"/>
      <c r="I93" s="339"/>
      <c r="J93" s="339">
        <f>G93+1</f>
        <v>2024</v>
      </c>
      <c r="K93" s="339"/>
      <c r="L93" s="339"/>
      <c r="M93" s="337"/>
      <c r="N93" s="337"/>
      <c r="O93" s="337"/>
    </row>
    <row r="94" spans="1:15" x14ac:dyDescent="0.25">
      <c r="A94" s="160" t="s">
        <v>207</v>
      </c>
      <c r="B94" s="336"/>
      <c r="D94" s="211"/>
      <c r="G94" s="211"/>
      <c r="J94" s="211">
        <v>56233618.272479996</v>
      </c>
      <c r="M94" s="217"/>
    </row>
    <row r="95" spans="1:15" x14ac:dyDescent="0.25">
      <c r="A95" s="160"/>
      <c r="B95" s="336"/>
    </row>
    <row r="96" spans="1:15" x14ac:dyDescent="0.25">
      <c r="A96" s="160" t="s">
        <v>208</v>
      </c>
      <c r="B96" s="336"/>
      <c r="D96" s="212">
        <f>IF('8. Threshold Test'!$E$75="", 0, '8. Threshold Test'!$E$75)</f>
        <v>39239724.83692155</v>
      </c>
      <c r="G96" s="212">
        <f>IF('8. Threshold Test'!$E$76="", 0, '8. Threshold Test'!$E$76)</f>
        <v>39418106.720081776</v>
      </c>
      <c r="J96" s="212">
        <f>IF('8. Threshold Test'!$E$77="", 0, '8. Threshold Test'!$E$77)</f>
        <v>39599321.539346889</v>
      </c>
      <c r="M96" s="217"/>
    </row>
    <row r="97" spans="1:15" x14ac:dyDescent="0.25">
      <c r="A97" s="122"/>
      <c r="B97" s="336"/>
    </row>
    <row r="98" spans="1:15" ht="30" x14ac:dyDescent="0.25">
      <c r="A98" s="162" t="s">
        <v>209</v>
      </c>
      <c r="B98" s="160"/>
      <c r="C98" s="163"/>
      <c r="D98" s="164">
        <f t="shared" ref="D98" si="6">IF(D96&gt;D94,0,D94-D96)</f>
        <v>0</v>
      </c>
      <c r="G98" s="164">
        <f t="shared" ref="G98" si="7">IF(G96&gt;G94,0,G94-G96)</f>
        <v>0</v>
      </c>
      <c r="J98" s="164">
        <f t="shared" ref="J98" si="8">IF(J96&gt;J94,0,J94-J96)</f>
        <v>16634296.733133107</v>
      </c>
      <c r="M98" s="217"/>
    </row>
    <row r="99" spans="1:15" x14ac:dyDescent="0.25">
      <c r="A99" s="162"/>
      <c r="B99" s="160"/>
      <c r="C99" s="163"/>
      <c r="D99" s="213"/>
      <c r="G99" s="213"/>
      <c r="J99" s="213"/>
      <c r="M99" s="217"/>
    </row>
    <row r="100" spans="1:15" x14ac:dyDescent="0.25">
      <c r="A100" s="122"/>
      <c r="B100" s="122"/>
      <c r="C100" s="163"/>
      <c r="D100" s="338" t="str">
        <f>D92</f>
        <v>Year 9</v>
      </c>
      <c r="E100" s="338"/>
      <c r="F100" s="338"/>
      <c r="G100" s="339" t="str">
        <f>G92</f>
        <v>Year 10</v>
      </c>
      <c r="H100" s="339"/>
      <c r="I100" s="339"/>
      <c r="J100" s="339" t="str">
        <f>J92</f>
        <v>Year 10</v>
      </c>
      <c r="K100" s="339"/>
      <c r="L100" s="339"/>
      <c r="M100" s="339"/>
      <c r="N100" s="339"/>
      <c r="O100" s="339"/>
    </row>
    <row r="101" spans="1:15" x14ac:dyDescent="0.25">
      <c r="A101" s="122"/>
      <c r="B101" s="122"/>
      <c r="C101" s="163"/>
      <c r="D101" s="338">
        <f>D93</f>
        <v>2022</v>
      </c>
      <c r="E101" s="338"/>
      <c r="F101" s="338"/>
      <c r="G101" s="339">
        <f>G93</f>
        <v>2023</v>
      </c>
      <c r="H101" s="339"/>
      <c r="I101" s="339"/>
      <c r="J101" s="339">
        <f>J93</f>
        <v>2024</v>
      </c>
      <c r="K101" s="339"/>
      <c r="L101" s="339"/>
      <c r="M101" s="339"/>
      <c r="N101" s="339"/>
      <c r="O101" s="339"/>
    </row>
    <row r="102" spans="1:15" x14ac:dyDescent="0.25">
      <c r="A102" s="122" t="s">
        <v>210</v>
      </c>
      <c r="B102" s="203" t="s">
        <v>211</v>
      </c>
      <c r="C102" s="163"/>
      <c r="D102" s="204" t="s">
        <v>213</v>
      </c>
      <c r="E102" s="203" t="s">
        <v>214</v>
      </c>
      <c r="F102" s="203" t="s">
        <v>215</v>
      </c>
      <c r="G102" s="204" t="s">
        <v>213</v>
      </c>
      <c r="H102" s="203" t="s">
        <v>214</v>
      </c>
      <c r="I102" s="203" t="s">
        <v>215</v>
      </c>
      <c r="J102" s="204" t="s">
        <v>213</v>
      </c>
      <c r="K102" s="203" t="s">
        <v>214</v>
      </c>
      <c r="L102" s="203" t="s">
        <v>215</v>
      </c>
      <c r="M102" s="204"/>
      <c r="N102" s="203"/>
      <c r="O102" s="203"/>
    </row>
    <row r="103" spans="1:15" x14ac:dyDescent="0.25">
      <c r="A103" s="214" t="s">
        <v>293</v>
      </c>
      <c r="B103" s="215"/>
      <c r="C103" s="161"/>
      <c r="D103" s="211"/>
      <c r="E103" s="211"/>
      <c r="F103" s="211"/>
      <c r="G103" s="211"/>
      <c r="H103" s="211"/>
      <c r="I103" s="211"/>
      <c r="J103" s="211">
        <v>7865203.2199999997</v>
      </c>
      <c r="K103" s="211">
        <f>J103/45</f>
        <v>174782.29377777778</v>
      </c>
      <c r="L103" s="211">
        <f>J103*8%</f>
        <v>629216.25760000001</v>
      </c>
      <c r="M103" s="218"/>
      <c r="N103" s="219"/>
      <c r="O103" s="219"/>
    </row>
    <row r="104" spans="1:15" x14ac:dyDescent="0.25">
      <c r="A104" s="214"/>
      <c r="B104" s="215"/>
      <c r="C104" s="161"/>
      <c r="D104" s="211"/>
      <c r="E104" s="211"/>
      <c r="F104" s="211"/>
      <c r="G104" s="211"/>
      <c r="H104" s="211"/>
      <c r="I104" s="211"/>
      <c r="J104" s="211"/>
      <c r="K104" s="211"/>
      <c r="L104" s="211"/>
      <c r="M104" s="218"/>
      <c r="N104" s="219"/>
      <c r="O104" s="219"/>
    </row>
    <row r="105" spans="1:15" x14ac:dyDescent="0.25">
      <c r="A105" s="214"/>
      <c r="B105" s="215"/>
      <c r="C105" s="161"/>
      <c r="D105" s="211"/>
      <c r="E105" s="211"/>
      <c r="F105" s="211"/>
      <c r="G105" s="211"/>
      <c r="H105" s="211"/>
      <c r="I105" s="211"/>
      <c r="J105" s="211"/>
      <c r="K105" s="211"/>
      <c r="L105" s="211"/>
      <c r="M105" s="218"/>
      <c r="N105" s="219"/>
      <c r="O105" s="219"/>
    </row>
    <row r="106" spans="1:15" x14ac:dyDescent="0.25">
      <c r="A106" s="214"/>
      <c r="B106" s="215"/>
      <c r="C106" s="161"/>
      <c r="D106" s="211"/>
      <c r="E106" s="211"/>
      <c r="F106" s="211"/>
      <c r="G106" s="211"/>
      <c r="H106" s="211"/>
      <c r="I106" s="211"/>
      <c r="J106" s="211"/>
      <c r="K106" s="211"/>
      <c r="L106" s="211"/>
      <c r="M106" s="218"/>
      <c r="N106" s="219"/>
      <c r="O106" s="219"/>
    </row>
    <row r="107" spans="1:15" x14ac:dyDescent="0.25">
      <c r="A107" s="214"/>
      <c r="B107" s="215"/>
      <c r="C107" s="161"/>
      <c r="D107" s="211"/>
      <c r="E107" s="211"/>
      <c r="F107" s="211"/>
      <c r="G107" s="211"/>
      <c r="H107" s="211"/>
      <c r="I107" s="211"/>
      <c r="J107" s="211"/>
      <c r="K107" s="211"/>
      <c r="L107" s="211"/>
      <c r="M107" s="218"/>
      <c r="N107" s="219"/>
      <c r="O107" s="219"/>
    </row>
    <row r="108" spans="1:15" x14ac:dyDescent="0.25">
      <c r="A108" s="214"/>
      <c r="B108" s="215"/>
      <c r="C108" s="161"/>
      <c r="D108" s="211"/>
      <c r="E108" s="211"/>
      <c r="F108" s="211"/>
      <c r="G108" s="211"/>
      <c r="H108" s="211"/>
      <c r="I108" s="211"/>
      <c r="J108" s="211"/>
      <c r="K108" s="211"/>
      <c r="L108" s="211"/>
      <c r="M108" s="218"/>
      <c r="N108" s="219"/>
      <c r="O108" s="219"/>
    </row>
    <row r="109" spans="1:15" x14ac:dyDescent="0.25">
      <c r="A109" s="214"/>
      <c r="B109" s="215"/>
      <c r="C109" s="161"/>
      <c r="D109" s="211"/>
      <c r="E109" s="211"/>
      <c r="F109" s="211"/>
      <c r="G109" s="211"/>
      <c r="H109" s="211"/>
      <c r="I109" s="211"/>
      <c r="J109" s="211"/>
      <c r="K109" s="211"/>
      <c r="L109" s="211"/>
      <c r="M109" s="218"/>
      <c r="N109" s="219"/>
      <c r="O109" s="219"/>
    </row>
    <row r="110" spans="1:15" x14ac:dyDescent="0.25">
      <c r="A110" s="214"/>
      <c r="B110" s="215"/>
      <c r="C110" s="161"/>
      <c r="D110" s="211"/>
      <c r="E110" s="211"/>
      <c r="F110" s="211"/>
      <c r="G110" s="211"/>
      <c r="H110" s="211"/>
      <c r="I110" s="211"/>
      <c r="J110" s="211"/>
      <c r="K110" s="211"/>
      <c r="L110" s="211"/>
      <c r="M110" s="218"/>
      <c r="N110" s="219"/>
      <c r="O110" s="219"/>
    </row>
    <row r="111" spans="1:15" x14ac:dyDescent="0.25">
      <c r="A111" s="214"/>
      <c r="B111" s="215"/>
      <c r="C111" s="161"/>
      <c r="D111" s="211"/>
      <c r="E111" s="211"/>
      <c r="F111" s="211"/>
      <c r="G111" s="211"/>
      <c r="H111" s="211"/>
      <c r="I111" s="211"/>
      <c r="J111" s="211"/>
      <c r="K111" s="211"/>
      <c r="L111" s="211"/>
      <c r="M111" s="218"/>
      <c r="N111" s="219"/>
      <c r="O111" s="219"/>
    </row>
    <row r="112" spans="1:15" x14ac:dyDescent="0.25">
      <c r="A112" s="214"/>
      <c r="B112" s="215"/>
      <c r="C112" s="161"/>
      <c r="D112" s="211"/>
      <c r="E112" s="211"/>
      <c r="F112" s="211"/>
      <c r="G112" s="211"/>
      <c r="H112" s="211"/>
      <c r="I112" s="211"/>
      <c r="J112" s="211"/>
      <c r="K112" s="211"/>
      <c r="L112" s="211"/>
      <c r="M112" s="218"/>
      <c r="N112" s="219"/>
      <c r="O112" s="219"/>
    </row>
    <row r="113" spans="1:15" x14ac:dyDescent="0.25">
      <c r="A113" s="214"/>
      <c r="B113" s="215"/>
      <c r="C113" s="161"/>
      <c r="D113" s="211"/>
      <c r="E113" s="211"/>
      <c r="F113" s="211"/>
      <c r="G113" s="211"/>
      <c r="H113" s="211"/>
      <c r="I113" s="211"/>
      <c r="J113" s="211"/>
      <c r="K113" s="211"/>
      <c r="L113" s="211"/>
      <c r="M113" s="218"/>
      <c r="N113" s="219"/>
      <c r="O113" s="219"/>
    </row>
    <row r="114" spans="1:15" x14ac:dyDescent="0.25">
      <c r="A114" s="214"/>
      <c r="B114" s="215"/>
      <c r="C114" s="161"/>
      <c r="D114" s="211"/>
      <c r="E114" s="211"/>
      <c r="F114" s="211"/>
      <c r="G114" s="211"/>
      <c r="H114" s="211"/>
      <c r="I114" s="211"/>
      <c r="J114" s="211"/>
      <c r="K114" s="211"/>
      <c r="L114" s="211"/>
      <c r="M114" s="218"/>
      <c r="N114" s="219"/>
      <c r="O114" s="219"/>
    </row>
    <row r="115" spans="1:15" x14ac:dyDescent="0.25">
      <c r="A115" s="214"/>
      <c r="B115" s="215"/>
      <c r="C115" s="161"/>
      <c r="D115" s="211"/>
      <c r="E115" s="211"/>
      <c r="F115" s="211"/>
      <c r="G115" s="211"/>
      <c r="H115" s="211"/>
      <c r="I115" s="211"/>
      <c r="J115" s="211"/>
      <c r="K115" s="211"/>
      <c r="L115" s="211"/>
      <c r="M115" s="218"/>
      <c r="N115" s="219"/>
      <c r="O115" s="219"/>
    </row>
    <row r="116" spans="1:15" x14ac:dyDescent="0.25">
      <c r="A116" s="214"/>
      <c r="B116" s="215"/>
      <c r="C116" s="161"/>
      <c r="D116" s="211"/>
      <c r="E116" s="211"/>
      <c r="F116" s="211"/>
      <c r="G116" s="211"/>
      <c r="H116" s="211"/>
      <c r="I116" s="211"/>
      <c r="J116" s="211"/>
      <c r="K116" s="211"/>
      <c r="L116" s="211"/>
      <c r="M116" s="218"/>
      <c r="N116" s="219"/>
      <c r="O116" s="219"/>
    </row>
    <row r="117" spans="1:15" x14ac:dyDescent="0.25">
      <c r="A117" s="214"/>
      <c r="B117" s="215"/>
      <c r="C117" s="161"/>
      <c r="D117" s="211"/>
      <c r="E117" s="211"/>
      <c r="F117" s="211"/>
      <c r="G117" s="211"/>
      <c r="H117" s="211"/>
      <c r="I117" s="211"/>
      <c r="J117" s="211"/>
      <c r="K117" s="211"/>
      <c r="L117" s="211"/>
      <c r="M117" s="218"/>
      <c r="N117" s="219"/>
      <c r="O117" s="219"/>
    </row>
    <row r="118" spans="1:15" x14ac:dyDescent="0.25">
      <c r="A118" s="214"/>
      <c r="B118" s="215"/>
      <c r="C118" s="161"/>
      <c r="D118" s="211"/>
      <c r="E118" s="211"/>
      <c r="F118" s="211"/>
      <c r="G118" s="211"/>
      <c r="H118" s="211"/>
      <c r="I118" s="211"/>
      <c r="J118" s="211"/>
      <c r="K118" s="211"/>
      <c r="L118" s="211"/>
      <c r="M118" s="218"/>
      <c r="N118" s="219"/>
      <c r="O118" s="219"/>
    </row>
    <row r="119" spans="1:15" x14ac:dyDescent="0.25">
      <c r="A119" s="214"/>
      <c r="B119" s="215"/>
      <c r="C119" s="161"/>
      <c r="D119" s="211"/>
      <c r="E119" s="211"/>
      <c r="F119" s="211"/>
      <c r="G119" s="211"/>
      <c r="H119" s="211"/>
      <c r="I119" s="211"/>
      <c r="J119" s="211"/>
      <c r="K119" s="211"/>
      <c r="L119" s="211"/>
      <c r="M119" s="218"/>
      <c r="N119" s="219"/>
      <c r="O119" s="219"/>
    </row>
    <row r="120" spans="1:15" x14ac:dyDescent="0.25">
      <c r="A120" s="214"/>
      <c r="B120" s="215"/>
      <c r="C120" s="161"/>
      <c r="D120" s="211"/>
      <c r="E120" s="211"/>
      <c r="F120" s="211"/>
      <c r="G120" s="211"/>
      <c r="H120" s="211"/>
      <c r="I120" s="211"/>
      <c r="J120" s="211"/>
      <c r="K120" s="211"/>
      <c r="L120" s="211"/>
      <c r="M120" s="218"/>
      <c r="N120" s="219"/>
      <c r="O120" s="219"/>
    </row>
    <row r="121" spans="1:15" x14ac:dyDescent="0.25">
      <c r="A121" s="214"/>
      <c r="B121" s="215"/>
      <c r="C121" s="161"/>
      <c r="D121" s="211"/>
      <c r="E121" s="211"/>
      <c r="F121" s="211"/>
      <c r="G121" s="211"/>
      <c r="H121" s="211"/>
      <c r="I121" s="211"/>
      <c r="J121" s="211"/>
      <c r="K121" s="211"/>
      <c r="L121" s="211"/>
      <c r="M121" s="218"/>
      <c r="N121" s="219"/>
      <c r="O121" s="219"/>
    </row>
    <row r="122" spans="1:15" x14ac:dyDescent="0.25">
      <c r="A122" s="214"/>
      <c r="B122" s="215"/>
      <c r="C122" s="161"/>
      <c r="D122" s="211"/>
      <c r="E122" s="211"/>
      <c r="F122" s="211"/>
      <c r="G122" s="211"/>
      <c r="H122" s="211"/>
      <c r="I122" s="211"/>
      <c r="J122" s="211"/>
      <c r="K122" s="211"/>
      <c r="L122" s="211"/>
      <c r="M122" s="218"/>
      <c r="N122" s="219"/>
      <c r="O122" s="219"/>
    </row>
    <row r="124" spans="1:15" x14ac:dyDescent="0.25">
      <c r="A124" s="160" t="s">
        <v>285</v>
      </c>
      <c r="B124" s="160"/>
      <c r="D124" s="212">
        <f t="shared" ref="D124:I124" si="9">SUM(D103:D122)</f>
        <v>0</v>
      </c>
      <c r="E124" s="212">
        <f t="shared" si="9"/>
        <v>0</v>
      </c>
      <c r="F124" s="212">
        <f t="shared" si="9"/>
        <v>0</v>
      </c>
      <c r="G124" s="212">
        <f t="shared" si="9"/>
        <v>0</v>
      </c>
      <c r="H124" s="212">
        <f t="shared" si="9"/>
        <v>0</v>
      </c>
      <c r="I124" s="212">
        <f t="shared" si="9"/>
        <v>0</v>
      </c>
      <c r="J124" s="212">
        <f t="shared" ref="J124:L124" si="10">SUM(J103:J122)</f>
        <v>7865203.2199999997</v>
      </c>
      <c r="K124" s="212">
        <f t="shared" si="10"/>
        <v>174782.29377777778</v>
      </c>
      <c r="L124" s="212">
        <f t="shared" si="10"/>
        <v>629216.25760000001</v>
      </c>
      <c r="M124" s="219"/>
      <c r="N124" s="219"/>
      <c r="O124" s="219"/>
    </row>
    <row r="126" spans="1:15" x14ac:dyDescent="0.25">
      <c r="A126" s="160" t="s">
        <v>212</v>
      </c>
      <c r="B126" s="160"/>
      <c r="D126" s="212">
        <f>MIN(D124,D98)</f>
        <v>0</v>
      </c>
      <c r="E126" s="216"/>
      <c r="F126" s="216"/>
      <c r="G126" s="212">
        <f>MIN(G124,G98)</f>
        <v>0</v>
      </c>
      <c r="H126" s="216"/>
      <c r="I126" s="216"/>
      <c r="J126" s="212">
        <f>MIN(J124,J98)</f>
        <v>7865203.2199999997</v>
      </c>
      <c r="K126" s="216"/>
      <c r="L126" s="216"/>
      <c r="N126" s="216"/>
      <c r="O126" s="216"/>
    </row>
    <row r="128" spans="1:15" x14ac:dyDescent="0.25">
      <c r="A128" s="343" t="s">
        <v>286</v>
      </c>
      <c r="B128" s="343"/>
    </row>
    <row r="129" spans="1:2" x14ac:dyDescent="0.25">
      <c r="A129" s="343"/>
      <c r="B129" s="343"/>
    </row>
    <row r="130" spans="1:2" x14ac:dyDescent="0.25">
      <c r="A130" s="343"/>
      <c r="B130" s="343"/>
    </row>
    <row r="131" spans="1:2" x14ac:dyDescent="0.25">
      <c r="A131" s="343"/>
      <c r="B131" s="343"/>
    </row>
  </sheetData>
  <mergeCells count="75">
    <mergeCell ref="A128:B131"/>
    <mergeCell ref="D100:F100"/>
    <mergeCell ref="G100:I100"/>
    <mergeCell ref="J100:L100"/>
    <mergeCell ref="M100:O100"/>
    <mergeCell ref="D101:F101"/>
    <mergeCell ref="G101:I101"/>
    <mergeCell ref="J101:L101"/>
    <mergeCell ref="M101:O101"/>
    <mergeCell ref="D93:F93"/>
    <mergeCell ref="G93:I93"/>
    <mergeCell ref="J93:L93"/>
    <mergeCell ref="M93:O93"/>
    <mergeCell ref="B94:B97"/>
    <mergeCell ref="A89:B92"/>
    <mergeCell ref="D89:F89"/>
    <mergeCell ref="G89:I89"/>
    <mergeCell ref="J89:L89"/>
    <mergeCell ref="M89:O89"/>
    <mergeCell ref="M90:O90"/>
    <mergeCell ref="D91:F91"/>
    <mergeCell ref="G91:I91"/>
    <mergeCell ref="J91:L91"/>
    <mergeCell ref="M91:O91"/>
    <mergeCell ref="D92:F92"/>
    <mergeCell ref="G92:I92"/>
    <mergeCell ref="J92:L92"/>
    <mergeCell ref="M92:O92"/>
    <mergeCell ref="D61:F61"/>
    <mergeCell ref="G61:I61"/>
    <mergeCell ref="J61:L61"/>
    <mergeCell ref="M61:O61"/>
    <mergeCell ref="D62:F62"/>
    <mergeCell ref="G62:I62"/>
    <mergeCell ref="J62:L62"/>
    <mergeCell ref="M62:O62"/>
    <mergeCell ref="D23:F23"/>
    <mergeCell ref="G23:I23"/>
    <mergeCell ref="J23:L23"/>
    <mergeCell ref="M23:O23"/>
    <mergeCell ref="A50:B53"/>
    <mergeCell ref="D50:F50"/>
    <mergeCell ref="G50:I50"/>
    <mergeCell ref="J50:L50"/>
    <mergeCell ref="M50:O50"/>
    <mergeCell ref="D52:F52"/>
    <mergeCell ref="G52:I52"/>
    <mergeCell ref="J52:L52"/>
    <mergeCell ref="M52:O52"/>
    <mergeCell ref="D53:F53"/>
    <mergeCell ref="G53:I53"/>
    <mergeCell ref="J53:L53"/>
    <mergeCell ref="J15:L15"/>
    <mergeCell ref="M15:O15"/>
    <mergeCell ref="B16:B19"/>
    <mergeCell ref="D22:F22"/>
    <mergeCell ref="G22:I22"/>
    <mergeCell ref="J22:L22"/>
    <mergeCell ref="M22:O22"/>
    <mergeCell ref="D15:F15"/>
    <mergeCell ref="G15:I15"/>
    <mergeCell ref="D13:F13"/>
    <mergeCell ref="G13:I13"/>
    <mergeCell ref="J13:L13"/>
    <mergeCell ref="M13:O13"/>
    <mergeCell ref="D14:F14"/>
    <mergeCell ref="G14:I14"/>
    <mergeCell ref="J14:L14"/>
    <mergeCell ref="M14:O14"/>
    <mergeCell ref="B55:B58"/>
    <mergeCell ref="M53:O53"/>
    <mergeCell ref="D54:F54"/>
    <mergeCell ref="G54:I54"/>
    <mergeCell ref="J54:L54"/>
    <mergeCell ref="M54:O54"/>
  </mergeCells>
  <dataValidations disablePrompts="1" count="1">
    <dataValidation type="list" allowBlank="1" showInputMessage="1" showErrorMessage="1" sqref="B103:B122 B64:B83 B25:B44" xr:uid="{57DB6CF9-3723-4873-B8E0-72A5DCA13412}">
      <formula1>"Approved ACM, New ICM"</formula1>
    </dataValidation>
  </dataValidations>
  <pageMargins left="0.70866141732283472" right="0.70866141732283472" top="0.74803149606299213" bottom="0.74803149606299213" header="0.31496062992125984" footer="0.31496062992125984"/>
  <pageSetup scale="38" orientation="landscape"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 Information Sheet</vt:lpstr>
      <vt:lpstr>2. Rate Class Selection</vt:lpstr>
      <vt:lpstr>3. Growth Factor - NUM_CALC1</vt:lpstr>
      <vt:lpstr>4. Growth Factor - NUM_CALC2</vt:lpstr>
      <vt:lpstr>5. Rev_Requ_Check</vt:lpstr>
      <vt:lpstr>6. Growth Factor - DEN_CALC1</vt:lpstr>
      <vt:lpstr>7. Revenue Proportions</vt:lpstr>
      <vt:lpstr>8. Threshold Test</vt:lpstr>
      <vt:lpstr>9b. Proposed ACM ICM Projects</vt:lpstr>
      <vt:lpstr>10. Incremental Capital Adj.</vt:lpstr>
      <vt:lpstr>11. Rate Rider Calc</vt:lpstr>
      <vt:lpstr>d</vt:lpstr>
      <vt:lpstr>g</vt:lpstr>
      <vt:lpstr>PCI</vt:lpstr>
      <vt:lpstr>'1. Information Sheet'!Print_Area</vt:lpstr>
      <vt:lpstr>'11. Rate Rider Calc'!Print_Area</vt:lpstr>
      <vt:lpstr>'8. Threshold Test'!Print_Area</vt:lpstr>
      <vt:lpstr>RB</vt:lpstr>
      <vt:lpstr>unit1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Yeates</dc:creator>
  <cp:lastModifiedBy>Natalie Yeates</cp:lastModifiedBy>
  <cp:lastPrinted>2017-07-07T16:26:36Z</cp:lastPrinted>
  <dcterms:created xsi:type="dcterms:W3CDTF">2017-02-28T16:15:41Z</dcterms:created>
  <dcterms:modified xsi:type="dcterms:W3CDTF">2023-07-19T19:39:42Z</dcterms:modified>
</cp:coreProperties>
</file>