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InnPower/2024 CoS/IRR/IRR Batch 2/"/>
    </mc:Choice>
  </mc:AlternateContent>
  <xr:revisionPtr revIDLastSave="908" documentId="8_{0F0CF614-DF63-4FB9-949D-FF259A81F79D}" xr6:coauthVersionLast="47" xr6:coauthVersionMax="47" xr10:uidLastSave="{380E385C-9DC0-410E-AB15-807D4E261C36}"/>
  <bookViews>
    <workbookView xWindow="-120" yWindow="-120" windowWidth="20730" windowHeight="11160" tabRatio="874" xr2:uid="{797B346F-C8B4-4461-A357-3300EC3217DF}"/>
  </bookViews>
  <sheets>
    <sheet name="DVA Approach" sheetId="15" r:id="rId1"/>
    <sheet name="ACM Approach - 2023 Infl." sheetId="21" r:id="rId2"/>
    <sheet name="ACM Approach - 2024 Infl." sheetId="23" r:id="rId3"/>
    <sheet name="Comparison" sheetId="2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5" l="1"/>
  <c r="D48" i="15"/>
  <c r="E48" i="15" s="1"/>
  <c r="E47" i="15"/>
  <c r="F47" i="15"/>
  <c r="C47" i="15"/>
  <c r="C48" i="15"/>
  <c r="B48" i="15"/>
  <c r="B47" i="15"/>
  <c r="D46" i="15"/>
  <c r="E46" i="15" s="1"/>
  <c r="F46" i="15" s="1"/>
  <c r="C46" i="15"/>
  <c r="C43" i="15"/>
  <c r="B46" i="15"/>
  <c r="D6" i="20"/>
  <c r="E6" i="20"/>
  <c r="F6" i="20"/>
  <c r="G6" i="20"/>
  <c r="C6" i="20"/>
  <c r="D5" i="20"/>
  <c r="E5" i="20"/>
  <c r="F5" i="20"/>
  <c r="G5" i="20"/>
  <c r="C5" i="20"/>
  <c r="E5" i="21"/>
  <c r="D5" i="21"/>
  <c r="C5" i="21"/>
  <c r="D5" i="23"/>
  <c r="E5" i="23"/>
  <c r="C5" i="23"/>
  <c r="F48" i="15" l="1"/>
  <c r="B51" i="23"/>
  <c r="E7" i="23"/>
  <c r="E33" i="23" s="1"/>
  <c r="D10" i="23"/>
  <c r="C10" i="23"/>
  <c r="C6" i="23" l="1"/>
  <c r="C11" i="23" s="1"/>
  <c r="C28" i="23" s="1"/>
  <c r="C43" i="23" s="1"/>
  <c r="D6" i="23"/>
  <c r="D11" i="23" s="1"/>
  <c r="D28" i="23" s="1"/>
  <c r="D7" i="23"/>
  <c r="D33" i="23" s="1"/>
  <c r="C32" i="23"/>
  <c r="D32" i="23"/>
  <c r="D43" i="23"/>
  <c r="D12" i="23"/>
  <c r="C12" i="23"/>
  <c r="E10" i="23"/>
  <c r="C7" i="23"/>
  <c r="C33" i="23" s="1"/>
  <c r="E6" i="23"/>
  <c r="E11" i="23" s="1"/>
  <c r="E28" i="23" s="1"/>
  <c r="E12" i="23" l="1"/>
  <c r="E15" i="23" s="1"/>
  <c r="E18" i="23" s="1"/>
  <c r="E14" i="23"/>
  <c r="E17" i="23" s="1"/>
  <c r="E21" i="23"/>
  <c r="E23" i="23" s="1"/>
  <c r="E31" i="23" s="1"/>
  <c r="D14" i="23"/>
  <c r="D17" i="23" s="1"/>
  <c r="D21" i="23"/>
  <c r="D23" i="23" s="1"/>
  <c r="D31" i="23" s="1"/>
  <c r="D34" i="23" s="1"/>
  <c r="D38" i="23" s="1"/>
  <c r="D39" i="23" s="1"/>
  <c r="D44" i="23" s="1"/>
  <c r="D15" i="23"/>
  <c r="D18" i="23" s="1"/>
  <c r="E43" i="23"/>
  <c r="E32" i="23"/>
  <c r="C21" i="23"/>
  <c r="C23" i="23" s="1"/>
  <c r="C31" i="23" s="1"/>
  <c r="C34" i="23" s="1"/>
  <c r="C38" i="23" s="1"/>
  <c r="C39" i="23" s="1"/>
  <c r="C44" i="23" s="1"/>
  <c r="C15" i="23"/>
  <c r="C18" i="23" s="1"/>
  <c r="C14" i="23"/>
  <c r="C17" i="23" s="1"/>
  <c r="C19" i="23" s="1"/>
  <c r="C25" i="23" s="1"/>
  <c r="C42" i="23" s="1"/>
  <c r="D19" i="23" l="1"/>
  <c r="D25" i="23" s="1"/>
  <c r="D42" i="23" s="1"/>
  <c r="D45" i="23" s="1"/>
  <c r="D49" i="23" s="1"/>
  <c r="E49" i="23" s="1"/>
  <c r="F49" i="23" s="1"/>
  <c r="E34" i="23"/>
  <c r="E38" i="23" s="1"/>
  <c r="E39" i="23" s="1"/>
  <c r="E44" i="23" s="1"/>
  <c r="C45" i="23"/>
  <c r="C48" i="23" s="1"/>
  <c r="E19" i="23"/>
  <c r="E25" i="23" s="1"/>
  <c r="E42" i="23" s="1"/>
  <c r="E45" i="23" l="1"/>
  <c r="E50" i="23" s="1"/>
  <c r="F50" i="23" s="1"/>
  <c r="D48" i="23"/>
  <c r="C51" i="23"/>
  <c r="E48" i="23" l="1"/>
  <c r="D51" i="23"/>
  <c r="E51" i="23" l="1"/>
  <c r="F48" i="23"/>
  <c r="F51" i="23" s="1"/>
  <c r="F52" i="23" l="1"/>
  <c r="D10" i="21" l="1"/>
  <c r="E10" i="21"/>
  <c r="C10" i="21"/>
  <c r="C7" i="21" l="1"/>
  <c r="C33" i="21" s="1"/>
  <c r="D7" i="21"/>
  <c r="D33" i="21" s="1"/>
  <c r="E7" i="21"/>
  <c r="E33" i="21" s="1"/>
  <c r="D6" i="21"/>
  <c r="D11" i="21" s="1"/>
  <c r="D12" i="21" s="1"/>
  <c r="E6" i="21"/>
  <c r="E11" i="21" s="1"/>
  <c r="E12" i="21" s="1"/>
  <c r="C6" i="21"/>
  <c r="C11" i="21" s="1"/>
  <c r="C12" i="21" s="1"/>
  <c r="D21" i="21" l="1"/>
  <c r="D23" i="21" s="1"/>
  <c r="D31" i="21" s="1"/>
  <c r="D28" i="21"/>
  <c r="C21" i="21"/>
  <c r="C23" i="21" s="1"/>
  <c r="C31" i="21" s="1"/>
  <c r="C28" i="21"/>
  <c r="E21" i="21"/>
  <c r="E23" i="21" s="1"/>
  <c r="E31" i="21" s="1"/>
  <c r="E28" i="21"/>
  <c r="D15" i="21"/>
  <c r="D18" i="21" s="1"/>
  <c r="D14" i="21"/>
  <c r="D17" i="21" s="1"/>
  <c r="F44" i="15"/>
  <c r="C31" i="15"/>
  <c r="D31" i="15" s="1"/>
  <c r="E31" i="15" s="1"/>
  <c r="F31" i="15" s="1"/>
  <c r="B4" i="15"/>
  <c r="B9" i="15" s="1"/>
  <c r="C32" i="21" l="1"/>
  <c r="C34" i="21" s="1"/>
  <c r="C38" i="21" s="1"/>
  <c r="C39" i="21" s="1"/>
  <c r="C44" i="21" s="1"/>
  <c r="C43" i="21"/>
  <c r="E32" i="21"/>
  <c r="E34" i="21" s="1"/>
  <c r="E38" i="21" s="1"/>
  <c r="E39" i="21" s="1"/>
  <c r="E44" i="21" s="1"/>
  <c r="E43" i="21"/>
  <c r="D32" i="21"/>
  <c r="D34" i="21" s="1"/>
  <c r="D38" i="21" s="1"/>
  <c r="D39" i="21" s="1"/>
  <c r="D44" i="21" s="1"/>
  <c r="D43" i="21"/>
  <c r="C14" i="21"/>
  <c r="C17" i="21" s="1"/>
  <c r="C15" i="21"/>
  <c r="C18" i="21" s="1"/>
  <c r="E14" i="21"/>
  <c r="E17" i="21" s="1"/>
  <c r="E15" i="21"/>
  <c r="E18" i="21" s="1"/>
  <c r="D19" i="21"/>
  <c r="D25" i="21" s="1"/>
  <c r="D42" i="21" s="1"/>
  <c r="B30" i="15"/>
  <c r="C9" i="15"/>
  <c r="D9" i="15" s="1"/>
  <c r="E9" i="15" s="1"/>
  <c r="F9" i="15" s="1"/>
  <c r="B31" i="15"/>
  <c r="B5" i="15"/>
  <c r="C3" i="15" s="1"/>
  <c r="C5" i="15" s="1"/>
  <c r="B41" i="15"/>
  <c r="H6" i="20"/>
  <c r="B6" i="15"/>
  <c r="B10" i="15"/>
  <c r="B11" i="15" s="1"/>
  <c r="B13" i="15" s="1"/>
  <c r="E19" i="21" l="1"/>
  <c r="E25" i="21" s="1"/>
  <c r="E42" i="21" s="1"/>
  <c r="C19" i="21"/>
  <c r="C25" i="21" s="1"/>
  <c r="C42" i="21" s="1"/>
  <c r="B20" i="15"/>
  <c r="B21" i="15"/>
  <c r="B16" i="15"/>
  <c r="B18" i="15" s="1"/>
  <c r="C8" i="15"/>
  <c r="B29" i="15" l="1"/>
  <c r="B33" i="15" s="1"/>
  <c r="B35" i="15" s="1"/>
  <c r="B36" i="15" s="1"/>
  <c r="B42" i="15" s="1"/>
  <c r="B24" i="15"/>
  <c r="B26" i="15" s="1"/>
  <c r="B40" i="15" l="1"/>
  <c r="B43" i="15" s="1"/>
  <c r="C4" i="20" l="1"/>
  <c r="C9" i="20" l="1"/>
  <c r="C10" i="20"/>
  <c r="B51" i="21" l="1"/>
  <c r="C8" i="20" l="1"/>
  <c r="C45" i="21" l="1"/>
  <c r="D45" i="21"/>
  <c r="D49" i="21" s="1"/>
  <c r="E49" i="21" s="1"/>
  <c r="F49" i="21" s="1"/>
  <c r="C48" i="21" l="1"/>
  <c r="D48" i="21" l="1"/>
  <c r="D51" i="21" s="1"/>
  <c r="C51" i="21"/>
  <c r="E45" i="21"/>
  <c r="D23" i="15"/>
  <c r="E23" i="15" s="1"/>
  <c r="F23" i="15" s="1"/>
  <c r="D22" i="15"/>
  <c r="D17" i="15"/>
  <c r="E17" i="15" s="1"/>
  <c r="F17" i="15" s="1"/>
  <c r="E48" i="21" l="1"/>
  <c r="F48" i="21" s="1"/>
  <c r="H5" i="20"/>
  <c r="E50" i="21"/>
  <c r="F50" i="21" s="1"/>
  <c r="E22" i="15"/>
  <c r="F22" i="15" s="1"/>
  <c r="E51" i="21" l="1"/>
  <c r="F51" i="21"/>
  <c r="C6" i="15"/>
  <c r="F52" i="21" l="1"/>
  <c r="C30" i="15"/>
  <c r="D3" i="15"/>
  <c r="D5" i="15" s="1"/>
  <c r="C10" i="15" l="1"/>
  <c r="C41" i="15"/>
  <c r="E3" i="15"/>
  <c r="E5" i="15" l="1"/>
  <c r="F3" i="15" s="1"/>
  <c r="D8" i="15"/>
  <c r="C11" i="15"/>
  <c r="C13" i="15" s="1"/>
  <c r="D6" i="15"/>
  <c r="F5" i="15" l="1"/>
  <c r="F6" i="15" s="1"/>
  <c r="C21" i="15"/>
  <c r="C16" i="15"/>
  <c r="C18" i="15" s="1"/>
  <c r="C29" i="15" s="1"/>
  <c r="C33" i="15" s="1"/>
  <c r="C20" i="15"/>
  <c r="D30" i="15"/>
  <c r="E6" i="15"/>
  <c r="F30" i="15" l="1"/>
  <c r="F41" i="15"/>
  <c r="C24" i="15"/>
  <c r="D10" i="15"/>
  <c r="E8" i="15" s="1"/>
  <c r="D41" i="15"/>
  <c r="C35" i="15"/>
  <c r="C36" i="15" s="1"/>
  <c r="C42" i="15" s="1"/>
  <c r="E30" i="15" l="1"/>
  <c r="C40" i="15"/>
  <c r="C26" i="15"/>
  <c r="D11" i="15"/>
  <c r="D13" i="15" s="1"/>
  <c r="E10" i="15"/>
  <c r="E41" i="15"/>
  <c r="D4" i="20" l="1"/>
  <c r="E11" i="15"/>
  <c r="E13" i="15" s="1"/>
  <c r="F8" i="15"/>
  <c r="D20" i="15"/>
  <c r="D21" i="15"/>
  <c r="D16" i="15"/>
  <c r="D18" i="15" s="1"/>
  <c r="D29" i="15" s="1"/>
  <c r="D33" i="15" s="1"/>
  <c r="D10" i="20" l="1"/>
  <c r="D9" i="20"/>
  <c r="D8" i="20"/>
  <c r="F10" i="15"/>
  <c r="F11" i="15" s="1"/>
  <c r="F13" i="15" s="1"/>
  <c r="D24" i="15"/>
  <c r="D40" i="15" s="1"/>
  <c r="E21" i="15"/>
  <c r="E20" i="15"/>
  <c r="E16" i="15"/>
  <c r="E18" i="15" s="1"/>
  <c r="E29" i="15" s="1"/>
  <c r="E33" i="15" s="1"/>
  <c r="D35" i="15"/>
  <c r="D36" i="15" s="1"/>
  <c r="F20" i="15" l="1"/>
  <c r="F16" i="15"/>
  <c r="F18" i="15" s="1"/>
  <c r="F21" i="15"/>
  <c r="E24" i="15"/>
  <c r="E26" i="15" s="1"/>
  <c r="D26" i="15"/>
  <c r="D42" i="15"/>
  <c r="D43" i="15" s="1"/>
  <c r="E35" i="15"/>
  <c r="E36" i="15" s="1"/>
  <c r="E4" i="20" l="1"/>
  <c r="F24" i="15"/>
  <c r="F26" i="15" s="1"/>
  <c r="F29" i="15"/>
  <c r="F33" i="15" s="1"/>
  <c r="F35" i="15" s="1"/>
  <c r="F36" i="15" s="1"/>
  <c r="F42" i="15" s="1"/>
  <c r="E40" i="15"/>
  <c r="E42" i="15"/>
  <c r="E10" i="20" l="1"/>
  <c r="E8" i="20"/>
  <c r="E9" i="20"/>
  <c r="F40" i="15"/>
  <c r="F43" i="15" s="1"/>
  <c r="E43" i="15"/>
  <c r="F4" i="20" l="1"/>
  <c r="G4" i="20"/>
  <c r="G9" i="20" l="1"/>
  <c r="G8" i="20"/>
  <c r="G10" i="20"/>
  <c r="F8" i="20"/>
  <c r="F10" i="20"/>
  <c r="F9" i="20"/>
  <c r="H4" i="20"/>
  <c r="H8" i="20" l="1"/>
  <c r="H10" i="20"/>
  <c r="H9" i="20"/>
</calcChain>
</file>

<file path=xl/sharedStrings.xml><?xml version="1.0" encoding="utf-8"?>
<sst xmlns="http://schemas.openxmlformats.org/spreadsheetml/2006/main" count="150" uniqueCount="82">
  <si>
    <t>BATU Contribution Rate Base (2025-28)</t>
  </si>
  <si>
    <t>Opening Gross PP&amp;E</t>
  </si>
  <si>
    <t>Assumptions</t>
  </si>
  <si>
    <t xml:space="preserve">Additions </t>
  </si>
  <si>
    <t>EUL of Assets</t>
  </si>
  <si>
    <t>Closing Gross PP&amp;E</t>
  </si>
  <si>
    <t>CCA Rate (Class 47)</t>
  </si>
  <si>
    <t>Average Gross PP&amp;E</t>
  </si>
  <si>
    <t>Half-Year Rule</t>
  </si>
  <si>
    <t>In effect for purpose of depreciation and return</t>
  </si>
  <si>
    <t>AIIP</t>
  </si>
  <si>
    <t>2024-2027 Phase Out (suspension of half-year rule for CCA)</t>
  </si>
  <si>
    <t>Opening Accumulated Depreciation</t>
  </si>
  <si>
    <t>Additions</t>
  </si>
  <si>
    <t>Closing Accumulated Depreciation</t>
  </si>
  <si>
    <t>Average Accumulated Depreciation</t>
  </si>
  <si>
    <t>Average Net PP&amp;E</t>
  </si>
  <si>
    <t>Return on Rate Base</t>
  </si>
  <si>
    <t>Equity</t>
  </si>
  <si>
    <t>ROE</t>
  </si>
  <si>
    <t>Deemed Return on Equity</t>
  </si>
  <si>
    <t>Long Term Debt</t>
  </si>
  <si>
    <t>Short Term Debt</t>
  </si>
  <si>
    <t>Long Term Rate</t>
  </si>
  <si>
    <t>Short Term Rate</t>
  </si>
  <si>
    <t>Deemed Interest</t>
  </si>
  <si>
    <t>Taxes / PILs</t>
  </si>
  <si>
    <t>Regulatory Taxable Income</t>
  </si>
  <si>
    <t>Add Back Amortization Expense</t>
  </si>
  <si>
    <t>Deduct CCA</t>
  </si>
  <si>
    <t>Taxable Income</t>
  </si>
  <si>
    <t>Income Tax / PILs Before Gross-Up</t>
  </si>
  <si>
    <t>Income Tax / PILs Grossed Up</t>
  </si>
  <si>
    <t>Incremental Revenue Requirement</t>
  </si>
  <si>
    <t>Return on Rate Base - Total</t>
  </si>
  <si>
    <t>Amortization Expense - Total</t>
  </si>
  <si>
    <t>Grossed Up Taxes / PILs - Total</t>
  </si>
  <si>
    <t>Total Deferred Revenue Requirement</t>
  </si>
  <si>
    <t>Principal Balance</t>
  </si>
  <si>
    <t xml:space="preserve">Interest </t>
  </si>
  <si>
    <t>Q3 2023 OEB Prescribed Interest Rate for DVAs</t>
  </si>
  <si>
    <t>Combined Balance</t>
  </si>
  <si>
    <t>BATU Rate Base Eligible for Recovery</t>
  </si>
  <si>
    <t>Total Capital Expenditure</t>
  </si>
  <si>
    <t>Materiality Threhold</t>
  </si>
  <si>
    <t>Amount of Eligible Capital Claimed</t>
  </si>
  <si>
    <t>No Half-Year Rule per ICM/ACM Policy</t>
  </si>
  <si>
    <t>Depreciation / Amortization Expense</t>
  </si>
  <si>
    <t>CCA</t>
  </si>
  <si>
    <t>ACM/ICM Riders</t>
  </si>
  <si>
    <t>Revenue requirements for each year prepared in isolation, to continue on fixed basis until next rebasing without adjustment for Net PP&amp;E and other multi-year adjustments</t>
  </si>
  <si>
    <t>Incremental Capital</t>
  </si>
  <si>
    <t>Depreciation Expense (Pro-rated to Eligible Incremental Capital)</t>
  </si>
  <si>
    <t>Incremental Capital in Rate Base (Average NBV in Year)</t>
  </si>
  <si>
    <t>Deemed Short Term Debt (% of Cap Structure)</t>
  </si>
  <si>
    <t>Deemed Long Term Debt (% of Cap Structure)</t>
  </si>
  <si>
    <t>(% Rate)</t>
  </si>
  <si>
    <t xml:space="preserve">Short Term Interest </t>
  </si>
  <si>
    <t xml:space="preserve">Lont Term Interest </t>
  </si>
  <si>
    <t>Return on Rate Base - Interest</t>
  </si>
  <si>
    <t>Deemed Equity (% of Cap Structure)</t>
  </si>
  <si>
    <t>Return on Rate Base - Equity</t>
  </si>
  <si>
    <t>Amortization Expense</t>
  </si>
  <si>
    <t>Amortization Expense - Incremental</t>
  </si>
  <si>
    <t>Grossed Up Taxes / PILs</t>
  </si>
  <si>
    <t>Incremental Taxable Income</t>
  </si>
  <si>
    <t>Current Tax Rate (%)</t>
  </si>
  <si>
    <t>Eligible Incremental Revenue Requirement</t>
  </si>
  <si>
    <t>Eligible Incremental Revenue Requirement(s)</t>
  </si>
  <si>
    <t>Cumulative Cost Recovery</t>
  </si>
  <si>
    <t>2025 ACM Riders</t>
  </si>
  <si>
    <t>2026 ACM Riders</t>
  </si>
  <si>
    <t>2027 ACM Riders</t>
  </si>
  <si>
    <t>Total Eligible Incremental Revenue Requirement</t>
  </si>
  <si>
    <t>BATU Contribution Revenue Requirement Eligible for Recovery</t>
  </si>
  <si>
    <t>Total</t>
  </si>
  <si>
    <t>DVA Approach</t>
  </si>
  <si>
    <t>ACM Approach - 2023 Inflation Factor</t>
  </si>
  <si>
    <t>ACM Approach - 2024 Inflation Factor</t>
  </si>
  <si>
    <t>Deficiency - ACM 2023 Inflation Factor</t>
  </si>
  <si>
    <t>Deficiency - ACM 2024 Inflation Factor</t>
  </si>
  <si>
    <t>Deficiency - No Relief /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</si>
</sst>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%"/>
    <numFmt numFmtId="168" formatCode="_-&quot;$&quot;* #,##0_-;\-&quot;$&quot;* #,##0_-;_-&quot;$&quot;* &quot;-&quot;??_-;_-@_-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_(* #,##0_);_(* \(#,##0\);_(* &quot;-&quot;??_);_(@_)"/>
    <numFmt numFmtId="175" formatCode="&quot;£ &quot;#,##0.00;[Red]\-&quot;£ &quot;#,##0.00"/>
    <numFmt numFmtId="176" formatCode="_-* #,##0.00_-;\-* #,##0.00_-;_-* \-??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Mangal"/>
      <family val="2"/>
      <charset val="1"/>
    </font>
    <font>
      <sz val="11"/>
      <color theme="1"/>
      <name val="Calibri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38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2" fillId="36" borderId="0" applyNumberFormat="0" applyBorder="0" applyAlignment="0" applyProtection="0"/>
    <xf numFmtId="0" fontId="23" fillId="53" borderId="11" applyNumberFormat="0" applyAlignment="0" applyProtection="0"/>
    <xf numFmtId="0" fontId="24" fillId="54" borderId="12" applyNumberFormat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40" borderId="11" applyNumberFormat="0" applyAlignment="0" applyProtection="0"/>
    <xf numFmtId="0" fontId="31" fillId="0" borderId="16" applyNumberFormat="0" applyFill="0" applyAlignment="0" applyProtection="0"/>
    <xf numFmtId="0" fontId="32" fillId="55" borderId="0" applyNumberFormat="0" applyBorder="0" applyAlignment="0" applyProtection="0"/>
    <xf numFmtId="0" fontId="3" fillId="56" borderId="17" applyNumberFormat="0" applyFont="0" applyAlignment="0" applyProtection="0"/>
    <xf numFmtId="0" fontId="33" fillId="53" borderId="18" applyNumberFormat="0" applyAlignment="0" applyProtection="0"/>
    <xf numFmtId="0" fontId="18" fillId="0" borderId="0"/>
    <xf numFmtId="0" fontId="34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4" fillId="0" borderId="2" applyNumberFormat="0" applyFill="0" applyAlignment="0" applyProtection="0"/>
    <xf numFmtId="0" fontId="1" fillId="0" borderId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38" fillId="6" borderId="0" applyNumberFormat="0" applyBorder="0" applyAlignment="0" applyProtection="0"/>
    <xf numFmtId="0" fontId="9" fillId="7" borderId="5" applyNumberFormat="0" applyAlignment="0" applyProtection="0"/>
    <xf numFmtId="0" fontId="10" fillId="8" borderId="6" applyNumberFormat="0" applyAlignment="0" applyProtection="0"/>
    <xf numFmtId="0" fontId="11" fillId="8" borderId="5" applyNumberFormat="0" applyAlignment="0" applyProtection="0"/>
    <xf numFmtId="0" fontId="12" fillId="0" borderId="7" applyNumberFormat="0" applyFill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6" fillId="34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3" fillId="0" borderId="0"/>
    <xf numFmtId="170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71" fontId="3" fillId="0" borderId="0"/>
    <xf numFmtId="172" fontId="3" fillId="0" borderId="0"/>
    <xf numFmtId="171" fontId="3" fillId="0" borderId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19" fillId="57" borderId="0" applyNumberFormat="0" applyBorder="0" applyAlignment="0" applyProtection="0"/>
    <xf numFmtId="10" fontId="19" fillId="58" borderId="20" applyNumberFormat="0" applyBorder="0" applyAlignment="0" applyProtection="0"/>
    <xf numFmtId="173" fontId="3" fillId="0" borderId="0"/>
    <xf numFmtId="174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5" fontId="3" fillId="0" borderId="0"/>
    <xf numFmtId="10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39" fillId="0" borderId="0" applyFill="0" applyBorder="0" applyAlignment="0" applyProtection="0"/>
    <xf numFmtId="9" fontId="39" fillId="0" borderId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3" fillId="0" borderId="0"/>
    <xf numFmtId="0" fontId="30" fillId="40" borderId="11" applyNumberFormat="0" applyAlignment="0" applyProtection="0"/>
    <xf numFmtId="0" fontId="18" fillId="0" borderId="0"/>
    <xf numFmtId="0" fontId="30" fillId="40" borderId="11" applyNumberFormat="0" applyAlignment="0" applyProtection="0"/>
    <xf numFmtId="9" fontId="3" fillId="0" borderId="0" applyFont="0" applyFill="0" applyBorder="0" applyAlignment="0" applyProtection="0"/>
    <xf numFmtId="0" fontId="1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9" fontId="3" fillId="0" borderId="0" applyFont="0" applyFill="0" applyBorder="0" applyAlignment="0" applyProtection="0"/>
    <xf numFmtId="0" fontId="30" fillId="40" borderId="11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0" fontId="30" fillId="40" borderId="11" applyNumberForma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9" fontId="41" fillId="0" borderId="0" applyFont="0" applyFill="0" applyBorder="0" applyAlignment="0" applyProtection="0"/>
  </cellStyleXfs>
  <cellXfs count="106">
    <xf numFmtId="0" fontId="0" fillId="0" borderId="0" xfId="0"/>
    <xf numFmtId="168" fontId="0" fillId="0" borderId="0" xfId="0" applyNumberFormat="1"/>
    <xf numFmtId="168" fontId="0" fillId="0" borderId="1" xfId="1" applyNumberFormat="1" applyFont="1" applyBorder="1"/>
    <xf numFmtId="168" fontId="0" fillId="0" borderId="0" xfId="1" applyNumberFormat="1" applyFont="1" applyBorder="1"/>
    <xf numFmtId="0" fontId="0" fillId="3" borderId="0" xfId="0" applyFill="1"/>
    <xf numFmtId="167" fontId="0" fillId="0" borderId="0" xfId="2" applyNumberFormat="1" applyFont="1"/>
    <xf numFmtId="168" fontId="0" fillId="0" borderId="0" xfId="1" applyNumberFormat="1" applyFont="1" applyFill="1" applyBorder="1"/>
    <xf numFmtId="168" fontId="0" fillId="0" borderId="1" xfId="1" applyNumberFormat="1" applyFont="1" applyFill="1" applyBorder="1"/>
    <xf numFmtId="10" fontId="0" fillId="0" borderId="1" xfId="2" applyNumberFormat="1" applyFont="1" applyFill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168" fontId="0" fillId="0" borderId="1" xfId="0" applyNumberFormat="1" applyBorder="1"/>
    <xf numFmtId="0" fontId="17" fillId="0" borderId="21" xfId="0" applyFont="1" applyBorder="1"/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0" fillId="0" borderId="24" xfId="0" applyBorder="1" applyAlignment="1">
      <alignment horizontal="right"/>
    </xf>
    <xf numFmtId="168" fontId="0" fillId="0" borderId="25" xfId="0" applyNumberForma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9" xfId="0" applyBorder="1"/>
    <xf numFmtId="10" fontId="0" fillId="0" borderId="30" xfId="2" applyNumberFormat="1" applyFont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0" fontId="0" fillId="0" borderId="25" xfId="2" applyNumberFormat="1" applyFont="1" applyBorder="1" applyAlignment="1">
      <alignment horizontal="center" vertical="center"/>
    </xf>
    <xf numFmtId="0" fontId="0" fillId="0" borderId="26" xfId="0" applyBorder="1"/>
    <xf numFmtId="168" fontId="0" fillId="0" borderId="25" xfId="1" applyNumberFormat="1" applyFont="1" applyFill="1" applyBorder="1"/>
    <xf numFmtId="168" fontId="0" fillId="0" borderId="25" xfId="1" applyNumberFormat="1" applyFont="1" applyBorder="1"/>
    <xf numFmtId="168" fontId="0" fillId="0" borderId="30" xfId="0" applyNumberFormat="1" applyBorder="1"/>
    <xf numFmtId="0" fontId="0" fillId="0" borderId="29" xfId="0" applyBorder="1" applyAlignment="1">
      <alignment horizontal="right"/>
    </xf>
    <xf numFmtId="0" fontId="0" fillId="0" borderId="1" xfId="0" applyBorder="1"/>
    <xf numFmtId="0" fontId="0" fillId="0" borderId="30" xfId="0" applyBorder="1"/>
    <xf numFmtId="168" fontId="0" fillId="0" borderId="30" xfId="1" applyNumberFormat="1" applyFont="1" applyBorder="1"/>
    <xf numFmtId="0" fontId="2" fillId="0" borderId="26" xfId="0" applyFont="1" applyBorder="1"/>
    <xf numFmtId="168" fontId="2" fillId="0" borderId="27" xfId="0" applyNumberFormat="1" applyFont="1" applyBorder="1"/>
    <xf numFmtId="168" fontId="2" fillId="0" borderId="28" xfId="0" applyNumberFormat="1" applyFont="1" applyBorder="1"/>
    <xf numFmtId="0" fontId="2" fillId="0" borderId="26" xfId="0" applyFont="1" applyBorder="1" applyAlignment="1">
      <alignment horizontal="right"/>
    </xf>
    <xf numFmtId="168" fontId="2" fillId="0" borderId="27" xfId="1" applyNumberFormat="1" applyFont="1" applyFill="1" applyBorder="1"/>
    <xf numFmtId="168" fontId="2" fillId="0" borderId="28" xfId="1" applyNumberFormat="1" applyFont="1" applyFill="1" applyBorder="1"/>
    <xf numFmtId="168" fontId="0" fillId="0" borderId="27" xfId="1" applyNumberFormat="1" applyFont="1" applyBorder="1"/>
    <xf numFmtId="0" fontId="2" fillId="0" borderId="27" xfId="1" applyNumberFormat="1" applyFont="1" applyBorder="1" applyAlignment="1">
      <alignment horizontal="right"/>
    </xf>
    <xf numFmtId="168" fontId="2" fillId="0" borderId="28" xfId="1" applyNumberFormat="1" applyFont="1" applyBorder="1"/>
    <xf numFmtId="0" fontId="2" fillId="0" borderId="24" xfId="0" applyFont="1" applyBorder="1"/>
    <xf numFmtId="168" fontId="2" fillId="0" borderId="0" xfId="1" applyNumberFormat="1" applyFont="1" applyBorder="1"/>
    <xf numFmtId="1" fontId="0" fillId="0" borderId="0" xfId="0" applyNumberFormat="1" applyAlignment="1">
      <alignment horizontal="left" vertical="center"/>
    </xf>
    <xf numFmtId="1" fontId="0" fillId="0" borderId="23" xfId="0" applyNumberFormat="1" applyBorder="1" applyAlignment="1">
      <alignment horizontal="left" vertical="center"/>
    </xf>
    <xf numFmtId="1" fontId="0" fillId="0" borderId="25" xfId="1" applyNumberFormat="1" applyFont="1" applyFill="1" applyBorder="1" applyAlignment="1">
      <alignment horizontal="left" vertical="center"/>
    </xf>
    <xf numFmtId="9" fontId="0" fillId="0" borderId="25" xfId="2" applyFont="1" applyBorder="1" applyAlignment="1">
      <alignment horizontal="left" vertical="center"/>
    </xf>
    <xf numFmtId="1" fontId="0" fillId="0" borderId="25" xfId="0" applyNumberFormat="1" applyBorder="1" applyAlignment="1">
      <alignment horizontal="left" vertical="center"/>
    </xf>
    <xf numFmtId="1" fontId="0" fillId="0" borderId="28" xfId="0" applyNumberFormat="1" applyBorder="1" applyAlignment="1">
      <alignment horizontal="left" vertical="center"/>
    </xf>
    <xf numFmtId="168" fontId="0" fillId="0" borderId="30" xfId="1" applyNumberFormat="1" applyFont="1" applyFill="1" applyBorder="1"/>
    <xf numFmtId="168" fontId="2" fillId="0" borderId="25" xfId="1" applyNumberFormat="1" applyFont="1" applyBorder="1"/>
    <xf numFmtId="0" fontId="0" fillId="0" borderId="27" xfId="0" applyBorder="1"/>
    <xf numFmtId="0" fontId="0" fillId="0" borderId="25" xfId="0" applyBorder="1"/>
    <xf numFmtId="0" fontId="2" fillId="0" borderId="20" xfId="0" applyFont="1" applyBorder="1" applyAlignment="1">
      <alignment horizontal="center" vertical="center"/>
    </xf>
    <xf numFmtId="168" fontId="0" fillId="0" borderId="20" xfId="1" applyNumberFormat="1" applyFont="1" applyBorder="1"/>
    <xf numFmtId="0" fontId="0" fillId="0" borderId="20" xfId="0" applyBorder="1"/>
    <xf numFmtId="168" fontId="0" fillId="0" borderId="20" xfId="0" applyNumberFormat="1" applyBorder="1"/>
    <xf numFmtId="0" fontId="2" fillId="2" borderId="20" xfId="0" applyFont="1" applyFill="1" applyBorder="1" applyAlignment="1">
      <alignment horizontal="center" vertical="center"/>
    </xf>
    <xf numFmtId="168" fontId="0" fillId="2" borderId="20" xfId="1" applyNumberFormat="1" applyFont="1" applyFill="1" applyBorder="1"/>
    <xf numFmtId="168" fontId="0" fillId="2" borderId="20" xfId="0" applyNumberFormat="1" applyFill="1" applyBorder="1"/>
    <xf numFmtId="0" fontId="0" fillId="2" borderId="31" xfId="0" applyFill="1" applyBorder="1"/>
    <xf numFmtId="0" fontId="0" fillId="2" borderId="32" xfId="0" applyFill="1" applyBorder="1"/>
    <xf numFmtId="1" fontId="2" fillId="0" borderId="22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0" fontId="2" fillId="0" borderId="33" xfId="0" applyFont="1" applyBorder="1"/>
    <xf numFmtId="168" fontId="2" fillId="0" borderId="34" xfId="1" applyNumberFormat="1" applyFont="1" applyBorder="1"/>
    <xf numFmtId="168" fontId="2" fillId="0" borderId="35" xfId="1" applyNumberFormat="1" applyFont="1" applyBorder="1"/>
    <xf numFmtId="168" fontId="0" fillId="0" borderId="0" xfId="1" applyNumberFormat="1" applyFont="1"/>
    <xf numFmtId="9" fontId="0" fillId="0" borderId="0" xfId="2" applyFont="1" applyBorder="1"/>
    <xf numFmtId="9" fontId="42" fillId="0" borderId="0" xfId="2" applyFont="1" applyBorder="1" applyAlignment="1">
      <alignment horizontal="center" vertical="center"/>
    </xf>
    <xf numFmtId="10" fontId="0" fillId="0" borderId="0" xfId="2" applyNumberFormat="1" applyFont="1" applyBorder="1"/>
    <xf numFmtId="168" fontId="0" fillId="0" borderId="28" xfId="1" applyNumberFormat="1" applyFont="1" applyBorder="1"/>
    <xf numFmtId="1" fontId="0" fillId="0" borderId="0" xfId="0" applyNumberFormat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 applyBorder="1" applyAlignment="1">
      <alignment horizontal="center" vertical="center"/>
    </xf>
    <xf numFmtId="168" fontId="1" fillId="0" borderId="25" xfId="1" applyNumberFormat="1" applyFont="1" applyBorder="1" applyAlignment="1">
      <alignment horizontal="center" vertical="center"/>
    </xf>
    <xf numFmtId="168" fontId="1" fillId="0" borderId="30" xfId="1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0" fontId="0" fillId="0" borderId="1" xfId="2" applyNumberFormat="1" applyFont="1" applyBorder="1"/>
    <xf numFmtId="0" fontId="0" fillId="0" borderId="33" xfId="0" applyBorder="1"/>
    <xf numFmtId="168" fontId="0" fillId="0" borderId="34" xfId="1" applyNumberFormat="1" applyFont="1" applyBorder="1"/>
    <xf numFmtId="168" fontId="0" fillId="0" borderId="35" xfId="1" applyNumberFormat="1" applyFont="1" applyBorder="1"/>
    <xf numFmtId="168" fontId="42" fillId="0" borderId="1" xfId="1" applyNumberFormat="1" applyFont="1" applyBorder="1" applyAlignment="1">
      <alignment horizontal="center" vertical="center"/>
    </xf>
    <xf numFmtId="10" fontId="0" fillId="0" borderId="34" xfId="2" applyNumberFormat="1" applyFont="1" applyBorder="1"/>
    <xf numFmtId="168" fontId="2" fillId="0" borderId="27" xfId="1" applyNumberFormat="1" applyFont="1" applyBorder="1"/>
    <xf numFmtId="0" fontId="0" fillId="0" borderId="26" xfId="0" applyBorder="1" applyAlignment="1">
      <alignment horizontal="right"/>
    </xf>
    <xf numFmtId="168" fontId="0" fillId="0" borderId="27" xfId="1" applyNumberFormat="1" applyFont="1" applyFill="1" applyBorder="1"/>
    <xf numFmtId="0" fontId="17" fillId="0" borderId="0" xfId="0" applyFont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168" fontId="0" fillId="0" borderId="22" xfId="1" applyNumberFormat="1" applyFont="1" applyBorder="1"/>
    <xf numFmtId="168" fontId="0" fillId="0" borderId="23" xfId="1" applyNumberFormat="1" applyFont="1" applyBorder="1"/>
    <xf numFmtId="167" fontId="0" fillId="0" borderId="0" xfId="2" applyNumberFormat="1" applyFont="1" applyBorder="1"/>
    <xf numFmtId="0" fontId="17" fillId="0" borderId="36" xfId="0" applyFont="1" applyBorder="1"/>
    <xf numFmtId="168" fontId="0" fillId="0" borderId="37" xfId="1" applyNumberFormat="1" applyFont="1" applyBorder="1"/>
    <xf numFmtId="168" fontId="0" fillId="0" borderId="38" xfId="1" applyNumberFormat="1" applyFont="1" applyBorder="1"/>
    <xf numFmtId="10" fontId="2" fillId="0" borderId="0" xfId="2" applyNumberFormat="1" applyFont="1" applyAlignment="1">
      <alignment horizontal="center"/>
    </xf>
    <xf numFmtId="1" fontId="2" fillId="0" borderId="0" xfId="0" applyNumberFormat="1" applyFont="1" applyAlignment="1">
      <alignment horizontal="left" vertical="center"/>
    </xf>
    <xf numFmtId="0" fontId="0" fillId="0" borderId="21" xfId="0" applyBorder="1"/>
    <xf numFmtId="168" fontId="0" fillId="0" borderId="22" xfId="0" applyNumberFormat="1" applyBorder="1"/>
    <xf numFmtId="168" fontId="0" fillId="0" borderId="23" xfId="0" applyNumberFormat="1" applyBorder="1"/>
    <xf numFmtId="1" fontId="0" fillId="0" borderId="25" xfId="0" applyNumberFormat="1" applyBorder="1" applyAlignment="1">
      <alignment horizontal="left" vertical="top" wrapText="1"/>
    </xf>
    <xf numFmtId="1" fontId="0" fillId="0" borderId="28" xfId="0" applyNumberFormat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/>
    </xf>
  </cellXfs>
  <cellStyles count="175">
    <cellStyle name="$" xfId="105" xr:uid="{E08FC031-D031-422F-951C-71A40251C322}"/>
    <cellStyle name="$.00" xfId="106" xr:uid="{44D4FFA4-4382-48CD-AEDC-3FC17E5E5F30}"/>
    <cellStyle name="$_9. Rev2Cost_GDPIPI" xfId="107" xr:uid="{2B83FF5D-3D67-4A6B-AA49-A9988F4797E6}"/>
    <cellStyle name="$_lists" xfId="108" xr:uid="{BD4D6678-0084-4545-93B8-DCBA92B2568B}"/>
    <cellStyle name="$_lists_4. Current Monthly Fixed Charge" xfId="109" xr:uid="{8D155C0F-03A1-4B78-AB2C-C9A11F00F836}"/>
    <cellStyle name="$_Sheet4" xfId="110" xr:uid="{C3C3958D-E282-4313-AA2B-D037E883423D}"/>
    <cellStyle name="$M" xfId="111" xr:uid="{33DCDEF3-3708-4F60-95FC-1662E581E332}"/>
    <cellStyle name="$M.00" xfId="112" xr:uid="{341F658B-D54C-4B90-B803-96FF079C49DD}"/>
    <cellStyle name="$M_9. Rev2Cost_GDPIPI" xfId="113" xr:uid="{74FC2177-65DB-4FF3-9F2A-A62D9DF2AAF9}"/>
    <cellStyle name="20% - Accent1 2" xfId="72" xr:uid="{F9A040A5-5913-4162-B720-80A37A7227B3}"/>
    <cellStyle name="20% - Accent1 3" xfId="9" xr:uid="{7B1B4103-4529-42B2-8EF6-C52A4AD63F4D}"/>
    <cellStyle name="20% - Accent2 2" xfId="76" xr:uid="{D1D4C726-2672-4DD7-A189-66BDE0C7FB0D}"/>
    <cellStyle name="20% - Accent2 3" xfId="10" xr:uid="{D0DA67BB-0DE5-4310-BA59-203971C65314}"/>
    <cellStyle name="20% - Accent3 2" xfId="80" xr:uid="{AB742864-B7A5-4845-982F-9A7840EA9E22}"/>
    <cellStyle name="20% - Accent3 3" xfId="11" xr:uid="{A1978BA6-8DE2-419A-BDF4-DA27B7A150BC}"/>
    <cellStyle name="20% - Accent4 2" xfId="84" xr:uid="{FD0B3528-4801-4FE8-BF26-E6935F9ACFC4}"/>
    <cellStyle name="20% - Accent4 3" xfId="12" xr:uid="{9138516D-E1B5-4F07-A8F4-B6DAF759010B}"/>
    <cellStyle name="20% - Accent5 2" xfId="88" xr:uid="{906E8C90-AA2A-43C5-9000-1430B56A0960}"/>
    <cellStyle name="20% - Accent5 3" xfId="13" xr:uid="{48FEEE62-8746-40DD-A815-43BA1B0B40EE}"/>
    <cellStyle name="20% - Accent6 2" xfId="92" xr:uid="{59BC35F9-8CB5-48D7-89A3-2D88D1A4C4E2}"/>
    <cellStyle name="20% - Accent6 3" xfId="14" xr:uid="{4582A141-C7FB-4076-9A5A-449F3834EF21}"/>
    <cellStyle name="40% - Accent1 2" xfId="73" xr:uid="{A0C81D4B-C739-4E8A-8166-393ABC9251F1}"/>
    <cellStyle name="40% - Accent1 3" xfId="15" xr:uid="{2BFF0E16-F48E-4DE7-B2AC-6A7C8A1FCAFC}"/>
    <cellStyle name="40% - Accent2 2" xfId="77" xr:uid="{6B96760D-0D88-47FD-B127-F7BDD279A243}"/>
    <cellStyle name="40% - Accent2 3" xfId="16" xr:uid="{F0E96E0D-AB55-4990-9C15-31DE94548C1E}"/>
    <cellStyle name="40% - Accent3 2" xfId="81" xr:uid="{49CFCD61-1716-49E7-8A49-F0B0DCE360BA}"/>
    <cellStyle name="40% - Accent3 3" xfId="17" xr:uid="{1D092DF8-DF8E-4D81-9968-2F0538DC6E93}"/>
    <cellStyle name="40% - Accent4 2" xfId="85" xr:uid="{D00C696D-F1E1-4603-A819-F86FF5BEBED6}"/>
    <cellStyle name="40% - Accent4 3" xfId="18" xr:uid="{C21087CA-9B48-4494-A7D5-768D19F03387}"/>
    <cellStyle name="40% - Accent5 2" xfId="89" xr:uid="{5BF80D19-3960-40EB-9011-E0F191E8683E}"/>
    <cellStyle name="40% - Accent5 3" xfId="19" xr:uid="{1484B3E3-FA15-40A6-8F95-964D3F591827}"/>
    <cellStyle name="40% - Accent6 2" xfId="93" xr:uid="{FE569AB8-7808-4519-AA51-EA04DBCDB4FA}"/>
    <cellStyle name="40% - Accent6 3" xfId="20" xr:uid="{E25E9D91-FCBB-4629-8F04-90E88F9B0CD4}"/>
    <cellStyle name="60% - Accent1 2" xfId="74" xr:uid="{2F2DD733-0504-41EA-8E92-A5FE66AA1D2D}"/>
    <cellStyle name="60% - Accent1 3" xfId="21" xr:uid="{E43D3BF5-8150-4754-8A13-F97D03010DED}"/>
    <cellStyle name="60% - Accent2 2" xfId="78" xr:uid="{9A8C9D20-33C6-4C60-8770-B5D56A36849A}"/>
    <cellStyle name="60% - Accent2 3" xfId="22" xr:uid="{724941A5-5831-428C-A5B9-1EBA89CE4B1F}"/>
    <cellStyle name="60% - Accent3 2" xfId="82" xr:uid="{2F400662-EFF1-4066-840D-ECC2B34B6607}"/>
    <cellStyle name="60% - Accent3 3" xfId="23" xr:uid="{1B96BE99-ABCA-4B82-8484-E2007724E653}"/>
    <cellStyle name="60% - Accent4 2" xfId="86" xr:uid="{40683E20-FE00-45A1-8078-BDDFCF41F718}"/>
    <cellStyle name="60% - Accent4 3" xfId="24" xr:uid="{7C60B315-F5A6-43C1-B18F-7DC62DC1D20A}"/>
    <cellStyle name="60% - Accent5 2" xfId="90" xr:uid="{85736E3F-B6A3-42CA-B2CF-AB0DDD20CEA0}"/>
    <cellStyle name="60% - Accent5 3" xfId="25" xr:uid="{802F56D6-2585-4A0D-A71B-E4D777362D3F}"/>
    <cellStyle name="60% - Accent6 2" xfId="94" xr:uid="{7C65D377-C8B1-41BA-9594-B380DDA33F46}"/>
    <cellStyle name="60% - Accent6 3" xfId="26" xr:uid="{37237529-5226-4010-9874-CCA34B5DB7BA}"/>
    <cellStyle name="Accent1 2" xfId="71" xr:uid="{854338E5-6023-464F-A667-ADC9868317BE}"/>
    <cellStyle name="Accent1 3" xfId="27" xr:uid="{BA335EB6-FC23-4BB6-821C-948A03739358}"/>
    <cellStyle name="Accent2 2" xfId="75" xr:uid="{81A955FC-C437-43D2-A05D-1FD8EC59653E}"/>
    <cellStyle name="Accent2 3" xfId="28" xr:uid="{ACD63FF2-2AC0-4933-83B9-E06550D4072B}"/>
    <cellStyle name="Accent3 2" xfId="79" xr:uid="{5F64CD3D-EBD9-4DF5-B9D7-4D6536B2DC9C}"/>
    <cellStyle name="Accent3 3" xfId="29" xr:uid="{1002AEA9-43F0-4E86-88A3-3BA03B97959B}"/>
    <cellStyle name="Accent4 2" xfId="83" xr:uid="{4A2B92CB-5620-420F-8D48-D0DBC1B8044A}"/>
    <cellStyle name="Accent4 3" xfId="30" xr:uid="{ABF8C71E-94E5-40ED-B0A0-0B1E916D4178}"/>
    <cellStyle name="Accent5 2" xfId="87" xr:uid="{D8F35278-8790-4829-BB6D-A4D349F24C5A}"/>
    <cellStyle name="Accent5 3" xfId="31" xr:uid="{AF7A47A5-B2C1-4F7D-B6F3-390F47F1B7FE}"/>
    <cellStyle name="Accent6 2" xfId="91" xr:uid="{1889BA4C-1656-4515-BDE8-93DD42A8409C}"/>
    <cellStyle name="Accent6 3" xfId="32" xr:uid="{4211D181-A79F-49FA-A61A-7175C608B602}"/>
    <cellStyle name="Bad 2" xfId="60" xr:uid="{62DED261-6197-4623-A74F-53194927F28E}"/>
    <cellStyle name="Bad 3" xfId="33" xr:uid="{E224A1E3-D99F-4558-B45F-055C695470DB}"/>
    <cellStyle name="Calculation 2" xfId="64" xr:uid="{AE2A3F0A-9C83-4B46-915A-025AE1548D9D}"/>
    <cellStyle name="Calculation 3" xfId="34" xr:uid="{2F064D22-AEAD-4CD1-BB9E-BA26BB31121A}"/>
    <cellStyle name="Check Cell 2" xfId="66" xr:uid="{9E086A95-2982-4F8A-B251-D6D5FF87738F}"/>
    <cellStyle name="Check Cell 3" xfId="35" xr:uid="{A581DC3E-AF53-4B77-8D9D-11A66A0D9F7A}"/>
    <cellStyle name="Comma 2" xfId="5" xr:uid="{96FF78F5-7CCA-429E-9445-6860299FF817}"/>
    <cellStyle name="Comma 2 2" xfId="96" xr:uid="{2879E106-C1E3-4AB8-B984-0977D48A18DA}"/>
    <cellStyle name="Comma 2 3" xfId="171" xr:uid="{F8A28FEB-C29D-4CE4-83F8-017BBC7E1BFF}"/>
    <cellStyle name="Comma 3" xfId="99" xr:uid="{B6088168-16C0-47BB-A997-A78B08E85EC2}"/>
    <cellStyle name="Comma 3 2" xfId="129" xr:uid="{D5A1A822-EF10-4E93-9B4B-B957779E7BE7}"/>
    <cellStyle name="Comma 3 2 2" xfId="133" xr:uid="{1EFBCF96-8C66-4629-B5B4-A89C1484AA18}"/>
    <cellStyle name="Comma 4" xfId="104" xr:uid="{6B139352-4148-41DD-B21B-D253EB12EDED}"/>
    <cellStyle name="Comma 5" xfId="137" xr:uid="{4FBE9916-7E2A-4430-B4B0-7F2031C0DC1B}"/>
    <cellStyle name="Comma 6" xfId="140" xr:uid="{5EAB9BFA-940E-4FE9-A4DC-2F8D804D8BB6}"/>
    <cellStyle name="Comma 7" xfId="144" xr:uid="{04E8F28C-763B-4FF5-8BF2-A7CEF5B6612D}"/>
    <cellStyle name="Comma 7 2" xfId="150" xr:uid="{01305AEF-5563-4000-9A6C-945304C9F41E}"/>
    <cellStyle name="Comma 8" xfId="149" xr:uid="{DF2A281C-05C7-4ACF-A374-CDFDDA91D33B}"/>
    <cellStyle name="Comma 9" xfId="36" xr:uid="{E7D3726D-803E-4609-B5C0-56B60E4B311C}"/>
    <cellStyle name="Comma0" xfId="114" xr:uid="{E5219A96-E75F-4F6E-846E-BBE1EC405EE6}"/>
    <cellStyle name="Currency" xfId="1" builtinId="4"/>
    <cellStyle name="Currency 2" xfId="6" xr:uid="{6DD963D1-4F49-460B-8C6F-E0B8D2A4B61A}"/>
    <cellStyle name="Currency 2 2" xfId="139" xr:uid="{21F53489-C583-4940-A48A-4228C2F8B0BA}"/>
    <cellStyle name="Currency 2 3" xfId="103" xr:uid="{6A70DD53-FF8F-4B0F-9CB8-1145F641EB8C}"/>
    <cellStyle name="Currency 2 4" xfId="170" xr:uid="{D10201DE-54CB-42D1-9D12-3788B947947F}"/>
    <cellStyle name="Currency 3" xfId="131" xr:uid="{370EB0B5-C64B-4284-A70B-FA8CC9E65735}"/>
    <cellStyle name="Currency 3 2" xfId="173" xr:uid="{07F8530E-4AF3-4960-879C-634BB3EC8855}"/>
    <cellStyle name="Currency 4" xfId="136" xr:uid="{97BBB0E2-255E-403F-BDF5-5EB09BCD8F84}"/>
    <cellStyle name="Currency 5" xfId="143" xr:uid="{055C275C-2F64-4FAD-A160-AE80A00013D4}"/>
    <cellStyle name="Currency 6" xfId="37" xr:uid="{BA8E70B0-4E25-4E0A-8E56-C6C5115BDEC7}"/>
    <cellStyle name="Currency0" xfId="115" xr:uid="{83A3A893-42CF-4B46-9737-C6A8762CE6A0}"/>
    <cellStyle name="Date" xfId="116" xr:uid="{B3DFE421-03DB-490A-973A-3052E36F7155}"/>
    <cellStyle name="Explanatory Text 2" xfId="69" xr:uid="{C46371AC-FBCE-4807-8F7A-F679E37F89F4}"/>
    <cellStyle name="Explanatory Text 3" xfId="38" xr:uid="{0E905C60-CC4C-4744-B51F-558DACD8302C}"/>
    <cellStyle name="Fixed" xfId="117" xr:uid="{6786249C-9F59-4F9C-B866-F9994BB48FBF}"/>
    <cellStyle name="Good 2" xfId="59" xr:uid="{C50CDCD1-63FA-476E-B502-4F953836E9DA}"/>
    <cellStyle name="Good 3" xfId="39" xr:uid="{AB66A5C5-E96A-4FF4-BCA9-1980CF43DE16}"/>
    <cellStyle name="Grey" xfId="118" xr:uid="{395FB1BA-380D-434E-BEF8-7AC1BD99EFC5}"/>
    <cellStyle name="Heading 1 2" xfId="55" xr:uid="{F4FF4137-4778-45F2-BBB0-A0ED4012058E}"/>
    <cellStyle name="Heading 1 3" xfId="40" xr:uid="{8C8E3162-4466-4808-8D0E-EE9F93EE4C2B}"/>
    <cellStyle name="Heading 2 2" xfId="54" xr:uid="{B9C5BD42-AC46-4AC7-B48A-6F3DA6CA028A}"/>
    <cellStyle name="Heading 2 3" xfId="41" xr:uid="{B1437D71-A16C-488F-98FA-4464D10A2B85}"/>
    <cellStyle name="Heading 3 2" xfId="57" xr:uid="{937888B5-0FF9-49A9-A312-DEF4D5B96546}"/>
    <cellStyle name="Heading 3 3" xfId="42" xr:uid="{26289B19-79FF-48E2-92A6-ED16C56CD57C}"/>
    <cellStyle name="Heading 4 2" xfId="58" xr:uid="{CB4795D0-503A-4D45-9F93-7792DCC52798}"/>
    <cellStyle name="Heading 4 3" xfId="43" xr:uid="{7EF69CC2-79D2-4BD4-9825-1853764BEC22}"/>
    <cellStyle name="Input [yellow]" xfId="119" xr:uid="{61E2FCF9-B296-4D3D-876C-A112A46CD7C5}"/>
    <cellStyle name="Input 2" xfId="62" xr:uid="{897B6BD3-E7CA-4B00-888E-23898D8876AE}"/>
    <cellStyle name="Input 3" xfId="44" xr:uid="{A1419B9E-11C9-45A1-8E71-114BCE3F00B9}"/>
    <cellStyle name="Input 4" xfId="155" xr:uid="{B427F64C-34DB-4600-BB88-DE042EA6AA9A}"/>
    <cellStyle name="Input 5" xfId="162" xr:uid="{F8287E0B-7A5A-4496-85EE-416D228DEA67}"/>
    <cellStyle name="Input 6" xfId="153" xr:uid="{5F3FC0EF-CED0-44DE-838A-EE4BED76324B}"/>
    <cellStyle name="Input 7" xfId="165" xr:uid="{8D404342-D1B4-4F89-800E-C146403AED06}"/>
    <cellStyle name="Linked Cell 2" xfId="65" xr:uid="{8BF2A03C-386A-4EC7-A009-2187408485E5}"/>
    <cellStyle name="Linked Cell 3" xfId="45" xr:uid="{FA0D5DB5-1892-4557-B2FA-B6F1782E3650}"/>
    <cellStyle name="M" xfId="120" xr:uid="{857EED2D-F528-4673-802C-2C9B47757564}"/>
    <cellStyle name="M.00" xfId="121" xr:uid="{2B88456D-C3FA-4664-871E-5F96DDB9FEE5}"/>
    <cellStyle name="M_9. Rev2Cost_GDPIPI" xfId="122" xr:uid="{9AE880B9-BED1-4BE1-A0FD-D5271880EC63}"/>
    <cellStyle name="M_lists" xfId="123" xr:uid="{D11E9435-3900-42FC-8EE3-247B6B765843}"/>
    <cellStyle name="M_lists_4. Current Monthly Fixed Charge" xfId="124" xr:uid="{631C515F-898E-46B9-A045-5C8EF61EA2D0}"/>
    <cellStyle name="M_Sheet4" xfId="125" xr:uid="{BAC3C5FD-6546-466F-8C67-C963CB52FD38}"/>
    <cellStyle name="Neutral 2" xfId="61" xr:uid="{0F7803EE-51CE-40A1-A17A-D74D4F9B45EA}"/>
    <cellStyle name="Neutral 3" xfId="46" xr:uid="{2408F505-2D19-45B6-AA00-C779D4B1FAE4}"/>
    <cellStyle name="Normal" xfId="0" builtinId="0"/>
    <cellStyle name="Normal - Style1" xfId="126" xr:uid="{B586FAF6-DAF0-4D7C-94FC-C61FFD6B459C}"/>
    <cellStyle name="Normal 10" xfId="147" xr:uid="{E952B448-E2FF-4F14-8809-AD359802B2B2}"/>
    <cellStyle name="Normal 11" xfId="148" xr:uid="{7225953D-D611-4DA4-9A4B-D3DFE51F25B6}"/>
    <cellStyle name="Normal 12" xfId="151" xr:uid="{336A77E1-6B1D-41F0-BA2A-28E70D4438B6}"/>
    <cellStyle name="Normal 122 2" xfId="4" xr:uid="{13EF5C93-6BDB-4AAE-ABA2-B5F08075792F}"/>
    <cellStyle name="Normal 13" xfId="8" xr:uid="{1C9CB966-E6B9-43B1-85CD-51444EA05F2B}"/>
    <cellStyle name="Normal 14" xfId="49" xr:uid="{24DF811C-37D9-4B1C-9AFE-15B338F6CD90}"/>
    <cellStyle name="Normal 15" xfId="157" xr:uid="{F44F3B62-5774-46E6-BEE4-FD44BB4E56B7}"/>
    <cellStyle name="Normal 16" xfId="152" xr:uid="{7D6FFB60-817A-4C37-8EF1-C460148938A1}"/>
    <cellStyle name="Normal 17" xfId="160" xr:uid="{78A66FDE-684E-45EA-B003-8770EC1E7176}"/>
    <cellStyle name="Normal 18" xfId="154" xr:uid="{B1E5C6FE-B19D-4793-AD83-221FE52FFBD4}"/>
    <cellStyle name="Normal 19" xfId="164" xr:uid="{A95C1C38-25E9-4D26-8F2D-6CE5E11FD2D1}"/>
    <cellStyle name="Normal 2" xfId="3" xr:uid="{0A617BE9-95CF-4EF6-ACDB-00FD80C23337}"/>
    <cellStyle name="Normal 20" xfId="166" xr:uid="{2618F337-E8D8-480F-AC60-5B9B0AA3B892}"/>
    <cellStyle name="Normal 21" xfId="167" xr:uid="{16E896DC-184B-4EAF-A47D-332C8C4FBCF6}"/>
    <cellStyle name="Normal 3" xfId="56" xr:uid="{2B056AEB-8E53-4396-9BA5-DCFD3758FF22}"/>
    <cellStyle name="Normal 4" xfId="95" xr:uid="{94486F8F-4921-44F2-96AC-5D19E96B00F7}"/>
    <cellStyle name="Normal 4 2" xfId="142" xr:uid="{F314D08D-7672-4206-8BF9-EB11D8064DC8}"/>
    <cellStyle name="Normal 5" xfId="98" xr:uid="{F481504B-CB18-4296-B3DB-5F02BB569B95}"/>
    <cellStyle name="Normal 5 2" xfId="128" xr:uid="{4CFFCEF8-3405-4908-9628-944B903DC599}"/>
    <cellStyle name="Normal 5 2 2" xfId="132" xr:uid="{63962183-F5AA-454B-8B43-ADE1991DA706}"/>
    <cellStyle name="Normal 6" xfId="101" xr:uid="{6692808E-52A2-4543-8E48-5A1AEDEFFED5}"/>
    <cellStyle name="Normal 6 2" xfId="172" xr:uid="{1C835B09-9337-49E8-AF1E-93B8949A8565}"/>
    <cellStyle name="Normal 7" xfId="135" xr:uid="{DECBC89F-18D1-40F9-8B60-B8DC5F1A307C}"/>
    <cellStyle name="Normal 8" xfId="145" xr:uid="{2E78A8F5-3A0E-46AA-9419-E18DF4E64717}"/>
    <cellStyle name="Normal 9" xfId="146" xr:uid="{0772B4C4-E2FD-41DC-BC34-82B0416B46FF}"/>
    <cellStyle name="Note 2" xfId="68" xr:uid="{55A6468E-409E-4F70-9CAB-A4837B36AC7E}"/>
    <cellStyle name="Note 3" xfId="47" xr:uid="{EB493320-E506-425A-92D9-EE005DB56882}"/>
    <cellStyle name="Output 2" xfId="63" xr:uid="{D6B02702-CCCD-41E6-A9CD-A4805B5378EB}"/>
    <cellStyle name="Output 3" xfId="48" xr:uid="{38F0790A-387C-4973-9E52-2DDA1C319869}"/>
    <cellStyle name="Percent" xfId="2" builtinId="5"/>
    <cellStyle name="Percent [2]" xfId="127" xr:uid="{C69BB281-8644-4342-9187-F1CBE5A315DE}"/>
    <cellStyle name="Percent 10" xfId="163" xr:uid="{F93C178D-C793-4320-94A4-69D80CB5695B}"/>
    <cellStyle name="Percent 11" xfId="159" xr:uid="{F804E64F-5E97-44AB-999E-FB99FEE97F1C}"/>
    <cellStyle name="Percent 12" xfId="168" xr:uid="{AE9FEEA7-7AA9-4EA9-912C-EB4E460DC547}"/>
    <cellStyle name="Percent 13" xfId="169" xr:uid="{630FB5BC-C894-417C-8750-F8315C4BCA7A}"/>
    <cellStyle name="Percent 2" xfId="7" xr:uid="{C9B9BB6F-95F0-428A-BC06-1D44B3D91749}"/>
    <cellStyle name="Percent 2 2" xfId="97" xr:uid="{A4701986-1F50-4013-B10D-4A3694AA343A}"/>
    <cellStyle name="Percent 3" xfId="100" xr:uid="{1D1F6AA9-5E2F-48F9-BB83-D931CF4105F9}"/>
    <cellStyle name="Percent 3 2" xfId="130" xr:uid="{D060BF3E-3C19-4160-956F-10B043388FE6}"/>
    <cellStyle name="Percent 3 2 2" xfId="134" xr:uid="{96CEAAC7-D4FE-4640-8D28-433D7B11F617}"/>
    <cellStyle name="Percent 4" xfId="102" xr:uid="{8C66A5A1-4E67-4AE7-A8C9-CC8570D485D2}"/>
    <cellStyle name="Percent 4 2" xfId="174" xr:uid="{D06B65DA-DCF9-4B84-B498-5C4A7C64A828}"/>
    <cellStyle name="Percent 5" xfId="138" xr:uid="{227E057F-D786-4797-A52A-48E3442B9773}"/>
    <cellStyle name="Percent 6" xfId="141" xr:uid="{3B64C13B-0C47-4793-BD3F-D918E1214780}"/>
    <cellStyle name="Percent 7" xfId="156" xr:uid="{8F642487-5AB0-40D4-85E7-92A488E08AE9}"/>
    <cellStyle name="Percent 8" xfId="161" xr:uid="{2E086753-B4DC-4D33-990A-281C5548C606}"/>
    <cellStyle name="Percent 9" xfId="158" xr:uid="{6D460A6D-3695-4215-A946-3837BB3299A7}"/>
    <cellStyle name="Title 2" xfId="53" xr:uid="{EBD980ED-5E01-4F1A-A9E0-C7CDC4490596}"/>
    <cellStyle name="Title 3" xfId="50" xr:uid="{3501E150-39BC-4D1D-9358-D9F6D6849085}"/>
    <cellStyle name="Total 2" xfId="70" xr:uid="{91927036-11D4-422D-8550-7338A99DA72D}"/>
    <cellStyle name="Total 3" xfId="51" xr:uid="{22CDA42B-819B-43D3-B684-9CEF699BEA6C}"/>
    <cellStyle name="Warning Text 2" xfId="67" xr:uid="{F6098067-B352-4296-B548-0A99D669B424}"/>
    <cellStyle name="Warning Text 3" xfId="52" xr:uid="{7ACE3158-E712-4787-AB4D-E89B7916D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F6A2-D1C1-417A-8671-32C99A6C9ED6}">
  <dimension ref="A1:I48"/>
  <sheetViews>
    <sheetView showGridLines="0" tabSelected="1" topLeftCell="A31" workbookViewId="0">
      <selection activeCell="H37" sqref="H37"/>
    </sheetView>
  </sheetViews>
  <sheetFormatPr defaultRowHeight="15"/>
  <cols>
    <col min="1" max="1" width="35.5703125" customWidth="1"/>
    <col min="2" max="6" width="12.5703125" customWidth="1"/>
    <col min="7" max="7" width="20.5703125" customWidth="1"/>
    <col min="8" max="8" width="19.85546875" style="43" customWidth="1"/>
    <col min="9" max="9" width="54.140625" bestFit="1" customWidth="1"/>
  </cols>
  <sheetData>
    <row r="1" spans="1:9" ht="15.75" thickBot="1">
      <c r="G1" s="5"/>
    </row>
    <row r="2" spans="1:9" ht="15.75" thickBot="1">
      <c r="A2" s="11" t="s">
        <v>0</v>
      </c>
      <c r="B2" s="12">
        <v>2024</v>
      </c>
      <c r="C2" s="12">
        <v>2025</v>
      </c>
      <c r="D2" s="12">
        <v>2026</v>
      </c>
      <c r="E2" s="12">
        <v>2027</v>
      </c>
      <c r="F2" s="13">
        <v>2028</v>
      </c>
      <c r="H2"/>
      <c r="I2" s="43"/>
    </row>
    <row r="3" spans="1:9">
      <c r="A3" s="14" t="s">
        <v>1</v>
      </c>
      <c r="B3" s="6">
        <v>0</v>
      </c>
      <c r="C3" s="3">
        <f>B5</f>
        <v>2060000</v>
      </c>
      <c r="D3" s="3">
        <f>C5</f>
        <v>6180000</v>
      </c>
      <c r="E3" s="3">
        <f t="shared" ref="E3:F3" si="0">D5</f>
        <v>10300000</v>
      </c>
      <c r="F3" s="26">
        <f t="shared" si="0"/>
        <v>14420000</v>
      </c>
      <c r="H3" s="11" t="s">
        <v>2</v>
      </c>
      <c r="I3" s="44"/>
    </row>
    <row r="4" spans="1:9">
      <c r="A4" s="14" t="s">
        <v>3</v>
      </c>
      <c r="B4" s="6">
        <f>C4/2</f>
        <v>2060000</v>
      </c>
      <c r="C4" s="6">
        <v>4120000</v>
      </c>
      <c r="D4" s="3">
        <v>4120000</v>
      </c>
      <c r="E4" s="3">
        <v>4120000</v>
      </c>
      <c r="F4" s="26">
        <v>0</v>
      </c>
      <c r="H4" s="18" t="s">
        <v>4</v>
      </c>
      <c r="I4" s="45">
        <v>50</v>
      </c>
    </row>
    <row r="5" spans="1:9">
      <c r="A5" s="28" t="s">
        <v>5</v>
      </c>
      <c r="B5" s="7">
        <f>B3+B4</f>
        <v>2060000</v>
      </c>
      <c r="C5" s="7">
        <f t="shared" ref="C5:F5" si="1">C3+C4</f>
        <v>6180000</v>
      </c>
      <c r="D5" s="7">
        <f t="shared" si="1"/>
        <v>10300000</v>
      </c>
      <c r="E5" s="7">
        <f t="shared" si="1"/>
        <v>14420000</v>
      </c>
      <c r="F5" s="49">
        <f t="shared" si="1"/>
        <v>14420000</v>
      </c>
      <c r="H5" s="18" t="s">
        <v>6</v>
      </c>
      <c r="I5" s="46">
        <v>0.08</v>
      </c>
    </row>
    <row r="6" spans="1:9">
      <c r="A6" s="14" t="s">
        <v>7</v>
      </c>
      <c r="B6" s="6">
        <f>(B3+B5)/2</f>
        <v>1030000</v>
      </c>
      <c r="C6" s="6">
        <f>(C3+C5)/2</f>
        <v>4120000</v>
      </c>
      <c r="D6" s="3">
        <f>(D3+D5)/2</f>
        <v>8240000</v>
      </c>
      <c r="E6" s="3">
        <f>(E3+E5)/2</f>
        <v>12360000</v>
      </c>
      <c r="F6" s="26">
        <f>(F3+F5)/2</f>
        <v>14420000</v>
      </c>
      <c r="H6" s="18" t="s">
        <v>8</v>
      </c>
      <c r="I6" s="47" t="s">
        <v>9</v>
      </c>
    </row>
    <row r="7" spans="1:9" ht="15.75" thickBot="1">
      <c r="A7" s="14"/>
      <c r="B7" s="6"/>
      <c r="C7" s="6"/>
      <c r="D7" s="3"/>
      <c r="E7" s="3"/>
      <c r="F7" s="26"/>
      <c r="H7" s="24" t="s">
        <v>10</v>
      </c>
      <c r="I7" s="48" t="s">
        <v>11</v>
      </c>
    </row>
    <row r="8" spans="1:9">
      <c r="A8" s="14" t="s">
        <v>12</v>
      </c>
      <c r="B8" s="6">
        <v>0</v>
      </c>
      <c r="C8" s="6">
        <f>B10</f>
        <v>20600</v>
      </c>
      <c r="D8" s="3">
        <f>C10</f>
        <v>103000</v>
      </c>
      <c r="E8" s="3">
        <f t="shared" ref="E8:F8" si="2">D10</f>
        <v>267800</v>
      </c>
      <c r="F8" s="26">
        <f t="shared" si="2"/>
        <v>515000</v>
      </c>
      <c r="H8"/>
      <c r="I8" s="43"/>
    </row>
    <row r="9" spans="1:9">
      <c r="A9" s="14" t="s">
        <v>13</v>
      </c>
      <c r="B9" s="6">
        <f>(B4/2)/$I$4</f>
        <v>20600</v>
      </c>
      <c r="C9" s="6">
        <f>B9+(B4/2)/$I$4+(C4/2)/$I$4</f>
        <v>82400</v>
      </c>
      <c r="D9" s="6">
        <f t="shared" ref="D9:F9" si="3">C9+(C4/2)/$I$4+(D4/2)/$I$4</f>
        <v>164800</v>
      </c>
      <c r="E9" s="6">
        <f t="shared" si="3"/>
        <v>247200</v>
      </c>
      <c r="F9" s="25">
        <f t="shared" si="3"/>
        <v>288400</v>
      </c>
      <c r="H9"/>
      <c r="I9" s="43"/>
    </row>
    <row r="10" spans="1:9">
      <c r="A10" s="28" t="s">
        <v>14</v>
      </c>
      <c r="B10" s="7">
        <f>B8+B9</f>
        <v>20600</v>
      </c>
      <c r="C10" s="7">
        <f>C8+C9</f>
        <v>103000</v>
      </c>
      <c r="D10" s="2">
        <f t="shared" ref="D10:F10" si="4">D8+D9</f>
        <v>267800</v>
      </c>
      <c r="E10" s="2">
        <f t="shared" si="4"/>
        <v>515000</v>
      </c>
      <c r="F10" s="31">
        <f t="shared" si="4"/>
        <v>803400</v>
      </c>
      <c r="H10"/>
      <c r="I10" s="43"/>
    </row>
    <row r="11" spans="1:9">
      <c r="A11" s="14" t="s">
        <v>15</v>
      </c>
      <c r="B11" s="6">
        <f>(B8+B10)/2</f>
        <v>10300</v>
      </c>
      <c r="C11" s="6">
        <f>(C8+C10)/2</f>
        <v>61800</v>
      </c>
      <c r="D11" s="3">
        <f>(D8+D10)/2</f>
        <v>185400</v>
      </c>
      <c r="E11" s="3">
        <f>(E8+E10)/2</f>
        <v>391400</v>
      </c>
      <c r="F11" s="26">
        <f>(F8+F10)/2</f>
        <v>659200</v>
      </c>
      <c r="H11" s="1"/>
      <c r="I11" s="43"/>
    </row>
    <row r="12" spans="1:9">
      <c r="A12" s="28"/>
      <c r="B12" s="7"/>
      <c r="C12" s="7"/>
      <c r="D12" s="2"/>
      <c r="E12" s="2"/>
      <c r="F12" s="31"/>
      <c r="H12"/>
      <c r="I12" s="43"/>
    </row>
    <row r="13" spans="1:9" ht="15.75" thickBot="1">
      <c r="A13" s="35" t="s">
        <v>16</v>
      </c>
      <c r="B13" s="36">
        <f>B6-B11</f>
        <v>1019700</v>
      </c>
      <c r="C13" s="36">
        <f>C6-C11</f>
        <v>4058200</v>
      </c>
      <c r="D13" s="36">
        <f>D6-D11</f>
        <v>8054600</v>
      </c>
      <c r="E13" s="36">
        <f>E6-E11</f>
        <v>11968600</v>
      </c>
      <c r="F13" s="37">
        <f>F6-F11</f>
        <v>13760800</v>
      </c>
      <c r="H13"/>
      <c r="I13" s="43"/>
    </row>
    <row r="14" spans="1:9" ht="15.75" thickBot="1">
      <c r="H14"/>
      <c r="I14" s="43"/>
    </row>
    <row r="15" spans="1:9">
      <c r="A15" s="11" t="s">
        <v>17</v>
      </c>
      <c r="B15" s="16"/>
      <c r="C15" s="16"/>
      <c r="D15" s="16"/>
      <c r="E15" s="16"/>
      <c r="F15" s="17"/>
      <c r="H15"/>
      <c r="I15" s="43"/>
    </row>
    <row r="16" spans="1:9">
      <c r="A16" s="18" t="s">
        <v>18</v>
      </c>
      <c r="B16" s="1">
        <f>B13*0.4</f>
        <v>407880</v>
      </c>
      <c r="C16" s="1">
        <f>C13*0.4</f>
        <v>1623280</v>
      </c>
      <c r="D16" s="1">
        <f t="shared" ref="D16:E16" si="5">D13*0.4</f>
        <v>3221840</v>
      </c>
      <c r="E16" s="1">
        <f t="shared" si="5"/>
        <v>4787440</v>
      </c>
      <c r="F16" s="15">
        <f>F13*0.4</f>
        <v>5504320</v>
      </c>
      <c r="H16"/>
      <c r="I16" s="43"/>
    </row>
    <row r="17" spans="1:9">
      <c r="A17" s="19" t="s">
        <v>19</v>
      </c>
      <c r="B17" s="8">
        <v>9.3600000000000003E-2</v>
      </c>
      <c r="C17" s="8">
        <v>9.3600000000000003E-2</v>
      </c>
      <c r="D17" s="9">
        <f>C17</f>
        <v>9.3600000000000003E-2</v>
      </c>
      <c r="E17" s="9">
        <f t="shared" ref="E17:F17" si="6">D17</f>
        <v>9.3600000000000003E-2</v>
      </c>
      <c r="F17" s="20">
        <f t="shared" si="6"/>
        <v>9.3600000000000003E-2</v>
      </c>
      <c r="H17"/>
      <c r="I17" s="43"/>
    </row>
    <row r="18" spans="1:9">
      <c r="A18" s="18" t="s">
        <v>20</v>
      </c>
      <c r="B18" s="1">
        <f>B16*B17</f>
        <v>38177.567999999999</v>
      </c>
      <c r="C18" s="1">
        <f>C16*C17</f>
        <v>151939.008</v>
      </c>
      <c r="D18" s="1">
        <f>D16*D17</f>
        <v>301564.22399999999</v>
      </c>
      <c r="E18" s="1">
        <f>E16*E17</f>
        <v>448104.38400000002</v>
      </c>
      <c r="F18" s="15">
        <f>F16*F17</f>
        <v>515204.35200000001</v>
      </c>
      <c r="H18"/>
      <c r="I18" s="43"/>
    </row>
    <row r="19" spans="1:9">
      <c r="A19" s="18"/>
      <c r="F19" s="52"/>
      <c r="H19"/>
      <c r="I19" s="43"/>
    </row>
    <row r="20" spans="1:9">
      <c r="A20" s="18" t="s">
        <v>21</v>
      </c>
      <c r="B20" s="1">
        <f>B13*0.56</f>
        <v>571032</v>
      </c>
      <c r="C20" s="1">
        <f>C13*0.56</f>
        <v>2272592</v>
      </c>
      <c r="D20" s="1">
        <f t="shared" ref="D20:E20" si="7">D13*0.56</f>
        <v>4510576</v>
      </c>
      <c r="E20" s="1">
        <f t="shared" si="7"/>
        <v>6702416.0000000009</v>
      </c>
      <c r="F20" s="15">
        <f t="shared" ref="F20" si="8">F13*0.56</f>
        <v>7706048.0000000009</v>
      </c>
      <c r="H20"/>
      <c r="I20" s="43"/>
    </row>
    <row r="21" spans="1:9">
      <c r="A21" s="18" t="s">
        <v>22</v>
      </c>
      <c r="B21" s="1">
        <f>B13*0.04</f>
        <v>40788</v>
      </c>
      <c r="C21" s="1">
        <f>C13*0.04</f>
        <v>162328</v>
      </c>
      <c r="D21" s="1">
        <f t="shared" ref="D21:E21" si="9">D13*0.04</f>
        <v>322184</v>
      </c>
      <c r="E21" s="1">
        <f t="shared" si="9"/>
        <v>478744</v>
      </c>
      <c r="F21" s="15">
        <f t="shared" ref="F21" si="10">F13*0.04</f>
        <v>550432</v>
      </c>
      <c r="H21"/>
      <c r="I21" s="43"/>
    </row>
    <row r="22" spans="1:9">
      <c r="A22" s="18" t="s">
        <v>23</v>
      </c>
      <c r="B22" s="21">
        <v>3.7199999999999997E-2</v>
      </c>
      <c r="C22" s="21">
        <v>3.7199999999999997E-2</v>
      </c>
      <c r="D22" s="22">
        <f>C22</f>
        <v>3.7199999999999997E-2</v>
      </c>
      <c r="E22" s="22">
        <f t="shared" ref="E22:F23" si="11">D22</f>
        <v>3.7199999999999997E-2</v>
      </c>
      <c r="F22" s="23">
        <f t="shared" si="11"/>
        <v>3.7199999999999997E-2</v>
      </c>
      <c r="H22"/>
      <c r="I22" s="43"/>
    </row>
    <row r="23" spans="1:9">
      <c r="A23" s="19" t="s">
        <v>24</v>
      </c>
      <c r="B23" s="8">
        <v>4.7899999999999998E-2</v>
      </c>
      <c r="C23" s="8">
        <v>4.7899999999999998E-2</v>
      </c>
      <c r="D23" s="9">
        <f>C23</f>
        <v>4.7899999999999998E-2</v>
      </c>
      <c r="E23" s="9">
        <f t="shared" si="11"/>
        <v>4.7899999999999998E-2</v>
      </c>
      <c r="F23" s="20">
        <f t="shared" si="11"/>
        <v>4.7899999999999998E-2</v>
      </c>
      <c r="H23"/>
      <c r="I23" s="43"/>
    </row>
    <row r="24" spans="1:9">
      <c r="A24" s="18" t="s">
        <v>25</v>
      </c>
      <c r="B24" s="1">
        <f>B20*B22+B21*B23</f>
        <v>23196.135599999998</v>
      </c>
      <c r="C24" s="1">
        <f>C20*C22+C21*C23</f>
        <v>92315.933599999989</v>
      </c>
      <c r="D24" s="1">
        <f>D20*D22+D21*D23</f>
        <v>183226.04079999999</v>
      </c>
      <c r="E24" s="1">
        <f>E20*E22+E21*E23</f>
        <v>272261.71279999998</v>
      </c>
      <c r="F24" s="15">
        <f>F20*F22+F21*F23</f>
        <v>313030.67840000003</v>
      </c>
      <c r="H24"/>
      <c r="I24" s="43"/>
    </row>
    <row r="25" spans="1:9">
      <c r="A25" s="19"/>
      <c r="B25" s="29"/>
      <c r="C25" s="29"/>
      <c r="D25" s="29"/>
      <c r="E25" s="29"/>
      <c r="F25" s="30"/>
      <c r="H25"/>
      <c r="I25" s="43"/>
    </row>
    <row r="26" spans="1:9" ht="15.75" thickBot="1">
      <c r="A26" s="32" t="s">
        <v>17</v>
      </c>
      <c r="B26" s="33">
        <f>B24+B18</f>
        <v>61373.703599999993</v>
      </c>
      <c r="C26" s="33">
        <f>C24+C18</f>
        <v>244254.94159999999</v>
      </c>
      <c r="D26" s="33">
        <f t="shared" ref="D26:E26" si="12">D24+D18</f>
        <v>484790.2648</v>
      </c>
      <c r="E26" s="33">
        <f t="shared" si="12"/>
        <v>720366.09679999994</v>
      </c>
      <c r="F26" s="34">
        <f t="shared" ref="F26" si="13">F24+F18</f>
        <v>828235.03040000005</v>
      </c>
      <c r="H26"/>
      <c r="I26" s="43"/>
    </row>
    <row r="27" spans="1:9" ht="15.75" thickBot="1">
      <c r="H27"/>
      <c r="I27" s="43"/>
    </row>
    <row r="28" spans="1:9">
      <c r="A28" s="11" t="s">
        <v>26</v>
      </c>
      <c r="B28" s="16"/>
      <c r="C28" s="16"/>
      <c r="D28" s="16"/>
      <c r="E28" s="16"/>
      <c r="F28" s="17"/>
      <c r="H28"/>
      <c r="I28" s="43"/>
    </row>
    <row r="29" spans="1:9">
      <c r="A29" s="18" t="s">
        <v>27</v>
      </c>
      <c r="B29" s="1">
        <f>B18</f>
        <v>38177.567999999999</v>
      </c>
      <c r="C29" s="1">
        <f>C18</f>
        <v>151939.008</v>
      </c>
      <c r="D29" s="1">
        <f t="shared" ref="D29:F29" si="14">D18</f>
        <v>301564.22399999999</v>
      </c>
      <c r="E29" s="1">
        <f t="shared" si="14"/>
        <v>448104.38400000002</v>
      </c>
      <c r="F29" s="15">
        <f t="shared" si="14"/>
        <v>515204.35200000001</v>
      </c>
      <c r="H29"/>
      <c r="I29" s="43"/>
    </row>
    <row r="30" spans="1:9">
      <c r="A30" s="18" t="s">
        <v>28</v>
      </c>
      <c r="B30" s="6">
        <f>B9</f>
        <v>20600</v>
      </c>
      <c r="C30" s="6">
        <f>C9</f>
        <v>82400</v>
      </c>
      <c r="D30" s="6">
        <f t="shared" ref="D30:F30" si="15">D9</f>
        <v>164800</v>
      </c>
      <c r="E30" s="6">
        <f t="shared" si="15"/>
        <v>247200</v>
      </c>
      <c r="F30" s="25">
        <f t="shared" si="15"/>
        <v>288400</v>
      </c>
      <c r="H30"/>
      <c r="I30" s="43"/>
    </row>
    <row r="31" spans="1:9">
      <c r="A31" s="18" t="s">
        <v>29</v>
      </c>
      <c r="B31" s="6">
        <f>B4*$I$5</f>
        <v>164800</v>
      </c>
      <c r="C31" s="6">
        <f>C4*$I$5</f>
        <v>329600</v>
      </c>
      <c r="D31" s="3">
        <f>C31+D4*I5</f>
        <v>659200</v>
      </c>
      <c r="E31" s="3">
        <f>D31+E4*$I$5</f>
        <v>988800</v>
      </c>
      <c r="F31" s="26">
        <f>E31+F4*$I$5</f>
        <v>988800</v>
      </c>
      <c r="H31"/>
      <c r="I31" s="43"/>
    </row>
    <row r="32" spans="1:9">
      <c r="A32" s="18"/>
      <c r="F32" s="52"/>
      <c r="H32"/>
      <c r="I32" s="43"/>
    </row>
    <row r="33" spans="1:9">
      <c r="A33" s="18" t="s">
        <v>30</v>
      </c>
      <c r="B33" s="1">
        <f>B29+B30-B31</f>
        <v>-106022.432</v>
      </c>
      <c r="C33" s="1">
        <f>C29+C30-C31</f>
        <v>-95260.991999999998</v>
      </c>
      <c r="D33" s="1">
        <f t="shared" ref="D33:F33" si="16">D29+D30-D31</f>
        <v>-192835.77600000001</v>
      </c>
      <c r="E33" s="1">
        <f t="shared" si="16"/>
        <v>-293495.61599999992</v>
      </c>
      <c r="F33" s="15">
        <f t="shared" si="16"/>
        <v>-185195.64800000004</v>
      </c>
      <c r="G33" s="1"/>
      <c r="H33"/>
      <c r="I33" s="43"/>
    </row>
    <row r="34" spans="1:9">
      <c r="A34" s="18"/>
      <c r="F34" s="52"/>
      <c r="H34"/>
      <c r="I34" s="43"/>
    </row>
    <row r="35" spans="1:9">
      <c r="A35" s="19" t="s">
        <v>31</v>
      </c>
      <c r="B35" s="10">
        <f>B33*0.265</f>
        <v>-28095.944480000002</v>
      </c>
      <c r="C35" s="10">
        <f>C33*0.265</f>
        <v>-25244.16288</v>
      </c>
      <c r="D35" s="10">
        <f t="shared" ref="D35:E35" si="17">D33*0.265</f>
        <v>-51101.480640000009</v>
      </c>
      <c r="E35" s="10">
        <f t="shared" si="17"/>
        <v>-77776.338239999983</v>
      </c>
      <c r="F35" s="27">
        <f t="shared" ref="F35" si="18">F33*0.265</f>
        <v>-49076.846720000016</v>
      </c>
      <c r="H35"/>
      <c r="I35" s="43"/>
    </row>
    <row r="36" spans="1:9" ht="15.75" thickBot="1">
      <c r="A36" s="32" t="s">
        <v>32</v>
      </c>
      <c r="B36" s="33">
        <f>B35/(1-0.265)</f>
        <v>-38225.774802721091</v>
      </c>
      <c r="C36" s="33">
        <f>C35/(1-0.265)</f>
        <v>-34345.799836734695</v>
      </c>
      <c r="D36" s="33">
        <f t="shared" ref="D36:E36" si="19">D35/(1-0.265)</f>
        <v>-69525.824000000008</v>
      </c>
      <c r="E36" s="33">
        <f t="shared" si="19"/>
        <v>-105818.14726530611</v>
      </c>
      <c r="F36" s="34">
        <f t="shared" ref="F36" si="20">F35/(1-0.265)</f>
        <v>-66771.220027210904</v>
      </c>
      <c r="H36"/>
      <c r="I36" s="43"/>
    </row>
    <row r="37" spans="1:9">
      <c r="H37"/>
      <c r="I37" s="43"/>
    </row>
    <row r="38" spans="1:9" ht="15.75" thickBot="1">
      <c r="H38"/>
      <c r="I38" s="43"/>
    </row>
    <row r="39" spans="1:9">
      <c r="A39" s="11" t="s">
        <v>33</v>
      </c>
      <c r="B39" s="62">
        <v>2024</v>
      </c>
      <c r="C39" s="62">
        <v>2025</v>
      </c>
      <c r="D39" s="62">
        <v>2026</v>
      </c>
      <c r="E39" s="62">
        <v>2027</v>
      </c>
      <c r="F39" s="63">
        <v>2028</v>
      </c>
    </row>
    <row r="40" spans="1:9">
      <c r="A40" s="18" t="s">
        <v>34</v>
      </c>
      <c r="B40" s="3">
        <f>B18+B24</f>
        <v>61373.703599999993</v>
      </c>
      <c r="C40" s="3">
        <f>C18+C24</f>
        <v>244254.94159999999</v>
      </c>
      <c r="D40" s="3">
        <f>D18+D24</f>
        <v>484790.2648</v>
      </c>
      <c r="E40" s="3">
        <f>E18+E24</f>
        <v>720366.09679999994</v>
      </c>
      <c r="F40" s="26">
        <f>F18+F24</f>
        <v>828235.03040000005</v>
      </c>
    </row>
    <row r="41" spans="1:9">
      <c r="A41" s="18" t="s">
        <v>35</v>
      </c>
      <c r="B41" s="3">
        <f>B9</f>
        <v>20600</v>
      </c>
      <c r="C41" s="3">
        <f>C9</f>
        <v>82400</v>
      </c>
      <c r="D41" s="3">
        <f>D9</f>
        <v>164800</v>
      </c>
      <c r="E41" s="3">
        <f>E9</f>
        <v>247200</v>
      </c>
      <c r="F41" s="26">
        <f>F9</f>
        <v>288400</v>
      </c>
    </row>
    <row r="42" spans="1:9">
      <c r="A42" s="19" t="s">
        <v>36</v>
      </c>
      <c r="B42" s="2">
        <f>B36</f>
        <v>-38225.774802721091</v>
      </c>
      <c r="C42" s="2">
        <f>C36</f>
        <v>-34345.799836734695</v>
      </c>
      <c r="D42" s="2">
        <f t="shared" ref="D42:E42" si="21">D36</f>
        <v>-69525.824000000008</v>
      </c>
      <c r="E42" s="2">
        <f t="shared" si="21"/>
        <v>-105818.14726530611</v>
      </c>
      <c r="F42" s="31">
        <f t="shared" ref="F42" si="22">F36</f>
        <v>-66771.220027210904</v>
      </c>
    </row>
    <row r="43" spans="1:9">
      <c r="A43" s="64" t="s">
        <v>33</v>
      </c>
      <c r="B43" s="65">
        <f>SUM(B40:B42)</f>
        <v>43747.928797278902</v>
      </c>
      <c r="C43" s="65">
        <f>SUM(C40:C42)</f>
        <v>292309.1417632653</v>
      </c>
      <c r="D43" s="65">
        <f>SUM(D40:D42)</f>
        <v>580064.44079999998</v>
      </c>
      <c r="E43" s="65">
        <f>SUM(E40:E42)</f>
        <v>861747.94953469385</v>
      </c>
      <c r="F43" s="66">
        <f>SUM(F40:F42)</f>
        <v>1049863.8103727892</v>
      </c>
    </row>
    <row r="44" spans="1:9" ht="15.75" thickBot="1">
      <c r="A44" s="24"/>
      <c r="B44" s="51"/>
      <c r="C44" s="38"/>
      <c r="D44" s="38"/>
      <c r="E44" s="39" t="s">
        <v>37</v>
      </c>
      <c r="F44" s="40">
        <f>SUM(B43:F43)</f>
        <v>2827733.2712680269</v>
      </c>
    </row>
    <row r="45" spans="1:9" ht="15.75" thickBot="1"/>
    <row r="46" spans="1:9">
      <c r="A46" s="100" t="s">
        <v>38</v>
      </c>
      <c r="B46" s="101">
        <f>B43</f>
        <v>43747.928797278902</v>
      </c>
      <c r="C46" s="101">
        <f>B46+C43</f>
        <v>336057.07056054421</v>
      </c>
      <c r="D46" s="101">
        <f t="shared" ref="D46:F46" si="23">C46+D43</f>
        <v>916121.51136054425</v>
      </c>
      <c r="E46" s="101">
        <f t="shared" si="23"/>
        <v>1777869.460895238</v>
      </c>
      <c r="F46" s="102">
        <f t="shared" si="23"/>
        <v>2827733.2712680269</v>
      </c>
    </row>
    <row r="47" spans="1:9">
      <c r="A47" s="19" t="s">
        <v>39</v>
      </c>
      <c r="B47" s="10">
        <f>(B43/2)*G47</f>
        <v>1089.3234270522446</v>
      </c>
      <c r="C47" s="10">
        <f>B46*$G$47+(C43/2)*$G$47</f>
        <v>9457.1444840097956</v>
      </c>
      <c r="D47" s="10">
        <f>C46*$G$47+(D43/2)*$G$47</f>
        <v>31179.246689835098</v>
      </c>
      <c r="E47" s="10">
        <f t="shared" ref="D47:F47" si="24">D46*$G$47+(E43/2)*$G$47</f>
        <v>67080.375209168982</v>
      </c>
      <c r="F47" s="27">
        <f t="shared" si="24"/>
        <v>114679.5080308653</v>
      </c>
      <c r="G47" s="98">
        <v>4.9799999999999997E-2</v>
      </c>
      <c r="H47" s="99" t="s">
        <v>40</v>
      </c>
    </row>
    <row r="48" spans="1:9" ht="15.75" thickBot="1">
      <c r="A48" s="32" t="s">
        <v>41</v>
      </c>
      <c r="B48" s="33">
        <f>B46+B47</f>
        <v>44837.252224331147</v>
      </c>
      <c r="C48" s="33">
        <f>SUM(C46:C47)</f>
        <v>345514.21504455397</v>
      </c>
      <c r="D48" s="33">
        <f t="shared" ref="D48:F48" si="25">SUM(D46:D47)</f>
        <v>947300.75805037934</v>
      </c>
      <c r="E48" s="33">
        <f t="shared" si="25"/>
        <v>1844949.836104407</v>
      </c>
      <c r="F48" s="34">
        <f t="shared" si="25"/>
        <v>2942412.7792988922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6766-FAF2-4453-97CA-AC171A28363D}">
  <dimension ref="A1:I56"/>
  <sheetViews>
    <sheetView showGridLines="0" topLeftCell="A43" workbookViewId="0">
      <selection activeCell="H13" sqref="H13"/>
    </sheetView>
  </sheetViews>
  <sheetFormatPr defaultRowHeight="15"/>
  <cols>
    <col min="1" max="1" width="57" customWidth="1"/>
    <col min="2" max="6" width="12.5703125" customWidth="1"/>
    <col min="7" max="7" width="20.5703125" customWidth="1"/>
    <col min="8" max="8" width="19.85546875" style="43" customWidth="1"/>
    <col min="9" max="9" width="54.140625" bestFit="1" customWidth="1"/>
  </cols>
  <sheetData>
    <row r="1" spans="1:9" ht="15.75" thickBot="1">
      <c r="G1" s="5"/>
    </row>
    <row r="2" spans="1:9">
      <c r="A2" s="11" t="s">
        <v>42</v>
      </c>
      <c r="B2" s="12"/>
      <c r="C2" s="12">
        <v>2025</v>
      </c>
      <c r="D2" s="12">
        <v>2026</v>
      </c>
      <c r="E2" s="12">
        <v>2027</v>
      </c>
      <c r="F2" s="13"/>
      <c r="H2" s="11" t="s">
        <v>2</v>
      </c>
      <c r="I2" s="44"/>
    </row>
    <row r="3" spans="1:9">
      <c r="A3" s="14" t="s">
        <v>43</v>
      </c>
      <c r="B3" s="88"/>
      <c r="C3" s="6">
        <v>9180000</v>
      </c>
      <c r="D3" s="6">
        <v>9253000</v>
      </c>
      <c r="E3" s="6">
        <v>9328000</v>
      </c>
      <c r="F3" s="89"/>
      <c r="H3" s="18" t="s">
        <v>4</v>
      </c>
      <c r="I3" s="45">
        <v>50</v>
      </c>
    </row>
    <row r="4" spans="1:9">
      <c r="A4" s="28" t="s">
        <v>44</v>
      </c>
      <c r="B4" s="90"/>
      <c r="C4" s="7">
        <v>8025496.8045348125</v>
      </c>
      <c r="D4" s="7">
        <v>8332139.8131665345</v>
      </c>
      <c r="E4" s="7">
        <v>8658160.7128489893</v>
      </c>
      <c r="F4" s="91"/>
      <c r="H4" s="18" t="s">
        <v>6</v>
      </c>
      <c r="I4" s="46">
        <v>0.08</v>
      </c>
    </row>
    <row r="5" spans="1:9">
      <c r="A5" s="14" t="s">
        <v>45</v>
      </c>
      <c r="B5" s="6"/>
      <c r="C5" s="6">
        <f>IF(C3-C4&gt;0,C3-C4,0)</f>
        <v>1154503.1954651875</v>
      </c>
      <c r="D5" s="6">
        <f t="shared" ref="D5:E5" si="0">IF(D3-D4&gt;0,D3-D4,0)</f>
        <v>920860.18683346547</v>
      </c>
      <c r="E5" s="6">
        <f t="shared" si="0"/>
        <v>669839.28715101071</v>
      </c>
      <c r="F5" s="26"/>
      <c r="H5" s="18" t="s">
        <v>8</v>
      </c>
      <c r="I5" s="47" t="s">
        <v>46</v>
      </c>
    </row>
    <row r="6" spans="1:9">
      <c r="A6" s="14" t="s">
        <v>47</v>
      </c>
      <c r="B6" s="6"/>
      <c r="C6" s="6">
        <f>C5/$I$3</f>
        <v>23090.06390930375</v>
      </c>
      <c r="D6" s="6">
        <f>D5/$I$3</f>
        <v>18417.203736669311</v>
      </c>
      <c r="E6" s="6">
        <f>E5/$I$3</f>
        <v>13396.785743020215</v>
      </c>
      <c r="F6" s="26"/>
      <c r="H6" s="18" t="s">
        <v>10</v>
      </c>
      <c r="I6" s="47" t="s">
        <v>11</v>
      </c>
    </row>
    <row r="7" spans="1:9" ht="15.75" thickBot="1">
      <c r="A7" s="86" t="s">
        <v>48</v>
      </c>
      <c r="B7" s="87"/>
      <c r="C7" s="87">
        <f>C5*$I$4</f>
        <v>92360.255637214999</v>
      </c>
      <c r="D7" s="87">
        <f>D5*$I$4</f>
        <v>73668.814946677245</v>
      </c>
      <c r="E7" s="87">
        <f>E5*$I$4</f>
        <v>53587.142972080859</v>
      </c>
      <c r="F7" s="71"/>
      <c r="H7" s="18" t="s">
        <v>49</v>
      </c>
      <c r="I7" s="103" t="s">
        <v>50</v>
      </c>
    </row>
    <row r="8" spans="1:9" ht="15.75" thickBot="1">
      <c r="H8" s="18"/>
      <c r="I8" s="103"/>
    </row>
    <row r="9" spans="1:9" ht="15.75" thickBot="1">
      <c r="A9" s="11" t="s">
        <v>17</v>
      </c>
      <c r="B9" s="16"/>
      <c r="C9" s="16"/>
      <c r="D9" s="16"/>
      <c r="E9" s="16"/>
      <c r="F9" s="17"/>
      <c r="H9" s="24"/>
      <c r="I9" s="104"/>
    </row>
    <row r="10" spans="1:9">
      <c r="A10" s="18" t="s">
        <v>51</v>
      </c>
      <c r="B10" s="3"/>
      <c r="C10" s="1">
        <f t="shared" ref="C10:E11" si="1">C5</f>
        <v>1154503.1954651875</v>
      </c>
      <c r="D10" s="1">
        <f t="shared" si="1"/>
        <v>920860.18683346547</v>
      </c>
      <c r="E10" s="1">
        <f t="shared" si="1"/>
        <v>669839.28715101071</v>
      </c>
      <c r="F10" s="26"/>
      <c r="H10"/>
      <c r="I10" s="43"/>
    </row>
    <row r="11" spans="1:9">
      <c r="A11" s="19" t="s">
        <v>52</v>
      </c>
      <c r="B11" s="2"/>
      <c r="C11" s="10">
        <f t="shared" si="1"/>
        <v>23090.06390930375</v>
      </c>
      <c r="D11" s="10">
        <f t="shared" si="1"/>
        <v>18417.203736669311</v>
      </c>
      <c r="E11" s="10">
        <f t="shared" si="1"/>
        <v>13396.785743020215</v>
      </c>
      <c r="F11" s="31"/>
      <c r="H11"/>
      <c r="I11" s="43"/>
    </row>
    <row r="12" spans="1:9">
      <c r="A12" s="18" t="s">
        <v>53</v>
      </c>
      <c r="B12" s="3"/>
      <c r="C12" s="3">
        <f>C10-C11/2</f>
        <v>1142958.1635105356</v>
      </c>
      <c r="D12" s="3">
        <f t="shared" ref="D12:E12" si="2">D10-D11/2</f>
        <v>911651.58496513078</v>
      </c>
      <c r="E12" s="3">
        <f t="shared" si="2"/>
        <v>663140.89427950059</v>
      </c>
      <c r="F12" s="26"/>
      <c r="H12"/>
      <c r="I12" s="43"/>
    </row>
    <row r="13" spans="1:9">
      <c r="A13" s="18"/>
      <c r="B13" s="3"/>
      <c r="C13" s="3"/>
      <c r="D13" s="3"/>
      <c r="E13" s="3"/>
      <c r="F13" s="26"/>
      <c r="H13"/>
      <c r="I13" s="43"/>
    </row>
    <row r="14" spans="1:9">
      <c r="A14" s="18" t="s">
        <v>54</v>
      </c>
      <c r="B14" s="68">
        <v>0.04</v>
      </c>
      <c r="C14" s="3">
        <f>C12*$B$14</f>
        <v>45718.326540421425</v>
      </c>
      <c r="D14" s="3">
        <f t="shared" ref="D14:E14" si="3">D12*$B$14</f>
        <v>36466.063398605234</v>
      </c>
      <c r="E14" s="3">
        <f t="shared" si="3"/>
        <v>26525.635771180023</v>
      </c>
      <c r="F14" s="26"/>
      <c r="H14"/>
      <c r="I14" s="43"/>
    </row>
    <row r="15" spans="1:9">
      <c r="A15" s="18" t="s">
        <v>55</v>
      </c>
      <c r="B15" s="68">
        <v>0.56000000000000005</v>
      </c>
      <c r="C15" s="3">
        <f>C12*$B$15</f>
        <v>640056.5715659</v>
      </c>
      <c r="D15" s="3">
        <f t="shared" ref="D15:E15" si="4">D12*$B$15</f>
        <v>510524.88758047327</v>
      </c>
      <c r="E15" s="3">
        <f t="shared" si="4"/>
        <v>371358.90079652035</v>
      </c>
      <c r="F15" s="26"/>
      <c r="H15"/>
      <c r="I15" s="43"/>
    </row>
    <row r="16" spans="1:9">
      <c r="A16" s="18"/>
      <c r="B16" s="69" t="s">
        <v>56</v>
      </c>
      <c r="C16" s="3"/>
      <c r="D16" s="3"/>
      <c r="E16" s="3"/>
      <c r="F16" s="26"/>
      <c r="H16"/>
      <c r="I16" s="43"/>
    </row>
    <row r="17" spans="1:9">
      <c r="A17" s="18" t="s">
        <v>57</v>
      </c>
      <c r="B17" s="70">
        <v>4.7899999999999998E-2</v>
      </c>
      <c r="C17" s="3">
        <f>C14*$B$17</f>
        <v>2189.9078412861863</v>
      </c>
      <c r="D17" s="3">
        <f t="shared" ref="D17:E17" si="5">D14*$B$17</f>
        <v>1746.7244367931908</v>
      </c>
      <c r="E17" s="3">
        <f t="shared" si="5"/>
        <v>1270.5779534395231</v>
      </c>
      <c r="F17" s="26"/>
      <c r="H17"/>
      <c r="I17" s="43"/>
    </row>
    <row r="18" spans="1:9">
      <c r="A18" s="19" t="s">
        <v>58</v>
      </c>
      <c r="B18" s="79">
        <v>3.7199999999999997E-2</v>
      </c>
      <c r="C18" s="2">
        <f>C15*$B$18</f>
        <v>23810.104462251478</v>
      </c>
      <c r="D18" s="2">
        <f t="shared" ref="D18:E18" si="6">D15*$B$18</f>
        <v>18991.525817993603</v>
      </c>
      <c r="E18" s="2">
        <f t="shared" si="6"/>
        <v>13814.551109630556</v>
      </c>
      <c r="F18" s="31"/>
      <c r="H18"/>
      <c r="I18" s="43"/>
    </row>
    <row r="19" spans="1:9">
      <c r="A19" s="80" t="s">
        <v>59</v>
      </c>
      <c r="B19" s="81"/>
      <c r="C19" s="81">
        <f>C17+C18</f>
        <v>26000.012303537664</v>
      </c>
      <c r="D19" s="81">
        <f>D17+D18</f>
        <v>20738.250254786792</v>
      </c>
      <c r="E19" s="81">
        <f>E17+E18</f>
        <v>15085.129063070079</v>
      </c>
      <c r="F19" s="82"/>
      <c r="H19"/>
      <c r="I19" s="43"/>
    </row>
    <row r="20" spans="1:9">
      <c r="A20" s="18"/>
      <c r="B20" s="3"/>
      <c r="C20" s="3"/>
      <c r="D20" s="3"/>
      <c r="E20" s="3"/>
      <c r="F20" s="26"/>
      <c r="H20"/>
      <c r="I20" s="43"/>
    </row>
    <row r="21" spans="1:9">
      <c r="A21" s="18" t="s">
        <v>60</v>
      </c>
      <c r="B21" s="68">
        <v>0.4</v>
      </c>
      <c r="C21" s="3">
        <f>C12*$B$21</f>
        <v>457183.26540421427</v>
      </c>
      <c r="D21" s="3">
        <f>D12*$B$21</f>
        <v>364660.63398605236</v>
      </c>
      <c r="E21" s="3">
        <f>E12*$B$21</f>
        <v>265256.35771180026</v>
      </c>
      <c r="F21" s="26"/>
      <c r="H21"/>
      <c r="I21" s="43"/>
    </row>
    <row r="22" spans="1:9">
      <c r="A22" s="19"/>
      <c r="B22" s="83" t="s">
        <v>56</v>
      </c>
      <c r="C22" s="2"/>
      <c r="D22" s="2"/>
      <c r="E22" s="2"/>
      <c r="F22" s="31"/>
      <c r="H22"/>
      <c r="I22" s="43"/>
    </row>
    <row r="23" spans="1:9">
      <c r="A23" s="80" t="s">
        <v>61</v>
      </c>
      <c r="B23" s="84">
        <v>9.3600000000000003E-2</v>
      </c>
      <c r="C23" s="81">
        <f>C21*$B$23</f>
        <v>42792.353641834459</v>
      </c>
      <c r="D23" s="81">
        <f t="shared" ref="D23:E23" si="7">D21*$B$23</f>
        <v>34132.2353410945</v>
      </c>
      <c r="E23" s="81">
        <f t="shared" si="7"/>
        <v>24827.995081824505</v>
      </c>
      <c r="F23" s="82"/>
      <c r="H23"/>
      <c r="I23" s="43"/>
    </row>
    <row r="24" spans="1:9">
      <c r="A24" s="80"/>
      <c r="B24" s="81"/>
      <c r="C24" s="81"/>
      <c r="D24" s="81"/>
      <c r="E24" s="81"/>
      <c r="F24" s="82"/>
      <c r="H24"/>
      <c r="I24" s="43"/>
    </row>
    <row r="25" spans="1:9" ht="15.75" thickBot="1">
      <c r="A25" s="32" t="s">
        <v>34</v>
      </c>
      <c r="B25" s="85"/>
      <c r="C25" s="85">
        <f>C19+C23</f>
        <v>68792.365945372119</v>
      </c>
      <c r="D25" s="85">
        <f t="shared" ref="D25:E25" si="8">D19+D23</f>
        <v>54870.485595881291</v>
      </c>
      <c r="E25" s="85">
        <f t="shared" si="8"/>
        <v>39913.12414489458</v>
      </c>
      <c r="F25" s="40"/>
      <c r="H25"/>
      <c r="I25" s="43"/>
    </row>
    <row r="26" spans="1:9" ht="15.75" thickBot="1">
      <c r="A26" s="18"/>
      <c r="B26" s="67"/>
      <c r="C26" s="67"/>
      <c r="D26" s="67"/>
      <c r="E26" s="67"/>
      <c r="F26" s="67"/>
      <c r="H26"/>
      <c r="I26" s="43"/>
    </row>
    <row r="27" spans="1:9">
      <c r="A27" s="95" t="s">
        <v>62</v>
      </c>
      <c r="B27" s="96"/>
      <c r="C27" s="96"/>
      <c r="D27" s="96"/>
      <c r="E27" s="96"/>
      <c r="F27" s="97"/>
      <c r="H27"/>
      <c r="I27" s="43"/>
    </row>
    <row r="28" spans="1:9" ht="15.75" thickBot="1">
      <c r="A28" s="24" t="s">
        <v>63</v>
      </c>
      <c r="B28" s="38"/>
      <c r="C28" s="38">
        <f>C11</f>
        <v>23090.06390930375</v>
      </c>
      <c r="D28" s="38">
        <f>D11</f>
        <v>18417.203736669311</v>
      </c>
      <c r="E28" s="38">
        <f>E11</f>
        <v>13396.785743020215</v>
      </c>
      <c r="F28" s="71"/>
      <c r="H28"/>
      <c r="I28" s="43"/>
    </row>
    <row r="29" spans="1:9" ht="15.75" thickBot="1">
      <c r="A29" s="18"/>
      <c r="B29" s="67"/>
      <c r="C29" s="67"/>
      <c r="D29" s="67"/>
      <c r="E29" s="67"/>
      <c r="F29" s="67"/>
      <c r="H29"/>
      <c r="I29" s="43"/>
    </row>
    <row r="30" spans="1:9">
      <c r="A30" s="11" t="s">
        <v>64</v>
      </c>
      <c r="B30" s="92"/>
      <c r="C30" s="92"/>
      <c r="D30" s="92"/>
      <c r="E30" s="92"/>
      <c r="F30" s="93"/>
      <c r="H30"/>
      <c r="I30" s="43"/>
    </row>
    <row r="31" spans="1:9">
      <c r="A31" s="18" t="s">
        <v>27</v>
      </c>
      <c r="B31" s="3"/>
      <c r="C31" s="3">
        <f>C23</f>
        <v>42792.353641834459</v>
      </c>
      <c r="D31" s="3">
        <f t="shared" ref="D31:E31" si="9">D23</f>
        <v>34132.2353410945</v>
      </c>
      <c r="E31" s="3">
        <f t="shared" si="9"/>
        <v>24827.995081824505</v>
      </c>
      <c r="F31" s="26"/>
      <c r="H31"/>
      <c r="I31" s="43"/>
    </row>
    <row r="32" spans="1:9">
      <c r="A32" s="18" t="s">
        <v>28</v>
      </c>
      <c r="B32" s="3"/>
      <c r="C32" s="3">
        <f>C28</f>
        <v>23090.06390930375</v>
      </c>
      <c r="D32" s="3">
        <f t="shared" ref="D32:E32" si="10">D28</f>
        <v>18417.203736669311</v>
      </c>
      <c r="E32" s="3">
        <f t="shared" si="10"/>
        <v>13396.785743020215</v>
      </c>
      <c r="F32" s="26"/>
      <c r="H32"/>
      <c r="I32" s="43"/>
    </row>
    <row r="33" spans="1:9">
      <c r="A33" s="19" t="s">
        <v>29</v>
      </c>
      <c r="B33" s="2"/>
      <c r="C33" s="2">
        <f>C7</f>
        <v>92360.255637214999</v>
      </c>
      <c r="D33" s="2">
        <f>D7</f>
        <v>73668.814946677245</v>
      </c>
      <c r="E33" s="2">
        <f>E7</f>
        <v>53587.142972080859</v>
      </c>
      <c r="F33" s="31"/>
      <c r="H33"/>
      <c r="I33" s="43"/>
    </row>
    <row r="34" spans="1:9">
      <c r="A34" s="18" t="s">
        <v>65</v>
      </c>
      <c r="B34" s="3"/>
      <c r="C34" s="3">
        <f>C31+C32-C33</f>
        <v>-26477.838086076794</v>
      </c>
      <c r="D34" s="3">
        <f t="shared" ref="D34:E34" si="11">D31+D32-D33</f>
        <v>-21119.375868913434</v>
      </c>
      <c r="E34" s="3">
        <f t="shared" si="11"/>
        <v>-15362.362147236141</v>
      </c>
      <c r="F34" s="26"/>
      <c r="H34"/>
      <c r="I34" s="43"/>
    </row>
    <row r="35" spans="1:9">
      <c r="A35" s="18"/>
      <c r="B35" s="3"/>
      <c r="C35" s="3"/>
      <c r="D35" s="3"/>
      <c r="E35" s="3"/>
      <c r="F35" s="26"/>
      <c r="H35"/>
      <c r="I35" s="43"/>
    </row>
    <row r="36" spans="1:9">
      <c r="A36" s="18" t="s">
        <v>66</v>
      </c>
      <c r="B36" s="94">
        <v>0.26500000000000001</v>
      </c>
      <c r="C36" s="3"/>
      <c r="D36" s="3"/>
      <c r="E36" s="3"/>
      <c r="F36" s="26"/>
      <c r="H36"/>
      <c r="I36" s="43"/>
    </row>
    <row r="37" spans="1:9">
      <c r="A37" s="18"/>
      <c r="B37" s="3"/>
      <c r="C37" s="3"/>
      <c r="D37" s="3"/>
      <c r="E37" s="3"/>
      <c r="F37" s="26"/>
      <c r="H37"/>
      <c r="I37" s="43"/>
    </row>
    <row r="38" spans="1:9">
      <c r="A38" s="19" t="s">
        <v>31</v>
      </c>
      <c r="B38" s="2"/>
      <c r="C38" s="2">
        <f>C34*$B$36</f>
        <v>-7016.6270928103504</v>
      </c>
      <c r="D38" s="2">
        <f t="shared" ref="D38:E38" si="12">D34*$B$36</f>
        <v>-5596.6346052620602</v>
      </c>
      <c r="E38" s="2">
        <f t="shared" si="12"/>
        <v>-4071.0259690175776</v>
      </c>
      <c r="F38" s="31"/>
      <c r="H38"/>
      <c r="I38" s="43"/>
    </row>
    <row r="39" spans="1:9" ht="15.75" thickBot="1">
      <c r="A39" s="24" t="s">
        <v>32</v>
      </c>
      <c r="B39" s="38"/>
      <c r="C39" s="38">
        <f>C38/(1-$B$36)</f>
        <v>-9546.4314187895925</v>
      </c>
      <c r="D39" s="38">
        <f t="shared" ref="D39:E39" si="13">D38/(1-$B$36)</f>
        <v>-7614.4688506966804</v>
      </c>
      <c r="E39" s="38">
        <f t="shared" si="13"/>
        <v>-5538.8108422007863</v>
      </c>
      <c r="F39" s="71"/>
      <c r="H39"/>
      <c r="I39" s="43"/>
    </row>
    <row r="40" spans="1:9" ht="15.75" thickBot="1">
      <c r="H40"/>
      <c r="I40" s="43"/>
    </row>
    <row r="41" spans="1:9">
      <c r="A41" s="11" t="s">
        <v>67</v>
      </c>
      <c r="B41" s="16"/>
      <c r="C41" s="16"/>
      <c r="D41" s="16"/>
      <c r="E41" s="16"/>
      <c r="F41" s="17"/>
    </row>
    <row r="42" spans="1:9">
      <c r="A42" s="18" t="s">
        <v>34</v>
      </c>
      <c r="B42" s="3"/>
      <c r="C42" s="3">
        <f>C25</f>
        <v>68792.365945372119</v>
      </c>
      <c r="D42" s="3">
        <f t="shared" ref="D42:E42" si="14">D25</f>
        <v>54870.485595881291</v>
      </c>
      <c r="E42" s="3">
        <f t="shared" si="14"/>
        <v>39913.12414489458</v>
      </c>
      <c r="F42" s="26"/>
    </row>
    <row r="43" spans="1:9">
      <c r="A43" s="18" t="s">
        <v>35</v>
      </c>
      <c r="B43" s="3"/>
      <c r="C43" s="3">
        <f>C28</f>
        <v>23090.06390930375</v>
      </c>
      <c r="D43" s="3">
        <f t="shared" ref="D43:E43" si="15">D28</f>
        <v>18417.203736669311</v>
      </c>
      <c r="E43" s="3">
        <f t="shared" si="15"/>
        <v>13396.785743020215</v>
      </c>
      <c r="F43" s="26"/>
    </row>
    <row r="44" spans="1:9">
      <c r="A44" s="19" t="s">
        <v>36</v>
      </c>
      <c r="B44" s="2"/>
      <c r="C44" s="2">
        <f>C39</f>
        <v>-9546.4314187895925</v>
      </c>
      <c r="D44" s="2">
        <f t="shared" ref="D44:E44" si="16">D39</f>
        <v>-7614.4688506966804</v>
      </c>
      <c r="E44" s="2">
        <f t="shared" si="16"/>
        <v>-5538.8108422007863</v>
      </c>
      <c r="F44" s="31"/>
    </row>
    <row r="45" spans="1:9">
      <c r="A45" s="41" t="s">
        <v>68</v>
      </c>
      <c r="B45" s="42"/>
      <c r="C45" s="42">
        <f>SUM(C42:C44)</f>
        <v>82335.998435886271</v>
      </c>
      <c r="D45" s="42">
        <f>SUM(D42:D44)</f>
        <v>65673.220481853918</v>
      </c>
      <c r="E45" s="42">
        <f>SUM(E42:E44)</f>
        <v>47771.099045714007</v>
      </c>
      <c r="F45" s="50"/>
    </row>
    <row r="46" spans="1:9">
      <c r="A46" s="18"/>
      <c r="F46" s="52"/>
    </row>
    <row r="47" spans="1:9">
      <c r="A47" s="19" t="s">
        <v>69</v>
      </c>
      <c r="B47" s="73">
        <v>2024</v>
      </c>
      <c r="C47" s="73">
        <v>2025</v>
      </c>
      <c r="D47" s="73">
        <v>2026</v>
      </c>
      <c r="E47" s="73">
        <v>2027</v>
      </c>
      <c r="F47" s="78">
        <v>2028</v>
      </c>
    </row>
    <row r="48" spans="1:9">
      <c r="A48" s="18" t="s">
        <v>70</v>
      </c>
      <c r="B48" s="75">
        <v>0</v>
      </c>
      <c r="C48" s="75">
        <f>C45</f>
        <v>82335.998435886271</v>
      </c>
      <c r="D48" s="75">
        <f>C48</f>
        <v>82335.998435886271</v>
      </c>
      <c r="E48" s="75">
        <f t="shared" ref="E48:F48" si="17">D48</f>
        <v>82335.998435886271</v>
      </c>
      <c r="F48" s="76">
        <f t="shared" si="17"/>
        <v>82335.998435886271</v>
      </c>
    </row>
    <row r="49" spans="1:9">
      <c r="A49" s="18" t="s">
        <v>71</v>
      </c>
      <c r="B49" s="75">
        <v>0</v>
      </c>
      <c r="C49" s="75">
        <v>0</v>
      </c>
      <c r="D49" s="75">
        <f>D45</f>
        <v>65673.220481853918</v>
      </c>
      <c r="E49" s="75">
        <f>D49</f>
        <v>65673.220481853918</v>
      </c>
      <c r="F49" s="76">
        <f>E49</f>
        <v>65673.220481853918</v>
      </c>
      <c r="H49"/>
      <c r="I49" s="72"/>
    </row>
    <row r="50" spans="1:9">
      <c r="A50" s="19" t="s">
        <v>72</v>
      </c>
      <c r="B50" s="74">
        <v>0</v>
      </c>
      <c r="C50" s="74">
        <v>0</v>
      </c>
      <c r="D50" s="74">
        <v>0</v>
      </c>
      <c r="E50" s="74">
        <f>E45</f>
        <v>47771.099045714007</v>
      </c>
      <c r="F50" s="77">
        <f>E50</f>
        <v>47771.099045714007</v>
      </c>
      <c r="H50"/>
      <c r="I50" s="72"/>
    </row>
    <row r="51" spans="1:9">
      <c r="A51" s="19"/>
      <c r="B51" s="2">
        <f>B45</f>
        <v>0</v>
      </c>
      <c r="C51" s="2">
        <f>SUM(C48:C50)</f>
        <v>82335.998435886271</v>
      </c>
      <c r="D51" s="2">
        <f t="shared" ref="D51:F51" si="18">SUM(D48:D50)</f>
        <v>148009.21891774019</v>
      </c>
      <c r="E51" s="2">
        <f t="shared" si="18"/>
        <v>195780.3179634542</v>
      </c>
      <c r="F51" s="31">
        <f t="shared" si="18"/>
        <v>195780.3179634542</v>
      </c>
    </row>
    <row r="52" spans="1:9" ht="15.75" thickBot="1">
      <c r="A52" s="24"/>
      <c r="B52" s="51"/>
      <c r="C52" s="38"/>
      <c r="D52" s="38"/>
      <c r="E52" s="39" t="s">
        <v>73</v>
      </c>
      <c r="F52" s="40">
        <f>SUM(B51:F51)</f>
        <v>621905.85328053485</v>
      </c>
    </row>
    <row r="54" spans="1:9" s="43" customFormat="1">
      <c r="A54"/>
      <c r="B54"/>
      <c r="C54"/>
      <c r="D54"/>
      <c r="E54"/>
      <c r="F54"/>
      <c r="G54"/>
      <c r="I54"/>
    </row>
    <row r="55" spans="1:9" s="43" customFormat="1">
      <c r="A55"/>
      <c r="B55"/>
      <c r="C55"/>
      <c r="D55"/>
      <c r="E55"/>
      <c r="F55"/>
      <c r="G55"/>
      <c r="I55"/>
    </row>
    <row r="56" spans="1:9" s="43" customFormat="1">
      <c r="A56"/>
      <c r="B56"/>
      <c r="C56"/>
      <c r="D56"/>
      <c r="E56"/>
      <c r="F56"/>
      <c r="G56"/>
      <c r="I56"/>
    </row>
  </sheetData>
  <mergeCells count="1">
    <mergeCell ref="I7:I9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401F-451C-4B9C-AE3F-A2E18F10ED82}">
  <dimension ref="A1:I56"/>
  <sheetViews>
    <sheetView showGridLines="0" topLeftCell="A37" workbookViewId="0">
      <selection activeCell="G19" sqref="G19"/>
    </sheetView>
  </sheetViews>
  <sheetFormatPr defaultRowHeight="15"/>
  <cols>
    <col min="1" max="1" width="57" customWidth="1"/>
    <col min="2" max="6" width="12.5703125" customWidth="1"/>
    <col min="7" max="7" width="20.5703125" customWidth="1"/>
    <col min="8" max="8" width="19.85546875" style="43" customWidth="1"/>
    <col min="9" max="9" width="54.140625" bestFit="1" customWidth="1"/>
  </cols>
  <sheetData>
    <row r="1" spans="1:9" ht="15.75" thickBot="1">
      <c r="G1" s="5"/>
    </row>
    <row r="2" spans="1:9">
      <c r="A2" s="11" t="s">
        <v>42</v>
      </c>
      <c r="B2" s="12"/>
      <c r="C2" s="12">
        <v>2025</v>
      </c>
      <c r="D2" s="12">
        <v>2026</v>
      </c>
      <c r="E2" s="12">
        <v>2027</v>
      </c>
      <c r="F2" s="13"/>
      <c r="H2" s="11" t="s">
        <v>2</v>
      </c>
      <c r="I2" s="44"/>
    </row>
    <row r="3" spans="1:9">
      <c r="A3" s="14" t="s">
        <v>43</v>
      </c>
      <c r="B3" s="88"/>
      <c r="C3" s="6">
        <v>9180000</v>
      </c>
      <c r="D3" s="6">
        <v>9253000</v>
      </c>
      <c r="E3" s="6">
        <v>9328000</v>
      </c>
      <c r="F3" s="89"/>
      <c r="H3" s="18" t="s">
        <v>4</v>
      </c>
      <c r="I3" s="45">
        <v>50</v>
      </c>
    </row>
    <row r="4" spans="1:9">
      <c r="A4" s="28" t="s">
        <v>44</v>
      </c>
      <c r="B4" s="90"/>
      <c r="C4" s="7">
        <v>8893998.5648319833</v>
      </c>
      <c r="D4" s="7">
        <v>9320232.4170975611</v>
      </c>
      <c r="E4" s="7">
        <v>9778222.490505252</v>
      </c>
      <c r="F4" s="91"/>
      <c r="H4" s="18" t="s">
        <v>6</v>
      </c>
      <c r="I4" s="46">
        <v>0.08</v>
      </c>
    </row>
    <row r="5" spans="1:9">
      <c r="A5" s="14" t="s">
        <v>45</v>
      </c>
      <c r="B5" s="6"/>
      <c r="C5" s="6">
        <f>IF(C3-C4&gt;0,C3-C4,0)</f>
        <v>286001.4351680167</v>
      </c>
      <c r="D5" s="6">
        <f t="shared" ref="D5:E5" si="0">IF(D3-D4&gt;0,D3-D4,0)</f>
        <v>0</v>
      </c>
      <c r="E5" s="6">
        <f t="shared" si="0"/>
        <v>0</v>
      </c>
      <c r="F5" s="26"/>
      <c r="H5" s="18" t="s">
        <v>8</v>
      </c>
      <c r="I5" s="47" t="s">
        <v>46</v>
      </c>
    </row>
    <row r="6" spans="1:9">
      <c r="A6" s="14" t="s">
        <v>47</v>
      </c>
      <c r="B6" s="6"/>
      <c r="C6" s="6">
        <f>C5/$I$3</f>
        <v>5720.0287033603345</v>
      </c>
      <c r="D6" s="6">
        <f>D5/$I$3</f>
        <v>0</v>
      </c>
      <c r="E6" s="6">
        <f>E5/$I$3</f>
        <v>0</v>
      </c>
      <c r="F6" s="26"/>
      <c r="H6" s="18" t="s">
        <v>10</v>
      </c>
      <c r="I6" s="47" t="s">
        <v>11</v>
      </c>
    </row>
    <row r="7" spans="1:9" ht="15.75" thickBot="1">
      <c r="A7" s="86" t="s">
        <v>48</v>
      </c>
      <c r="B7" s="87"/>
      <c r="C7" s="87">
        <f>C5*$I$4</f>
        <v>22880.114813441338</v>
      </c>
      <c r="D7" s="87">
        <f>D5*$I$4</f>
        <v>0</v>
      </c>
      <c r="E7" s="87">
        <f>E5*$I$4</f>
        <v>0</v>
      </c>
      <c r="F7" s="71"/>
      <c r="H7" s="18" t="s">
        <v>49</v>
      </c>
      <c r="I7" s="103" t="s">
        <v>50</v>
      </c>
    </row>
    <row r="8" spans="1:9" ht="15.75" thickBot="1">
      <c r="H8" s="18"/>
      <c r="I8" s="103"/>
    </row>
    <row r="9" spans="1:9" ht="15.75" thickBot="1">
      <c r="A9" s="11" t="s">
        <v>17</v>
      </c>
      <c r="B9" s="16"/>
      <c r="C9" s="16"/>
      <c r="D9" s="16"/>
      <c r="E9" s="16"/>
      <c r="F9" s="17"/>
      <c r="H9" s="24"/>
      <c r="I9" s="104"/>
    </row>
    <row r="10" spans="1:9">
      <c r="A10" s="18" t="s">
        <v>51</v>
      </c>
      <c r="B10" s="3"/>
      <c r="C10" s="1">
        <f t="shared" ref="C10:E11" si="1">C5</f>
        <v>286001.4351680167</v>
      </c>
      <c r="D10" s="1">
        <f t="shared" si="1"/>
        <v>0</v>
      </c>
      <c r="E10" s="1">
        <f t="shared" si="1"/>
        <v>0</v>
      </c>
      <c r="F10" s="26"/>
      <c r="H10"/>
      <c r="I10" s="43"/>
    </row>
    <row r="11" spans="1:9">
      <c r="A11" s="19" t="s">
        <v>52</v>
      </c>
      <c r="B11" s="2"/>
      <c r="C11" s="10">
        <f t="shared" si="1"/>
        <v>5720.0287033603345</v>
      </c>
      <c r="D11" s="10">
        <f t="shared" si="1"/>
        <v>0</v>
      </c>
      <c r="E11" s="10">
        <f t="shared" si="1"/>
        <v>0</v>
      </c>
      <c r="F11" s="31"/>
      <c r="H11"/>
      <c r="I11" s="43"/>
    </row>
    <row r="12" spans="1:9">
      <c r="A12" s="18" t="s">
        <v>53</v>
      </c>
      <c r="B12" s="3"/>
      <c r="C12" s="3">
        <f>C10-C11/2</f>
        <v>283141.42081633653</v>
      </c>
      <c r="D12" s="3">
        <f t="shared" ref="D12:E12" si="2">D10-D11/2</f>
        <v>0</v>
      </c>
      <c r="E12" s="3">
        <f t="shared" si="2"/>
        <v>0</v>
      </c>
      <c r="F12" s="26"/>
      <c r="H12"/>
      <c r="I12" s="43"/>
    </row>
    <row r="13" spans="1:9">
      <c r="A13" s="18"/>
      <c r="B13" s="3"/>
      <c r="C13" s="3"/>
      <c r="D13" s="3"/>
      <c r="E13" s="3"/>
      <c r="F13" s="26"/>
      <c r="H13"/>
      <c r="I13" s="43"/>
    </row>
    <row r="14" spans="1:9">
      <c r="A14" s="18" t="s">
        <v>54</v>
      </c>
      <c r="B14" s="68">
        <v>0.04</v>
      </c>
      <c r="C14" s="3">
        <f>C12*$B$14</f>
        <v>11325.656832653462</v>
      </c>
      <c r="D14" s="3">
        <f t="shared" ref="D14:E14" si="3">D12*$B$14</f>
        <v>0</v>
      </c>
      <c r="E14" s="3">
        <f t="shared" si="3"/>
        <v>0</v>
      </c>
      <c r="F14" s="26"/>
      <c r="H14"/>
      <c r="I14" s="43"/>
    </row>
    <row r="15" spans="1:9">
      <c r="A15" s="18" t="s">
        <v>55</v>
      </c>
      <c r="B15" s="68">
        <v>0.56000000000000005</v>
      </c>
      <c r="C15" s="3">
        <f>C12*$B$15</f>
        <v>158559.19565714846</v>
      </c>
      <c r="D15" s="3">
        <f t="shared" ref="D15:E15" si="4">D12*$B$15</f>
        <v>0</v>
      </c>
      <c r="E15" s="3">
        <f t="shared" si="4"/>
        <v>0</v>
      </c>
      <c r="F15" s="26"/>
      <c r="H15"/>
      <c r="I15" s="43"/>
    </row>
    <row r="16" spans="1:9">
      <c r="A16" s="18"/>
      <c r="B16" s="69" t="s">
        <v>56</v>
      </c>
      <c r="C16" s="3"/>
      <c r="D16" s="3"/>
      <c r="E16" s="3"/>
      <c r="F16" s="26"/>
      <c r="H16"/>
      <c r="I16" s="43"/>
    </row>
    <row r="17" spans="1:9">
      <c r="A17" s="18" t="s">
        <v>57</v>
      </c>
      <c r="B17" s="70">
        <v>4.7899999999999998E-2</v>
      </c>
      <c r="C17" s="3">
        <f>C14*$B$17</f>
        <v>542.4989622841008</v>
      </c>
      <c r="D17" s="3">
        <f t="shared" ref="D17:E17" si="5">D14*$B$17</f>
        <v>0</v>
      </c>
      <c r="E17" s="3">
        <f t="shared" si="5"/>
        <v>0</v>
      </c>
      <c r="F17" s="26"/>
      <c r="H17"/>
      <c r="I17" s="43"/>
    </row>
    <row r="18" spans="1:9">
      <c r="A18" s="19" t="s">
        <v>58</v>
      </c>
      <c r="B18" s="79">
        <v>3.7199999999999997E-2</v>
      </c>
      <c r="C18" s="2">
        <f>C15*$B$18</f>
        <v>5898.4020784459226</v>
      </c>
      <c r="D18" s="2">
        <f t="shared" ref="D18:E18" si="6">D15*$B$18</f>
        <v>0</v>
      </c>
      <c r="E18" s="2">
        <f t="shared" si="6"/>
        <v>0</v>
      </c>
      <c r="F18" s="31"/>
      <c r="H18"/>
      <c r="I18" s="43"/>
    </row>
    <row r="19" spans="1:9">
      <c r="A19" s="80" t="s">
        <v>59</v>
      </c>
      <c r="B19" s="81"/>
      <c r="C19" s="81">
        <f>C17+C18</f>
        <v>6440.9010407300229</v>
      </c>
      <c r="D19" s="81">
        <f>D17+D18</f>
        <v>0</v>
      </c>
      <c r="E19" s="81">
        <f>E17+E18</f>
        <v>0</v>
      </c>
      <c r="F19" s="82"/>
      <c r="H19"/>
      <c r="I19" s="43"/>
    </row>
    <row r="20" spans="1:9">
      <c r="A20" s="18"/>
      <c r="B20" s="3"/>
      <c r="C20" s="3"/>
      <c r="D20" s="3"/>
      <c r="E20" s="3"/>
      <c r="F20" s="26"/>
      <c r="H20"/>
      <c r="I20" s="43"/>
    </row>
    <row r="21" spans="1:9">
      <c r="A21" s="18" t="s">
        <v>60</v>
      </c>
      <c r="B21" s="68">
        <v>0.4</v>
      </c>
      <c r="C21" s="3">
        <f>C12*$B$21</f>
        <v>113256.56832653462</v>
      </c>
      <c r="D21" s="3">
        <f>D12*$B$21</f>
        <v>0</v>
      </c>
      <c r="E21" s="3">
        <f>E12*$B$21</f>
        <v>0</v>
      </c>
      <c r="F21" s="26"/>
      <c r="H21"/>
      <c r="I21" s="43"/>
    </row>
    <row r="22" spans="1:9">
      <c r="A22" s="19"/>
      <c r="B22" s="83" t="s">
        <v>56</v>
      </c>
      <c r="C22" s="2"/>
      <c r="D22" s="2"/>
      <c r="E22" s="2"/>
      <c r="F22" s="31"/>
      <c r="H22"/>
      <c r="I22" s="43"/>
    </row>
    <row r="23" spans="1:9">
      <c r="A23" s="80" t="s">
        <v>61</v>
      </c>
      <c r="B23" s="84">
        <v>9.3600000000000003E-2</v>
      </c>
      <c r="C23" s="81">
        <f>C21*$B$23</f>
        <v>10600.81479536364</v>
      </c>
      <c r="D23" s="81">
        <f t="shared" ref="D23:E23" si="7">D21*$B$23</f>
        <v>0</v>
      </c>
      <c r="E23" s="81">
        <f t="shared" si="7"/>
        <v>0</v>
      </c>
      <c r="F23" s="82"/>
      <c r="H23"/>
      <c r="I23" s="43"/>
    </row>
    <row r="24" spans="1:9">
      <c r="A24" s="80"/>
      <c r="B24" s="81"/>
      <c r="C24" s="81"/>
      <c r="D24" s="81"/>
      <c r="E24" s="81"/>
      <c r="F24" s="82"/>
      <c r="H24"/>
      <c r="I24" s="43"/>
    </row>
    <row r="25" spans="1:9" ht="15.75" thickBot="1">
      <c r="A25" s="32" t="s">
        <v>34</v>
      </c>
      <c r="B25" s="85"/>
      <c r="C25" s="85">
        <f>C19+C23</f>
        <v>17041.715836093663</v>
      </c>
      <c r="D25" s="85">
        <f t="shared" ref="D25:E25" si="8">D19+D23</f>
        <v>0</v>
      </c>
      <c r="E25" s="85">
        <f t="shared" si="8"/>
        <v>0</v>
      </c>
      <c r="F25" s="40"/>
      <c r="H25"/>
      <c r="I25" s="43"/>
    </row>
    <row r="26" spans="1:9" ht="15.75" thickBot="1">
      <c r="A26" s="18"/>
      <c r="B26" s="67"/>
      <c r="C26" s="67"/>
      <c r="D26" s="67"/>
      <c r="E26" s="67"/>
      <c r="F26" s="67"/>
      <c r="H26"/>
      <c r="I26" s="43"/>
    </row>
    <row r="27" spans="1:9">
      <c r="A27" s="95" t="s">
        <v>62</v>
      </c>
      <c r="B27" s="96"/>
      <c r="C27" s="96"/>
      <c r="D27" s="96"/>
      <c r="E27" s="96"/>
      <c r="F27" s="97"/>
      <c r="H27"/>
      <c r="I27" s="43"/>
    </row>
    <row r="28" spans="1:9" ht="15.75" thickBot="1">
      <c r="A28" s="24" t="s">
        <v>63</v>
      </c>
      <c r="B28" s="38"/>
      <c r="C28" s="38">
        <f>C11</f>
        <v>5720.0287033603345</v>
      </c>
      <c r="D28" s="38">
        <f>D11</f>
        <v>0</v>
      </c>
      <c r="E28" s="38">
        <f>E11</f>
        <v>0</v>
      </c>
      <c r="F28" s="71"/>
      <c r="H28"/>
      <c r="I28" s="43"/>
    </row>
    <row r="29" spans="1:9" ht="15.75" thickBot="1">
      <c r="A29" s="18"/>
      <c r="B29" s="67"/>
      <c r="C29" s="67"/>
      <c r="D29" s="67"/>
      <c r="E29" s="67"/>
      <c r="F29" s="67"/>
      <c r="H29"/>
      <c r="I29" s="43"/>
    </row>
    <row r="30" spans="1:9">
      <c r="A30" s="11" t="s">
        <v>64</v>
      </c>
      <c r="B30" s="92"/>
      <c r="C30" s="92"/>
      <c r="D30" s="92"/>
      <c r="E30" s="92"/>
      <c r="F30" s="93"/>
      <c r="H30"/>
      <c r="I30" s="43"/>
    </row>
    <row r="31" spans="1:9">
      <c r="A31" s="18" t="s">
        <v>27</v>
      </c>
      <c r="B31" s="3"/>
      <c r="C31" s="3">
        <f>C23</f>
        <v>10600.81479536364</v>
      </c>
      <c r="D31" s="3">
        <f t="shared" ref="D31:E31" si="9">D23</f>
        <v>0</v>
      </c>
      <c r="E31" s="3">
        <f t="shared" si="9"/>
        <v>0</v>
      </c>
      <c r="F31" s="26"/>
      <c r="H31"/>
      <c r="I31" s="43"/>
    </row>
    <row r="32" spans="1:9">
      <c r="A32" s="18" t="s">
        <v>28</v>
      </c>
      <c r="B32" s="3"/>
      <c r="C32" s="3">
        <f>C28</f>
        <v>5720.0287033603345</v>
      </c>
      <c r="D32" s="3">
        <f t="shared" ref="D32:E32" si="10">D28</f>
        <v>0</v>
      </c>
      <c r="E32" s="3">
        <f t="shared" si="10"/>
        <v>0</v>
      </c>
      <c r="F32" s="26"/>
      <c r="H32"/>
      <c r="I32" s="43"/>
    </row>
    <row r="33" spans="1:9">
      <c r="A33" s="19" t="s">
        <v>29</v>
      </c>
      <c r="B33" s="2"/>
      <c r="C33" s="2">
        <f>C7</f>
        <v>22880.114813441338</v>
      </c>
      <c r="D33" s="2">
        <f>D7</f>
        <v>0</v>
      </c>
      <c r="E33" s="2">
        <f>E7</f>
        <v>0</v>
      </c>
      <c r="F33" s="31"/>
      <c r="H33"/>
      <c r="I33" s="43"/>
    </row>
    <row r="34" spans="1:9">
      <c r="A34" s="18" t="s">
        <v>65</v>
      </c>
      <c r="B34" s="3"/>
      <c r="C34" s="3">
        <f>C31+C32-C33</f>
        <v>-6559.2713147173636</v>
      </c>
      <c r="D34" s="3">
        <f t="shared" ref="D34:E34" si="11">D31+D32-D33</f>
        <v>0</v>
      </c>
      <c r="E34" s="3">
        <f t="shared" si="11"/>
        <v>0</v>
      </c>
      <c r="F34" s="26"/>
      <c r="H34"/>
      <c r="I34" s="43"/>
    </row>
    <row r="35" spans="1:9">
      <c r="A35" s="18"/>
      <c r="B35" s="3"/>
      <c r="C35" s="3"/>
      <c r="D35" s="3"/>
      <c r="E35" s="3"/>
      <c r="F35" s="26"/>
      <c r="H35"/>
      <c r="I35" s="43"/>
    </row>
    <row r="36" spans="1:9">
      <c r="A36" s="18" t="s">
        <v>66</v>
      </c>
      <c r="B36" s="94">
        <v>0.26500000000000001</v>
      </c>
      <c r="C36" s="3"/>
      <c r="D36" s="3"/>
      <c r="E36" s="3"/>
      <c r="F36" s="26"/>
      <c r="H36"/>
      <c r="I36" s="43"/>
    </row>
    <row r="37" spans="1:9">
      <c r="A37" s="18"/>
      <c r="B37" s="3"/>
      <c r="C37" s="3"/>
      <c r="D37" s="3"/>
      <c r="E37" s="3"/>
      <c r="F37" s="26"/>
      <c r="H37"/>
      <c r="I37" s="43"/>
    </row>
    <row r="38" spans="1:9">
      <c r="A38" s="19" t="s">
        <v>31</v>
      </c>
      <c r="B38" s="2"/>
      <c r="C38" s="2">
        <f>C34*$B$36</f>
        <v>-1738.2068984001014</v>
      </c>
      <c r="D38" s="2">
        <f t="shared" ref="D38:E38" si="12">D34*$B$36</f>
        <v>0</v>
      </c>
      <c r="E38" s="2">
        <f t="shared" si="12"/>
        <v>0</v>
      </c>
      <c r="F38" s="31"/>
      <c r="H38"/>
      <c r="I38" s="43"/>
    </row>
    <row r="39" spans="1:9" ht="15.75" thickBot="1">
      <c r="A39" s="24" t="s">
        <v>32</v>
      </c>
      <c r="B39" s="38"/>
      <c r="C39" s="38">
        <f>C38/(1-$B$36)</f>
        <v>-2364.9073447620426</v>
      </c>
      <c r="D39" s="38">
        <f t="shared" ref="D39:E39" si="13">D38/(1-$B$36)</f>
        <v>0</v>
      </c>
      <c r="E39" s="38">
        <f t="shared" si="13"/>
        <v>0</v>
      </c>
      <c r="F39" s="71"/>
      <c r="H39"/>
      <c r="I39" s="43"/>
    </row>
    <row r="40" spans="1:9" ht="15.75" thickBot="1">
      <c r="H40"/>
      <c r="I40" s="43"/>
    </row>
    <row r="41" spans="1:9">
      <c r="A41" s="11" t="s">
        <v>67</v>
      </c>
      <c r="B41" s="16"/>
      <c r="C41" s="16"/>
      <c r="D41" s="16"/>
      <c r="E41" s="16"/>
      <c r="F41" s="17"/>
    </row>
    <row r="42" spans="1:9">
      <c r="A42" s="18" t="s">
        <v>34</v>
      </c>
      <c r="B42" s="3"/>
      <c r="C42" s="3">
        <f>C25</f>
        <v>17041.715836093663</v>
      </c>
      <c r="D42" s="3">
        <f t="shared" ref="D42:E42" si="14">D25</f>
        <v>0</v>
      </c>
      <c r="E42" s="3">
        <f t="shared" si="14"/>
        <v>0</v>
      </c>
      <c r="F42" s="26"/>
    </row>
    <row r="43" spans="1:9">
      <c r="A43" s="18" t="s">
        <v>35</v>
      </c>
      <c r="B43" s="3"/>
      <c r="C43" s="3">
        <f>C28</f>
        <v>5720.0287033603345</v>
      </c>
      <c r="D43" s="3">
        <f t="shared" ref="D43:E43" si="15">D28</f>
        <v>0</v>
      </c>
      <c r="E43" s="3">
        <f t="shared" si="15"/>
        <v>0</v>
      </c>
      <c r="F43" s="26"/>
    </row>
    <row r="44" spans="1:9">
      <c r="A44" s="19" t="s">
        <v>36</v>
      </c>
      <c r="B44" s="2"/>
      <c r="C44" s="2">
        <f>C39</f>
        <v>-2364.9073447620426</v>
      </c>
      <c r="D44" s="2">
        <f t="shared" ref="D44:E44" si="16">D39</f>
        <v>0</v>
      </c>
      <c r="E44" s="2">
        <f t="shared" si="16"/>
        <v>0</v>
      </c>
      <c r="F44" s="31"/>
    </row>
    <row r="45" spans="1:9">
      <c r="A45" s="41" t="s">
        <v>68</v>
      </c>
      <c r="B45" s="42"/>
      <c r="C45" s="42">
        <f>SUM(C42:C44)</f>
        <v>20396.837194691954</v>
      </c>
      <c r="D45" s="42">
        <f>SUM(D42:D44)</f>
        <v>0</v>
      </c>
      <c r="E45" s="42">
        <f>SUM(E42:E44)</f>
        <v>0</v>
      </c>
      <c r="F45" s="50"/>
    </row>
    <row r="46" spans="1:9">
      <c r="A46" s="18"/>
      <c r="F46" s="52"/>
    </row>
    <row r="47" spans="1:9">
      <c r="A47" s="19" t="s">
        <v>69</v>
      </c>
      <c r="B47" s="73">
        <v>2024</v>
      </c>
      <c r="C47" s="73">
        <v>2025</v>
      </c>
      <c r="D47" s="73">
        <v>2026</v>
      </c>
      <c r="E47" s="73">
        <v>2027</v>
      </c>
      <c r="F47" s="78">
        <v>2028</v>
      </c>
    </row>
    <row r="48" spans="1:9">
      <c r="A48" s="18" t="s">
        <v>70</v>
      </c>
      <c r="B48" s="75">
        <v>0</v>
      </c>
      <c r="C48" s="75">
        <f>C45</f>
        <v>20396.837194691954</v>
      </c>
      <c r="D48" s="75">
        <f>C48</f>
        <v>20396.837194691954</v>
      </c>
      <c r="E48" s="75">
        <f t="shared" ref="E48:F48" si="17">D48</f>
        <v>20396.837194691954</v>
      </c>
      <c r="F48" s="76">
        <f t="shared" si="17"/>
        <v>20396.837194691954</v>
      </c>
    </row>
    <row r="49" spans="1:9">
      <c r="A49" s="18" t="s">
        <v>71</v>
      </c>
      <c r="B49" s="75">
        <v>0</v>
      </c>
      <c r="C49" s="75">
        <v>0</v>
      </c>
      <c r="D49" s="75">
        <f>D45</f>
        <v>0</v>
      </c>
      <c r="E49" s="75">
        <f>D49</f>
        <v>0</v>
      </c>
      <c r="F49" s="76">
        <f>E49</f>
        <v>0</v>
      </c>
      <c r="H49"/>
      <c r="I49" s="72"/>
    </row>
    <row r="50" spans="1:9">
      <c r="A50" s="19" t="s">
        <v>72</v>
      </c>
      <c r="B50" s="74">
        <v>0</v>
      </c>
      <c r="C50" s="74">
        <v>0</v>
      </c>
      <c r="D50" s="74">
        <v>0</v>
      </c>
      <c r="E50" s="74">
        <f>E45</f>
        <v>0</v>
      </c>
      <c r="F50" s="77">
        <f>E50</f>
        <v>0</v>
      </c>
      <c r="H50"/>
      <c r="I50" s="72"/>
    </row>
    <row r="51" spans="1:9">
      <c r="A51" s="19"/>
      <c r="B51" s="2">
        <f>B45</f>
        <v>0</v>
      </c>
      <c r="C51" s="2">
        <f>SUM(C48:C50)</f>
        <v>20396.837194691954</v>
      </c>
      <c r="D51" s="2">
        <f t="shared" ref="D51:F51" si="18">SUM(D48:D50)</f>
        <v>20396.837194691954</v>
      </c>
      <c r="E51" s="2">
        <f t="shared" si="18"/>
        <v>20396.837194691954</v>
      </c>
      <c r="F51" s="31">
        <f t="shared" si="18"/>
        <v>20396.837194691954</v>
      </c>
    </row>
    <row r="52" spans="1:9" ht="15.75" thickBot="1">
      <c r="A52" s="24"/>
      <c r="B52" s="51"/>
      <c r="C52" s="38"/>
      <c r="D52" s="38"/>
      <c r="E52" s="39" t="s">
        <v>73</v>
      </c>
      <c r="F52" s="40">
        <f>SUM(B51:F51)</f>
        <v>81587.348778767817</v>
      </c>
    </row>
    <row r="54" spans="1:9" s="43" customFormat="1">
      <c r="A54"/>
      <c r="B54"/>
      <c r="C54"/>
      <c r="D54"/>
      <c r="E54"/>
      <c r="F54"/>
      <c r="G54"/>
      <c r="I54"/>
    </row>
    <row r="55" spans="1:9" s="43" customFormat="1">
      <c r="A55"/>
      <c r="B55"/>
      <c r="C55"/>
      <c r="D55"/>
      <c r="E55"/>
      <c r="F55"/>
      <c r="G55"/>
      <c r="I55"/>
    </row>
    <row r="56" spans="1:9" s="43" customFormat="1">
      <c r="A56"/>
      <c r="B56"/>
      <c r="C56"/>
      <c r="D56"/>
      <c r="E56"/>
      <c r="F56"/>
      <c r="G56"/>
      <c r="I56"/>
    </row>
  </sheetData>
  <mergeCells count="1">
    <mergeCell ref="I7:I9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E279-86AE-4961-AB9F-6D74704F238C}">
  <dimension ref="A1:I11"/>
  <sheetViews>
    <sheetView showGridLines="0" workbookViewId="0">
      <selection activeCell="D13" sqref="D13"/>
    </sheetView>
  </sheetViews>
  <sheetFormatPr defaultRowHeight="15"/>
  <cols>
    <col min="1" max="1" width="3.7109375" customWidth="1"/>
    <col min="2" max="2" width="35" customWidth="1"/>
    <col min="3" max="8" width="12.140625" customWidth="1"/>
    <col min="9" max="9" width="3.42578125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60"/>
      <c r="C2" s="105" t="s">
        <v>74</v>
      </c>
      <c r="D2" s="105"/>
      <c r="E2" s="105"/>
      <c r="F2" s="105"/>
      <c r="G2" s="105"/>
      <c r="H2" s="105"/>
      <c r="I2" s="4"/>
    </row>
    <row r="3" spans="1:9">
      <c r="A3" s="4"/>
      <c r="B3" s="61"/>
      <c r="C3" s="53">
        <v>2024</v>
      </c>
      <c r="D3" s="53">
        <v>2025</v>
      </c>
      <c r="E3" s="53">
        <v>2026</v>
      </c>
      <c r="F3" s="53">
        <v>2027</v>
      </c>
      <c r="G3" s="53">
        <v>2028</v>
      </c>
      <c r="H3" s="57" t="s">
        <v>75</v>
      </c>
      <c r="I3" s="4"/>
    </row>
    <row r="4" spans="1:9">
      <c r="A4" s="4"/>
      <c r="B4" s="55" t="s">
        <v>76</v>
      </c>
      <c r="C4" s="54">
        <f>'DVA Approach'!B43</f>
        <v>43747.928797278902</v>
      </c>
      <c r="D4" s="54">
        <f>'DVA Approach'!C43</f>
        <v>292309.1417632653</v>
      </c>
      <c r="E4" s="54">
        <f>'DVA Approach'!D43</f>
        <v>580064.44079999998</v>
      </c>
      <c r="F4" s="54">
        <f>'DVA Approach'!E43</f>
        <v>861747.94953469385</v>
      </c>
      <c r="G4" s="54">
        <f>'DVA Approach'!F43</f>
        <v>1049863.8103727892</v>
      </c>
      <c r="H4" s="58">
        <f>SUM(C4:G4)</f>
        <v>2827733.2712680269</v>
      </c>
      <c r="I4" s="4"/>
    </row>
    <row r="5" spans="1:9">
      <c r="A5" s="4"/>
      <c r="B5" s="55" t="s">
        <v>77</v>
      </c>
      <c r="C5" s="54">
        <f>'ACM Approach - 2023 Infl.'!B51</f>
        <v>0</v>
      </c>
      <c r="D5" s="54">
        <f>'ACM Approach - 2023 Infl.'!C51</f>
        <v>82335.998435886271</v>
      </c>
      <c r="E5" s="54">
        <f>'ACM Approach - 2023 Infl.'!D51</f>
        <v>148009.21891774019</v>
      </c>
      <c r="F5" s="54">
        <f>'ACM Approach - 2023 Infl.'!E51</f>
        <v>195780.3179634542</v>
      </c>
      <c r="G5" s="54">
        <f>'ACM Approach - 2023 Infl.'!F51</f>
        <v>195780.3179634542</v>
      </c>
      <c r="H5" s="58">
        <f t="shared" ref="H5:H6" si="0">SUM(C5:G5)</f>
        <v>621905.85328053485</v>
      </c>
      <c r="I5" s="4"/>
    </row>
    <row r="6" spans="1:9">
      <c r="A6" s="4"/>
      <c r="B6" s="55" t="s">
        <v>78</v>
      </c>
      <c r="C6" s="54">
        <f>'ACM Approach - 2024 Infl.'!B51</f>
        <v>0</v>
      </c>
      <c r="D6" s="54">
        <f>'ACM Approach - 2024 Infl.'!C51</f>
        <v>20396.837194691954</v>
      </c>
      <c r="E6" s="54">
        <f>'ACM Approach - 2024 Infl.'!D51</f>
        <v>20396.837194691954</v>
      </c>
      <c r="F6" s="54">
        <f>'ACM Approach - 2024 Infl.'!E51</f>
        <v>20396.837194691954</v>
      </c>
      <c r="G6" s="54">
        <f>'ACM Approach - 2024 Infl.'!F51</f>
        <v>20396.837194691954</v>
      </c>
      <c r="H6" s="58">
        <f t="shared" si="0"/>
        <v>81587.348778767817</v>
      </c>
      <c r="I6" s="4"/>
    </row>
    <row r="7" spans="1:9" ht="13.5" customHeight="1">
      <c r="A7" s="4"/>
      <c r="B7" s="4"/>
      <c r="C7" s="4"/>
      <c r="D7" s="4"/>
      <c r="E7" s="4"/>
      <c r="F7" s="4"/>
      <c r="G7" s="4"/>
      <c r="H7" s="4"/>
      <c r="I7" s="4"/>
    </row>
    <row r="8" spans="1:9">
      <c r="A8" s="4"/>
      <c r="B8" s="55" t="s">
        <v>79</v>
      </c>
      <c r="C8" s="56">
        <f>C4-C5</f>
        <v>43747.928797278902</v>
      </c>
      <c r="D8" s="56">
        <f t="shared" ref="D8:G8" si="1">D4-D5</f>
        <v>209973.14332737902</v>
      </c>
      <c r="E8" s="56">
        <f t="shared" si="1"/>
        <v>432055.22188225982</v>
      </c>
      <c r="F8" s="56">
        <f t="shared" si="1"/>
        <v>665967.63157123968</v>
      </c>
      <c r="G8" s="56">
        <f t="shared" si="1"/>
        <v>854083.49240933498</v>
      </c>
      <c r="H8" s="59">
        <f>SUM(C8:G8)</f>
        <v>2205827.4179874924</v>
      </c>
      <c r="I8" s="4"/>
    </row>
    <row r="9" spans="1:9">
      <c r="A9" s="4"/>
      <c r="B9" s="55" t="s">
        <v>80</v>
      </c>
      <c r="C9" s="56">
        <f>C4-C6</f>
        <v>43747.928797278902</v>
      </c>
      <c r="D9" s="56">
        <f t="shared" ref="D9:G9" si="2">D4-D6</f>
        <v>271912.30456857337</v>
      </c>
      <c r="E9" s="56">
        <f t="shared" si="2"/>
        <v>559667.60360530799</v>
      </c>
      <c r="F9" s="56">
        <f t="shared" si="2"/>
        <v>841351.11234000186</v>
      </c>
      <c r="G9" s="56">
        <f t="shared" si="2"/>
        <v>1029466.9731780972</v>
      </c>
      <c r="H9" s="59">
        <f t="shared" ref="H9:H10" si="3">SUM(C9:G9)</f>
        <v>2746145.9224892594</v>
      </c>
      <c r="I9" s="4"/>
    </row>
    <row r="10" spans="1:9">
      <c r="A10" s="4"/>
      <c r="B10" s="55" t="s">
        <v>81</v>
      </c>
      <c r="C10" s="56">
        <f>C4</f>
        <v>43747.928797278902</v>
      </c>
      <c r="D10" s="56">
        <f t="shared" ref="D10:G10" si="4">D4</f>
        <v>292309.1417632653</v>
      </c>
      <c r="E10" s="56">
        <f t="shared" si="4"/>
        <v>580064.44079999998</v>
      </c>
      <c r="F10" s="56">
        <f t="shared" si="4"/>
        <v>861747.94953469385</v>
      </c>
      <c r="G10" s="56">
        <f t="shared" si="4"/>
        <v>1049863.8103727892</v>
      </c>
      <c r="H10" s="59">
        <f t="shared" si="3"/>
        <v>2827733.2712680269</v>
      </c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</sheetData>
  <mergeCells count="1">
    <mergeCell ref="C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774-bff1-4d66-95b6-bcad13803c45">
      <Terms xmlns="http://schemas.microsoft.com/office/infopath/2007/PartnerControls"/>
    </lcf76f155ced4ddcb4097134ff3c332f>
    <TaxCatchAll xmlns="8e7b70bf-82d7-409a-a3fc-8f1f7c2689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27C2DCEE48D4D89B6F4676FF2487B" ma:contentTypeVersion="14" ma:contentTypeDescription="Create a new document." ma:contentTypeScope="" ma:versionID="3446113a1ec8e4bf6ccb1bb5e993bfd2">
  <xsd:schema xmlns:xsd="http://www.w3.org/2001/XMLSchema" xmlns:xs="http://www.w3.org/2001/XMLSchema" xmlns:p="http://schemas.microsoft.com/office/2006/metadata/properties" xmlns:ns2="61d82774-bff1-4d66-95b6-bcad13803c45" xmlns:ns3="8e7b70bf-82d7-409a-a3fc-8f1f7c2689df" targetNamespace="http://schemas.microsoft.com/office/2006/metadata/properties" ma:root="true" ma:fieldsID="ed26fed34a6c09b06f7ebdfb4b45f719" ns2:_="" ns3:_="">
    <xsd:import namespace="61d82774-bff1-4d66-95b6-bcad13803c45"/>
    <xsd:import namespace="8e7b70bf-82d7-409a-a3fc-8f1f7c268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774-bff1-4d66-95b6-bcad13803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8bd0a9-159b-4739-b05e-95b31f115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70bf-82d7-409a-a3fc-8f1f7c268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24ed8-fb5b-4af6-8643-a056b0ee57e2}" ma:internalName="TaxCatchAll" ma:showField="CatchAllData" ma:web="8e7b70bf-82d7-409a-a3fc-8f1f7c268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66CFB-FF41-407B-980B-488C6E1DE183}"/>
</file>

<file path=customXml/itemProps2.xml><?xml version="1.0" encoding="utf-8"?>
<ds:datastoreItem xmlns:ds="http://schemas.openxmlformats.org/officeDocument/2006/customXml" ds:itemID="{05908F22-FC45-4D50-B835-1CDCB3257912}"/>
</file>

<file path=customXml/itemProps3.xml><?xml version="1.0" encoding="utf-8"?>
<ds:datastoreItem xmlns:ds="http://schemas.openxmlformats.org/officeDocument/2006/customXml" ds:itemID="{56AF7025-4464-42F7-AD5D-3EC8A7656C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 Ott</dc:creator>
  <cp:keywords/>
  <dc:description/>
  <cp:lastModifiedBy>Laura Hampton</cp:lastModifiedBy>
  <cp:revision/>
  <dcterms:created xsi:type="dcterms:W3CDTF">2022-08-23T20:19:23Z</dcterms:created>
  <dcterms:modified xsi:type="dcterms:W3CDTF">2023-08-07T22:14:46Z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0x0101004BA27C2DCEE48D4D89B6F4676FF2487B</vt:lpwstr>
  </property>
  <property fmtid="{D5CDD505-2E9C-101B-9397-08002B2CF9AE}" pid="3" name="MediaServiceImageTags">
    <vt:lpwstr/>
  </property>
</Properties>
</file>