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EB\Rates\2024 Rate Application\Accounting Guidance\WRZ\01 To OEB\"/>
    </mc:Choice>
  </mc:AlternateContent>
  <xr:revisionPtr revIDLastSave="0" documentId="13_ncr:1_{73B38C24-EE25-4823-B433-E9144A52186F}" xr6:coauthVersionLast="47" xr6:coauthVersionMax="47" xr10:uidLastSave="{00000000-0000-0000-0000-000000000000}"/>
  <bookViews>
    <workbookView xWindow="-120" yWindow="-120" windowWidth="25440" windowHeight="15390" tabRatio="660" activeTab="3" xr2:uid="{00000000-000D-0000-FFFF-FFFF00000000}"/>
  </bookViews>
  <sheets>
    <sheet name="Whitby - Jan -Dec 2022" sheetId="5" r:id="rId1"/>
    <sheet name="Whitby Jan-Dec22 RPP 2nd TU" sheetId="6" r:id="rId2"/>
    <sheet name="WH Settlement Comparison Orig" sheetId="10" state="hidden" r:id="rId3"/>
    <sheet name="Final RSVA Balances" sheetId="8" r:id="rId4"/>
  </sheets>
  <externalReferences>
    <externalReference r:id="rId5"/>
  </externalReferences>
  <definedNames>
    <definedName name="_xlnm.Print_Area" localSheetId="2">'WH Settlement Comparison Orig'!$B$2:$I$90</definedName>
    <definedName name="_xlnm.Print_Area" localSheetId="0">'Whitby - Jan -Dec 2022'!$A$1:$E$88</definedName>
    <definedName name="_xlnm.Print_Titles" localSheetId="2">'WH Settlement Comparison Orig'!$2:$2</definedName>
    <definedName name="_xlnm.Print_Titles" localSheetId="0">'Whitby - Jan -Dec 2022'!$1:$1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5" l="1"/>
  <c r="E36" i="5"/>
  <c r="E35" i="5"/>
  <c r="E34" i="5"/>
  <c r="E33" i="5"/>
  <c r="H38" i="5" l="1"/>
  <c r="D67" i="5" l="1"/>
  <c r="T90" i="10" l="1"/>
  <c r="R90" i="10"/>
  <c r="P90" i="10"/>
  <c r="N90" i="10"/>
  <c r="V89" i="10"/>
  <c r="T89" i="10"/>
  <c r="R89" i="10"/>
  <c r="P89" i="10"/>
  <c r="N89" i="10"/>
  <c r="X88" i="10"/>
  <c r="V88" i="10"/>
  <c r="Y88" i="10" s="1"/>
  <c r="V58" i="10"/>
  <c r="V59" i="10" s="1"/>
  <c r="U58" i="10"/>
  <c r="U59" i="10" s="1"/>
  <c r="T58" i="10"/>
  <c r="T59" i="10" s="1"/>
  <c r="W57" i="10"/>
  <c r="N62" i="10" s="1"/>
  <c r="V55" i="10"/>
  <c r="U55" i="10"/>
  <c r="T55" i="10"/>
  <c r="S55" i="10"/>
  <c r="R55" i="10"/>
  <c r="Q55" i="10"/>
  <c r="C38" i="10"/>
  <c r="C34" i="10"/>
  <c r="M29" i="10"/>
  <c r="M26" i="10"/>
  <c r="AB24" i="10"/>
  <c r="S58" i="10" s="1"/>
  <c r="S59" i="10" s="1"/>
  <c r="AA24" i="10"/>
  <c r="R58" i="10" s="1"/>
  <c r="R59" i="10" s="1"/>
  <c r="Z24" i="10"/>
  <c r="Q58" i="10" s="1"/>
  <c r="Q59" i="10" s="1"/>
  <c r="W59" i="10" s="1"/>
  <c r="AG22" i="10"/>
  <c r="M21" i="10"/>
  <c r="T13" i="10"/>
  <c r="E12" i="10" s="1"/>
  <c r="M25" i="10" s="1"/>
  <c r="M27" i="10" s="1"/>
  <c r="M30" i="10" s="1"/>
  <c r="T11" i="10"/>
  <c r="E11" i="10"/>
  <c r="E18" i="10" s="1"/>
  <c r="H10" i="10"/>
  <c r="S8" i="10"/>
  <c r="R8" i="10"/>
  <c r="Q8" i="10"/>
  <c r="P8" i="10"/>
  <c r="O8" i="10"/>
  <c r="N8" i="10"/>
  <c r="AE6" i="10"/>
  <c r="AD6" i="10"/>
  <c r="AC6" i="10"/>
  <c r="AB6" i="10"/>
  <c r="AA6" i="10"/>
  <c r="Z6" i="10"/>
  <c r="I12" i="10" l="1"/>
  <c r="AF6" i="10"/>
  <c r="Y89" i="10"/>
  <c r="N64" i="10"/>
  <c r="W58" i="10"/>
  <c r="G10" i="10"/>
  <c r="I10" i="10" s="1"/>
  <c r="E23" i="10"/>
  <c r="P37" i="10"/>
  <c r="W55" i="10"/>
  <c r="M64" i="10" l="1"/>
  <c r="E80" i="10"/>
  <c r="N63" i="10"/>
  <c r="O64" i="10" l="1"/>
  <c r="M7" i="10" l="1"/>
  <c r="T7" i="10" s="1"/>
  <c r="G8" i="10" s="1"/>
  <c r="E22" i="10"/>
  <c r="M6" i="10" l="1"/>
  <c r="E29" i="10"/>
  <c r="M8" i="10" l="1"/>
  <c r="T6" i="10"/>
  <c r="T8" i="10" l="1"/>
  <c r="E7" i="10" s="1"/>
  <c r="G7" i="10"/>
  <c r="G9" i="10" l="1"/>
  <c r="G11" i="10" s="1"/>
  <c r="M17" i="10"/>
  <c r="E30" i="10" l="1"/>
  <c r="E31" i="10"/>
  <c r="E32" i="10"/>
  <c r="E33" i="10"/>
  <c r="E34" i="10" l="1"/>
  <c r="AF5" i="10" l="1"/>
  <c r="E38" i="10"/>
  <c r="AF7" i="10" l="1"/>
  <c r="AF10" i="10" l="1"/>
  <c r="AF9" i="10"/>
  <c r="D5" i="5" l="1"/>
  <c r="U53" i="10" l="1"/>
  <c r="U54" i="10" s="1"/>
  <c r="AD22" i="10" s="1"/>
  <c r="AE12" i="10"/>
  <c r="V53" i="10"/>
  <c r="V54" i="10" s="1"/>
  <c r="AE22" i="10" s="1"/>
  <c r="AD12" i="10"/>
  <c r="E77" i="5" l="1"/>
  <c r="G7" i="8" s="1"/>
  <c r="F79" i="10"/>
  <c r="E79" i="10"/>
  <c r="E81" i="10" s="1"/>
  <c r="C25" i="8"/>
  <c r="E75" i="10" l="1"/>
  <c r="F75" i="10"/>
  <c r="F8" i="8" l="1"/>
  <c r="D46" i="8" l="1"/>
  <c r="F56" i="10"/>
  <c r="E56" i="10"/>
  <c r="F57" i="10"/>
  <c r="E57" i="10"/>
  <c r="D78" i="5"/>
  <c r="C8" i="8" l="1"/>
  <c r="B8" i="8"/>
  <c r="G8" i="8" s="1"/>
  <c r="T53" i="10" l="1"/>
  <c r="T54" i="10" s="1"/>
  <c r="AC22" i="10" s="1"/>
  <c r="S53" i="10"/>
  <c r="S54" i="10" s="1"/>
  <c r="AB22" i="10" s="1"/>
  <c r="AB12" i="10"/>
  <c r="C7" i="8"/>
  <c r="C16" i="8"/>
  <c r="AA12" i="10" l="1"/>
  <c r="R53" i="10"/>
  <c r="R54" i="10" s="1"/>
  <c r="AA22" i="10" s="1"/>
  <c r="AC12" i="10"/>
  <c r="Q53" i="10" l="1"/>
  <c r="Q54" i="10" s="1"/>
  <c r="Z22" i="10" s="1"/>
  <c r="Z12" i="10"/>
  <c r="AF12" i="10" s="1"/>
  <c r="AF14" i="10" s="1"/>
  <c r="AF15" i="10" s="1"/>
  <c r="W53" i="10" l="1"/>
  <c r="M62" i="10" s="1"/>
  <c r="O62" i="10" s="1"/>
  <c r="O63" i="10" s="1"/>
  <c r="Q62" i="10"/>
  <c r="AB18" i="10"/>
  <c r="Z18" i="10"/>
  <c r="AE18" i="10"/>
  <c r="AF18" i="10"/>
  <c r="AC18" i="10"/>
  <c r="AA18" i="10"/>
  <c r="AD18" i="10"/>
  <c r="M63" i="10" l="1"/>
  <c r="W54" i="10"/>
  <c r="AF22" i="10" s="1"/>
  <c r="AC28" i="10"/>
  <c r="AC17" i="10"/>
  <c r="AE28" i="10"/>
  <c r="AE17" i="10"/>
  <c r="AD28" i="10"/>
  <c r="AD17" i="10"/>
  <c r="Z28" i="10"/>
  <c r="Z17" i="10"/>
  <c r="AA28" i="10"/>
  <c r="AA17" i="10"/>
  <c r="AB28" i="10"/>
  <c r="AB17" i="10"/>
  <c r="AF28" i="10" l="1"/>
  <c r="AG28" i="10" s="1"/>
  <c r="AF17" i="10"/>
  <c r="Z19" i="10"/>
  <c r="Z26" i="10"/>
  <c r="AD26" i="10"/>
  <c r="AD29" i="10" s="1"/>
  <c r="AD30" i="10" s="1"/>
  <c r="AD19" i="10"/>
  <c r="AB19" i="10"/>
  <c r="AB26" i="10"/>
  <c r="AB29" i="10" s="1"/>
  <c r="AB30" i="10" s="1"/>
  <c r="AE19" i="10"/>
  <c r="AE26" i="10"/>
  <c r="AE29" i="10" s="1"/>
  <c r="AE30" i="10" s="1"/>
  <c r="AA26" i="10"/>
  <c r="AA29" i="10" s="1"/>
  <c r="AA30" i="10" s="1"/>
  <c r="AA19" i="10"/>
  <c r="AC26" i="10"/>
  <c r="AC29" i="10" s="1"/>
  <c r="AC30" i="10" s="1"/>
  <c r="AC19" i="10"/>
  <c r="Z29" i="10" l="1"/>
  <c r="Z30" i="10" s="1"/>
  <c r="AF26" i="10"/>
  <c r="AF19" i="10"/>
  <c r="AG18" i="10" s="1"/>
  <c r="AG17" i="10" l="1"/>
  <c r="AF29" i="10"/>
  <c r="AG26" i="10"/>
  <c r="G11" i="6"/>
  <c r="D11" i="6"/>
  <c r="C11" i="6"/>
  <c r="B11" i="6"/>
  <c r="G10" i="6"/>
  <c r="D10" i="6"/>
  <c r="C10" i="6"/>
  <c r="B10" i="6"/>
  <c r="G9" i="6"/>
  <c r="D9" i="6"/>
  <c r="C9" i="6"/>
  <c r="B9" i="6"/>
  <c r="G8" i="6"/>
  <c r="D8" i="6"/>
  <c r="C8" i="6"/>
  <c r="B8" i="6"/>
  <c r="G7" i="6"/>
  <c r="D7" i="6"/>
  <c r="C7" i="6"/>
  <c r="B7" i="6"/>
  <c r="AF31" i="10" l="1"/>
  <c r="AF30" i="10"/>
  <c r="AG29" i="10"/>
  <c r="AF32" i="10"/>
  <c r="H9" i="6"/>
  <c r="E9" i="6"/>
  <c r="F9" i="6" s="1"/>
  <c r="G12" i="6"/>
  <c r="I7" i="6"/>
  <c r="J10" i="6"/>
  <c r="I11" i="6"/>
  <c r="J8" i="6"/>
  <c r="H11" i="6"/>
  <c r="H7" i="6"/>
  <c r="I9" i="6"/>
  <c r="E11" i="6"/>
  <c r="F11" i="6" s="1"/>
  <c r="E7" i="6"/>
  <c r="J7" i="6"/>
  <c r="H8" i="6"/>
  <c r="J9" i="6"/>
  <c r="H10" i="6"/>
  <c r="J11" i="6"/>
  <c r="E8" i="6"/>
  <c r="I8" i="6"/>
  <c r="E10" i="6"/>
  <c r="I10" i="6"/>
  <c r="H12" i="6" l="1"/>
  <c r="B12" i="6" s="1"/>
  <c r="I12" i="6"/>
  <c r="K11" i="6"/>
  <c r="F7" i="6"/>
  <c r="F10" i="6"/>
  <c r="K8" i="6"/>
  <c r="J12" i="6"/>
  <c r="K7" i="6"/>
  <c r="K10" i="6"/>
  <c r="F8" i="6"/>
  <c r="K9" i="6"/>
  <c r="H33" i="10"/>
  <c r="H32" i="10"/>
  <c r="H31" i="10"/>
  <c r="H30" i="10"/>
  <c r="E28" i="5"/>
  <c r="D85" i="5" s="1"/>
  <c r="C69" i="5" l="1"/>
  <c r="B20" i="6" s="1"/>
  <c r="C70" i="5"/>
  <c r="B21" i="6" s="1"/>
  <c r="B33" i="6" s="1"/>
  <c r="C71" i="5"/>
  <c r="B22" i="6" s="1"/>
  <c r="B34" i="6" s="1"/>
  <c r="C68" i="5"/>
  <c r="B19" i="6" s="1"/>
  <c r="B31" i="6" s="1"/>
  <c r="K12" i="6"/>
  <c r="B32" i="6" l="1"/>
  <c r="D38" i="5"/>
  <c r="D27" i="5" s="1"/>
  <c r="D6" i="5"/>
  <c r="C34" i="5" l="1"/>
  <c r="C37" i="5"/>
  <c r="C33" i="5"/>
  <c r="C36" i="5"/>
  <c r="C35" i="5"/>
  <c r="B6" i="8" l="1"/>
  <c r="B9" i="8" s="1"/>
  <c r="C38" i="5"/>
  <c r="D71" i="5" l="1"/>
  <c r="D70" i="5"/>
  <c r="D69" i="5"/>
  <c r="D68" i="5"/>
  <c r="D29" i="5"/>
  <c r="E27" i="5"/>
  <c r="C6" i="8" s="1"/>
  <c r="C20" i="5"/>
  <c r="C19" i="5"/>
  <c r="C18" i="5"/>
  <c r="C17" i="5"/>
  <c r="C16" i="5"/>
  <c r="C27" i="5" l="1"/>
  <c r="C10" i="5" s="1"/>
  <c r="C28" i="5"/>
  <c r="C9" i="8"/>
  <c r="E23" i="8"/>
  <c r="G9" i="8"/>
  <c r="C21" i="5"/>
  <c r="E68" i="5"/>
  <c r="E69" i="5"/>
  <c r="E29" i="5"/>
  <c r="D76" i="5"/>
  <c r="E70" i="5"/>
  <c r="E71" i="5"/>
  <c r="C78" i="5"/>
  <c r="E78" i="5" s="1"/>
  <c r="D25" i="5"/>
  <c r="C11" i="5"/>
  <c r="D72" i="5"/>
  <c r="D84" i="5"/>
  <c r="C84" i="5" s="1"/>
  <c r="F74" i="10" l="1"/>
  <c r="F76" i="10" s="1"/>
  <c r="E74" i="10"/>
  <c r="E76" i="10" s="1"/>
  <c r="E25" i="5"/>
  <c r="C12" i="5"/>
  <c r="C29" i="5"/>
  <c r="D86" i="5"/>
  <c r="D8" i="5"/>
  <c r="D60" i="5"/>
  <c r="D54" i="5"/>
  <c r="C54" i="5" s="1"/>
  <c r="D11" i="5" l="1"/>
  <c r="D58" i="5" s="1"/>
  <c r="C58" i="5" s="1"/>
  <c r="C50" i="5" s="1"/>
  <c r="D24" i="8" s="1"/>
  <c r="D45" i="8" s="1"/>
  <c r="D10" i="5"/>
  <c r="B15" i="8" s="1"/>
  <c r="F80" i="10"/>
  <c r="F81" i="10" s="1"/>
  <c r="F83" i="10" s="1"/>
  <c r="G76" i="10"/>
  <c r="E83" i="10"/>
  <c r="C60" i="5"/>
  <c r="E8" i="5"/>
  <c r="D55" i="5"/>
  <c r="D20" i="5" l="1"/>
  <c r="F33" i="10" s="1"/>
  <c r="G33" i="10" s="1"/>
  <c r="I33" i="10" s="1"/>
  <c r="D19" i="5"/>
  <c r="F32" i="10" s="1"/>
  <c r="G32" i="10" s="1"/>
  <c r="I32" i="10" s="1"/>
  <c r="D18" i="5"/>
  <c r="F31" i="10" s="1"/>
  <c r="G31" i="10" s="1"/>
  <c r="I31" i="10" s="1"/>
  <c r="D16" i="5"/>
  <c r="F29" i="10" s="1"/>
  <c r="D17" i="5"/>
  <c r="F30" i="10" s="1"/>
  <c r="G30" i="10" s="1"/>
  <c r="I30" i="10" s="1"/>
  <c r="J82" i="10"/>
  <c r="G81" i="10"/>
  <c r="G83" i="10"/>
  <c r="B17" i="8"/>
  <c r="B24" i="8" s="1"/>
  <c r="C17" i="8"/>
  <c r="C55" i="5"/>
  <c r="E11" i="5"/>
  <c r="D12" i="5"/>
  <c r="D57" i="5"/>
  <c r="C57" i="5" s="1"/>
  <c r="C49" i="5" s="1"/>
  <c r="E10" i="5"/>
  <c r="C15" i="8" s="1"/>
  <c r="F34" i="10" l="1"/>
  <c r="F38" i="10" s="1"/>
  <c r="G38" i="10" s="1"/>
  <c r="G29" i="10"/>
  <c r="C36" i="8"/>
  <c r="C35" i="8"/>
  <c r="B25" i="8"/>
  <c r="C45" i="8"/>
  <c r="E45" i="8" s="1"/>
  <c r="C46" i="8"/>
  <c r="E46" i="8" s="1"/>
  <c r="E24" i="8"/>
  <c r="C33" i="8"/>
  <c r="C34" i="8"/>
  <c r="C18" i="8"/>
  <c r="B18" i="8"/>
  <c r="G18" i="6"/>
  <c r="G22" i="6"/>
  <c r="C85" i="5"/>
  <c r="G19" i="6"/>
  <c r="G21" i="6"/>
  <c r="G20" i="6"/>
  <c r="D21" i="5"/>
  <c r="E12" i="5"/>
  <c r="D7" i="8" l="1"/>
  <c r="D8" i="8"/>
  <c r="E8" i="8" s="1"/>
  <c r="E85" i="5"/>
  <c r="E47" i="8"/>
  <c r="E25" i="8"/>
  <c r="E42" i="8" s="1"/>
  <c r="G24" i="6"/>
  <c r="G34" i="10"/>
  <c r="H19" i="6"/>
  <c r="G31" i="6"/>
  <c r="G32" i="6"/>
  <c r="H20" i="6"/>
  <c r="H21" i="6"/>
  <c r="G33" i="6"/>
  <c r="H22" i="6"/>
  <c r="G34" i="6"/>
  <c r="G30" i="6"/>
  <c r="E7" i="8" l="1"/>
  <c r="D36" i="8"/>
  <c r="E36" i="8" s="1"/>
  <c r="G35" i="6"/>
  <c r="H32" i="6"/>
  <c r="H34" i="6"/>
  <c r="H33" i="6"/>
  <c r="H31" i="6"/>
  <c r="C44" i="5" l="1"/>
  <c r="H38" i="10" l="1"/>
  <c r="I38" i="10" s="1"/>
  <c r="C76" i="5"/>
  <c r="D16" i="8"/>
  <c r="D17" i="8"/>
  <c r="E17" i="8" s="1"/>
  <c r="I17" i="8" s="1"/>
  <c r="E86" i="5"/>
  <c r="C86" i="5" s="1"/>
  <c r="E76" i="5"/>
  <c r="C43" i="5" l="1"/>
  <c r="C18" i="6" s="1"/>
  <c r="F52" i="10"/>
  <c r="E52" i="10"/>
  <c r="I39" i="10"/>
  <c r="H8" i="10" s="1"/>
  <c r="I8" i="10" s="1"/>
  <c r="D35" i="8"/>
  <c r="E35" i="8" s="1"/>
  <c r="E16" i="8"/>
  <c r="I16" i="8" s="1"/>
  <c r="E79" i="5"/>
  <c r="C30" i="6" l="1"/>
  <c r="I18" i="6"/>
  <c r="I30" i="6" s="1"/>
  <c r="D15" i="8"/>
  <c r="E15" i="8" s="1"/>
  <c r="E18" i="8" s="1"/>
  <c r="I40" i="10"/>
  <c r="G52" i="10"/>
  <c r="C19" i="6"/>
  <c r="C31" i="6" l="1"/>
  <c r="C20" i="6"/>
  <c r="I19" i="6"/>
  <c r="I31" i="6" l="1"/>
  <c r="C32" i="6"/>
  <c r="C21" i="6"/>
  <c r="C33" i="6" s="1"/>
  <c r="I20" i="6"/>
  <c r="I32" i="6" s="1"/>
  <c r="C22" i="6" l="1"/>
  <c r="C34" i="6" s="1"/>
  <c r="I21" i="6"/>
  <c r="I33" i="6" s="1"/>
  <c r="I22" i="6" l="1"/>
  <c r="I24" i="6" l="1"/>
  <c r="I34" i="6"/>
  <c r="F22" i="10" l="1"/>
  <c r="G22" i="10" s="1"/>
  <c r="H22" i="10" s="1"/>
  <c r="I35" i="6"/>
  <c r="H29" i="10" l="1"/>
  <c r="I29" i="10" s="1"/>
  <c r="I34" i="10" s="1"/>
  <c r="C67" i="5"/>
  <c r="E67" i="5" l="1"/>
  <c r="E72" i="5" s="1"/>
  <c r="I35" i="10"/>
  <c r="I36" i="10" s="1"/>
  <c r="B18" i="6"/>
  <c r="H18" i="6" s="1"/>
  <c r="H24" i="6" s="1"/>
  <c r="E21" i="10" l="1"/>
  <c r="E50" i="10"/>
  <c r="E53" i="10" s="1"/>
  <c r="F50" i="10"/>
  <c r="F53" i="10" s="1"/>
  <c r="H7" i="10"/>
  <c r="E15" i="10"/>
  <c r="B30" i="6"/>
  <c r="H30" i="6"/>
  <c r="G53" i="10" l="1"/>
  <c r="G50" i="10"/>
  <c r="F21" i="10"/>
  <c r="G21" i="10" s="1"/>
  <c r="H9" i="10"/>
  <c r="H11" i="10" s="1"/>
  <c r="I11" i="10" s="1"/>
  <c r="I13" i="10" s="1"/>
  <c r="I7" i="10"/>
  <c r="I9" i="10" s="1"/>
  <c r="E61" i="10"/>
  <c r="M18" i="10"/>
  <c r="M19" i="10" s="1"/>
  <c r="M22" i="10" s="1"/>
  <c r="E24" i="10"/>
  <c r="E25" i="10" s="1"/>
  <c r="E16" i="10"/>
  <c r="B24" i="6"/>
  <c r="D6" i="8" s="1"/>
  <c r="H35" i="6"/>
  <c r="H21" i="10" l="1"/>
  <c r="P36" i="10"/>
  <c r="M32" i="10"/>
  <c r="O35" i="10" s="1"/>
  <c r="E6" i="8"/>
  <c r="E9" i="8" s="1"/>
  <c r="D34" i="8"/>
  <c r="E34" i="8" s="1"/>
  <c r="F15" i="8"/>
  <c r="G15" i="8" s="1"/>
  <c r="D18" i="6"/>
  <c r="J18" i="6" s="1"/>
  <c r="F59" i="10" l="1"/>
  <c r="E59" i="10"/>
  <c r="J30" i="6"/>
  <c r="K18" i="6"/>
  <c r="G18" i="8"/>
  <c r="D19" i="6"/>
  <c r="D30" i="6"/>
  <c r="D22" i="6"/>
  <c r="E18" i="6"/>
  <c r="K30" i="6" l="1"/>
  <c r="F18" i="6"/>
  <c r="F30" i="6" s="1"/>
  <c r="E30" i="6"/>
  <c r="E22" i="6"/>
  <c r="J22" i="6"/>
  <c r="D34" i="6"/>
  <c r="J19" i="6"/>
  <c r="D20" i="6"/>
  <c r="D31" i="6"/>
  <c r="E19" i="6"/>
  <c r="G68" i="10"/>
  <c r="K22" i="6" l="1"/>
  <c r="J34" i="6"/>
  <c r="K34" i="6" s="1"/>
  <c r="E34" i="6"/>
  <c r="F22" i="6"/>
  <c r="F34" i="6" s="1"/>
  <c r="F19" i="6"/>
  <c r="F31" i="6" s="1"/>
  <c r="E31" i="6"/>
  <c r="J20" i="6"/>
  <c r="D32" i="6"/>
  <c r="D21" i="6"/>
  <c r="E20" i="6"/>
  <c r="K19" i="6"/>
  <c r="J31" i="6"/>
  <c r="K31" i="6" l="1"/>
  <c r="E32" i="6"/>
  <c r="F20" i="6"/>
  <c r="F32" i="6" s="1"/>
  <c r="K20" i="6"/>
  <c r="J32" i="6"/>
  <c r="K32" i="6" s="1"/>
  <c r="E21" i="6"/>
  <c r="J21" i="6"/>
  <c r="J24" i="6" s="1"/>
  <c r="D33" i="6"/>
  <c r="F23" i="10" l="1"/>
  <c r="G23" i="10" s="1"/>
  <c r="K21" i="6"/>
  <c r="K24" i="6" s="1"/>
  <c r="J33" i="6"/>
  <c r="K33" i="6" s="1"/>
  <c r="K35" i="6" s="1"/>
  <c r="F21" i="6"/>
  <c r="F33" i="6" s="1"/>
  <c r="E33" i="6"/>
  <c r="F25" i="10" l="1"/>
  <c r="E59" i="5"/>
  <c r="E60" i="10"/>
  <c r="E62" i="10" s="1"/>
  <c r="E61" i="5"/>
  <c r="F60" i="10"/>
  <c r="H15" i="8"/>
  <c r="H23" i="10"/>
  <c r="G25" i="10"/>
  <c r="H25" i="10" s="1"/>
  <c r="J35" i="6"/>
  <c r="H18" i="8" l="1"/>
  <c r="I15" i="8"/>
  <c r="I18" i="8" s="1"/>
  <c r="G67" i="10"/>
  <c r="G69" i="10" s="1"/>
  <c r="F62" i="10"/>
  <c r="E64" i="10"/>
  <c r="F64" i="10" l="1"/>
  <c r="G64" i="10" s="1"/>
  <c r="J63" i="10"/>
  <c r="G62" i="10"/>
  <c r="D33" i="8"/>
  <c r="E33" i="8" s="1"/>
  <c r="E37" i="8" s="1"/>
  <c r="E30" i="8" l="1"/>
  <c r="K3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Cindy Perrin</author>
    <author>Susan Reffle</author>
  </authors>
  <commentList>
    <comment ref="T1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Cindy Perrin:</t>
        </r>
        <r>
          <rPr>
            <sz val="9"/>
            <color indexed="81"/>
            <rFont val="Tahoma"/>
            <family val="2"/>
          </rPr>
          <t xml:space="preserve">
Be sure to exclude previous true ups and FSVA which is included in line 142
</t>
        </r>
      </text>
    </comment>
    <comment ref="AE23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Susan Reffle:</t>
        </r>
        <r>
          <rPr>
            <sz val="9"/>
            <color indexed="81"/>
            <rFont val="Tahoma"/>
            <family val="2"/>
          </rPr>
          <t xml:space="preserve">
required to separate due to emergency pricing for GA</t>
        </r>
      </text>
    </comment>
    <comment ref="AE24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Susan Reffle:</t>
        </r>
        <r>
          <rPr>
            <sz val="9"/>
            <color indexed="81"/>
            <rFont val="Tahoma"/>
            <family val="2"/>
          </rPr>
          <t xml:space="preserve">
emergency rate is $0.115/kWh however need to adjust to tie to CT 148 amount.  RPP must be trued up based on actual rate and quantities.  There default balance goes to non-RPP.  See OEB letter May 15 corrected May 26</t>
        </r>
      </text>
    </comment>
  </commentList>
</comments>
</file>

<file path=xl/sharedStrings.xml><?xml version="1.0" encoding="utf-8"?>
<sst xmlns="http://schemas.openxmlformats.org/spreadsheetml/2006/main" count="422" uniqueCount="251">
  <si>
    <t>Table 22: Wholesale Volume data per IESO Power Bill</t>
  </si>
  <si>
    <t>GA RPP/non-RPP Ratios</t>
  </si>
  <si>
    <t>GA Volumes</t>
  </si>
  <si>
    <t>Energy Volumes</t>
  </si>
  <si>
    <t>AQEW</t>
  </si>
  <si>
    <t>Embedded Generation</t>
  </si>
  <si>
    <t>Class A customer Volumes for GA  (TLF included)</t>
  </si>
  <si>
    <t>Actual RPP Quantity Proportion</t>
  </si>
  <si>
    <t>Actual non-RPP Quantity Proportion</t>
  </si>
  <si>
    <t xml:space="preserve">Wholesale kWh Volumes </t>
  </si>
  <si>
    <t>Table 23: Actual Volumes purchased for RPP Customers (TLF Included)</t>
  </si>
  <si>
    <t>kWh Volumes</t>
  </si>
  <si>
    <t>Actual %</t>
  </si>
  <si>
    <t>Tier 1</t>
  </si>
  <si>
    <t>Tier 2</t>
  </si>
  <si>
    <t>TOU Off-peak</t>
  </si>
  <si>
    <t>TOU Mid-peak</t>
  </si>
  <si>
    <t>TOU On-peak</t>
  </si>
  <si>
    <t>Billed/Unbilled Retail Volumes</t>
  </si>
  <si>
    <t>Actual RPP Sales Quantities</t>
  </si>
  <si>
    <t>Actual non-RPP Sales Quantities</t>
  </si>
  <si>
    <t xml:space="preserve">Actual Retail Revenue kWh Volumes </t>
  </si>
  <si>
    <r>
      <t>Table 25: Actual RPP Revenue Volume and Price Data</t>
    </r>
    <r>
      <rPr>
        <b/>
        <vertAlign val="superscript"/>
        <sz val="10"/>
        <color theme="1"/>
        <rFont val="Calibri"/>
        <family val="2"/>
        <scheme val="minor"/>
      </rPr>
      <t>14</t>
    </r>
  </si>
  <si>
    <t>RPP Price/kWh</t>
  </si>
  <si>
    <t>Table 26: Commodity Price Data</t>
  </si>
  <si>
    <t>Wholesale Prices</t>
  </si>
  <si>
    <t>Commodity Price</t>
  </si>
  <si>
    <t>per kWh</t>
  </si>
  <si>
    <t>Actual Average Energy Price for RPP Customers</t>
  </si>
  <si>
    <t>Actual Average Energy Price for non-RPP customers</t>
  </si>
  <si>
    <t>GA 1st estimate</t>
  </si>
  <si>
    <t>Class B - GA actual IESO billed</t>
  </si>
  <si>
    <t>Commodity Cost of Power per IESO Invoice:</t>
  </si>
  <si>
    <t>Table 27: Commodity Cost of Power Billed by IESO</t>
  </si>
  <si>
    <t>Cost/kWh</t>
  </si>
  <si>
    <t>Amount</t>
  </si>
  <si>
    <t>Actual Payments to Embedded Generators - 4705</t>
  </si>
  <si>
    <t>Charge Type 101 - 4705</t>
  </si>
  <si>
    <t>Charge Type 147 - non-RPP Class A - 4707</t>
  </si>
  <si>
    <r>
      <t>Charge Type 148 - RPP - 4705</t>
    </r>
    <r>
      <rPr>
        <b/>
        <vertAlign val="superscript"/>
        <sz val="11"/>
        <color theme="1"/>
        <rFont val="Calibri"/>
        <family val="2"/>
        <scheme val="minor"/>
      </rPr>
      <t>15</t>
    </r>
  </si>
  <si>
    <r>
      <t>Charge Type 148 - non-RPP - 4707</t>
    </r>
    <r>
      <rPr>
        <b/>
        <vertAlign val="superscript"/>
        <sz val="11"/>
        <color theme="1"/>
        <rFont val="Calibri"/>
        <family val="2"/>
        <scheme val="minor"/>
      </rPr>
      <t>15</t>
    </r>
  </si>
  <si>
    <t>Charge Type 1412 - FIT Program Settlement Amount - 4705</t>
  </si>
  <si>
    <t>Actual cost of power</t>
  </si>
  <si>
    <t>Actual Net Accrued &amp; Billed Revenue from RPP &amp; non-RPP Customers:</t>
  </si>
  <si>
    <t>Table 28: RPP Commodity Revenue</t>
  </si>
  <si>
    <t>Total Actual Revenue</t>
  </si>
  <si>
    <t>Table 29: non-RPP Actual Revenue</t>
  </si>
  <si>
    <t>Actual non-RPP Energy Revenue</t>
  </si>
  <si>
    <t>Actual Class A non-RPP GA Revenue at PDF</t>
  </si>
  <si>
    <t>Class B non-RPP GA Revenue at 1st estimate</t>
  </si>
  <si>
    <t>Actual RPP power sales volumes and revenues</t>
  </si>
  <si>
    <t>Actual Non-RPP power sales volumes and revenues</t>
  </si>
  <si>
    <t>RPP Settlement - 2nd True-UP</t>
  </si>
  <si>
    <t>RPP Settlement Calculation based on Actual GA Price on Business Day 4 of February 2018</t>
  </si>
  <si>
    <t>Table 31: Estimated RPP Revenue &amp; Actual GA price</t>
  </si>
  <si>
    <t>RPP Revenue Prices</t>
  </si>
  <si>
    <t>RPP Price</t>
  </si>
  <si>
    <t>Estimated RPP Energy Price</t>
  </si>
  <si>
    <t>GA Actual</t>
  </si>
  <si>
    <t>Total Commodity</t>
  </si>
  <si>
    <t>Difference</t>
  </si>
  <si>
    <t>$ Estimated RPP Revenue</t>
  </si>
  <si>
    <t>$ Estimated RPP Energy</t>
  </si>
  <si>
    <t>$ Actual GA</t>
  </si>
  <si>
    <t>$ Estimated RPP Settlement</t>
  </si>
  <si>
    <t>Table 32 Final Revised RPP Settlement based on Actual RPP Revenue and Actual GA Price</t>
  </si>
  <si>
    <t>Actual RPP Energy Price</t>
  </si>
  <si>
    <t>$ Actual RPP Revenue</t>
  </si>
  <si>
    <t>$ Actual RPP Energy</t>
  </si>
  <si>
    <t>2nd RPP Settlement True-up</t>
  </si>
  <si>
    <t>Table 33: True-up of RPP Volumes and Revenue and GA price to actual</t>
  </si>
  <si>
    <t>True-Up elements</t>
  </si>
  <si>
    <t>RPP Energy Price Difference</t>
  </si>
  <si>
    <t>GA Price Difference</t>
  </si>
  <si>
    <t>$ True-Up RPP Revenue</t>
  </si>
  <si>
    <t>$ True-up RPP Energy</t>
  </si>
  <si>
    <t>$ True-up GA</t>
  </si>
  <si>
    <t>$ RPP Settlement True-UP</t>
  </si>
  <si>
    <t>TOU On-peak (total)</t>
  </si>
  <si>
    <t>Total for all RPP</t>
  </si>
  <si>
    <t>$</t>
  </si>
  <si>
    <t xml:space="preserve">Table 30: Actual Average unit cost of power sold for RPP &amp; non-RPP for 2nd True-up </t>
  </si>
  <si>
    <t>$ Final RPP Settlement</t>
  </si>
  <si>
    <t>Total</t>
  </si>
  <si>
    <t>Fixed</t>
  </si>
  <si>
    <t>Actual differential on billings - 'ER'</t>
  </si>
  <si>
    <t>Spot</t>
  </si>
  <si>
    <t>IESO Invoice Breakdown:</t>
  </si>
  <si>
    <t xml:space="preserve">        1598 regular estimate</t>
  </si>
  <si>
    <t xml:space="preserve">        Est. GA for RPP customer</t>
  </si>
  <si>
    <t>Closing Balance</t>
  </si>
  <si>
    <t>Total Actual IESO Settlement</t>
  </si>
  <si>
    <t>Comparison</t>
  </si>
  <si>
    <t>OEB Method</t>
  </si>
  <si>
    <t>RPP Revenue</t>
  </si>
  <si>
    <t>GA - RPP</t>
  </si>
  <si>
    <t>kWh</t>
  </si>
  <si>
    <t>Diff</t>
  </si>
  <si>
    <t>Non-RPP Revenue</t>
  </si>
  <si>
    <t>Energy Revenue - RPP</t>
  </si>
  <si>
    <t>GA RPP Portion</t>
  </si>
  <si>
    <t>1598 Final Settlement</t>
  </si>
  <si>
    <t>FIT/MicroFit @ spot</t>
  </si>
  <si>
    <t>GA True-up File</t>
  </si>
  <si>
    <t>GA - T otal Revenue</t>
  </si>
  <si>
    <t>GA - Class A Cost</t>
  </si>
  <si>
    <t xml:space="preserve">GA - Class B Cost </t>
  </si>
  <si>
    <t>GA - Class A Revenue</t>
  </si>
  <si>
    <t>GA - Total Cost</t>
  </si>
  <si>
    <t xml:space="preserve">Final RPP Settlement Calculation </t>
  </si>
  <si>
    <t>(1)</t>
  </si>
  <si>
    <t>Wholesale vs Retail Volume Differences (UAF Energy)</t>
  </si>
  <si>
    <t>Rate</t>
  </si>
  <si>
    <t>$ Amount</t>
  </si>
  <si>
    <t>(2)</t>
  </si>
  <si>
    <t>Retail kWh</t>
  </si>
  <si>
    <t>Wholesale kWh</t>
  </si>
  <si>
    <t>(3)</t>
  </si>
  <si>
    <t>GA - Class B Non-RPP Revenue</t>
  </si>
  <si>
    <t>Final True-up with IESO (based on actuals)</t>
  </si>
  <si>
    <t>Comparison:</t>
  </si>
  <si>
    <t>Difference in 1598 Final Settlement</t>
  </si>
  <si>
    <t>Difference in GA RPP Portion</t>
  </si>
  <si>
    <t>(4)</t>
  </si>
  <si>
    <t>(A)</t>
  </si>
  <si>
    <t>(B)</t>
  </si>
  <si>
    <t>(C)</t>
  </si>
  <si>
    <t>Final Settlement (A-B-C)</t>
  </si>
  <si>
    <t>Cost of Energy (4705)</t>
  </si>
  <si>
    <t>Sale of Energy (  )</t>
  </si>
  <si>
    <t>GA Revenue (4   )</t>
  </si>
  <si>
    <t>GA - Cost (4707)</t>
  </si>
  <si>
    <t>from IESO Spreadsheet</t>
  </si>
  <si>
    <t>148 RPP</t>
  </si>
  <si>
    <t>from GA true up or  split of IESO invoice spreadsheet</t>
  </si>
  <si>
    <t>Total GA</t>
  </si>
  <si>
    <t>Materiality</t>
  </si>
  <si>
    <t>1588 Variance Account (after true-up)</t>
  </si>
  <si>
    <t>1589 Variance Account (after true-up)</t>
  </si>
  <si>
    <t>Summary and Explanation of Final Balances of RSVA 1588 and 1589</t>
  </si>
  <si>
    <t>Table 37 - Total Energy and GA Revenue</t>
  </si>
  <si>
    <t>Volume Data by Customer Group</t>
  </si>
  <si>
    <t>Revenue - Energy Sales (Tables 28 &amp; 29)</t>
  </si>
  <si>
    <t>Revenue - GA (Table 29)</t>
  </si>
  <si>
    <t>Customer Group</t>
  </si>
  <si>
    <t>GA Retail
kWh Volumes</t>
  </si>
  <si>
    <t>Energy Retail kWh Volumes</t>
  </si>
  <si>
    <t>1st Estimate GA</t>
  </si>
  <si>
    <t>Class B - RPP</t>
  </si>
  <si>
    <t xml:space="preserve">Class A - Non-RPP </t>
  </si>
  <si>
    <t>Class B - Non-RPP</t>
  </si>
  <si>
    <t>Table 38 - Account 4705 Total Commodity Costs</t>
  </si>
  <si>
    <t>Costs - 4705 (Table 27)</t>
  </si>
  <si>
    <t>Commodity  (Wholesale)</t>
  </si>
  <si>
    <t>GA (Wholesale)</t>
  </si>
  <si>
    <t>Final IESO RPP Settlement</t>
  </si>
  <si>
    <t>Total Wholesale Cost</t>
  </si>
  <si>
    <t>GA Wholesale kWh Volumes</t>
  </si>
  <si>
    <t>Energy Wholesale kWh Volumes</t>
  </si>
  <si>
    <t>Final Purchased Price</t>
  </si>
  <si>
    <t>Actual GA IESO Bill Price</t>
  </si>
  <si>
    <t>Class B  - RPP</t>
  </si>
  <si>
    <t xml:space="preserve"> </t>
  </si>
  <si>
    <t>Table 39 - Account 4705 Total GA Costs</t>
  </si>
  <si>
    <t>GA Costs - 4707 (Table 27)</t>
  </si>
  <si>
    <t>Table 40 - Account 1588 Balance Explanation</t>
  </si>
  <si>
    <t>1588 - RSVA Power - Balance Explanation</t>
  </si>
  <si>
    <t>Account Balance - December 31, 2017</t>
  </si>
  <si>
    <t>Balance Per DVA Continuity</t>
  </si>
  <si>
    <t>Variance - Type</t>
  </si>
  <si>
    <t>Quantity</t>
  </si>
  <si>
    <t>Price</t>
  </si>
  <si>
    <t>Explanation</t>
  </si>
  <si>
    <t>Price Variance</t>
  </si>
  <si>
    <t>Retail vs Wholesale Price Variances</t>
  </si>
  <si>
    <t>Volume Variance</t>
  </si>
  <si>
    <t>Retail vs Wholesale Volume Variance - (UFE differences)</t>
  </si>
  <si>
    <t>Price Difference</t>
  </si>
  <si>
    <t>Balance Explained</t>
  </si>
  <si>
    <t>Table 41 - Account 1589 Balance Explanation</t>
  </si>
  <si>
    <t>1589 - RSVA GA - Balance Explanation</t>
  </si>
  <si>
    <t>Retail GA Price Billed vs Wholesale GA Actual Price paid to IESO</t>
  </si>
  <si>
    <t>RPP kWh @ Rtl</t>
  </si>
  <si>
    <t>NonRPP kWh @Rtl</t>
  </si>
  <si>
    <t>Wholesale</t>
  </si>
  <si>
    <t>unaccounted for energy %</t>
  </si>
  <si>
    <t>Adjustment for OEB Accounting Guidance (UFE)</t>
  </si>
  <si>
    <t xml:space="preserve"> Adjustment for OEB Accounting Guidance (UFE)</t>
  </si>
  <si>
    <t>EW Method - GA CT 148 Split Adjusted for OEB Accounting Guidance</t>
  </si>
  <si>
    <t>W/S kWh</t>
  </si>
  <si>
    <t>IESO</t>
  </si>
  <si>
    <t>nonRPP</t>
  </si>
  <si>
    <t>RPP</t>
  </si>
  <si>
    <t>rate</t>
  </si>
  <si>
    <t>$'s</t>
  </si>
  <si>
    <t>EW Method</t>
  </si>
  <si>
    <t>amount required for closing balance to = 0</t>
  </si>
  <si>
    <t>Total GA kWh class B</t>
  </si>
  <si>
    <t>Total GA$ class B</t>
  </si>
  <si>
    <t>Non-RPP GA @ W/S</t>
  </si>
  <si>
    <t>Non-RPP GA$ @ W/S</t>
  </si>
  <si>
    <t>from GA TrueUp file</t>
  </si>
  <si>
    <t>from above and on 1st tab</t>
  </si>
  <si>
    <r>
      <t>Charge Type 1142/142 - RPP - 4705 - RPP Settlement - Final Settlement Amount</t>
    </r>
    <r>
      <rPr>
        <b/>
        <vertAlign val="superscript"/>
        <sz val="11"/>
        <color theme="1"/>
        <rFont val="Calibri"/>
        <family val="2"/>
        <scheme val="minor"/>
      </rPr>
      <t>16</t>
    </r>
  </si>
  <si>
    <t>done</t>
  </si>
  <si>
    <t xml:space="preserve"> done final</t>
  </si>
  <si>
    <t>NonRPP kWh @Wholesale</t>
  </si>
  <si>
    <t>RPP kWh @Wholesale</t>
  </si>
  <si>
    <t>Total GA rate (IESO bill)</t>
  </si>
  <si>
    <t>RPP GA actual (portion of CT148)</t>
  </si>
  <si>
    <t>Non-RPP GA actual (portion of CT148)</t>
  </si>
  <si>
    <t>Total CT 148</t>
  </si>
  <si>
    <t>Check</t>
  </si>
  <si>
    <t>GA Rate - RPP</t>
  </si>
  <si>
    <t>GA Rate - Non RPP</t>
  </si>
  <si>
    <t>This section can be simplified to pull from GA True-up file as the UFE is now built into that process</t>
  </si>
  <si>
    <t>May-Sep average GA rate for RPP and non RPP</t>
  </si>
  <si>
    <t>O</t>
  </si>
  <si>
    <t>N</t>
  </si>
  <si>
    <t>D</t>
  </si>
  <si>
    <t>Oct - Dec 2020 Actuals</t>
  </si>
  <si>
    <t>Actual Billings - Harris (related to consumption from Oct - Dec 2020)</t>
  </si>
  <si>
    <t>Oct 1 /20-  Dec 30/20 billing stats for Oct-Dec 2020 effective dates</t>
  </si>
  <si>
    <t>Oct-Dec</t>
  </si>
  <si>
    <t>2020 Oct-Dec</t>
  </si>
  <si>
    <t>Power</t>
  </si>
  <si>
    <t>GA</t>
  </si>
  <si>
    <t>GA Class B True Up  (Oct-Dec 2020)</t>
  </si>
  <si>
    <t>estimated true-up</t>
  </si>
  <si>
    <t>Owing to IESO</t>
  </si>
  <si>
    <t>Owing from IESO</t>
  </si>
  <si>
    <t>Claimed from IESO</t>
  </si>
  <si>
    <t>Owing from</t>
  </si>
  <si>
    <t>142 RPP</t>
  </si>
  <si>
    <t>142 Non</t>
  </si>
  <si>
    <t>December RV entry</t>
  </si>
  <si>
    <t>30.000.2220.032.00</t>
  </si>
  <si>
    <t>DB</t>
  </si>
  <si>
    <t>CR</t>
  </si>
  <si>
    <t>40.000.4705.009.00</t>
  </si>
  <si>
    <t>40.000.4707.000.00</t>
  </si>
  <si>
    <t>Opening Balance (amounts related to 4705)</t>
  </si>
  <si>
    <t>IESO Invoice (CT 148)</t>
  </si>
  <si>
    <t>Paid to/from IESO (CT 1142)</t>
  </si>
  <si>
    <t>GA RPP proportion True Up</t>
  </si>
  <si>
    <t>Actuals per Billing (RPP price -RPP Energy)</t>
  </si>
  <si>
    <t xml:space="preserve">Acctg Guidance True Up (UFE) </t>
  </si>
  <si>
    <t>Data for Final RPP Settlement based on Actual Revenue Volumes Jan- Dec 2022:</t>
  </si>
  <si>
    <t>Table 24: Actual Retail Volume Revenue Data (TLF included)</t>
  </si>
  <si>
    <t xml:space="preserve">RPP Class B GA actual </t>
  </si>
  <si>
    <t xml:space="preserve">Non RPP - Class B GA actual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</si>
</sst>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_(* #,##0.00000_);_(* \(#,##0.00000\);_(* &quot;-&quot;??_);_(@_)"/>
    <numFmt numFmtId="169" formatCode="_(&quot;$&quot;* #,##0.0000_);_(&quot;$&quot;* \(#,##0.0000\);_(&quot;$&quot;* &quot;-&quot;??_);_(@_)"/>
    <numFmt numFmtId="170" formatCode="_-* #,##0_-;\-* #,##0_-;_-* &quot;-&quot;??_-;_-@_-"/>
    <numFmt numFmtId="171" formatCode="_(&quot;$&quot;* #,##0.000_);_(&quot;$&quot;* \(#,##0.000\);_(&quot;$&quot;* &quot;-&quot;??_);_(@_)"/>
    <numFmt numFmtId="172" formatCode="_(* #,##0.0000_);_(* \(#,##0.0000\);_(* &quot;-&quot;??_);_(@_)"/>
    <numFmt numFmtId="173" formatCode="_-&quot;$&quot;* #,##0.0000_-;\-&quot;$&quot;* #,##0.0000_-;_-&quot;$&quot;* &quot;-&quot;??_-;_-@_-"/>
    <numFmt numFmtId="174" formatCode="_(&quot;$&quot;* #,##0.00000_);_(&quot;$&quot;* \(#,##0.00000\);_(&quot;$&quot;* &quot;-&quot;??_);_(@_)"/>
    <numFmt numFmtId="175" formatCode="_-&quot;$&quot;* #,##0_-;\-&quot;$&quot;* #,##0_-;_-&quot;$&quot;* &quot;-&quot;????_-;_-@_-"/>
    <numFmt numFmtId="176" formatCode="_-* #,##0.00000_-;\-* #,##0.00000_-;_-* &quot;-&quot;??_-;_-@_-"/>
    <numFmt numFmtId="177" formatCode="_-&quot;$&quot;* #,##0_-;\-&quot;$&quot;* #,##0_-;_-&quot;$&quot;* &quot;-&quot;??_-;_-@_-"/>
    <numFmt numFmtId="178" formatCode="_-&quot;$&quot;* #,##0.00000_-;\-&quot;$&quot;* #,##0.00000_-;_-&quot;$&quot;* &quot;-&quot;??_-;_-@_-"/>
    <numFmt numFmtId="179" formatCode="0.000000"/>
    <numFmt numFmtId="180" formatCode="_(* #,##0.000_);_(* \(#,##0.000\);_(* &quot;-&quot;??_);_(@_)"/>
    <numFmt numFmtId="181" formatCode="0.00000"/>
    <numFmt numFmtId="182" formatCode="\ mm\/dd\/yyyy"/>
    <numFmt numFmtId="183" formatCode="0.0000"/>
    <numFmt numFmtId="184" formatCode="_(* #,##0.000000_);_(* \(#,##0.000000\);_(* &quot;-&quot;??_);_(@_)"/>
    <numFmt numFmtId="185" formatCode="0.0%"/>
    <numFmt numFmtId="186" formatCode="_(&quot;$&quot;* #,##0.000000_);_(&quot;$&quot;* \(#,##0.000000\);_(&quot;$&quot;* &quot;-&quot;??_);_(@_)"/>
    <numFmt numFmtId="187" formatCode="0.000%"/>
    <numFmt numFmtId="188" formatCode="_(* #,##0.0000000_);_(* \(#,##0.0000000\);_(* &quot;-&quot;??_);_(@_)"/>
    <numFmt numFmtId="189" formatCode="_-* #,##0.000000_-;\-* #,##0.000000_-;_-* &quot;-&quot;??_-;_-@_-"/>
    <numFmt numFmtId="190" formatCode="_-* #,##0.000_-;\-* #,##0.000_-;_-* &quot;-&quot;??_-;_-@_-"/>
    <numFmt numFmtId="191" formatCode="0.00000000000000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Arial"/>
      <family val="2"/>
    </font>
    <font>
      <u/>
      <sz val="10"/>
      <name val="Arial"/>
      <family val="2"/>
    </font>
    <font>
      <b/>
      <sz val="11"/>
      <name val="Comic Sans MS"/>
      <family val="4"/>
    </font>
    <font>
      <b/>
      <sz val="11"/>
      <name val="Arial"/>
      <family val="2"/>
    </font>
    <font>
      <sz val="11"/>
      <name val="Comic Sans MS"/>
      <family val="4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 val="singleAccounting"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4" fillId="0" borderId="0" applyNumberFormat="0" applyFill="0" applyBorder="0" applyAlignment="0" applyProtection="0"/>
  </cellStyleXfs>
  <cellXfs count="383">
    <xf numFmtId="0" fontId="0" fillId="0" borderId="0" xfId="0"/>
    <xf numFmtId="0" fontId="3" fillId="0" borderId="0" xfId="0" applyFont="1"/>
    <xf numFmtId="0" fontId="2" fillId="0" borderId="0" xfId="0" applyFont="1"/>
    <xf numFmtId="166" fontId="0" fillId="0" borderId="0" xfId="1" applyNumberFormat="1" applyFont="1" applyFill="1"/>
    <xf numFmtId="166" fontId="0" fillId="0" borderId="0" xfId="1" applyNumberFormat="1" applyFont="1"/>
    <xf numFmtId="166" fontId="0" fillId="0" borderId="0" xfId="0" applyNumberFormat="1"/>
    <xf numFmtId="167" fontId="0" fillId="0" borderId="0" xfId="0" applyNumberFormat="1"/>
    <xf numFmtId="166" fontId="0" fillId="0" borderId="1" xfId="1" applyNumberFormat="1" applyFont="1" applyFill="1" applyBorder="1"/>
    <xf numFmtId="0" fontId="2" fillId="0" borderId="0" xfId="0" applyFont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0" fontId="0" fillId="0" borderId="0" xfId="3" applyNumberFormat="1" applyFont="1" applyFill="1"/>
    <xf numFmtId="168" fontId="0" fillId="0" borderId="0" xfId="0" applyNumberFormat="1"/>
    <xf numFmtId="169" fontId="0" fillId="0" borderId="0" xfId="0" applyNumberFormat="1"/>
    <xf numFmtId="167" fontId="0" fillId="0" borderId="0" xfId="2" applyNumberFormat="1" applyFont="1" applyBorder="1"/>
    <xf numFmtId="166" fontId="0" fillId="0" borderId="2" xfId="0" applyNumberFormat="1" applyBorder="1"/>
    <xf numFmtId="0" fontId="4" fillId="0" borderId="0" xfId="0" applyFont="1"/>
    <xf numFmtId="167" fontId="0" fillId="0" borderId="0" xfId="2" applyNumberFormat="1" applyFont="1"/>
    <xf numFmtId="171" fontId="0" fillId="0" borderId="0" xfId="2" applyNumberFormat="1" applyFont="1"/>
    <xf numFmtId="166" fontId="5" fillId="0" borderId="0" xfId="1" applyNumberFormat="1" applyFont="1" applyFill="1"/>
    <xf numFmtId="166" fontId="0" fillId="2" borderId="0" xfId="1" applyNumberFormat="1" applyFont="1" applyFill="1"/>
    <xf numFmtId="165" fontId="0" fillId="0" borderId="0" xfId="0" applyNumberFormat="1"/>
    <xf numFmtId="166" fontId="0" fillId="0" borderId="0" xfId="3" applyNumberFormat="1" applyFont="1"/>
    <xf numFmtId="0" fontId="0" fillId="0" borderId="0" xfId="0" applyAlignment="1">
      <alignment horizontal="center"/>
    </xf>
    <xf numFmtId="172" fontId="0" fillId="0" borderId="0" xfId="0" applyNumberFormat="1"/>
    <xf numFmtId="164" fontId="0" fillId="0" borderId="0" xfId="0" applyNumberFormat="1"/>
    <xf numFmtId="173" fontId="0" fillId="0" borderId="0" xfId="0" applyNumberFormat="1"/>
    <xf numFmtId="167" fontId="0" fillId="0" borderId="0" xfId="2" applyNumberFormat="1" applyFont="1" applyFill="1"/>
    <xf numFmtId="167" fontId="0" fillId="0" borderId="0" xfId="2" applyNumberFormat="1" applyFont="1" applyFill="1" applyAlignment="1">
      <alignment horizontal="left"/>
    </xf>
    <xf numFmtId="174" fontId="0" fillId="0" borderId="0" xfId="0" applyNumberFormat="1"/>
    <xf numFmtId="167" fontId="0" fillId="0" borderId="2" xfId="2" applyNumberFormat="1" applyFont="1" applyFill="1" applyBorder="1"/>
    <xf numFmtId="44" fontId="0" fillId="0" borderId="0" xfId="0" applyNumberFormat="1"/>
    <xf numFmtId="43" fontId="0" fillId="0" borderId="0" xfId="0" applyNumberFormat="1"/>
    <xf numFmtId="175" fontId="0" fillId="0" borderId="0" xfId="0" applyNumberFormat="1"/>
    <xf numFmtId="166" fontId="0" fillId="0" borderId="2" xfId="1" applyNumberFormat="1" applyFont="1" applyBorder="1"/>
    <xf numFmtId="167" fontId="0" fillId="0" borderId="0" xfId="2" applyNumberFormat="1" applyFont="1" applyFill="1" applyBorder="1"/>
    <xf numFmtId="166" fontId="0" fillId="0" borderId="0" xfId="1" applyNumberFormat="1" applyFont="1" applyBorder="1"/>
    <xf numFmtId="167" fontId="2" fillId="0" borderId="0" xfId="2" applyNumberFormat="1" applyFont="1" applyFill="1" applyBorder="1" applyAlignment="1">
      <alignment horizontal="center"/>
    </xf>
    <xf numFmtId="167" fontId="1" fillId="0" borderId="0" xfId="2" applyNumberFormat="1" applyFont="1" applyFill="1" applyBorder="1"/>
    <xf numFmtId="167" fontId="0" fillId="0" borderId="2" xfId="2" applyNumberFormat="1" applyFont="1" applyBorder="1"/>
    <xf numFmtId="10" fontId="0" fillId="0" borderId="0" xfId="3" applyNumberFormat="1" applyFont="1" applyFill="1" applyBorder="1"/>
    <xf numFmtId="9" fontId="0" fillId="0" borderId="0" xfId="3" applyFont="1" applyBorder="1"/>
    <xf numFmtId="178" fontId="0" fillId="0" borderId="0" xfId="0" applyNumberFormat="1"/>
    <xf numFmtId="166" fontId="0" fillId="0" borderId="0" xfId="1" applyNumberFormat="1" applyFont="1" applyFill="1" applyBorder="1"/>
    <xf numFmtId="0" fontId="8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4" xfId="0" applyBorder="1"/>
    <xf numFmtId="169" fontId="0" fillId="0" borderId="5" xfId="2" applyNumberFormat="1" applyFont="1" applyBorder="1"/>
    <xf numFmtId="173" fontId="0" fillId="0" borderId="5" xfId="0" applyNumberFormat="1" applyBorder="1"/>
    <xf numFmtId="171" fontId="0" fillId="0" borderId="0" xfId="0" applyNumberFormat="1"/>
    <xf numFmtId="169" fontId="0" fillId="0" borderId="0" xfId="2" applyNumberFormat="1" applyFont="1" applyBorder="1"/>
    <xf numFmtId="166" fontId="0" fillId="0" borderId="0" xfId="3" applyNumberFormat="1" applyFont="1" applyBorder="1"/>
    <xf numFmtId="0" fontId="0" fillId="0" borderId="6" xfId="0" applyBorder="1"/>
    <xf numFmtId="0" fontId="0" fillId="0" borderId="7" xfId="0" applyBorder="1"/>
    <xf numFmtId="169" fontId="0" fillId="0" borderId="8" xfId="2" applyNumberFormat="1" applyFont="1" applyBorder="1"/>
    <xf numFmtId="173" fontId="0" fillId="0" borderId="8" xfId="0" applyNumberFormat="1" applyBorder="1"/>
    <xf numFmtId="169" fontId="0" fillId="0" borderId="9" xfId="2" applyNumberFormat="1" applyFont="1" applyBorder="1"/>
    <xf numFmtId="0" fontId="2" fillId="0" borderId="3" xfId="0" applyFont="1" applyBorder="1" applyAlignment="1">
      <alignment wrapText="1"/>
    </xf>
    <xf numFmtId="171" fontId="0" fillId="0" borderId="5" xfId="0" applyNumberFormat="1" applyBorder="1"/>
    <xf numFmtId="171" fontId="0" fillId="0" borderId="8" xfId="0" applyNumberFormat="1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169" fontId="0" fillId="0" borderId="5" xfId="2" applyNumberFormat="1" applyFont="1" applyFill="1" applyBorder="1"/>
    <xf numFmtId="169" fontId="0" fillId="0" borderId="0" xfId="2" applyNumberFormat="1" applyFont="1" applyFill="1" applyBorder="1"/>
    <xf numFmtId="169" fontId="0" fillId="0" borderId="8" xfId="2" applyNumberFormat="1" applyFont="1" applyFill="1" applyBorder="1"/>
    <xf numFmtId="0" fontId="10" fillId="0" borderId="0" xfId="0" applyFont="1"/>
    <xf numFmtId="17" fontId="0" fillId="0" borderId="8" xfId="0" applyNumberFormat="1" applyBorder="1"/>
    <xf numFmtId="0" fontId="0" fillId="0" borderId="8" xfId="0" applyBorder="1" applyAlignment="1">
      <alignment horizontal="right"/>
    </xf>
    <xf numFmtId="182" fontId="0" fillId="0" borderId="0" xfId="0" applyNumberFormat="1"/>
    <xf numFmtId="0" fontId="13" fillId="0" borderId="0" xfId="4" applyFont="1"/>
    <xf numFmtId="0" fontId="14" fillId="0" borderId="0" xfId="4" applyFont="1"/>
    <xf numFmtId="0" fontId="15" fillId="0" borderId="0" xfId="4" applyFont="1"/>
    <xf numFmtId="166" fontId="0" fillId="0" borderId="8" xfId="1" applyNumberFormat="1" applyFont="1" applyBorder="1"/>
    <xf numFmtId="166" fontId="0" fillId="0" borderId="9" xfId="1" applyNumberFormat="1" applyFont="1" applyBorder="1"/>
    <xf numFmtId="166" fontId="0" fillId="0" borderId="8" xfId="1" applyNumberFormat="1" applyFont="1" applyBorder="1" applyAlignment="1">
      <alignment horizontal="center"/>
    </xf>
    <xf numFmtId="4" fontId="15" fillId="0" borderId="0" xfId="4" applyNumberFormat="1" applyFont="1"/>
    <xf numFmtId="3" fontId="15" fillId="0" borderId="0" xfId="4" applyNumberFormat="1" applyFont="1"/>
    <xf numFmtId="0" fontId="16" fillId="0" borderId="0" xfId="4" applyFont="1"/>
    <xf numFmtId="3" fontId="16" fillId="0" borderId="1" xfId="4" applyNumberFormat="1" applyFont="1" applyBorder="1"/>
    <xf numFmtId="166" fontId="1" fillId="0" borderId="0" xfId="1" applyNumberFormat="1" applyFont="1"/>
    <xf numFmtId="0" fontId="5" fillId="0" borderId="0" xfId="4" applyFont="1"/>
    <xf numFmtId="0" fontId="5" fillId="4" borderId="0" xfId="4" applyFont="1" applyFill="1"/>
    <xf numFmtId="0" fontId="0" fillId="0" borderId="0" xfId="1" applyNumberFormat="1" applyFont="1"/>
    <xf numFmtId="9" fontId="0" fillId="0" borderId="0" xfId="3" applyFont="1"/>
    <xf numFmtId="166" fontId="0" fillId="0" borderId="9" xfId="0" applyNumberFormat="1" applyBorder="1"/>
    <xf numFmtId="166" fontId="0" fillId="0" borderId="1" xfId="0" applyNumberFormat="1" applyBorder="1"/>
    <xf numFmtId="0" fontId="0" fillId="0" borderId="0" xfId="0" applyAlignment="1">
      <alignment horizontal="center" wrapText="1"/>
    </xf>
    <xf numFmtId="0" fontId="0" fillId="0" borderId="0" xfId="0" quotePrefix="1"/>
    <xf numFmtId="0" fontId="0" fillId="0" borderId="13" xfId="0" applyBorder="1"/>
    <xf numFmtId="0" fontId="0" fillId="0" borderId="14" xfId="0" applyBorder="1"/>
    <xf numFmtId="166" fontId="0" fillId="0" borderId="14" xfId="1" applyNumberFormat="1" applyFont="1" applyBorder="1"/>
    <xf numFmtId="166" fontId="0" fillId="0" borderId="15" xfId="1" applyNumberFormat="1" applyFont="1" applyBorder="1"/>
    <xf numFmtId="180" fontId="0" fillId="0" borderId="0" xfId="1" applyNumberFormat="1" applyFont="1"/>
    <xf numFmtId="180" fontId="0" fillId="0" borderId="9" xfId="1" applyNumberFormat="1" applyFont="1" applyBorder="1"/>
    <xf numFmtId="167" fontId="0" fillId="0" borderId="0" xfId="2" quotePrefix="1" applyNumberFormat="1" applyFont="1" applyFill="1" applyBorder="1"/>
    <xf numFmtId="181" fontId="0" fillId="0" borderId="0" xfId="0" applyNumberFormat="1"/>
    <xf numFmtId="183" fontId="0" fillId="0" borderId="0" xfId="0" applyNumberFormat="1"/>
    <xf numFmtId="165" fontId="0" fillId="0" borderId="0" xfId="1" applyFont="1"/>
    <xf numFmtId="179" fontId="0" fillId="0" borderId="0" xfId="0" applyNumberFormat="1"/>
    <xf numFmtId="0" fontId="17" fillId="0" borderId="0" xfId="0" applyFont="1"/>
    <xf numFmtId="165" fontId="0" fillId="0" borderId="0" xfId="1" applyFont="1" applyFill="1"/>
    <xf numFmtId="184" fontId="0" fillId="0" borderId="0" xfId="1" applyNumberFormat="1" applyFont="1"/>
    <xf numFmtId="185" fontId="0" fillId="0" borderId="16" xfId="3" applyNumberFormat="1" applyFont="1" applyBorder="1"/>
    <xf numFmtId="166" fontId="0" fillId="0" borderId="17" xfId="0" applyNumberFormat="1" applyBorder="1"/>
    <xf numFmtId="0" fontId="0" fillId="0" borderId="18" xfId="0" applyBorder="1"/>
    <xf numFmtId="187" fontId="0" fillId="0" borderId="0" xfId="3" applyNumberFormat="1" applyFont="1"/>
    <xf numFmtId="187" fontId="0" fillId="0" borderId="0" xfId="0" applyNumberFormat="1"/>
    <xf numFmtId="0" fontId="0" fillId="0" borderId="2" xfId="0" applyBorder="1"/>
    <xf numFmtId="0" fontId="19" fillId="0" borderId="0" xfId="0" applyFont="1"/>
    <xf numFmtId="0" fontId="0" fillId="0" borderId="0" xfId="0" applyAlignment="1">
      <alignment wrapText="1"/>
    </xf>
    <xf numFmtId="0" fontId="19" fillId="0" borderId="0" xfId="0" applyFont="1" applyAlignment="1">
      <alignment horizontal="center"/>
    </xf>
    <xf numFmtId="0" fontId="2" fillId="0" borderId="23" xfId="0" applyFont="1" applyBorder="1"/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 wrapText="1"/>
    </xf>
    <xf numFmtId="166" fontId="0" fillId="0" borderId="0" xfId="0" applyNumberFormat="1" applyAlignment="1">
      <alignment wrapText="1"/>
    </xf>
    <xf numFmtId="166" fontId="0" fillId="0" borderId="0" xfId="1" applyNumberFormat="1" applyFont="1" applyAlignment="1">
      <alignment wrapText="1"/>
    </xf>
    <xf numFmtId="188" fontId="0" fillId="0" borderId="0" xfId="0" applyNumberFormat="1" applyAlignment="1">
      <alignment wrapText="1"/>
    </xf>
    <xf numFmtId="0" fontId="0" fillId="0" borderId="3" xfId="0" applyBorder="1"/>
    <xf numFmtId="166" fontId="0" fillId="0" borderId="27" xfId="0" applyNumberFormat="1" applyBorder="1"/>
    <xf numFmtId="169" fontId="0" fillId="0" borderId="27" xfId="0" applyNumberFormat="1" applyBorder="1"/>
    <xf numFmtId="0" fontId="0" fillId="0" borderId="27" xfId="0" applyBorder="1"/>
    <xf numFmtId="166" fontId="0" fillId="0" borderId="3" xfId="0" applyNumberFormat="1" applyBorder="1"/>
    <xf numFmtId="169" fontId="0" fillId="0" borderId="3" xfId="0" applyNumberFormat="1" applyBorder="1"/>
    <xf numFmtId="166" fontId="0" fillId="0" borderId="28" xfId="0" applyNumberFormat="1" applyBorder="1"/>
    <xf numFmtId="169" fontId="0" fillId="0" borderId="28" xfId="0" applyNumberFormat="1" applyBorder="1"/>
    <xf numFmtId="165" fontId="0" fillId="0" borderId="0" xfId="0" applyNumberFormat="1" applyAlignment="1">
      <alignment wrapText="1"/>
    </xf>
    <xf numFmtId="166" fontId="0" fillId="0" borderId="29" xfId="0" applyNumberFormat="1" applyBorder="1"/>
    <xf numFmtId="0" fontId="0" fillId="0" borderId="19" xfId="0" applyBorder="1"/>
    <xf numFmtId="166" fontId="0" fillId="6" borderId="30" xfId="0" applyNumberFormat="1" applyFill="1" applyBorder="1"/>
    <xf numFmtId="167" fontId="0" fillId="0" borderId="0" xfId="0" applyNumberFormat="1" applyAlignment="1">
      <alignment wrapText="1"/>
    </xf>
    <xf numFmtId="168" fontId="0" fillId="0" borderId="0" xfId="0" applyNumberFormat="1" applyAlignment="1">
      <alignment wrapText="1"/>
    </xf>
    <xf numFmtId="0" fontId="0" fillId="5" borderId="4" xfId="0" applyFill="1" applyBorder="1"/>
    <xf numFmtId="0" fontId="0" fillId="5" borderId="5" xfId="0" applyFill="1" applyBorder="1"/>
    <xf numFmtId="0" fontId="0" fillId="5" borderId="20" xfId="0" applyFill="1" applyBorder="1"/>
    <xf numFmtId="0" fontId="2" fillId="0" borderId="32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0" fillId="0" borderId="12" xfId="0" applyBorder="1"/>
    <xf numFmtId="166" fontId="0" fillId="0" borderId="33" xfId="0" applyNumberFormat="1" applyBorder="1"/>
    <xf numFmtId="166" fontId="0" fillId="0" borderId="34" xfId="0" applyNumberFormat="1" applyBorder="1"/>
    <xf numFmtId="169" fontId="0" fillId="0" borderId="33" xfId="0" applyNumberFormat="1" applyBorder="1"/>
    <xf numFmtId="166" fontId="0" fillId="0" borderId="35" xfId="1" applyNumberFormat="1" applyFont="1" applyBorder="1"/>
    <xf numFmtId="166" fontId="0" fillId="0" borderId="36" xfId="0" applyNumberFormat="1" applyBorder="1"/>
    <xf numFmtId="166" fontId="0" fillId="0" borderId="4" xfId="0" applyNumberFormat="1" applyBorder="1"/>
    <xf numFmtId="166" fontId="0" fillId="0" borderId="37" xfId="0" applyNumberFormat="1" applyBorder="1"/>
    <xf numFmtId="169" fontId="0" fillId="0" borderId="21" xfId="0" applyNumberFormat="1" applyBorder="1"/>
    <xf numFmtId="0" fontId="0" fillId="0" borderId="38" xfId="0" applyBorder="1"/>
    <xf numFmtId="166" fontId="0" fillId="0" borderId="22" xfId="0" applyNumberFormat="1" applyBorder="1"/>
    <xf numFmtId="172" fontId="0" fillId="0" borderId="0" xfId="0" applyNumberFormat="1" applyAlignment="1">
      <alignment wrapText="1"/>
    </xf>
    <xf numFmtId="166" fontId="0" fillId="0" borderId="39" xfId="0" applyNumberFormat="1" applyBorder="1"/>
    <xf numFmtId="169" fontId="0" fillId="0" borderId="39" xfId="0" applyNumberFormat="1" applyBorder="1"/>
    <xf numFmtId="165" fontId="0" fillId="0" borderId="37" xfId="0" applyNumberFormat="1" applyBorder="1"/>
    <xf numFmtId="189" fontId="0" fillId="0" borderId="0" xfId="0" applyNumberFormat="1"/>
    <xf numFmtId="0" fontId="0" fillId="0" borderId="5" xfId="0" applyBorder="1"/>
    <xf numFmtId="166" fontId="0" fillId="0" borderId="21" xfId="0" applyNumberFormat="1" applyBorder="1"/>
    <xf numFmtId="0" fontId="0" fillId="5" borderId="40" xfId="0" applyFill="1" applyBorder="1"/>
    <xf numFmtId="0" fontId="2" fillId="0" borderId="4" xfId="0" applyFont="1" applyBorder="1" applyAlignment="1">
      <alignment horizontal="center" wrapText="1"/>
    </xf>
    <xf numFmtId="166" fontId="0" fillId="6" borderId="42" xfId="0" applyNumberFormat="1" applyFill="1" applyBorder="1" applyAlignment="1">
      <alignment wrapText="1"/>
    </xf>
    <xf numFmtId="166" fontId="0" fillId="0" borderId="6" xfId="0" applyNumberFormat="1" applyBorder="1" applyAlignment="1">
      <alignment wrapText="1"/>
    </xf>
    <xf numFmtId="0" fontId="2" fillId="0" borderId="24" xfId="0" applyFont="1" applyBorder="1"/>
    <xf numFmtId="166" fontId="2" fillId="0" borderId="25" xfId="0" applyNumberFormat="1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2" fillId="0" borderId="31" xfId="0" applyFont="1" applyBorder="1" applyAlignment="1">
      <alignment horizontal="center"/>
    </xf>
    <xf numFmtId="0" fontId="21" fillId="0" borderId="3" xfId="0" applyFont="1" applyBorder="1"/>
    <xf numFmtId="0" fontId="21" fillId="0" borderId="21" xfId="0" applyFont="1" applyBorder="1" applyAlignment="1">
      <alignment wrapText="1"/>
    </xf>
    <xf numFmtId="166" fontId="0" fillId="0" borderId="46" xfId="0" applyNumberFormat="1" applyBorder="1" applyAlignment="1">
      <alignment wrapText="1"/>
    </xf>
    <xf numFmtId="169" fontId="0" fillId="0" borderId="47" xfId="2" applyNumberFormat="1" applyFont="1" applyFill="1" applyBorder="1" applyAlignment="1">
      <alignment wrapText="1"/>
    </xf>
    <xf numFmtId="167" fontId="0" fillId="0" borderId="48" xfId="0" applyNumberFormat="1" applyBorder="1" applyAlignment="1">
      <alignment wrapText="1"/>
    </xf>
    <xf numFmtId="166" fontId="0" fillId="0" borderId="11" xfId="0" applyNumberFormat="1" applyBorder="1" applyAlignment="1">
      <alignment wrapText="1"/>
    </xf>
    <xf numFmtId="169" fontId="0" fillId="0" borderId="49" xfId="2" applyNumberFormat="1" applyFont="1" applyFill="1" applyBorder="1" applyAlignment="1">
      <alignment wrapText="1"/>
    </xf>
    <xf numFmtId="167" fontId="0" fillId="0" borderId="50" xfId="0" applyNumberFormat="1" applyBorder="1" applyAlignment="1">
      <alignment wrapText="1"/>
    </xf>
    <xf numFmtId="0" fontId="21" fillId="0" borderId="3" xfId="0" applyFont="1" applyBorder="1" applyAlignment="1">
      <alignment wrapText="1"/>
    </xf>
    <xf numFmtId="169" fontId="0" fillId="0" borderId="49" xfId="0" applyNumberFormat="1" applyBorder="1" applyAlignment="1">
      <alignment wrapText="1"/>
    </xf>
    <xf numFmtId="166" fontId="0" fillId="0" borderId="51" xfId="1" applyNumberFormat="1" applyFont="1" applyBorder="1" applyAlignment="1">
      <alignment wrapText="1"/>
    </xf>
    <xf numFmtId="169" fontId="0" fillId="0" borderId="52" xfId="2" applyNumberFormat="1" applyFont="1" applyBorder="1" applyAlignment="1">
      <alignment wrapText="1"/>
    </xf>
    <xf numFmtId="167" fontId="0" fillId="0" borderId="53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54" xfId="0" applyBorder="1" applyAlignment="1">
      <alignment horizontal="left"/>
    </xf>
    <xf numFmtId="0" fontId="0" fillId="0" borderId="54" xfId="0" applyBorder="1"/>
    <xf numFmtId="166" fontId="0" fillId="0" borderId="55" xfId="0" applyNumberFormat="1" applyBorder="1"/>
    <xf numFmtId="0" fontId="2" fillId="0" borderId="6" xfId="0" applyFont="1" applyBorder="1" applyAlignment="1">
      <alignment horizontal="center" wrapText="1"/>
    </xf>
    <xf numFmtId="0" fontId="21" fillId="0" borderId="12" xfId="0" applyFont="1" applyBorder="1"/>
    <xf numFmtId="0" fontId="21" fillId="0" borderId="7" xfId="0" applyFont="1" applyBorder="1" applyAlignment="1">
      <alignment wrapText="1"/>
    </xf>
    <xf numFmtId="166" fontId="0" fillId="0" borderId="46" xfId="1" applyNumberFormat="1" applyFont="1" applyBorder="1" applyAlignment="1">
      <alignment wrapText="1"/>
    </xf>
    <xf numFmtId="169" fontId="0" fillId="0" borderId="47" xfId="2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72" fontId="0" fillId="0" borderId="0" xfId="1" applyNumberFormat="1" applyFont="1"/>
    <xf numFmtId="185" fontId="0" fillId="0" borderId="0" xfId="3" applyNumberFormat="1" applyFont="1"/>
    <xf numFmtId="184" fontId="0" fillId="0" borderId="0" xfId="0" applyNumberFormat="1"/>
    <xf numFmtId="180" fontId="0" fillId="0" borderId="0" xfId="1" applyNumberFormat="1" applyFont="1" applyBorder="1"/>
    <xf numFmtId="174" fontId="0" fillId="0" borderId="0" xfId="2" applyNumberFormat="1" applyFont="1" applyFill="1"/>
    <xf numFmtId="166" fontId="0" fillId="0" borderId="0" xfId="3" applyNumberFormat="1" applyFont="1" applyFill="1"/>
    <xf numFmtId="171" fontId="0" fillId="0" borderId="0" xfId="2" applyNumberFormat="1" applyFont="1" applyFill="1"/>
    <xf numFmtId="16" fontId="12" fillId="0" borderId="0" xfId="0" quotePrefix="1" applyNumberFormat="1" applyFont="1"/>
    <xf numFmtId="38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38" fontId="0" fillId="0" borderId="0" xfId="0" applyNumberFormat="1"/>
    <xf numFmtId="40" fontId="0" fillId="0" borderId="0" xfId="0" applyNumberFormat="1"/>
    <xf numFmtId="0" fontId="21" fillId="7" borderId="0" xfId="0" applyFont="1" applyFill="1"/>
    <xf numFmtId="0" fontId="21" fillId="7" borderId="0" xfId="0" applyFont="1" applyFill="1" applyAlignment="1">
      <alignment horizontal="center"/>
    </xf>
    <xf numFmtId="16" fontId="12" fillId="7" borderId="56" xfId="0" quotePrefix="1" applyNumberFormat="1" applyFont="1" applyFill="1" applyBorder="1"/>
    <xf numFmtId="38" fontId="12" fillId="7" borderId="56" xfId="0" applyNumberFormat="1" applyFont="1" applyFill="1" applyBorder="1" applyAlignment="1">
      <alignment horizontal="center"/>
    </xf>
    <xf numFmtId="0" fontId="12" fillId="7" borderId="56" xfId="0" applyFont="1" applyFill="1" applyBorder="1" applyAlignment="1">
      <alignment horizontal="center"/>
    </xf>
    <xf numFmtId="38" fontId="21" fillId="7" borderId="57" xfId="0" applyNumberFormat="1" applyFont="1" applyFill="1" applyBorder="1"/>
    <xf numFmtId="0" fontId="21" fillId="7" borderId="57" xfId="0" applyFont="1" applyFill="1" applyBorder="1"/>
    <xf numFmtId="179" fontId="21" fillId="7" borderId="57" xfId="0" applyNumberFormat="1" applyFont="1" applyFill="1" applyBorder="1"/>
    <xf numFmtId="40" fontId="21" fillId="7" borderId="12" xfId="0" applyNumberFormat="1" applyFont="1" applyFill="1" applyBorder="1"/>
    <xf numFmtId="166" fontId="21" fillId="0" borderId="57" xfId="0" applyNumberFormat="1" applyFont="1" applyBorder="1"/>
    <xf numFmtId="166" fontId="21" fillId="0" borderId="12" xfId="1" applyNumberFormat="1" applyFont="1" applyFill="1" applyBorder="1"/>
    <xf numFmtId="166" fontId="21" fillId="0" borderId="12" xfId="0" applyNumberFormat="1" applyFont="1" applyBorder="1"/>
    <xf numFmtId="179" fontId="21" fillId="0" borderId="57" xfId="0" applyNumberFormat="1" applyFont="1" applyBorder="1"/>
    <xf numFmtId="0" fontId="0" fillId="3" borderId="0" xfId="0" applyFill="1"/>
    <xf numFmtId="38" fontId="0" fillId="2" borderId="0" xfId="1" applyNumberFormat="1" applyFont="1" applyFill="1"/>
    <xf numFmtId="4" fontId="0" fillId="2" borderId="0" xfId="1" applyNumberFormat="1" applyFont="1" applyFill="1"/>
    <xf numFmtId="38" fontId="0" fillId="0" borderId="0" xfId="1" applyNumberFormat="1" applyFont="1" applyFill="1"/>
    <xf numFmtId="40" fontId="0" fillId="0" borderId="0" xfId="1" applyNumberFormat="1" applyFont="1" applyFill="1"/>
    <xf numFmtId="186" fontId="0" fillId="0" borderId="0" xfId="2" applyNumberFormat="1" applyFont="1" applyFill="1"/>
    <xf numFmtId="180" fontId="0" fillId="0" borderId="0" xfId="0" applyNumberFormat="1"/>
    <xf numFmtId="166" fontId="23" fillId="0" borderId="0" xfId="1" applyNumberFormat="1" applyFont="1" applyFill="1" applyBorder="1"/>
    <xf numFmtId="0" fontId="0" fillId="2" borderId="0" xfId="0" applyFill="1"/>
    <xf numFmtId="0" fontId="0" fillId="8" borderId="0" xfId="0" applyFill="1"/>
    <xf numFmtId="166" fontId="2" fillId="0" borderId="0" xfId="1" applyNumberFormat="1" applyFont="1" applyFill="1"/>
    <xf numFmtId="166" fontId="0" fillId="0" borderId="0" xfId="1" applyNumberFormat="1" applyFont="1" applyFill="1" applyBorder="1" applyAlignment="1">
      <alignment horizontal="center"/>
    </xf>
    <xf numFmtId="184" fontId="0" fillId="2" borderId="0" xfId="0" applyNumberFormat="1" applyFill="1"/>
    <xf numFmtId="182" fontId="0" fillId="0" borderId="0" xfId="0" applyNumberFormat="1" applyAlignment="1">
      <alignment horizontal="center"/>
    </xf>
    <xf numFmtId="166" fontId="0" fillId="0" borderId="5" xfId="1" applyNumberFormat="1" applyFont="1" applyBorder="1"/>
    <xf numFmtId="166" fontId="0" fillId="9" borderId="4" xfId="1" applyNumberFormat="1" applyFont="1" applyFill="1" applyBorder="1"/>
    <xf numFmtId="165" fontId="0" fillId="9" borderId="5" xfId="1" applyFont="1" applyFill="1" applyBorder="1"/>
    <xf numFmtId="165" fontId="0" fillId="9" borderId="5" xfId="1" applyFont="1" applyFill="1" applyBorder="1" applyAlignment="1">
      <alignment horizontal="center"/>
    </xf>
    <xf numFmtId="165" fontId="0" fillId="9" borderId="40" xfId="1" applyFont="1" applyFill="1" applyBorder="1" applyAlignment="1">
      <alignment horizontal="center"/>
    </xf>
    <xf numFmtId="182" fontId="0" fillId="9" borderId="6" xfId="0" applyNumberFormat="1" applyFill="1" applyBorder="1"/>
    <xf numFmtId="165" fontId="0" fillId="9" borderId="0" xfId="1" applyFont="1" applyFill="1" applyBorder="1"/>
    <xf numFmtId="165" fontId="0" fillId="9" borderId="41" xfId="1" applyFont="1" applyFill="1" applyBorder="1"/>
    <xf numFmtId="182" fontId="0" fillId="9" borderId="0" xfId="0" applyNumberFormat="1" applyFill="1"/>
    <xf numFmtId="182" fontId="0" fillId="9" borderId="7" xfId="0" applyNumberFormat="1" applyFill="1" applyBorder="1"/>
    <xf numFmtId="182" fontId="0" fillId="9" borderId="8" xfId="0" applyNumberFormat="1" applyFill="1" applyBorder="1"/>
    <xf numFmtId="165" fontId="0" fillId="9" borderId="8" xfId="1" applyFont="1" applyFill="1" applyBorder="1"/>
    <xf numFmtId="165" fontId="0" fillId="9" borderId="54" xfId="1" applyFont="1" applyFill="1" applyBorder="1"/>
    <xf numFmtId="0" fontId="5" fillId="10" borderId="0" xfId="4" applyFont="1" applyFill="1"/>
    <xf numFmtId="0" fontId="15" fillId="3" borderId="56" xfId="4" applyFont="1" applyFill="1" applyBorder="1"/>
    <xf numFmtId="0" fontId="15" fillId="3" borderId="12" xfId="4" applyFont="1" applyFill="1" applyBorder="1"/>
    <xf numFmtId="0" fontId="15" fillId="3" borderId="3" xfId="4" applyFont="1" applyFill="1" applyBorder="1"/>
    <xf numFmtId="0" fontId="0" fillId="11" borderId="0" xfId="0" applyFill="1"/>
    <xf numFmtId="0" fontId="0" fillId="12" borderId="0" xfId="0" applyFill="1"/>
    <xf numFmtId="166" fontId="0" fillId="12" borderId="0" xfId="0" applyNumberFormat="1" applyFill="1"/>
    <xf numFmtId="166" fontId="0" fillId="12" borderId="1" xfId="0" applyNumberFormat="1" applyFill="1" applyBorder="1"/>
    <xf numFmtId="0" fontId="0" fillId="0" borderId="8" xfId="0" applyBorder="1"/>
    <xf numFmtId="38" fontId="0" fillId="0" borderId="0" xfId="1" applyNumberFormat="1" applyFont="1" applyFill="1" applyBorder="1"/>
    <xf numFmtId="0" fontId="0" fillId="0" borderId="12" xfId="0" applyBorder="1" applyAlignment="1">
      <alignment wrapText="1"/>
    </xf>
    <xf numFmtId="3" fontId="0" fillId="0" borderId="0" xfId="1" applyNumberFormat="1" applyFont="1" applyFill="1" applyBorder="1"/>
    <xf numFmtId="165" fontId="0" fillId="0" borderId="0" xfId="1" applyFont="1" applyFill="1" applyBorder="1"/>
    <xf numFmtId="40" fontId="0" fillId="0" borderId="0" xfId="1" applyNumberFormat="1" applyFont="1" applyFill="1" applyBorder="1"/>
    <xf numFmtId="166" fontId="0" fillId="0" borderId="0" xfId="3" applyNumberFormat="1" applyFont="1" applyFill="1" applyBorder="1"/>
    <xf numFmtId="169" fontId="0" fillId="0" borderId="58" xfId="2" applyNumberFormat="1" applyFont="1" applyBorder="1"/>
    <xf numFmtId="0" fontId="0" fillId="0" borderId="0" xfId="0" applyAlignment="1">
      <alignment horizontal="right" wrapText="1"/>
    </xf>
    <xf numFmtId="166" fontId="0" fillId="0" borderId="0" xfId="1" applyNumberFormat="1" applyFont="1" applyAlignment="1">
      <alignment horizontal="center" wrapText="1"/>
    </xf>
    <xf numFmtId="166" fontId="0" fillId="0" borderId="0" xfId="1" applyNumberFormat="1" applyFont="1" applyFill="1" applyBorder="1" applyAlignment="1">
      <alignment wrapText="1"/>
    </xf>
    <xf numFmtId="184" fontId="0" fillId="0" borderId="0" xfId="1" applyNumberFormat="1" applyFont="1" applyFill="1" applyBorder="1"/>
    <xf numFmtId="166" fontId="0" fillId="6" borderId="37" xfId="0" applyNumberFormat="1" applyFill="1" applyBorder="1"/>
    <xf numFmtId="186" fontId="0" fillId="0" borderId="0" xfId="0" applyNumberFormat="1"/>
    <xf numFmtId="0" fontId="0" fillId="0" borderId="21" xfId="0" applyBorder="1"/>
    <xf numFmtId="166" fontId="0" fillId="6" borderId="34" xfId="0" applyNumberFormat="1" applyFill="1" applyBorder="1"/>
    <xf numFmtId="167" fontId="0" fillId="0" borderId="50" xfId="2" applyNumberFormat="1" applyFont="1" applyBorder="1" applyAlignment="1">
      <alignment wrapText="1"/>
    </xf>
    <xf numFmtId="10" fontId="0" fillId="0" borderId="2" xfId="0" applyNumberFormat="1" applyBorder="1"/>
    <xf numFmtId="169" fontId="0" fillId="0" borderId="0" xfId="2" applyNumberFormat="1" applyFont="1" applyFill="1"/>
    <xf numFmtId="166" fontId="2" fillId="0" borderId="0" xfId="1" applyNumberFormat="1" applyFont="1" applyFill="1" applyBorder="1" applyAlignment="1">
      <alignment horizontal="center"/>
    </xf>
    <xf numFmtId="166" fontId="0" fillId="0" borderId="2" xfId="1" applyNumberFormat="1" applyFont="1" applyFill="1" applyBorder="1"/>
    <xf numFmtId="166" fontId="1" fillId="0" borderId="0" xfId="1" applyNumberFormat="1" applyFont="1" applyFill="1" applyBorder="1"/>
    <xf numFmtId="169" fontId="0" fillId="0" borderId="1" xfId="0" applyNumberFormat="1" applyBorder="1"/>
    <xf numFmtId="167" fontId="0" fillId="0" borderId="2" xfId="0" applyNumberFormat="1" applyBorder="1"/>
    <xf numFmtId="43" fontId="0" fillId="0" borderId="0" xfId="1" applyNumberFormat="1" applyFont="1" applyFill="1" applyBorder="1"/>
    <xf numFmtId="166" fontId="5" fillId="0" borderId="0" xfId="1" applyNumberFormat="1" applyFont="1" applyFill="1" applyBorder="1"/>
    <xf numFmtId="0" fontId="28" fillId="0" borderId="0" xfId="0" applyFont="1"/>
    <xf numFmtId="177" fontId="0" fillId="0" borderId="0" xfId="1" applyNumberFormat="1" applyFont="1" applyFill="1"/>
    <xf numFmtId="164" fontId="0" fillId="0" borderId="0" xfId="1" applyNumberFormat="1" applyFont="1" applyFill="1" applyBorder="1"/>
    <xf numFmtId="4" fontId="0" fillId="0" borderId="0" xfId="1" applyNumberFormat="1" applyFont="1" applyFill="1" applyBorder="1"/>
    <xf numFmtId="167" fontId="9" fillId="0" borderId="0" xfId="2" applyNumberFormat="1" applyFont="1" applyFill="1" applyBorder="1" applyAlignment="1">
      <alignment horizontal="right"/>
    </xf>
    <xf numFmtId="166" fontId="2" fillId="0" borderId="0" xfId="1" applyNumberFormat="1" applyFont="1" applyFill="1" applyBorder="1"/>
    <xf numFmtId="177" fontId="0" fillId="0" borderId="0" xfId="1" applyNumberFormat="1" applyFont="1" applyFill="1" applyBorder="1"/>
    <xf numFmtId="177" fontId="0" fillId="0" borderId="0" xfId="0" applyNumberFormat="1"/>
    <xf numFmtId="166" fontId="2" fillId="0" borderId="0" xfId="0" applyNumberFormat="1" applyFont="1" applyAlignment="1">
      <alignment horizontal="center"/>
    </xf>
    <xf numFmtId="0" fontId="24" fillId="0" borderId="0" xfId="5" applyFill="1" applyBorder="1"/>
    <xf numFmtId="166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90" fontId="0" fillId="0" borderId="0" xfId="0" applyNumberFormat="1"/>
    <xf numFmtId="0" fontId="5" fillId="0" borderId="0" xfId="0" applyFont="1"/>
    <xf numFmtId="0" fontId="9" fillId="0" borderId="0" xfId="0" applyFont="1"/>
    <xf numFmtId="176" fontId="0" fillId="0" borderId="0" xfId="0" applyNumberFormat="1"/>
    <xf numFmtId="0" fontId="27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166" fontId="3" fillId="0" borderId="0" xfId="1" applyNumberFormat="1" applyFont="1"/>
    <xf numFmtId="166" fontId="27" fillId="0" borderId="0" xfId="1" applyNumberFormat="1" applyFont="1" applyAlignment="1">
      <alignment horizontal="center"/>
    </xf>
    <xf numFmtId="166" fontId="2" fillId="0" borderId="0" xfId="1" applyNumberFormat="1" applyFont="1"/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 wrapText="1"/>
    </xf>
    <xf numFmtId="180" fontId="0" fillId="0" borderId="0" xfId="1" applyNumberFormat="1" applyFont="1" applyFill="1"/>
    <xf numFmtId="166" fontId="0" fillId="0" borderId="10" xfId="1" applyNumberFormat="1" applyFont="1" applyBorder="1"/>
    <xf numFmtId="166" fontId="27" fillId="0" borderId="0" xfId="1" applyNumberFormat="1" applyFont="1" applyFill="1" applyAlignment="1">
      <alignment horizontal="center"/>
    </xf>
    <xf numFmtId="166" fontId="2" fillId="0" borderId="0" xfId="1" applyNumberFormat="1" applyFont="1" applyFill="1" applyAlignment="1">
      <alignment horizontal="center"/>
    </xf>
    <xf numFmtId="170" fontId="0" fillId="0" borderId="0" xfId="1" applyNumberFormat="1" applyFont="1" applyFill="1"/>
    <xf numFmtId="166" fontId="27" fillId="0" borderId="0" xfId="1" applyNumberFormat="1" applyFont="1" applyFill="1" applyBorder="1" applyAlignment="1">
      <alignment horizontal="center"/>
    </xf>
    <xf numFmtId="166" fontId="0" fillId="0" borderId="0" xfId="1" applyNumberFormat="1" applyFont="1" applyFill="1" applyAlignment="1">
      <alignment horizontal="center"/>
    </xf>
    <xf numFmtId="165" fontId="27" fillId="0" borderId="0" xfId="1" applyFont="1" applyFill="1" applyAlignment="1">
      <alignment horizontal="center"/>
    </xf>
    <xf numFmtId="165" fontId="2" fillId="0" borderId="0" xfId="1" applyFont="1" applyFill="1"/>
    <xf numFmtId="185" fontId="0" fillId="0" borderId="0" xfId="3" applyNumberFormat="1" applyFont="1" applyBorder="1"/>
    <xf numFmtId="185" fontId="0" fillId="0" borderId="0" xfId="3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185" fontId="0" fillId="0" borderId="0" xfId="3" applyNumberFormat="1" applyFont="1" applyAlignment="1">
      <alignment wrapText="1"/>
    </xf>
    <xf numFmtId="185" fontId="0" fillId="0" borderId="0" xfId="0" applyNumberFormat="1" applyAlignment="1">
      <alignment wrapText="1"/>
    </xf>
    <xf numFmtId="10" fontId="0" fillId="0" borderId="0" xfId="3" applyNumberFormat="1" applyFont="1"/>
    <xf numFmtId="191" fontId="0" fillId="0" borderId="0" xfId="0" applyNumberFormat="1" applyAlignment="1">
      <alignment wrapText="1"/>
    </xf>
    <xf numFmtId="9" fontId="0" fillId="0" borderId="0" xfId="3" applyFont="1" applyAlignment="1">
      <alignment wrapText="1"/>
    </xf>
    <xf numFmtId="0" fontId="0" fillId="0" borderId="0" xfId="0" applyAlignment="1">
      <alignment horizontal="left" vertical="top" wrapText="1"/>
    </xf>
    <xf numFmtId="0" fontId="22" fillId="7" borderId="0" xfId="0" applyFont="1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2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0" fillId="5" borderId="21" xfId="0" applyFont="1" applyFill="1" applyBorder="1" applyAlignment="1">
      <alignment horizontal="center" wrapText="1"/>
    </xf>
    <xf numFmtId="0" fontId="20" fillId="5" borderId="22" xfId="0" applyFont="1" applyFill="1" applyBorder="1" applyAlignment="1">
      <alignment horizontal="center" wrapText="1"/>
    </xf>
    <xf numFmtId="0" fontId="20" fillId="5" borderId="21" xfId="0" applyFont="1" applyFill="1" applyBorder="1" applyAlignment="1">
      <alignment horizontal="center"/>
    </xf>
    <xf numFmtId="0" fontId="20" fillId="5" borderId="22" xfId="0" applyFont="1" applyFill="1" applyBorder="1" applyAlignment="1">
      <alignment horizontal="center"/>
    </xf>
    <xf numFmtId="0" fontId="20" fillId="5" borderId="25" xfId="0" applyFont="1" applyFill="1" applyBorder="1" applyAlignment="1">
      <alignment horizontal="center"/>
    </xf>
    <xf numFmtId="0" fontId="20" fillId="5" borderId="14" xfId="0" applyFont="1" applyFill="1" applyBorder="1" applyAlignment="1">
      <alignment horizontal="center"/>
    </xf>
    <xf numFmtId="0" fontId="20" fillId="5" borderId="15" xfId="0" applyFont="1" applyFill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0" fillId="0" borderId="2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2" xfId="0" applyBorder="1" applyAlignment="1">
      <alignment horizontal="left"/>
    </xf>
    <xf numFmtId="0" fontId="20" fillId="5" borderId="4" xfId="0" applyFont="1" applyFill="1" applyBorder="1" applyAlignment="1">
      <alignment horizontal="center"/>
    </xf>
    <xf numFmtId="0" fontId="20" fillId="5" borderId="40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164" fontId="0" fillId="0" borderId="4" xfId="0" applyNumberFormat="1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164" fontId="0" fillId="0" borderId="40" xfId="0" applyNumberForma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7" fontId="0" fillId="0" borderId="6" xfId="0" applyNumberFormat="1" applyBorder="1" applyAlignment="1">
      <alignment horizontal="center" wrapText="1"/>
    </xf>
    <xf numFmtId="167" fontId="0" fillId="0" borderId="0" xfId="0" applyNumberFormat="1" applyAlignment="1">
      <alignment horizontal="center" wrapText="1"/>
    </xf>
    <xf numFmtId="167" fontId="0" fillId="0" borderId="41" xfId="0" applyNumberFormat="1" applyBorder="1" applyAlignment="1">
      <alignment horizontal="center" wrapText="1"/>
    </xf>
    <xf numFmtId="0" fontId="20" fillId="3" borderId="25" xfId="0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4" fontId="0" fillId="0" borderId="8" xfId="0" applyNumberFormat="1" applyBorder="1" applyAlignment="1">
      <alignment horizontal="left"/>
    </xf>
    <xf numFmtId="164" fontId="0" fillId="0" borderId="54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22" xfId="0" applyNumberForma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4" xfId="0" applyBorder="1" applyAlignment="1">
      <alignment horizontal="center"/>
    </xf>
    <xf numFmtId="172" fontId="27" fillId="0" borderId="0" xfId="1" applyNumberFormat="1" applyFont="1" applyBorder="1" applyAlignment="1">
      <alignment horizontal="right"/>
    </xf>
    <xf numFmtId="172" fontId="0" fillId="0" borderId="0" xfId="1" applyNumberFormat="1" applyFont="1" applyBorder="1"/>
    <xf numFmtId="166" fontId="0" fillId="0" borderId="0" xfId="0" applyNumberFormat="1" applyFill="1"/>
    <xf numFmtId="0" fontId="0" fillId="0" borderId="0" xfId="0" applyFill="1"/>
    <xf numFmtId="166" fontId="0" fillId="0" borderId="0" xfId="0" applyNumberFormat="1" applyBorder="1"/>
    <xf numFmtId="166" fontId="27" fillId="0" borderId="0" xfId="1" applyNumberFormat="1" applyFont="1" applyBorder="1" applyAlignment="1">
      <alignment horizontal="center"/>
    </xf>
    <xf numFmtId="0" fontId="2" fillId="0" borderId="0" xfId="0" applyFont="1" applyFill="1"/>
    <xf numFmtId="167" fontId="5" fillId="0" borderId="0" xfId="2" applyNumberFormat="1" applyFont="1" applyFill="1"/>
    <xf numFmtId="164" fontId="0" fillId="0" borderId="0" xfId="2" applyFont="1" applyFill="1"/>
    <xf numFmtId="177" fontId="0" fillId="0" borderId="0" xfId="2" applyNumberFormat="1" applyFont="1" applyFill="1"/>
    <xf numFmtId="9" fontId="0" fillId="0" borderId="0" xfId="3" applyFont="1" applyFill="1" applyBorder="1"/>
  </cellXfs>
  <cellStyles count="6">
    <cellStyle name="Comma" xfId="1" builtinId="3"/>
    <cellStyle name="Currency" xfId="2" builtinId="4"/>
    <cellStyle name="Hyperlink" xfId="5" builtinId="8"/>
    <cellStyle name="Normal" xfId="0" builtinId="0"/>
    <cellStyle name="Normal 21" xfId="4" xr:uid="{00000000-0005-0000-0000-000004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72</xdr:row>
      <xdr:rowOff>0</xdr:rowOff>
    </xdr:from>
    <xdr:to>
      <xdr:col>18</xdr:col>
      <xdr:colOff>342900</xdr:colOff>
      <xdr:row>87</xdr:row>
      <xdr:rowOff>189069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87201" y="13373100"/>
          <a:ext cx="5153024" cy="3103719"/>
        </a:xfrm>
        <a:prstGeom prst="rect">
          <a:avLst/>
        </a:prstGeom>
      </xdr:spPr>
    </xdr:pic>
    <xdr:clientData/>
  </xdr:twoCellAnchor>
  <xdr:twoCellAnchor>
    <xdr:from>
      <xdr:col>4</xdr:col>
      <xdr:colOff>895350</xdr:colOff>
      <xdr:row>14</xdr:row>
      <xdr:rowOff>0</xdr:rowOff>
    </xdr:from>
    <xdr:to>
      <xdr:col>12</xdr:col>
      <xdr:colOff>533400</xdr:colOff>
      <xdr:row>30</xdr:row>
      <xdr:rowOff>190500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5524500" y="2876550"/>
          <a:ext cx="5895975" cy="33623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EB/Rates/2020%20Rate%20Application/Whitby%20Rate%20Zone/Reg%20Acctg%20Guidance/Illustrative-Commodity-Model-20190221%20OEB%20Example%20S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for Settlement &amp; 1st TU"/>
      <sheetName val="RPP Settlement &amp; 1st TU"/>
      <sheetName val="Data for 2nd TU"/>
      <sheetName val="RPP 2nd TU"/>
      <sheetName val="RPP vs non-RPP TU JE"/>
      <sheetName val="Rate Application Related"/>
      <sheetName val="Final RSVA Balances"/>
      <sheetName val="JEs"/>
      <sheetName val="T-Accounts"/>
    </sheetNames>
    <sheetDataSet>
      <sheetData sheetId="0">
        <row r="5">
          <cell r="H5">
            <v>527250000</v>
          </cell>
        </row>
      </sheetData>
      <sheetData sheetId="1"/>
      <sheetData sheetId="2">
        <row r="16">
          <cell r="C16">
            <v>5002500</v>
          </cell>
        </row>
        <row r="17">
          <cell r="C17">
            <v>7003500</v>
          </cell>
        </row>
        <row r="18">
          <cell r="C18">
            <v>100050000</v>
          </cell>
        </row>
        <row r="19">
          <cell r="C19">
            <v>50025000</v>
          </cell>
        </row>
        <row r="20">
          <cell r="C20">
            <v>63031500.000000007</v>
          </cell>
        </row>
        <row r="33">
          <cell r="D33">
            <v>7.6999999999999999E-2</v>
          </cell>
        </row>
        <row r="34">
          <cell r="D34">
            <v>8.8999999999999996E-2</v>
          </cell>
        </row>
        <row r="35">
          <cell r="D35">
            <v>6.5000000000000002E-2</v>
          </cell>
        </row>
        <row r="36">
          <cell r="D36">
            <v>9.4E-2</v>
          </cell>
        </row>
        <row r="37">
          <cell r="D37">
            <v>0.13200000000000001</v>
          </cell>
        </row>
        <row r="43">
          <cell r="B43">
            <v>3.1848807346377295E-2</v>
          </cell>
        </row>
        <row r="48">
          <cell r="B48">
            <v>8.8359370314842575E-2</v>
          </cell>
        </row>
      </sheetData>
      <sheetData sheetId="3">
        <row r="23">
          <cell r="K23">
            <v>-5988708.0864073755</v>
          </cell>
        </row>
      </sheetData>
      <sheetData sheetId="4"/>
      <sheetData sheetId="5"/>
      <sheetData sheetId="6"/>
      <sheetData sheetId="7">
        <row r="5">
          <cell r="D5">
            <v>5200000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92"/>
  <sheetViews>
    <sheetView showGridLines="0" topLeftCell="A67" zoomScale="96" zoomScaleNormal="96" workbookViewId="0">
      <selection activeCell="C89" sqref="C89"/>
    </sheetView>
  </sheetViews>
  <sheetFormatPr defaultRowHeight="15" x14ac:dyDescent="0.25"/>
  <cols>
    <col min="1" max="1" width="8.42578125" customWidth="1"/>
    <col min="2" max="2" width="69.28515625" customWidth="1"/>
    <col min="3" max="3" width="17.42578125" bestFit="1" customWidth="1"/>
    <col min="4" max="4" width="15" bestFit="1" customWidth="1"/>
    <col min="5" max="5" width="14.85546875" customWidth="1"/>
    <col min="6" max="6" width="6.140625" customWidth="1"/>
    <col min="7" max="7" width="17" style="4" customWidth="1"/>
    <col min="8" max="8" width="13.28515625" style="4" customWidth="1"/>
    <col min="9" max="11" width="14.85546875" style="4" customWidth="1"/>
    <col min="12" max="12" width="3.7109375" style="4" customWidth="1"/>
    <col min="13" max="13" width="14.28515625" bestFit="1" customWidth="1"/>
    <col min="14" max="15" width="15.28515625" bestFit="1" customWidth="1"/>
    <col min="16" max="16" width="15.85546875" bestFit="1" customWidth="1"/>
    <col min="17" max="20" width="14.85546875" customWidth="1"/>
    <col min="21" max="21" width="13.140625" customWidth="1"/>
    <col min="22" max="22" width="13.42578125" customWidth="1"/>
    <col min="23" max="23" width="12.42578125" customWidth="1"/>
    <col min="24" max="24" width="13.28515625" customWidth="1"/>
    <col min="25" max="25" width="12.7109375" customWidth="1"/>
    <col min="26" max="26" width="9.140625" customWidth="1"/>
    <col min="27" max="27" width="12.42578125" customWidth="1"/>
    <col min="28" max="28" width="11.5703125" bestFit="1" customWidth="1"/>
    <col min="29" max="29" width="10.140625" bestFit="1" customWidth="1"/>
    <col min="30" max="30" width="9.85546875" bestFit="1" customWidth="1"/>
    <col min="33" max="33" width="13.140625" customWidth="1"/>
    <col min="34" max="34" width="35.42578125" bestFit="1" customWidth="1"/>
    <col min="37" max="37" width="11" bestFit="1" customWidth="1"/>
    <col min="39" max="39" width="10.28515625" bestFit="1" customWidth="1"/>
  </cols>
  <sheetData>
    <row r="1" spans="2:20" ht="18.75" x14ac:dyDescent="0.3">
      <c r="B1" s="1" t="s">
        <v>247</v>
      </c>
      <c r="G1" s="296"/>
      <c r="N1" s="228"/>
      <c r="O1" s="228"/>
      <c r="P1" s="228"/>
      <c r="Q1" s="228"/>
      <c r="R1" s="228"/>
    </row>
    <row r="2" spans="2:20" ht="15.75" x14ac:dyDescent="0.25">
      <c r="N2" s="43"/>
      <c r="O2" s="43"/>
      <c r="P2" s="224"/>
      <c r="Q2" s="224"/>
      <c r="R2" s="224"/>
      <c r="S2" s="224"/>
    </row>
    <row r="3" spans="2:20" x14ac:dyDescent="0.25">
      <c r="B3" s="2" t="s">
        <v>0</v>
      </c>
      <c r="N3" s="43"/>
      <c r="O3" s="43"/>
      <c r="P3" s="43"/>
      <c r="Q3" s="43"/>
      <c r="R3" s="43"/>
      <c r="S3" s="43"/>
    </row>
    <row r="4" spans="2:20" ht="32.25" x14ac:dyDescent="0.4">
      <c r="B4" s="2"/>
      <c r="C4" s="10" t="s">
        <v>1</v>
      </c>
      <c r="D4" s="8" t="s">
        <v>2</v>
      </c>
      <c r="E4" s="8" t="s">
        <v>3</v>
      </c>
      <c r="G4" s="297"/>
      <c r="H4" s="304"/>
      <c r="I4" s="304"/>
      <c r="J4" s="304"/>
      <c r="K4" s="304"/>
      <c r="M4" s="23"/>
      <c r="N4" s="228"/>
      <c r="O4" s="228"/>
      <c r="P4" s="228"/>
      <c r="Q4" s="228"/>
      <c r="R4" s="228"/>
      <c r="S4" s="23"/>
    </row>
    <row r="5" spans="2:20" x14ac:dyDescent="0.25">
      <c r="B5" t="s">
        <v>4</v>
      </c>
      <c r="D5" s="3">
        <f>E5</f>
        <v>917218170</v>
      </c>
      <c r="E5" s="374">
        <v>917218170</v>
      </c>
      <c r="F5" s="375"/>
      <c r="G5" s="3"/>
      <c r="H5" s="3"/>
      <c r="I5" s="3"/>
      <c r="J5" s="3"/>
      <c r="K5" s="227"/>
      <c r="N5" s="43"/>
      <c r="O5" s="43"/>
      <c r="P5" s="43"/>
      <c r="Q5" s="43"/>
      <c r="R5" s="43"/>
      <c r="S5" s="43"/>
      <c r="T5" s="43"/>
    </row>
    <row r="6" spans="2:20" x14ac:dyDescent="0.25">
      <c r="B6" t="s">
        <v>5</v>
      </c>
      <c r="D6" s="3">
        <f>E6</f>
        <v>6196568.7000000002</v>
      </c>
      <c r="E6" s="374">
        <v>6196568.7000000002</v>
      </c>
      <c r="F6" s="375"/>
      <c r="G6" s="3"/>
      <c r="H6" s="3"/>
      <c r="I6" s="3"/>
      <c r="J6" s="3"/>
      <c r="K6" s="227"/>
      <c r="N6" s="43"/>
      <c r="O6" s="43"/>
      <c r="P6" s="43"/>
      <c r="Q6" s="43"/>
      <c r="R6" s="43"/>
      <c r="S6" s="255"/>
      <c r="T6" s="43"/>
    </row>
    <row r="7" spans="2:20" x14ac:dyDescent="0.25">
      <c r="B7" t="s">
        <v>6</v>
      </c>
      <c r="D7" s="3">
        <v>-162834277</v>
      </c>
      <c r="E7" s="375"/>
      <c r="F7" s="375"/>
      <c r="G7" s="3"/>
      <c r="H7" s="3"/>
      <c r="I7" s="3"/>
      <c r="J7" s="3"/>
      <c r="K7" s="227"/>
      <c r="N7" s="43"/>
      <c r="O7" s="43"/>
      <c r="P7" s="43"/>
      <c r="Q7" s="43"/>
      <c r="R7" s="43"/>
      <c r="S7" s="256"/>
      <c r="T7" s="43"/>
    </row>
    <row r="8" spans="2:20" x14ac:dyDescent="0.25">
      <c r="D8" s="7">
        <f>SUM(D5:D7)</f>
        <v>760580461.70000005</v>
      </c>
      <c r="E8" s="7">
        <f>SUM(E5:E7)</f>
        <v>923414738.70000005</v>
      </c>
      <c r="I8" s="299"/>
      <c r="J8" s="299"/>
      <c r="K8" s="299"/>
      <c r="L8" s="299"/>
      <c r="M8" s="8"/>
      <c r="N8" s="286"/>
      <c r="O8" s="286"/>
      <c r="P8" s="286"/>
      <c r="Q8" s="286"/>
      <c r="R8" s="286"/>
      <c r="S8" s="286"/>
      <c r="T8" s="286"/>
    </row>
    <row r="9" spans="2:20" x14ac:dyDescent="0.25">
      <c r="D9" s="3"/>
      <c r="G9" s="3"/>
      <c r="H9" s="305"/>
      <c r="I9" s="271"/>
      <c r="J9" s="271"/>
      <c r="K9" s="9"/>
      <c r="L9" s="9"/>
      <c r="M9" s="8"/>
      <c r="N9" s="10"/>
      <c r="O9" s="271"/>
      <c r="P9" s="8"/>
      <c r="Q9" s="10"/>
      <c r="R9" s="10"/>
      <c r="S9" s="10"/>
      <c r="T9" s="10"/>
    </row>
    <row r="10" spans="2:20" x14ac:dyDescent="0.25">
      <c r="B10" t="s">
        <v>7</v>
      </c>
      <c r="C10" s="11">
        <f>+C27</f>
        <v>0.70148315275310913</v>
      </c>
      <c r="D10" s="3">
        <f>+C10*D8</f>
        <v>533534380.1957314</v>
      </c>
      <c r="E10" s="5">
        <f>+D10</f>
        <v>533534380.1957314</v>
      </c>
      <c r="G10" s="3"/>
      <c r="H10" s="3"/>
      <c r="I10" s="3"/>
      <c r="J10" s="3"/>
      <c r="K10" s="298"/>
      <c r="M10" s="35"/>
      <c r="N10" s="258"/>
      <c r="O10" s="258"/>
      <c r="P10" s="258"/>
      <c r="Q10" s="258"/>
      <c r="R10" s="258"/>
      <c r="S10" s="258"/>
      <c r="T10" s="43"/>
    </row>
    <row r="11" spans="2:20" x14ac:dyDescent="0.25">
      <c r="B11" t="s">
        <v>8</v>
      </c>
      <c r="C11" s="11">
        <f>+C28</f>
        <v>0.29851684724689087</v>
      </c>
      <c r="D11" s="3">
        <f>+C11*D8</f>
        <v>227046081.50426865</v>
      </c>
      <c r="E11" s="5">
        <f>+D11-D7</f>
        <v>389880358.50426865</v>
      </c>
      <c r="G11" s="3"/>
      <c r="H11" s="3"/>
      <c r="I11" s="3"/>
      <c r="J11" s="3"/>
      <c r="K11" s="298"/>
      <c r="M11" s="35"/>
      <c r="N11" s="40"/>
      <c r="O11" s="5"/>
      <c r="P11" s="40"/>
      <c r="Q11" s="35"/>
      <c r="R11" s="35"/>
    </row>
    <row r="12" spans="2:20" ht="15.75" thickBot="1" x14ac:dyDescent="0.3">
      <c r="B12" t="s">
        <v>9</v>
      </c>
      <c r="C12" s="269">
        <f>+C10+C11</f>
        <v>1</v>
      </c>
      <c r="D12" s="15">
        <f>+D10+D11</f>
        <v>760580461.70000005</v>
      </c>
      <c r="E12" s="15">
        <f>+E10+E11</f>
        <v>923414738.70000005</v>
      </c>
      <c r="G12" s="3"/>
      <c r="H12" s="305"/>
      <c r="I12" s="3"/>
      <c r="J12" s="3"/>
      <c r="M12" s="35"/>
      <c r="N12" s="43"/>
      <c r="O12" s="43"/>
      <c r="P12" s="43"/>
      <c r="Q12" s="43"/>
      <c r="R12" s="43"/>
      <c r="S12" s="256"/>
      <c r="T12" s="43"/>
    </row>
    <row r="13" spans="2:20" ht="15.75" thickTop="1" x14ac:dyDescent="0.25"/>
    <row r="14" spans="2:20" x14ac:dyDescent="0.25">
      <c r="B14" s="16" t="s">
        <v>10</v>
      </c>
      <c r="M14" s="35"/>
      <c r="N14" s="258"/>
      <c r="O14" s="258"/>
      <c r="P14" s="258"/>
      <c r="Q14" s="258"/>
      <c r="R14" s="35"/>
    </row>
    <row r="15" spans="2:20" ht="17.25" x14ac:dyDescent="0.4">
      <c r="B15" s="16"/>
      <c r="C15" s="8" t="s">
        <v>12</v>
      </c>
      <c r="D15" s="8" t="s">
        <v>11</v>
      </c>
      <c r="E15" s="10"/>
      <c r="G15" s="307"/>
      <c r="H15" s="307"/>
      <c r="I15" s="307"/>
      <c r="J15" s="307"/>
      <c r="K15" s="307"/>
      <c r="M15" s="35"/>
      <c r="N15" s="40"/>
      <c r="O15" s="5"/>
      <c r="P15" s="40"/>
      <c r="Q15" s="35"/>
      <c r="R15" s="35"/>
    </row>
    <row r="16" spans="2:20" x14ac:dyDescent="0.25">
      <c r="B16" t="s">
        <v>13</v>
      </c>
      <c r="C16" s="11">
        <f>C33</f>
        <v>7.8446407353671269E-2</v>
      </c>
      <c r="D16" s="306">
        <f>+C16*$D$10</f>
        <v>41853855.326022863</v>
      </c>
      <c r="E16" s="197"/>
      <c r="G16" s="43"/>
      <c r="H16" s="43"/>
      <c r="I16" s="43"/>
      <c r="J16" s="43"/>
      <c r="K16" s="283"/>
      <c r="M16" s="35"/>
      <c r="N16" s="40"/>
      <c r="O16" s="5"/>
      <c r="P16" s="40"/>
      <c r="Q16" s="35"/>
      <c r="R16" s="35"/>
    </row>
    <row r="17" spans="2:22" x14ac:dyDescent="0.25">
      <c r="B17" t="s">
        <v>14</v>
      </c>
      <c r="C17" s="11">
        <f t="shared" ref="C17:C20" si="0">C34</f>
        <v>3.6306268781291832E-2</v>
      </c>
      <c r="D17" s="306">
        <f t="shared" ref="D17:D20" si="1">+C17*$D$10</f>
        <v>19370642.611446172</v>
      </c>
      <c r="E17" s="197"/>
      <c r="G17" s="43"/>
      <c r="H17" s="43"/>
      <c r="I17" s="43"/>
      <c r="J17" s="43"/>
      <c r="K17" s="283"/>
      <c r="M17" s="35"/>
      <c r="N17" s="40"/>
      <c r="O17" s="5"/>
      <c r="P17" s="40"/>
      <c r="Q17" s="35"/>
      <c r="R17" s="35"/>
    </row>
    <row r="18" spans="2:22" x14ac:dyDescent="0.25">
      <c r="B18" t="s">
        <v>15</v>
      </c>
      <c r="C18" s="11">
        <f t="shared" si="0"/>
        <v>0.56167178880642399</v>
      </c>
      <c r="D18" s="306">
        <f t="shared" si="1"/>
        <v>299671209.71426314</v>
      </c>
      <c r="E18" s="197"/>
      <c r="G18" s="43"/>
      <c r="H18" s="43"/>
      <c r="I18" s="43"/>
      <c r="J18" s="43"/>
      <c r="K18" s="283"/>
      <c r="M18" s="35"/>
      <c r="N18" s="40"/>
      <c r="O18" s="5"/>
      <c r="P18" s="40"/>
      <c r="Q18" s="35"/>
      <c r="R18" s="35"/>
    </row>
    <row r="19" spans="2:22" x14ac:dyDescent="0.25">
      <c r="B19" t="s">
        <v>16</v>
      </c>
      <c r="C19" s="11">
        <f t="shared" si="0"/>
        <v>0.15645480708082174</v>
      </c>
      <c r="D19" s="306">
        <f t="shared" si="1"/>
        <v>83474018.524508953</v>
      </c>
      <c r="E19" s="197"/>
      <c r="G19" s="43"/>
      <c r="H19" s="43"/>
      <c r="I19" s="43"/>
      <c r="J19" s="43"/>
      <c r="K19" s="283"/>
      <c r="M19" s="35"/>
      <c r="N19" s="40"/>
      <c r="O19" s="5"/>
      <c r="P19" s="40"/>
      <c r="Q19" s="35"/>
      <c r="R19" s="35"/>
    </row>
    <row r="20" spans="2:22" x14ac:dyDescent="0.25">
      <c r="B20" t="s">
        <v>17</v>
      </c>
      <c r="C20" s="11">
        <f t="shared" si="0"/>
        <v>0.16712072797779112</v>
      </c>
      <c r="D20" s="306">
        <f t="shared" si="1"/>
        <v>89164654.019490212</v>
      </c>
      <c r="E20" s="197"/>
      <c r="G20" s="43"/>
      <c r="H20" s="43"/>
      <c r="I20" s="43"/>
      <c r="J20" s="43"/>
      <c r="K20" s="283"/>
      <c r="M20" s="35"/>
      <c r="N20" s="40"/>
      <c r="O20" s="5"/>
      <c r="P20" s="40"/>
      <c r="Q20" s="35"/>
      <c r="R20" s="35"/>
    </row>
    <row r="21" spans="2:22" ht="15.75" thickBot="1" x14ac:dyDescent="0.3">
      <c r="C21" s="269">
        <f>SUM(C16:C20)</f>
        <v>0.99999999999999989</v>
      </c>
      <c r="D21" s="15">
        <f>SUM(D16:D20)</f>
        <v>533534380.1957314</v>
      </c>
      <c r="H21" s="4" t="s">
        <v>162</v>
      </c>
      <c r="M21" s="35"/>
      <c r="N21" s="40"/>
      <c r="O21" s="5"/>
      <c r="P21" s="40"/>
      <c r="Q21" s="35"/>
      <c r="R21" s="35"/>
    </row>
    <row r="22" spans="2:22" ht="15.75" thickTop="1" x14ac:dyDescent="0.25">
      <c r="M22" s="35"/>
      <c r="N22" s="40"/>
      <c r="O22" s="5"/>
      <c r="P22" s="40"/>
      <c r="Q22" s="35"/>
      <c r="R22" s="35"/>
    </row>
    <row r="23" spans="2:22" x14ac:dyDescent="0.25">
      <c r="B23" s="278" t="s">
        <v>248</v>
      </c>
      <c r="H23" s="4" t="s">
        <v>162</v>
      </c>
    </row>
    <row r="24" spans="2:22" ht="30.75" customHeight="1" x14ac:dyDescent="0.4">
      <c r="B24" s="16"/>
      <c r="C24" s="10" t="s">
        <v>1</v>
      </c>
      <c r="D24" s="8" t="s">
        <v>2</v>
      </c>
      <c r="E24" s="8" t="s">
        <v>3</v>
      </c>
      <c r="G24" s="297"/>
      <c r="H24" s="297"/>
      <c r="I24" s="297"/>
      <c r="J24" s="297"/>
      <c r="K24" s="297"/>
      <c r="L24" s="300"/>
    </row>
    <row r="25" spans="2:22" x14ac:dyDescent="0.25">
      <c r="B25" t="s">
        <v>18</v>
      </c>
      <c r="D25" s="19">
        <f>+D29</f>
        <v>760642828.35000002</v>
      </c>
      <c r="E25" s="5">
        <f>+E29</f>
        <v>923477105.35000002</v>
      </c>
    </row>
    <row r="26" spans="2:22" x14ac:dyDescent="0.25">
      <c r="N26" s="228"/>
      <c r="O26" s="228"/>
      <c r="P26" s="228"/>
      <c r="Q26" s="228"/>
      <c r="R26" s="228"/>
      <c r="S26" s="23"/>
    </row>
    <row r="27" spans="2:22" x14ac:dyDescent="0.25">
      <c r="B27" t="s">
        <v>19</v>
      </c>
      <c r="C27" s="11">
        <f>+D27/D29</f>
        <v>0.70148315275310913</v>
      </c>
      <c r="D27" s="3">
        <f>D38</f>
        <v>533578129.35000002</v>
      </c>
      <c r="E27" s="5">
        <f>+D27</f>
        <v>533578129.35000002</v>
      </c>
      <c r="N27" s="43"/>
      <c r="O27" s="43"/>
      <c r="P27" s="43"/>
      <c r="Q27" s="43"/>
      <c r="V27" s="287"/>
    </row>
    <row r="28" spans="2:22" x14ac:dyDescent="0.25">
      <c r="B28" t="s">
        <v>20</v>
      </c>
      <c r="C28" s="11">
        <f>+D28/D29</f>
        <v>0.29851684724689087</v>
      </c>
      <c r="D28" s="3">
        <v>227064699</v>
      </c>
      <c r="E28" s="374">
        <f>+D28-D7</f>
        <v>389898976</v>
      </c>
      <c r="F28" s="374"/>
      <c r="G28" s="3"/>
      <c r="H28" s="3"/>
      <c r="I28" s="3"/>
      <c r="J28" s="3"/>
      <c r="K28" s="298"/>
      <c r="N28" s="253"/>
      <c r="O28" s="253"/>
      <c r="P28" s="43"/>
      <c r="Q28" s="43"/>
      <c r="R28" s="43"/>
      <c r="S28" s="43"/>
      <c r="T28" s="5"/>
      <c r="V28" s="287"/>
    </row>
    <row r="29" spans="2:22" ht="15.75" thickBot="1" x14ac:dyDescent="0.3">
      <c r="B29" t="s">
        <v>21</v>
      </c>
      <c r="C29" s="269">
        <f>+C27+C28</f>
        <v>1</v>
      </c>
      <c r="D29" s="15">
        <f>+D27+D28</f>
        <v>760642828.35000002</v>
      </c>
      <c r="E29" s="15">
        <f>+E27+E28</f>
        <v>923477105.35000002</v>
      </c>
      <c r="F29" s="4"/>
      <c r="G29" s="3"/>
    </row>
    <row r="30" spans="2:22" ht="15.75" thickTop="1" x14ac:dyDescent="0.25"/>
    <row r="31" spans="2:22" ht="15.75" x14ac:dyDescent="0.25">
      <c r="B31" s="16" t="s">
        <v>22</v>
      </c>
      <c r="E31" s="5" t="s">
        <v>162</v>
      </c>
      <c r="G31" s="4" t="s">
        <v>162</v>
      </c>
      <c r="H31" s="4" t="s">
        <v>162</v>
      </c>
    </row>
    <row r="32" spans="2:22" ht="31.15" customHeight="1" x14ac:dyDescent="0.4">
      <c r="B32" s="16"/>
      <c r="C32" s="8" t="s">
        <v>12</v>
      </c>
      <c r="D32" s="8" t="s">
        <v>11</v>
      </c>
      <c r="E32" s="10" t="s">
        <v>23</v>
      </c>
      <c r="F32" s="23"/>
      <c r="G32" s="307"/>
      <c r="H32" s="304" t="s">
        <v>80</v>
      </c>
      <c r="I32" s="304"/>
      <c r="J32" s="304"/>
      <c r="K32" s="304"/>
      <c r="L32" s="308"/>
      <c r="M32" s="309"/>
      <c r="N32" s="309"/>
      <c r="O32" s="309"/>
      <c r="P32" s="309"/>
      <c r="Q32" s="309"/>
      <c r="S32" s="288"/>
      <c r="T32" s="288"/>
      <c r="U32" s="288"/>
      <c r="V32" s="289"/>
    </row>
    <row r="33" spans="2:39" x14ac:dyDescent="0.25">
      <c r="B33" t="s">
        <v>13</v>
      </c>
      <c r="C33" s="11">
        <f>D33/D$38</f>
        <v>7.8446407353671269E-2</v>
      </c>
      <c r="D33" s="306">
        <v>41857287.289999999</v>
      </c>
      <c r="E33" s="302">
        <f>+H33/D33</f>
        <v>9.432603963666944E-2</v>
      </c>
      <c r="F33" s="18"/>
      <c r="G33" s="43"/>
      <c r="H33" s="3">
        <v>3948232.14</v>
      </c>
      <c r="I33" s="3"/>
      <c r="J33" s="3"/>
      <c r="K33" s="227"/>
      <c r="L33" s="3"/>
      <c r="M33" s="103"/>
      <c r="N33" s="103"/>
      <c r="O33" s="103"/>
      <c r="P33" s="103"/>
      <c r="Q33" s="310"/>
      <c r="S33" s="43"/>
      <c r="T33" s="43"/>
      <c r="U33" s="5"/>
      <c r="V33" s="43"/>
      <c r="W33" s="290"/>
    </row>
    <row r="34" spans="2:39" x14ac:dyDescent="0.25">
      <c r="B34" t="s">
        <v>14</v>
      </c>
      <c r="C34" s="11">
        <f>D34/D$38</f>
        <v>3.6306268781291832E-2</v>
      </c>
      <c r="D34" s="306">
        <v>19372230.98</v>
      </c>
      <c r="E34" s="302">
        <f t="shared" ref="E34:E37" si="2">+H34/D34</f>
        <v>0.11313160277010077</v>
      </c>
      <c r="F34" s="18"/>
      <c r="G34" s="43"/>
      <c r="H34" s="3">
        <v>2191611.54</v>
      </c>
      <c r="I34" s="3"/>
      <c r="J34" s="3"/>
      <c r="K34" s="227"/>
      <c r="L34" s="3"/>
      <c r="M34" s="103"/>
      <c r="N34" s="103"/>
      <c r="O34" s="103"/>
      <c r="P34" s="103"/>
      <c r="Q34" s="310"/>
      <c r="S34" s="43"/>
      <c r="T34" s="43"/>
      <c r="U34" s="5"/>
      <c r="V34" s="43"/>
      <c r="W34" s="290"/>
    </row>
    <row r="35" spans="2:39" x14ac:dyDescent="0.25">
      <c r="B35" t="s">
        <v>15</v>
      </c>
      <c r="C35" s="11">
        <f>D35/D$38</f>
        <v>0.56167178880642399</v>
      </c>
      <c r="D35" s="306">
        <v>299695782.38</v>
      </c>
      <c r="E35" s="302">
        <f t="shared" si="2"/>
        <v>8.0714480690717558E-2</v>
      </c>
      <c r="F35" s="18"/>
      <c r="G35" s="43"/>
      <c r="H35" s="3">
        <v>24189789.440000001</v>
      </c>
      <c r="I35" s="3"/>
      <c r="J35" s="3"/>
      <c r="K35" s="227"/>
      <c r="L35" s="3"/>
      <c r="M35" s="103"/>
      <c r="N35" s="103"/>
      <c r="O35" s="103"/>
      <c r="P35" s="103"/>
      <c r="Q35" s="310"/>
      <c r="S35" s="43"/>
      <c r="T35" s="43"/>
      <c r="U35" s="5"/>
      <c r="V35" s="43"/>
      <c r="W35" s="290"/>
    </row>
    <row r="36" spans="2:39" x14ac:dyDescent="0.25">
      <c r="B36" t="s">
        <v>16</v>
      </c>
      <c r="C36" s="11">
        <f>D36/D$38</f>
        <v>0.15645480708082174</v>
      </c>
      <c r="D36" s="306">
        <v>83480863.290000007</v>
      </c>
      <c r="E36" s="302">
        <f t="shared" si="2"/>
        <v>0.10929692938492849</v>
      </c>
      <c r="F36" s="18"/>
      <c r="G36" s="43"/>
      <c r="H36" s="3">
        <v>9124202.0199999996</v>
      </c>
      <c r="I36" s="3"/>
      <c r="J36" s="3"/>
      <c r="K36" s="227"/>
      <c r="L36" s="3"/>
      <c r="M36" s="103"/>
      <c r="N36" s="103"/>
      <c r="O36" s="103"/>
      <c r="P36" s="103"/>
      <c r="Q36" s="310"/>
      <c r="S36" s="43"/>
      <c r="T36" s="43"/>
      <c r="U36" s="5"/>
      <c r="V36" s="43"/>
      <c r="W36" s="290"/>
    </row>
    <row r="37" spans="2:39" x14ac:dyDescent="0.25">
      <c r="B37" t="s">
        <v>78</v>
      </c>
      <c r="C37" s="11">
        <f>D37/D$38</f>
        <v>0.16712072797779112</v>
      </c>
      <c r="D37" s="306">
        <v>89171965.409999996</v>
      </c>
      <c r="E37" s="302">
        <f t="shared" si="2"/>
        <v>0.16162414076816747</v>
      </c>
      <c r="F37" s="18"/>
      <c r="G37" s="43"/>
      <c r="H37" s="3">
        <v>14412342.289999999</v>
      </c>
      <c r="I37" s="3"/>
      <c r="J37" s="3"/>
      <c r="K37" s="227"/>
      <c r="L37" s="3"/>
      <c r="M37" s="103"/>
      <c r="N37" s="103"/>
      <c r="O37" s="103"/>
      <c r="P37" s="103"/>
      <c r="Q37" s="310"/>
      <c r="S37" s="43"/>
      <c r="T37" s="43"/>
      <c r="U37" s="5"/>
      <c r="V37" s="43"/>
      <c r="W37" s="290"/>
    </row>
    <row r="38" spans="2:39" ht="15.75" thickBot="1" x14ac:dyDescent="0.3">
      <c r="B38" t="s">
        <v>79</v>
      </c>
      <c r="C38" s="269">
        <f>SUM(C33:C37)</f>
        <v>0.99999999999999989</v>
      </c>
      <c r="D38" s="15">
        <f>SUM(D33:D37)</f>
        <v>533578129.35000002</v>
      </c>
      <c r="G38" s="376"/>
      <c r="H38" s="15">
        <f>SUM(H33:H37)</f>
        <v>53866177.43</v>
      </c>
      <c r="M38" s="43"/>
      <c r="N38" s="43"/>
      <c r="O38" s="43"/>
      <c r="P38" s="43"/>
      <c r="Q38" s="43"/>
      <c r="S38" s="43"/>
      <c r="T38" s="43"/>
      <c r="U38" s="43"/>
      <c r="V38" s="43"/>
    </row>
    <row r="39" spans="2:39" ht="15.75" thickTop="1" x14ac:dyDescent="0.25">
      <c r="G39" s="36"/>
      <c r="S39" s="43"/>
    </row>
    <row r="40" spans="2:39" x14ac:dyDescent="0.25">
      <c r="B40" s="16" t="s">
        <v>24</v>
      </c>
      <c r="G40" s="36"/>
      <c r="S40" s="43"/>
      <c r="T40" s="2"/>
      <c r="U40" s="2"/>
      <c r="V40" s="2"/>
      <c r="W40" s="2"/>
    </row>
    <row r="41" spans="2:39" x14ac:dyDescent="0.25">
      <c r="B41" s="2"/>
      <c r="C41" s="8" t="s">
        <v>25</v>
      </c>
      <c r="AA41" s="23"/>
      <c r="AB41" s="23"/>
      <c r="AC41" s="23"/>
      <c r="AD41" s="23"/>
      <c r="AE41" s="23"/>
      <c r="AF41" s="23"/>
    </row>
    <row r="42" spans="2:39" x14ac:dyDescent="0.25">
      <c r="B42" s="2" t="s">
        <v>26</v>
      </c>
      <c r="C42" s="8" t="s">
        <v>27</v>
      </c>
      <c r="Q42" s="23"/>
      <c r="R42" s="23"/>
      <c r="S42" s="23"/>
      <c r="T42" s="23"/>
      <c r="U42" s="23"/>
      <c r="V42" s="23"/>
      <c r="AA42" s="253"/>
      <c r="AB42" s="253"/>
      <c r="AC42" s="253"/>
      <c r="AD42" s="253"/>
      <c r="AE42" s="253"/>
      <c r="AF42" s="257"/>
      <c r="AG42" s="43"/>
      <c r="AK42" s="5"/>
      <c r="AL42" s="101"/>
      <c r="AM42" s="32"/>
    </row>
    <row r="43" spans="2:39" x14ac:dyDescent="0.25">
      <c r="B43" t="s">
        <v>28</v>
      </c>
      <c r="C43" s="13">
        <f>+C84</f>
        <v>5.0165911771173681E-2</v>
      </c>
      <c r="D43" s="21" t="s">
        <v>162</v>
      </c>
      <c r="H43" s="4" t="s">
        <v>162</v>
      </c>
      <c r="I43" s="4" t="s">
        <v>162</v>
      </c>
      <c r="Q43" s="253"/>
      <c r="R43" s="253"/>
      <c r="S43" s="253"/>
      <c r="T43" s="253"/>
      <c r="U43" s="253"/>
      <c r="V43" s="257"/>
      <c r="W43" s="43"/>
      <c r="AA43" s="253"/>
      <c r="AB43" s="253"/>
      <c r="AC43" s="253"/>
      <c r="AD43" s="253"/>
      <c r="AE43" s="253"/>
      <c r="AF43" s="253"/>
      <c r="AG43" s="43"/>
      <c r="AK43" s="5"/>
      <c r="AL43" s="101"/>
      <c r="AM43" s="32"/>
    </row>
    <row r="44" spans="2:39" x14ac:dyDescent="0.25">
      <c r="B44" t="s">
        <v>29</v>
      </c>
      <c r="C44" s="13">
        <f>+C85</f>
        <v>4.6999074322469303E-2</v>
      </c>
      <c r="D44" s="21" t="s">
        <v>162</v>
      </c>
      <c r="E44" s="21"/>
      <c r="Q44" s="253"/>
      <c r="R44" s="253"/>
      <c r="S44" s="253"/>
      <c r="T44" s="253"/>
      <c r="U44" s="253"/>
      <c r="V44" s="253"/>
      <c r="W44" s="43"/>
      <c r="AA44" s="101"/>
      <c r="AB44" s="101"/>
      <c r="AC44" s="101"/>
      <c r="AD44" s="101"/>
      <c r="AE44" s="101"/>
      <c r="AF44" s="101"/>
      <c r="AG44" s="101"/>
      <c r="AM44" s="32"/>
    </row>
    <row r="45" spans="2:39" x14ac:dyDescent="0.25">
      <c r="B45" t="s">
        <v>30</v>
      </c>
      <c r="C45" s="270">
        <v>5.3370942445534461E-2</v>
      </c>
      <c r="E45" s="25" t="s">
        <v>162</v>
      </c>
      <c r="Q45" s="101"/>
      <c r="R45" s="101"/>
      <c r="S45" s="101"/>
      <c r="T45" s="101"/>
      <c r="U45" s="101"/>
      <c r="V45" s="101"/>
      <c r="W45" s="101"/>
      <c r="AA45" s="277"/>
      <c r="AB45" s="277"/>
      <c r="AC45" s="277"/>
      <c r="AD45" s="291"/>
      <c r="AE45" s="291"/>
      <c r="AF45" s="291"/>
      <c r="AG45" s="43"/>
    </row>
    <row r="46" spans="2:39" x14ac:dyDescent="0.25">
      <c r="C46" s="195"/>
      <c r="E46" s="21"/>
      <c r="AA46" s="253"/>
      <c r="AB46" s="253"/>
      <c r="AC46" s="253"/>
      <c r="AD46" s="253"/>
      <c r="AE46" s="253"/>
      <c r="AF46" s="257"/>
      <c r="AG46" s="43"/>
      <c r="AH46" s="256"/>
    </row>
    <row r="47" spans="2:39" x14ac:dyDescent="0.25">
      <c r="C47" s="195"/>
      <c r="Q47" s="255"/>
      <c r="R47" s="255"/>
      <c r="S47" s="255"/>
      <c r="T47" s="257"/>
      <c r="U47" s="257"/>
      <c r="V47" s="257"/>
      <c r="W47" s="43"/>
    </row>
    <row r="48" spans="2:39" x14ac:dyDescent="0.25">
      <c r="B48" t="s">
        <v>31</v>
      </c>
      <c r="C48" s="195" t="s">
        <v>162</v>
      </c>
      <c r="E48" t="s">
        <v>162</v>
      </c>
      <c r="Q48" s="43"/>
      <c r="R48" s="43"/>
      <c r="S48" s="43"/>
      <c r="T48" s="43"/>
      <c r="U48" s="43"/>
      <c r="V48" s="43"/>
      <c r="W48" s="43"/>
      <c r="AA48" s="253"/>
      <c r="AB48" s="253"/>
      <c r="AC48" s="253"/>
      <c r="AD48" s="253"/>
      <c r="AE48" s="253"/>
      <c r="AF48" s="257"/>
      <c r="AG48" s="43"/>
    </row>
    <row r="49" spans="2:33" x14ac:dyDescent="0.25">
      <c r="C49" s="195">
        <f>+C57</f>
        <v>5.1349553874952311E-2</v>
      </c>
      <c r="D49" t="s">
        <v>249</v>
      </c>
      <c r="Q49" s="101"/>
      <c r="R49" s="101"/>
      <c r="S49" s="101"/>
      <c r="T49" s="101"/>
      <c r="U49" s="101"/>
      <c r="V49" s="101"/>
      <c r="W49" s="101"/>
      <c r="AA49" s="253"/>
      <c r="AB49" s="253"/>
      <c r="AC49" s="253"/>
      <c r="AD49" s="253"/>
      <c r="AE49" s="253"/>
      <c r="AF49" s="253"/>
      <c r="AG49" s="43"/>
    </row>
    <row r="50" spans="2:33" ht="18.75" x14ac:dyDescent="0.3">
      <c r="B50" s="1" t="s">
        <v>32</v>
      </c>
      <c r="C50" s="29">
        <f>+C58</f>
        <v>5.3169219261654778E-2</v>
      </c>
      <c r="D50" t="s">
        <v>250</v>
      </c>
      <c r="AA50" s="101"/>
      <c r="AB50" s="101"/>
      <c r="AC50" s="101"/>
      <c r="AD50" s="101"/>
      <c r="AE50" s="101"/>
      <c r="AF50" s="101"/>
      <c r="AG50" s="101"/>
    </row>
    <row r="51" spans="2:33" x14ac:dyDescent="0.25">
      <c r="B51" s="4"/>
      <c r="C51" s="270"/>
      <c r="D51" s="26"/>
      <c r="Q51" s="23"/>
      <c r="R51" s="23"/>
      <c r="S51" s="23"/>
      <c r="T51" s="23"/>
      <c r="U51" s="23"/>
      <c r="V51" s="23"/>
    </row>
    <row r="52" spans="2:33" x14ac:dyDescent="0.25">
      <c r="B52" s="16" t="s">
        <v>33</v>
      </c>
      <c r="Q52" s="43"/>
      <c r="R52" s="43"/>
      <c r="S52" s="253"/>
      <c r="T52" s="257"/>
      <c r="U52" s="280"/>
      <c r="V52" s="257"/>
      <c r="W52" s="43"/>
      <c r="AD52" s="287"/>
    </row>
    <row r="53" spans="2:33" ht="17.25" x14ac:dyDescent="0.4">
      <c r="B53" s="16"/>
      <c r="C53" s="8" t="s">
        <v>34</v>
      </c>
      <c r="D53" s="271" t="s">
        <v>11</v>
      </c>
      <c r="E53" s="37" t="s">
        <v>35</v>
      </c>
      <c r="F53" s="378"/>
      <c r="G53" s="307"/>
      <c r="H53" s="307"/>
      <c r="I53" s="307"/>
      <c r="J53" s="304"/>
      <c r="K53" s="297"/>
      <c r="L53" s="298"/>
      <c r="M53" s="23"/>
      <c r="N53" s="23"/>
      <c r="Q53" s="43"/>
      <c r="R53" s="43"/>
      <c r="S53" s="43"/>
      <c r="T53" s="43"/>
      <c r="U53" s="43"/>
      <c r="V53" s="43"/>
      <c r="W53" s="43"/>
    </row>
    <row r="54" spans="2:33" x14ac:dyDescent="0.25">
      <c r="B54" t="s">
        <v>36</v>
      </c>
      <c r="C54" s="270">
        <f>E54/D54</f>
        <v>0.50821626491448402</v>
      </c>
      <c r="D54" s="5">
        <f>+E6</f>
        <v>6196568.7000000002</v>
      </c>
      <c r="E54" s="27">
        <v>3149197</v>
      </c>
      <c r="F54" s="279"/>
      <c r="G54" s="43"/>
      <c r="H54" s="43"/>
      <c r="I54" s="43"/>
      <c r="J54" s="3"/>
      <c r="K54" s="298"/>
      <c r="L54" s="298"/>
      <c r="M54" s="6"/>
      <c r="Q54" s="43"/>
      <c r="R54" s="43"/>
      <c r="S54" s="43"/>
      <c r="T54" s="43"/>
      <c r="U54" s="43"/>
      <c r="V54" s="43"/>
      <c r="W54" s="43"/>
    </row>
    <row r="55" spans="2:33" x14ac:dyDescent="0.25">
      <c r="B55" t="s">
        <v>37</v>
      </c>
      <c r="C55" s="270">
        <f>E55/D55</f>
        <v>4.8875883248148039E-2</v>
      </c>
      <c r="D55" s="5">
        <f>+E5</f>
        <v>917218170</v>
      </c>
      <c r="E55" s="27">
        <v>44829848.189999998</v>
      </c>
      <c r="F55" s="279"/>
      <c r="G55" s="43"/>
      <c r="H55" s="43"/>
      <c r="I55" s="43"/>
      <c r="J55" s="3"/>
      <c r="K55" s="298"/>
      <c r="M55" s="6"/>
      <c r="Q55" s="255"/>
      <c r="R55" s="255"/>
      <c r="S55" s="255"/>
      <c r="T55" s="281"/>
      <c r="U55" s="281"/>
      <c r="V55" s="281"/>
      <c r="W55" s="43"/>
    </row>
    <row r="56" spans="2:33" x14ac:dyDescent="0.25">
      <c r="B56" t="s">
        <v>38</v>
      </c>
      <c r="C56" s="270"/>
      <c r="D56" s="5"/>
      <c r="E56" s="27">
        <v>5339816.28</v>
      </c>
      <c r="F56" s="279"/>
      <c r="G56" s="43"/>
      <c r="H56" s="43"/>
      <c r="I56" s="43"/>
      <c r="J56" s="3"/>
      <c r="K56" s="298"/>
      <c r="N56" s="6"/>
      <c r="Q56" s="255"/>
      <c r="R56" s="255"/>
      <c r="S56" s="255"/>
      <c r="T56" s="281"/>
      <c r="U56" s="281"/>
      <c r="V56" s="281"/>
      <c r="W56" s="43"/>
    </row>
    <row r="57" spans="2:33" ht="17.25" x14ac:dyDescent="0.25">
      <c r="B57" t="s">
        <v>39</v>
      </c>
      <c r="C57" s="13">
        <f>+E57/D57</f>
        <v>5.1349553874952311E-2</v>
      </c>
      <c r="D57" s="5">
        <f>+D10</f>
        <v>533534380.1957314</v>
      </c>
      <c r="E57" s="379">
        <v>27396752.399999999</v>
      </c>
      <c r="F57" s="27"/>
      <c r="G57" s="43"/>
      <c r="H57" s="43"/>
      <c r="I57" s="43"/>
      <c r="J57" s="3"/>
      <c r="M57" s="6"/>
      <c r="Q57" s="43"/>
      <c r="R57" s="43"/>
      <c r="S57" s="43"/>
      <c r="T57" s="43"/>
      <c r="U57" s="43"/>
    </row>
    <row r="58" spans="2:33" ht="17.25" x14ac:dyDescent="0.25">
      <c r="B58" t="s">
        <v>40</v>
      </c>
      <c r="C58" s="13">
        <f>+E58/D58</f>
        <v>5.3169219261654778E-2</v>
      </c>
      <c r="D58" s="5">
        <f>+D11</f>
        <v>227046081.50426865</v>
      </c>
      <c r="E58" s="379">
        <v>12071862.890000001</v>
      </c>
      <c r="F58" s="27"/>
      <c r="G58" s="43"/>
      <c r="H58" s="43"/>
      <c r="I58" s="43"/>
      <c r="J58" s="3"/>
      <c r="N58" s="6"/>
      <c r="Q58" s="43"/>
      <c r="R58" s="43"/>
      <c r="S58" s="43"/>
      <c r="T58" s="43"/>
      <c r="U58" s="43"/>
    </row>
    <row r="59" spans="2:33" ht="17.25" x14ac:dyDescent="0.25">
      <c r="B59" t="s">
        <v>203</v>
      </c>
      <c r="C59" s="13"/>
      <c r="D59" s="5"/>
      <c r="E59" s="27">
        <f>+'Whitby Jan-Dec22 RPP 2nd TU'!K24</f>
        <v>-241660.21105094533</v>
      </c>
      <c r="F59" s="28"/>
      <c r="G59" s="43"/>
      <c r="H59" s="43"/>
      <c r="I59" s="43"/>
      <c r="J59" s="3"/>
      <c r="M59" s="6"/>
      <c r="N59" s="282"/>
      <c r="O59" s="6"/>
      <c r="P59" s="292"/>
      <c r="Q59" s="43"/>
      <c r="R59" s="43"/>
      <c r="S59" s="43"/>
      <c r="T59" s="43"/>
      <c r="U59" s="43"/>
    </row>
    <row r="60" spans="2:33" x14ac:dyDescent="0.25">
      <c r="B60" t="s">
        <v>41</v>
      </c>
      <c r="C60" s="13">
        <f>E60/D60</f>
        <v>-0.46635335455895133</v>
      </c>
      <c r="D60" s="5">
        <f>+E6</f>
        <v>6196568.7000000002</v>
      </c>
      <c r="E60" s="27">
        <v>-2889790.6</v>
      </c>
      <c r="F60" s="279"/>
      <c r="G60" s="43"/>
      <c r="H60" s="43"/>
      <c r="I60" s="43"/>
      <c r="J60" s="3"/>
      <c r="K60" s="298"/>
      <c r="M60" s="6"/>
      <c r="Q60" s="43"/>
      <c r="R60" s="43"/>
      <c r="S60" s="43"/>
      <c r="T60" s="43"/>
      <c r="U60" s="43"/>
      <c r="V60" s="43"/>
      <c r="W60" s="43"/>
    </row>
    <row r="61" spans="2:33" ht="15.75" thickBot="1" x14ac:dyDescent="0.3">
      <c r="B61" t="s">
        <v>42</v>
      </c>
      <c r="C61" s="13"/>
      <c r="D61" s="5"/>
      <c r="E61" s="30">
        <f>SUM(E54:E60)</f>
        <v>89656025.948949069</v>
      </c>
      <c r="F61" s="380"/>
      <c r="G61" s="43"/>
      <c r="H61" s="43"/>
      <c r="I61" s="43"/>
      <c r="J61" s="3"/>
      <c r="K61" s="3"/>
      <c r="L61" s="3"/>
      <c r="M61" s="6"/>
      <c r="N61" s="6"/>
      <c r="O61" s="6"/>
      <c r="Q61" s="43"/>
      <c r="R61" s="43"/>
      <c r="S61" s="43"/>
      <c r="T61" s="43"/>
      <c r="W61" s="43"/>
    </row>
    <row r="62" spans="2:33" ht="15.75" thickTop="1" x14ac:dyDescent="0.25">
      <c r="E62" t="s">
        <v>162</v>
      </c>
      <c r="G62" s="4" t="s">
        <v>162</v>
      </c>
      <c r="J62" s="3"/>
      <c r="Q62" s="43"/>
      <c r="R62" s="43"/>
      <c r="S62" s="283"/>
      <c r="T62" s="283"/>
      <c r="U62" s="2"/>
      <c r="V62" s="2"/>
      <c r="W62" s="43"/>
    </row>
    <row r="63" spans="2:33" ht="18.75" x14ac:dyDescent="0.3">
      <c r="B63" s="1" t="s">
        <v>43</v>
      </c>
      <c r="E63" s="6" t="s">
        <v>162</v>
      </c>
      <c r="G63" s="4" t="s">
        <v>162</v>
      </c>
      <c r="J63" s="3"/>
      <c r="Q63" s="43"/>
      <c r="R63" s="43"/>
      <c r="S63" s="43"/>
      <c r="T63" s="43"/>
      <c r="U63" s="43"/>
      <c r="V63" s="43"/>
      <c r="W63" s="43"/>
      <c r="Y63" s="5"/>
    </row>
    <row r="64" spans="2:33" ht="18.75" x14ac:dyDescent="0.3">
      <c r="B64" s="1"/>
      <c r="Q64" s="43"/>
      <c r="R64" s="43"/>
      <c r="S64" s="43"/>
      <c r="T64" s="43"/>
      <c r="U64" s="43"/>
      <c r="V64" s="43"/>
      <c r="W64" s="43"/>
      <c r="Y64" s="26"/>
    </row>
    <row r="65" spans="2:25" x14ac:dyDescent="0.25">
      <c r="B65" s="16" t="s">
        <v>44</v>
      </c>
      <c r="C65" s="23" t="s">
        <v>162</v>
      </c>
      <c r="D65" s="23" t="s">
        <v>162</v>
      </c>
      <c r="E65" s="23" t="s">
        <v>162</v>
      </c>
      <c r="G65" s="300"/>
      <c r="H65" s="300"/>
      <c r="Q65" s="43"/>
      <c r="R65" s="43"/>
      <c r="S65" s="43"/>
      <c r="T65" s="43"/>
      <c r="U65" s="43"/>
      <c r="V65" s="43"/>
      <c r="W65" s="43"/>
      <c r="Y65" s="31"/>
    </row>
    <row r="66" spans="2:25" x14ac:dyDescent="0.25">
      <c r="B66" s="16"/>
      <c r="C66" s="10" t="s">
        <v>23</v>
      </c>
      <c r="D66" s="8" t="s">
        <v>11</v>
      </c>
      <c r="E66" s="8" t="s">
        <v>35</v>
      </c>
      <c r="G66" s="301"/>
      <c r="H66" s="301"/>
      <c r="T66" s="31"/>
      <c r="U66" s="32"/>
      <c r="W66" s="31"/>
    </row>
    <row r="67" spans="2:25" x14ac:dyDescent="0.25">
      <c r="B67" t="s">
        <v>13</v>
      </c>
      <c r="C67" s="270">
        <f>E33</f>
        <v>9.432603963666944E-2</v>
      </c>
      <c r="D67" s="3">
        <f>+D33</f>
        <v>41857287.289999999</v>
      </c>
      <c r="E67" s="33">
        <f>+D67*C67</f>
        <v>3948232.1399999997</v>
      </c>
      <c r="G67" s="36"/>
      <c r="H67" s="43"/>
      <c r="Q67" s="5"/>
      <c r="R67" s="5"/>
      <c r="S67" s="5"/>
      <c r="T67" s="5"/>
      <c r="U67" s="5"/>
      <c r="V67" s="5"/>
      <c r="W67" s="33"/>
    </row>
    <row r="68" spans="2:25" x14ac:dyDescent="0.25">
      <c r="B68" t="s">
        <v>14</v>
      </c>
      <c r="C68" s="270">
        <f>E34</f>
        <v>0.11313160277010077</v>
      </c>
      <c r="D68" s="3">
        <f>+D34</f>
        <v>19372230.98</v>
      </c>
      <c r="E68" s="33">
        <f t="shared" ref="E68:E71" si="3">+D68*C68</f>
        <v>2191611.54</v>
      </c>
      <c r="G68" s="36"/>
      <c r="H68" s="43"/>
      <c r="Q68" s="5"/>
      <c r="R68" s="5"/>
      <c r="S68" s="5"/>
      <c r="T68" s="5"/>
      <c r="U68" s="5"/>
      <c r="V68" s="5"/>
      <c r="W68" s="33"/>
    </row>
    <row r="69" spans="2:25" x14ac:dyDescent="0.25">
      <c r="B69" t="s">
        <v>15</v>
      </c>
      <c r="C69" s="270">
        <f>E35</f>
        <v>8.0714480690717558E-2</v>
      </c>
      <c r="D69" s="3">
        <f>+D35</f>
        <v>299695782.38</v>
      </c>
      <c r="E69" s="33">
        <f t="shared" si="3"/>
        <v>24189789.440000001</v>
      </c>
      <c r="G69" s="36"/>
      <c r="H69" s="43"/>
      <c r="Q69" s="5"/>
      <c r="R69" s="5"/>
      <c r="S69" s="5"/>
      <c r="T69" s="5"/>
      <c r="U69" s="5"/>
      <c r="V69" s="33"/>
      <c r="W69" s="33"/>
    </row>
    <row r="70" spans="2:25" x14ac:dyDescent="0.25">
      <c r="B70" t="s">
        <v>16</v>
      </c>
      <c r="C70" s="270">
        <f>E36</f>
        <v>0.10929692938492849</v>
      </c>
      <c r="D70" s="3">
        <f>+D36</f>
        <v>83480863.290000007</v>
      </c>
      <c r="E70" s="33">
        <f t="shared" si="3"/>
        <v>9124202.0199999996</v>
      </c>
      <c r="G70" s="36"/>
      <c r="H70" s="43"/>
      <c r="Q70" s="5"/>
      <c r="R70" s="5"/>
      <c r="S70" s="5"/>
      <c r="T70" s="5"/>
      <c r="U70" s="5"/>
      <c r="V70" s="33"/>
      <c r="W70" s="33"/>
    </row>
    <row r="71" spans="2:25" x14ac:dyDescent="0.25">
      <c r="B71" t="s">
        <v>17</v>
      </c>
      <c r="C71" s="270">
        <f>E37</f>
        <v>0.16162414076816747</v>
      </c>
      <c r="D71" s="3">
        <f>+D37</f>
        <v>89171965.409999996</v>
      </c>
      <c r="E71" s="33">
        <f t="shared" si="3"/>
        <v>14412342.290000001</v>
      </c>
      <c r="G71" s="36"/>
      <c r="H71" s="43"/>
      <c r="T71" s="33"/>
      <c r="U71" s="33"/>
      <c r="V71" s="33"/>
      <c r="W71" s="33"/>
    </row>
    <row r="72" spans="2:25" ht="15.75" thickBot="1" x14ac:dyDescent="0.3">
      <c r="B72" t="s">
        <v>45</v>
      </c>
      <c r="D72" s="272">
        <f>SUM(D67:D71)</f>
        <v>533578129.35000002</v>
      </c>
      <c r="E72" s="30">
        <f>SUM(E67:E71)</f>
        <v>53866177.43</v>
      </c>
      <c r="G72" s="36"/>
      <c r="H72" s="43"/>
      <c r="M72" s="6"/>
      <c r="T72" s="35"/>
      <c r="U72" s="35"/>
      <c r="V72" s="35"/>
      <c r="W72" s="35"/>
    </row>
    <row r="73" spans="2:25" ht="15.75" thickTop="1" x14ac:dyDescent="0.25">
      <c r="M73" s="6"/>
      <c r="T73" s="6"/>
      <c r="U73" s="6"/>
      <c r="V73" s="6"/>
      <c r="W73" s="25"/>
    </row>
    <row r="74" spans="2:25" x14ac:dyDescent="0.25">
      <c r="B74" s="16" t="s">
        <v>46</v>
      </c>
      <c r="M74" s="6"/>
      <c r="T74" s="35"/>
      <c r="U74" s="35"/>
      <c r="V74" s="35"/>
      <c r="W74" s="35"/>
    </row>
    <row r="75" spans="2:25" x14ac:dyDescent="0.25">
      <c r="B75" s="16"/>
      <c r="C75" s="8" t="s">
        <v>34</v>
      </c>
      <c r="D75" s="271" t="s">
        <v>11</v>
      </c>
      <c r="E75" s="37" t="s">
        <v>35</v>
      </c>
      <c r="G75" s="301"/>
      <c r="H75" s="301"/>
      <c r="T75" s="35"/>
      <c r="U75" s="35"/>
      <c r="V75" s="35"/>
      <c r="W75" s="35"/>
    </row>
    <row r="76" spans="2:25" x14ac:dyDescent="0.25">
      <c r="B76" t="s">
        <v>47</v>
      </c>
      <c r="C76" s="13">
        <f>+C44</f>
        <v>4.6999074322469303E-2</v>
      </c>
      <c r="D76" s="273">
        <f>+E28</f>
        <v>389898976</v>
      </c>
      <c r="E76" s="38">
        <f>E85</f>
        <v>18324890.951278675</v>
      </c>
      <c r="T76" s="35"/>
      <c r="U76" s="35"/>
      <c r="V76" s="35"/>
      <c r="W76" s="35"/>
    </row>
    <row r="77" spans="2:25" x14ac:dyDescent="0.25">
      <c r="B77" t="s">
        <v>48</v>
      </c>
      <c r="C77" s="13"/>
      <c r="D77" s="273"/>
      <c r="E77" s="38">
        <f>+E56</f>
        <v>5339816.28</v>
      </c>
      <c r="G77" s="36"/>
      <c r="N77" s="32"/>
      <c r="T77" s="35"/>
      <c r="U77" s="35"/>
      <c r="V77" s="35"/>
      <c r="W77" s="35"/>
    </row>
    <row r="78" spans="2:25" x14ac:dyDescent="0.25">
      <c r="B78" t="s">
        <v>49</v>
      </c>
      <c r="C78" s="13">
        <f>+C45</f>
        <v>5.3370942445534461E-2</v>
      </c>
      <c r="D78" s="43">
        <f>+D28</f>
        <v>227064699</v>
      </c>
      <c r="E78" s="35">
        <f>+C78*D78</f>
        <v>12118656.981741607</v>
      </c>
      <c r="M78" s="6"/>
      <c r="N78" s="31"/>
      <c r="T78" s="35"/>
      <c r="U78" s="35"/>
      <c r="V78" s="35"/>
      <c r="W78" s="35"/>
    </row>
    <row r="79" spans="2:25" ht="15.75" thickBot="1" x14ac:dyDescent="0.3">
      <c r="D79" s="43"/>
      <c r="E79" s="30">
        <f>SUM(E76:E78)</f>
        <v>35783364.21302028</v>
      </c>
      <c r="F79" s="14"/>
      <c r="G79" s="36"/>
      <c r="H79" s="36"/>
      <c r="I79" s="43"/>
      <c r="J79" s="43"/>
      <c r="K79" s="43"/>
      <c r="L79" s="43"/>
    </row>
    <row r="80" spans="2:25" ht="15.75" thickTop="1" x14ac:dyDescent="0.25">
      <c r="D80" s="43"/>
      <c r="E80" s="35"/>
      <c r="F80" s="14"/>
      <c r="G80" s="36"/>
      <c r="H80" s="43"/>
      <c r="I80" s="43"/>
      <c r="J80" s="43"/>
      <c r="K80" s="43"/>
      <c r="L80" s="43"/>
    </row>
    <row r="81" spans="2:18" x14ac:dyDescent="0.25">
      <c r="B81" s="16" t="s">
        <v>81</v>
      </c>
      <c r="C81" t="s">
        <v>162</v>
      </c>
      <c r="E81" s="6"/>
      <c r="F81" s="35"/>
      <c r="G81" s="36"/>
      <c r="H81" s="43"/>
      <c r="I81" s="43"/>
      <c r="J81" s="43"/>
      <c r="K81" s="43"/>
      <c r="L81" s="43"/>
    </row>
    <row r="82" spans="2:18" x14ac:dyDescent="0.25">
      <c r="E82" s="6"/>
      <c r="F82" s="14"/>
      <c r="G82" s="36"/>
      <c r="H82" s="36"/>
      <c r="I82" s="36"/>
      <c r="J82" s="36"/>
      <c r="K82" s="36"/>
      <c r="L82" s="36"/>
      <c r="M82" s="293"/>
    </row>
    <row r="83" spans="2:18" ht="17.25" x14ac:dyDescent="0.4">
      <c r="B83" s="16"/>
      <c r="C83" s="8" t="s">
        <v>34</v>
      </c>
      <c r="D83" s="271" t="s">
        <v>11</v>
      </c>
      <c r="E83" s="37" t="s">
        <v>35</v>
      </c>
      <c r="F83" s="14"/>
      <c r="G83" s="377"/>
      <c r="H83" s="297"/>
      <c r="I83" s="297"/>
      <c r="J83" s="297"/>
      <c r="K83" s="297"/>
      <c r="L83" s="297"/>
      <c r="M83" s="294"/>
      <c r="N83" s="295"/>
      <c r="O83" s="32"/>
    </row>
    <row r="84" spans="2:18" ht="17.25" x14ac:dyDescent="0.4">
      <c r="B84" t="s">
        <v>50</v>
      </c>
      <c r="C84" s="13">
        <f>+E84/D84</f>
        <v>5.0165911771173681E-2</v>
      </c>
      <c r="D84" s="3">
        <f>+E27</f>
        <v>533578129.35000002</v>
      </c>
      <c r="E84" s="381">
        <v>26767433.359999999</v>
      </c>
      <c r="F84" s="382"/>
      <c r="G84" s="43"/>
      <c r="H84" s="3"/>
      <c r="I84" s="3"/>
      <c r="J84" s="3"/>
      <c r="K84" s="3"/>
      <c r="L84" s="3"/>
      <c r="M84" s="256"/>
      <c r="N84" s="284"/>
      <c r="O84" s="295"/>
      <c r="P84" s="295"/>
      <c r="Q84" s="294"/>
      <c r="R84" s="23"/>
    </row>
    <row r="85" spans="2:18" x14ac:dyDescent="0.25">
      <c r="B85" t="s">
        <v>51</v>
      </c>
      <c r="C85" s="13">
        <f>((+E54+E55+E60)-(E84/(E27/E10)))/E11</f>
        <v>4.6999074322469303E-2</v>
      </c>
      <c r="D85" s="3">
        <f>+E28</f>
        <v>389898976</v>
      </c>
      <c r="E85" s="27">
        <f>+C85*D85</f>
        <v>18324890.951278675</v>
      </c>
      <c r="F85" s="41"/>
      <c r="G85" s="3" t="s">
        <v>162</v>
      </c>
      <c r="H85" s="3"/>
      <c r="I85" s="3"/>
      <c r="J85" s="3"/>
      <c r="K85" s="3"/>
      <c r="N85" s="284"/>
      <c r="O85" s="284"/>
      <c r="P85" s="285"/>
      <c r="Q85" s="256"/>
    </row>
    <row r="86" spans="2:18" ht="15.75" thickBot="1" x14ac:dyDescent="0.3">
      <c r="C86" s="274">
        <f>+E86/D86</f>
        <v>4.8828849194034511E-2</v>
      </c>
      <c r="D86" s="7">
        <f>SUM(D84:D85)</f>
        <v>923477105.35000002</v>
      </c>
      <c r="E86" s="275">
        <f>+E84+E85</f>
        <v>45092324.311278671</v>
      </c>
      <c r="F86" s="41"/>
      <c r="G86" s="43" t="s">
        <v>162</v>
      </c>
      <c r="I86" s="36"/>
      <c r="J86" s="36"/>
      <c r="K86" s="36"/>
      <c r="L86" s="36"/>
      <c r="M86" s="35"/>
      <c r="N86" s="256"/>
      <c r="O86" s="256"/>
      <c r="P86" s="256"/>
    </row>
    <row r="87" spans="2:18" ht="15.75" thickTop="1" x14ac:dyDescent="0.25">
      <c r="C87" s="25"/>
      <c r="D87" s="276"/>
      <c r="E87" s="43"/>
      <c r="F87" s="14"/>
      <c r="G87" s="311" t="s">
        <v>162</v>
      </c>
      <c r="M87" s="43"/>
      <c r="N87" s="263"/>
      <c r="O87" s="263"/>
      <c r="P87" s="263"/>
    </row>
    <row r="88" spans="2:18" ht="21.75" customHeight="1" x14ac:dyDescent="0.25">
      <c r="B88" s="319"/>
      <c r="C88" s="319"/>
      <c r="D88" s="319"/>
      <c r="E88" s="319"/>
      <c r="F88" s="14"/>
      <c r="G88" s="36" t="s">
        <v>162</v>
      </c>
      <c r="H88" s="36"/>
      <c r="I88" s="36"/>
      <c r="J88" s="36"/>
      <c r="K88" s="36"/>
      <c r="L88" s="36"/>
    </row>
    <row r="92" spans="2:18" x14ac:dyDescent="0.25">
      <c r="G92" s="316"/>
    </row>
  </sheetData>
  <mergeCells count="1">
    <mergeCell ref="B88:E88"/>
  </mergeCells>
  <pageMargins left="0.2" right="0.2" top="0.75" bottom="0.75" header="0.3" footer="0.3"/>
  <pageSetup paperSize="17" scale="75" orientation="portrait" r:id="rId1"/>
  <headerFooter>
    <oddFooter>&amp;L&amp;Z&amp;F&amp;R&amp;D</oddFooter>
  </headerFooter>
  <rowBreaks count="1" manualBreakCount="1">
    <brk id="39" max="16383" man="1"/>
  </rowBreaks>
  <ignoredErrors>
    <ignoredError sqref="C8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8"/>
  <sheetViews>
    <sheetView showGridLines="0" zoomScaleNormal="100" workbookViewId="0">
      <pane xSplit="1" ySplit="17" topLeftCell="B18" activePane="bottomRight" state="frozen"/>
      <selection pane="topRight" activeCell="B1" sqref="B1"/>
      <selection pane="bottomLeft" activeCell="A18" sqref="A18"/>
      <selection pane="bottomRight" activeCell="B39" sqref="B39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85546875" bestFit="1" customWidth="1"/>
    <col min="8" max="8" width="14.28515625" bestFit="1" customWidth="1"/>
    <col min="9" max="9" width="13.28515625" customWidth="1"/>
    <col min="10" max="10" width="14" customWidth="1"/>
    <col min="11" max="11" width="13.28515625" customWidth="1"/>
    <col min="12" max="12" width="11.42578125" customWidth="1"/>
    <col min="13" max="13" width="12.28515625" bestFit="1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0" ht="26.25" x14ac:dyDescent="0.4">
      <c r="A1" s="44" t="s">
        <v>52</v>
      </c>
    </row>
    <row r="3" spans="1:30" ht="18.75" hidden="1" x14ac:dyDescent="0.3">
      <c r="A3" s="1" t="s">
        <v>53</v>
      </c>
      <c r="M3" s="1"/>
      <c r="V3" s="1"/>
    </row>
    <row r="4" spans="1:30" x14ac:dyDescent="0.25">
      <c r="A4" s="2"/>
      <c r="M4" s="2"/>
      <c r="V4" s="2"/>
    </row>
    <row r="5" spans="1:30" hidden="1" x14ac:dyDescent="0.25">
      <c r="A5" s="2" t="s">
        <v>54</v>
      </c>
      <c r="M5" s="2"/>
      <c r="V5" s="2"/>
    </row>
    <row r="6" spans="1:30" ht="45" hidden="1" x14ac:dyDescent="0.25">
      <c r="A6" s="45" t="s">
        <v>55</v>
      </c>
      <c r="B6" s="46" t="s">
        <v>56</v>
      </c>
      <c r="C6" s="47" t="s">
        <v>57</v>
      </c>
      <c r="D6" s="46" t="s">
        <v>58</v>
      </c>
      <c r="E6" s="47" t="s">
        <v>59</v>
      </c>
      <c r="F6" s="46" t="s">
        <v>60</v>
      </c>
      <c r="G6" s="46" t="s">
        <v>11</v>
      </c>
      <c r="H6" s="47" t="s">
        <v>61</v>
      </c>
      <c r="I6" s="47" t="s">
        <v>62</v>
      </c>
      <c r="J6" s="47" t="s">
        <v>63</v>
      </c>
      <c r="K6" s="47" t="s">
        <v>64</v>
      </c>
      <c r="M6" s="2"/>
      <c r="N6" s="8"/>
      <c r="O6" s="8"/>
      <c r="P6" s="8"/>
      <c r="Q6" s="48"/>
      <c r="R6" s="2"/>
      <c r="S6" s="8"/>
      <c r="T6" s="10"/>
      <c r="V6" s="2"/>
      <c r="W6" s="8"/>
      <c r="X6" s="8"/>
      <c r="Y6" s="8"/>
      <c r="Z6" s="48"/>
      <c r="AA6" s="2"/>
      <c r="AB6" s="8"/>
      <c r="AC6" s="10"/>
    </row>
    <row r="7" spans="1:30" hidden="1" x14ac:dyDescent="0.25">
      <c r="A7" s="49" t="s">
        <v>13</v>
      </c>
      <c r="B7" s="50">
        <f>+'[1]Data for 2nd TU'!D33</f>
        <v>7.6999999999999999E-2</v>
      </c>
      <c r="C7" s="50">
        <f>+'[1]Data for 2nd TU'!$B$43</f>
        <v>3.1848807346377295E-2</v>
      </c>
      <c r="D7" s="50">
        <f>+'[1]Data for 2nd TU'!$B$48</f>
        <v>8.8359370314842575E-2</v>
      </c>
      <c r="E7" s="50">
        <f>+C7+D7</f>
        <v>0.12020817766121987</v>
      </c>
      <c r="F7" s="51">
        <f>+B7-E7</f>
        <v>-4.3208177661219871E-2</v>
      </c>
      <c r="G7" s="22">
        <f>'[1]Data for 2nd TU'!C16</f>
        <v>5002500</v>
      </c>
      <c r="H7" s="17">
        <f>+G7*B7</f>
        <v>385192.5</v>
      </c>
      <c r="I7" s="17">
        <f>+G7*C7</f>
        <v>159323.65875025242</v>
      </c>
      <c r="J7" s="17">
        <f>+G7*D7</f>
        <v>442017.75</v>
      </c>
      <c r="K7" s="17">
        <f>+H7-I7-J7</f>
        <v>-216148.90875025242</v>
      </c>
      <c r="N7" s="52"/>
      <c r="O7" s="53"/>
      <c r="P7" s="53"/>
      <c r="Q7" s="53"/>
      <c r="R7" s="26"/>
      <c r="S7" s="54"/>
      <c r="T7" s="14"/>
      <c r="W7" s="53"/>
      <c r="X7" s="53"/>
      <c r="Y7" s="53"/>
      <c r="Z7" s="53"/>
      <c r="AA7" s="26"/>
      <c r="AB7" s="54"/>
      <c r="AC7" s="14"/>
      <c r="AD7" s="6"/>
    </row>
    <row r="8" spans="1:30" hidden="1" x14ac:dyDescent="0.25">
      <c r="A8" s="55" t="s">
        <v>14</v>
      </c>
      <c r="B8" s="53">
        <f>+'[1]Data for 2nd TU'!D34</f>
        <v>8.8999999999999996E-2</v>
      </c>
      <c r="C8" s="53">
        <f>+'[1]Data for 2nd TU'!$B$43</f>
        <v>3.1848807346377295E-2</v>
      </c>
      <c r="D8" s="53">
        <f>+'[1]Data for 2nd TU'!$B$48</f>
        <v>8.8359370314842575E-2</v>
      </c>
      <c r="E8" s="53">
        <f t="shared" ref="E8:E11" si="0">+C8+D8</f>
        <v>0.12020817766121987</v>
      </c>
      <c r="F8" s="26">
        <f t="shared" ref="F8:F11" si="1">+B8-E8</f>
        <v>-3.1208177661219874E-2</v>
      </c>
      <c r="G8" s="22">
        <f>'[1]Data for 2nd TU'!C17</f>
        <v>7003500</v>
      </c>
      <c r="H8" s="17">
        <f t="shared" ref="H8:H11" si="2">+G8*B8</f>
        <v>623311.5</v>
      </c>
      <c r="I8" s="17">
        <f t="shared" ref="I8:I11" si="3">+G8*C8</f>
        <v>223053.12225035339</v>
      </c>
      <c r="J8" s="17">
        <f t="shared" ref="J8:J11" si="4">+G8*D8</f>
        <v>618824.85</v>
      </c>
      <c r="K8" s="17">
        <f t="shared" ref="K8:K11" si="5">+H8-I8-J8</f>
        <v>-218566.47225035337</v>
      </c>
      <c r="N8" s="52"/>
      <c r="O8" s="53"/>
      <c r="P8" s="53"/>
      <c r="Q8" s="53"/>
      <c r="R8" s="26"/>
      <c r="S8" s="54"/>
      <c r="T8" s="14"/>
      <c r="W8" s="53"/>
      <c r="X8" s="53"/>
      <c r="Y8" s="53"/>
      <c r="Z8" s="53"/>
      <c r="AA8" s="26"/>
      <c r="AB8" s="54"/>
      <c r="AC8" s="14"/>
      <c r="AD8" s="6"/>
    </row>
    <row r="9" spans="1:30" hidden="1" x14ac:dyDescent="0.25">
      <c r="A9" s="55" t="s">
        <v>15</v>
      </c>
      <c r="B9" s="53">
        <f>+'[1]Data for 2nd TU'!D35</f>
        <v>6.5000000000000002E-2</v>
      </c>
      <c r="C9" s="53">
        <f>+'[1]Data for 2nd TU'!$B$43</f>
        <v>3.1848807346377295E-2</v>
      </c>
      <c r="D9" s="53">
        <f>+'[1]Data for 2nd TU'!$B$48</f>
        <v>8.8359370314842575E-2</v>
      </c>
      <c r="E9" s="53">
        <f t="shared" si="0"/>
        <v>0.12020817766121987</v>
      </c>
      <c r="F9" s="26">
        <f t="shared" si="1"/>
        <v>-5.5208177661219868E-2</v>
      </c>
      <c r="G9" s="22">
        <f>'[1]Data for 2nd TU'!C18</f>
        <v>100050000</v>
      </c>
      <c r="H9" s="17">
        <f t="shared" si="2"/>
        <v>6503250</v>
      </c>
      <c r="I9" s="17">
        <f t="shared" si="3"/>
        <v>3186473.1750050485</v>
      </c>
      <c r="J9" s="17">
        <f t="shared" si="4"/>
        <v>8840355</v>
      </c>
      <c r="K9" s="17">
        <f t="shared" si="5"/>
        <v>-5523578.1750050485</v>
      </c>
      <c r="N9" s="52"/>
      <c r="O9" s="53"/>
      <c r="P9" s="53"/>
      <c r="Q9" s="53"/>
      <c r="R9" s="26"/>
      <c r="S9" s="54"/>
      <c r="T9" s="14"/>
      <c r="W9" s="53"/>
      <c r="X9" s="53"/>
      <c r="Y9" s="53"/>
      <c r="Z9" s="53"/>
      <c r="AA9" s="26"/>
      <c r="AB9" s="54"/>
      <c r="AC9" s="14"/>
      <c r="AD9" s="6"/>
    </row>
    <row r="10" spans="1:30" hidden="1" x14ac:dyDescent="0.25">
      <c r="A10" s="55" t="s">
        <v>16</v>
      </c>
      <c r="B10" s="53">
        <f>+'[1]Data for 2nd TU'!D36</f>
        <v>9.4E-2</v>
      </c>
      <c r="C10" s="53">
        <f>+'[1]Data for 2nd TU'!$B$43</f>
        <v>3.1848807346377295E-2</v>
      </c>
      <c r="D10" s="53">
        <f>+'[1]Data for 2nd TU'!$B$48</f>
        <v>8.8359370314842575E-2</v>
      </c>
      <c r="E10" s="53">
        <f t="shared" si="0"/>
        <v>0.12020817766121987</v>
      </c>
      <c r="F10" s="26">
        <f t="shared" si="1"/>
        <v>-2.620817766121987E-2</v>
      </c>
      <c r="G10" s="22">
        <f>'[1]Data for 2nd TU'!C19</f>
        <v>50025000</v>
      </c>
      <c r="H10" s="17">
        <f t="shared" si="2"/>
        <v>4702350</v>
      </c>
      <c r="I10" s="17">
        <f t="shared" si="3"/>
        <v>1593236.5875025243</v>
      </c>
      <c r="J10" s="17">
        <f t="shared" si="4"/>
        <v>4420177.5</v>
      </c>
      <c r="K10" s="17">
        <f t="shared" si="5"/>
        <v>-1311064.0875025243</v>
      </c>
      <c r="N10" s="52"/>
      <c r="O10" s="53"/>
      <c r="P10" s="53"/>
      <c r="Q10" s="53"/>
      <c r="R10" s="26"/>
      <c r="S10" s="54"/>
      <c r="T10" s="14"/>
      <c r="W10" s="53"/>
      <c r="X10" s="53"/>
      <c r="Y10" s="53"/>
      <c r="Z10" s="53"/>
      <c r="AA10" s="26"/>
      <c r="AB10" s="54"/>
      <c r="AC10" s="14"/>
      <c r="AD10" s="6"/>
    </row>
    <row r="11" spans="1:30" hidden="1" x14ac:dyDescent="0.25">
      <c r="A11" s="56" t="s">
        <v>17</v>
      </c>
      <c r="B11" s="57">
        <f>+'[1]Data for 2nd TU'!D37</f>
        <v>0.13200000000000001</v>
      </c>
      <c r="C11" s="57">
        <f>+'[1]Data for 2nd TU'!$B$43</f>
        <v>3.1848807346377295E-2</v>
      </c>
      <c r="D11" s="57">
        <f>+'[1]Data for 2nd TU'!$B$48</f>
        <v>8.8359370314842575E-2</v>
      </c>
      <c r="E11" s="57">
        <f t="shared" si="0"/>
        <v>0.12020817766121987</v>
      </c>
      <c r="F11" s="58">
        <f t="shared" si="1"/>
        <v>1.1791822338780136E-2</v>
      </c>
      <c r="G11" s="22">
        <f>'[1]Data for 2nd TU'!C20</f>
        <v>63031500.000000007</v>
      </c>
      <c r="H11" s="17">
        <f t="shared" si="2"/>
        <v>8320158.0000000009</v>
      </c>
      <c r="I11" s="17">
        <f t="shared" si="3"/>
        <v>2007478.1002531806</v>
      </c>
      <c r="J11" s="17">
        <f t="shared" si="4"/>
        <v>5569423.6500000004</v>
      </c>
      <c r="K11" s="17">
        <f t="shared" si="5"/>
        <v>743256.24974681996</v>
      </c>
      <c r="N11" s="52"/>
      <c r="O11" s="53"/>
      <c r="P11" s="53"/>
      <c r="Q11" s="53"/>
      <c r="R11" s="26"/>
      <c r="S11" s="54"/>
      <c r="T11" s="14"/>
      <c r="W11" s="53"/>
      <c r="X11" s="53"/>
      <c r="Y11" s="53"/>
      <c r="Z11" s="53"/>
      <c r="AA11" s="26"/>
      <c r="AB11" s="54"/>
      <c r="AC11" s="14"/>
      <c r="AD11" s="6"/>
    </row>
    <row r="12" spans="1:30" ht="15.75" hidden="1" thickBot="1" x14ac:dyDescent="0.3">
      <c r="B12" s="59">
        <f>+H12/G12</f>
        <v>9.1217777777777773E-2</v>
      </c>
      <c r="G12" s="15">
        <f>SUM(G7:G11)</f>
        <v>225112500</v>
      </c>
      <c r="H12" s="39">
        <f t="shared" ref="H12:J12" si="6">SUM(H7:H11)</f>
        <v>20534262</v>
      </c>
      <c r="I12" s="39">
        <f t="shared" si="6"/>
        <v>7169564.6437613592</v>
      </c>
      <c r="J12" s="39">
        <f t="shared" si="6"/>
        <v>19890798.75</v>
      </c>
      <c r="K12" s="30">
        <f>SUM(K7:K11)</f>
        <v>-6526101.3937613582</v>
      </c>
      <c r="Q12" s="14"/>
      <c r="R12" s="14"/>
      <c r="S12" s="5"/>
      <c r="T12" s="14"/>
      <c r="Z12" s="14"/>
      <c r="AA12" s="14"/>
      <c r="AB12" s="5"/>
      <c r="AC12" s="14"/>
      <c r="AD12" s="6"/>
    </row>
    <row r="13" spans="1:30" x14ac:dyDescent="0.25">
      <c r="I13" s="6"/>
      <c r="J13" s="6"/>
    </row>
    <row r="14" spans="1:30" ht="18.75" x14ac:dyDescent="0.3">
      <c r="A14" s="1" t="s">
        <v>109</v>
      </c>
      <c r="M14" s="2"/>
      <c r="V14" s="2"/>
      <c r="AA14" s="42"/>
    </row>
    <row r="15" spans="1:30" x14ac:dyDescent="0.25">
      <c r="A15" s="2"/>
      <c r="C15" s="23" t="s">
        <v>162</v>
      </c>
      <c r="M15" s="2"/>
      <c r="N15" s="23"/>
      <c r="O15" s="23"/>
      <c r="P15" s="23"/>
      <c r="Q15" s="23"/>
      <c r="R15" s="23"/>
      <c r="S15" s="23"/>
      <c r="T15" s="23"/>
      <c r="V15" s="2"/>
      <c r="W15" s="23"/>
      <c r="X15" s="23"/>
      <c r="Y15" s="23"/>
      <c r="AA15" s="42"/>
    </row>
    <row r="16" spans="1:30" x14ac:dyDescent="0.25">
      <c r="A16" s="2" t="s">
        <v>65</v>
      </c>
      <c r="E16" s="23" t="s">
        <v>162</v>
      </c>
      <c r="H16" s="23" t="s">
        <v>162</v>
      </c>
      <c r="I16" s="23" t="s">
        <v>162</v>
      </c>
      <c r="J16" s="23" t="s">
        <v>162</v>
      </c>
      <c r="K16" s="23" t="s">
        <v>162</v>
      </c>
      <c r="N16" s="13"/>
      <c r="O16" s="5"/>
      <c r="P16" s="14"/>
      <c r="Q16" s="14"/>
      <c r="R16" s="14"/>
      <c r="S16" s="17"/>
      <c r="T16" s="17"/>
      <c r="W16" s="13"/>
      <c r="X16" s="5"/>
      <c r="Y16" s="14"/>
      <c r="AA16" s="42"/>
    </row>
    <row r="17" spans="1:27" ht="30" x14ac:dyDescent="0.25">
      <c r="A17" s="45" t="s">
        <v>55</v>
      </c>
      <c r="B17" s="46" t="s">
        <v>56</v>
      </c>
      <c r="C17" s="47" t="s">
        <v>66</v>
      </c>
      <c r="D17" s="46" t="s">
        <v>58</v>
      </c>
      <c r="E17" s="47" t="s">
        <v>59</v>
      </c>
      <c r="F17" s="46" t="s">
        <v>60</v>
      </c>
      <c r="G17" s="46" t="s">
        <v>11</v>
      </c>
      <c r="H17" s="47" t="s">
        <v>67</v>
      </c>
      <c r="I17" s="47" t="s">
        <v>68</v>
      </c>
      <c r="J17" s="47" t="s">
        <v>63</v>
      </c>
      <c r="K17" s="47" t="s">
        <v>82</v>
      </c>
      <c r="N17" s="13"/>
      <c r="O17" s="5"/>
      <c r="P17" s="14"/>
      <c r="Q17" s="14"/>
      <c r="R17" s="14"/>
      <c r="S17" s="17"/>
      <c r="T17" s="17"/>
      <c r="W17" s="13"/>
      <c r="X17" s="5"/>
      <c r="Y17" s="14"/>
      <c r="AA17" s="42"/>
    </row>
    <row r="18" spans="1:27" x14ac:dyDescent="0.25">
      <c r="A18" s="49" t="s">
        <v>13</v>
      </c>
      <c r="B18" s="65">
        <f>'Whitby - Jan -Dec 2022'!C67</f>
        <v>9.432603963666944E-2</v>
      </c>
      <c r="C18" s="65">
        <f>'Whitby - Jan -Dec 2022'!C43</f>
        <v>5.0165911771173681E-2</v>
      </c>
      <c r="D18" s="65">
        <f>'Whitby - Jan -Dec 2022'!C49</f>
        <v>5.1349553874952311E-2</v>
      </c>
      <c r="E18" s="65">
        <f>+C18+D18</f>
        <v>0.10151546564612599</v>
      </c>
      <c r="F18" s="51">
        <f>+B18-E18</f>
        <v>-7.1894260094565454E-3</v>
      </c>
      <c r="G18" s="196">
        <f>'Whitby - Jan -Dec 2022'!D16</f>
        <v>41853855.326022863</v>
      </c>
      <c r="H18" s="17">
        <f>+G18*B18</f>
        <v>3947908.416429861</v>
      </c>
      <c r="I18" s="17">
        <f>+G18*C18</f>
        <v>2099636.8135687308</v>
      </c>
      <c r="J18" s="17">
        <f>+G18*D18</f>
        <v>2149176.7989380709</v>
      </c>
      <c r="K18" s="17">
        <f>+H18-I18-J18</f>
        <v>-300905.19607694075</v>
      </c>
      <c r="N18" s="6"/>
      <c r="O18" s="6"/>
      <c r="P18" s="14"/>
      <c r="Q18" s="14"/>
      <c r="R18" s="14"/>
      <c r="S18" s="14"/>
      <c r="T18" s="14"/>
      <c r="Y18" s="14"/>
      <c r="AA18" s="42"/>
    </row>
    <row r="19" spans="1:27" x14ac:dyDescent="0.25">
      <c r="A19" s="55" t="s">
        <v>14</v>
      </c>
      <c r="B19" s="66">
        <f>'Whitby - Jan -Dec 2022'!C68</f>
        <v>0.11313160277010077</v>
      </c>
      <c r="C19" s="66">
        <f t="shared" ref="C19:D21" si="7">C18</f>
        <v>5.0165911771173681E-2</v>
      </c>
      <c r="D19" s="66">
        <f t="shared" si="7"/>
        <v>5.1349553874952311E-2</v>
      </c>
      <c r="E19" s="66">
        <f t="shared" ref="E19:E22" si="8">+C19+D19</f>
        <v>0.10151546564612599</v>
      </c>
      <c r="F19" s="26">
        <f t="shared" ref="F19:F22" si="9">+B19-E19</f>
        <v>1.1616137123974787E-2</v>
      </c>
      <c r="G19" s="196">
        <f>'Whitby - Jan -Dec 2022'!D17</f>
        <v>19370642.611446172</v>
      </c>
      <c r="H19" s="17">
        <f t="shared" ref="H19:H22" si="10">+G19*B19</f>
        <v>2191431.8453197158</v>
      </c>
      <c r="I19" s="17">
        <f t="shared" ref="I19:I22" si="11">+G19*C19</f>
        <v>971745.94819674606</v>
      </c>
      <c r="J19" s="17">
        <f t="shared" ref="J19:J22" si="12">+G19*D19</f>
        <v>994673.85636890214</v>
      </c>
      <c r="K19" s="17">
        <f t="shared" ref="K19:K22" si="13">+H19-I19-J19</f>
        <v>225012.04075406771</v>
      </c>
      <c r="AA19" s="42"/>
    </row>
    <row r="20" spans="1:27" x14ac:dyDescent="0.25">
      <c r="A20" s="55" t="s">
        <v>15</v>
      </c>
      <c r="B20" s="66">
        <f>'Whitby - Jan -Dec 2022'!C69</f>
        <v>8.0714480690717558E-2</v>
      </c>
      <c r="C20" s="66">
        <f t="shared" si="7"/>
        <v>5.0165911771173681E-2</v>
      </c>
      <c r="D20" s="66">
        <f t="shared" si="7"/>
        <v>5.1349553874952311E-2</v>
      </c>
      <c r="E20" s="66">
        <f t="shared" si="8"/>
        <v>0.10151546564612599</v>
      </c>
      <c r="F20" s="26">
        <f t="shared" si="9"/>
        <v>-2.0800984955408428E-2</v>
      </c>
      <c r="G20" s="196">
        <f>'Whitby - Jan -Dec 2022'!D18</f>
        <v>299671209.71426314</v>
      </c>
      <c r="H20" s="17">
        <f t="shared" si="10"/>
        <v>24187806.070045862</v>
      </c>
      <c r="I20" s="17">
        <f t="shared" si="11"/>
        <v>15033279.46688661</v>
      </c>
      <c r="J20" s="17">
        <f t="shared" si="12"/>
        <v>15387982.927994687</v>
      </c>
      <c r="K20" s="17">
        <f t="shared" si="13"/>
        <v>-6233456.3248354346</v>
      </c>
      <c r="M20" s="2"/>
      <c r="V20" s="2"/>
    </row>
    <row r="21" spans="1:27" x14ac:dyDescent="0.25">
      <c r="A21" s="55" t="s">
        <v>16</v>
      </c>
      <c r="B21" s="66">
        <f>'Whitby - Jan -Dec 2022'!C70</f>
        <v>0.10929692938492849</v>
      </c>
      <c r="C21" s="66">
        <f t="shared" si="7"/>
        <v>5.0165911771173681E-2</v>
      </c>
      <c r="D21" s="66">
        <f t="shared" si="7"/>
        <v>5.1349553874952311E-2</v>
      </c>
      <c r="E21" s="66">
        <f t="shared" si="8"/>
        <v>0.10151546564612599</v>
      </c>
      <c r="F21" s="26">
        <f t="shared" si="9"/>
        <v>7.7814637388025076E-3</v>
      </c>
      <c r="G21" s="196">
        <f>'Whitby - Jan -Dec 2022'!D19</f>
        <v>83474018.524508953</v>
      </c>
      <c r="H21" s="17">
        <f t="shared" si="10"/>
        <v>9123453.9081494678</v>
      </c>
      <c r="I21" s="17">
        <f t="shared" si="11"/>
        <v>4187550.2484858334</v>
      </c>
      <c r="J21" s="17">
        <f t="shared" si="12"/>
        <v>4286353.6113830395</v>
      </c>
      <c r="K21" s="17">
        <f t="shared" si="13"/>
        <v>649550.04828059487</v>
      </c>
      <c r="P21" s="6"/>
      <c r="Q21" s="6"/>
      <c r="R21" s="6"/>
      <c r="S21" s="6"/>
      <c r="T21" s="6"/>
      <c r="Y21" s="6"/>
    </row>
    <row r="22" spans="1:27" x14ac:dyDescent="0.25">
      <c r="A22" t="s">
        <v>17</v>
      </c>
      <c r="B22" s="66">
        <f>'Whitby - Jan -Dec 2022'!C71</f>
        <v>0.16162414076816747</v>
      </c>
      <c r="C22" s="66">
        <f>C21</f>
        <v>5.0165911771173681E-2</v>
      </c>
      <c r="D22" s="66">
        <f>D18</f>
        <v>5.1349553874952311E-2</v>
      </c>
      <c r="E22" s="66">
        <f t="shared" si="8"/>
        <v>0.10151546564612599</v>
      </c>
      <c r="F22" s="26">
        <f t="shared" si="9"/>
        <v>6.0108675122041488E-2</v>
      </c>
      <c r="G22" s="196">
        <f>'Whitby - Jan -Dec 2022'!D20</f>
        <v>89164654.019490212</v>
      </c>
      <c r="H22" s="17">
        <f t="shared" si="10"/>
        <v>14411160.592791036</v>
      </c>
      <c r="I22" s="17">
        <f t="shared" si="11"/>
        <v>4473026.1666489728</v>
      </c>
      <c r="J22" s="17">
        <f t="shared" si="12"/>
        <v>4578565.2053152956</v>
      </c>
      <c r="K22" s="17">
        <f t="shared" si="13"/>
        <v>5359569.2208267674</v>
      </c>
      <c r="P22" s="6"/>
      <c r="Q22" s="6"/>
      <c r="R22" s="6"/>
      <c r="S22" s="6"/>
      <c r="T22" s="6"/>
      <c r="Y22" s="6"/>
    </row>
    <row r="23" spans="1:27" x14ac:dyDescent="0.25">
      <c r="A23" s="252"/>
      <c r="B23" s="67"/>
      <c r="C23" s="67"/>
      <c r="D23" s="67"/>
      <c r="E23" s="67"/>
      <c r="F23" s="58"/>
      <c r="G23" s="196"/>
      <c r="H23" s="17"/>
      <c r="I23" s="17"/>
      <c r="J23" s="17"/>
      <c r="K23" s="17">
        <v>58570</v>
      </c>
      <c r="P23" s="6"/>
      <c r="Q23" s="6"/>
      <c r="R23" s="6"/>
      <c r="S23" s="6"/>
      <c r="T23" s="6"/>
      <c r="Y23" s="6"/>
    </row>
    <row r="24" spans="1:27" ht="15.75" thickBot="1" x14ac:dyDescent="0.3">
      <c r="B24" s="259">
        <f>+H24/G24</f>
        <v>0.10095274612476954</v>
      </c>
      <c r="G24" s="15">
        <f>SUM(G18:G23)</f>
        <v>533534380.1957314</v>
      </c>
      <c r="H24" s="15">
        <f t="shared" ref="H24:K24" si="14">SUM(H18:H23)</f>
        <v>53861760.832735941</v>
      </c>
      <c r="I24" s="15">
        <f t="shared" si="14"/>
        <v>26765238.643786892</v>
      </c>
      <c r="J24" s="15">
        <f t="shared" si="14"/>
        <v>27396752.399999995</v>
      </c>
      <c r="K24" s="15">
        <f t="shared" si="14"/>
        <v>-241660.21105094533</v>
      </c>
      <c r="P24" s="14"/>
      <c r="Q24" s="14"/>
      <c r="R24" s="14"/>
      <c r="S24" s="14"/>
      <c r="T24" s="14"/>
      <c r="Y24" s="14"/>
    </row>
    <row r="25" spans="1:27" x14ac:dyDescent="0.25">
      <c r="M25" s="5"/>
    </row>
    <row r="26" spans="1:27" ht="18.75" hidden="1" x14ac:dyDescent="0.3">
      <c r="A26" s="1" t="s">
        <v>69</v>
      </c>
      <c r="M26" s="31"/>
    </row>
    <row r="27" spans="1:27" ht="18.75" hidden="1" x14ac:dyDescent="0.3">
      <c r="A27" s="1"/>
      <c r="M27" s="31"/>
    </row>
    <row r="28" spans="1:27" hidden="1" x14ac:dyDescent="0.25">
      <c r="A28" s="2" t="s">
        <v>70</v>
      </c>
      <c r="M28" s="31"/>
    </row>
    <row r="29" spans="1:27" ht="45" hidden="1" x14ac:dyDescent="0.25">
      <c r="A29" s="60" t="s">
        <v>71</v>
      </c>
      <c r="B29" s="46" t="s">
        <v>56</v>
      </c>
      <c r="C29" s="47" t="s">
        <v>72</v>
      </c>
      <c r="D29" s="47" t="s">
        <v>73</v>
      </c>
      <c r="E29" s="47" t="s">
        <v>59</v>
      </c>
      <c r="F29" s="46" t="s">
        <v>60</v>
      </c>
      <c r="G29" s="46" t="s">
        <v>11</v>
      </c>
      <c r="H29" s="47" t="s">
        <v>74</v>
      </c>
      <c r="I29" s="47" t="s">
        <v>75</v>
      </c>
      <c r="J29" s="47" t="s">
        <v>76</v>
      </c>
      <c r="K29" s="47" t="s">
        <v>77</v>
      </c>
      <c r="M29" s="31"/>
      <c r="N29" s="10"/>
    </row>
    <row r="30" spans="1:27" hidden="1" x14ac:dyDescent="0.25">
      <c r="A30" s="49" t="s">
        <v>13</v>
      </c>
      <c r="B30" s="61">
        <f t="shared" ref="B30:G34" si="15">+B7-B18</f>
        <v>-1.7326039636669441E-2</v>
      </c>
      <c r="C30" s="50">
        <f t="shared" si="15"/>
        <v>-1.8317104424796386E-2</v>
      </c>
      <c r="D30" s="50">
        <f t="shared" si="15"/>
        <v>3.7009816439890264E-2</v>
      </c>
      <c r="E30" s="50">
        <f t="shared" si="15"/>
        <v>1.8692712015093885E-2</v>
      </c>
      <c r="F30" s="51">
        <f t="shared" si="15"/>
        <v>-3.6018751651763325E-2</v>
      </c>
      <c r="G30" s="22">
        <f t="shared" si="15"/>
        <v>-36851355.326022863</v>
      </c>
      <c r="H30" s="17">
        <f t="shared" ref="H30:J34" si="16">+H18-H7</f>
        <v>3562715.916429861</v>
      </c>
      <c r="I30" s="17">
        <f t="shared" si="16"/>
        <v>1940313.1548184785</v>
      </c>
      <c r="J30" s="17">
        <f t="shared" si="16"/>
        <v>1707159.0489380709</v>
      </c>
      <c r="K30" s="17">
        <f>+H30-I30-J30</f>
        <v>-84756.287326688413</v>
      </c>
      <c r="M30" s="6"/>
      <c r="N30" s="32"/>
    </row>
    <row r="31" spans="1:27" hidden="1" x14ac:dyDescent="0.25">
      <c r="A31" s="55" t="s">
        <v>14</v>
      </c>
      <c r="B31" s="52">
        <f t="shared" si="15"/>
        <v>-2.4131602770100777E-2</v>
      </c>
      <c r="C31" s="53">
        <f t="shared" si="15"/>
        <v>-1.8317104424796386E-2</v>
      </c>
      <c r="D31" s="53">
        <f t="shared" si="15"/>
        <v>3.7009816439890264E-2</v>
      </c>
      <c r="E31" s="53">
        <f t="shared" si="15"/>
        <v>1.8692712015093885E-2</v>
      </c>
      <c r="F31" s="26">
        <f t="shared" si="15"/>
        <v>-4.2824314785194662E-2</v>
      </c>
      <c r="G31" s="22">
        <f t="shared" si="15"/>
        <v>-12367142.611446172</v>
      </c>
      <c r="H31" s="17">
        <f t="shared" si="16"/>
        <v>1568120.3453197158</v>
      </c>
      <c r="I31" s="17">
        <f t="shared" si="16"/>
        <v>748692.82594639272</v>
      </c>
      <c r="J31" s="17">
        <f t="shared" si="16"/>
        <v>375849.00636890216</v>
      </c>
      <c r="K31" s="17">
        <f t="shared" ref="K31:K34" si="17">+H31-I31-J31</f>
        <v>443578.51300442091</v>
      </c>
      <c r="M31" s="6"/>
      <c r="N31" s="32"/>
    </row>
    <row r="32" spans="1:27" hidden="1" x14ac:dyDescent="0.25">
      <c r="A32" s="55" t="s">
        <v>15</v>
      </c>
      <c r="B32" s="52">
        <f t="shared" si="15"/>
        <v>-1.5714480690717555E-2</v>
      </c>
      <c r="C32" s="53">
        <f t="shared" si="15"/>
        <v>-1.8317104424796386E-2</v>
      </c>
      <c r="D32" s="53">
        <f t="shared" si="15"/>
        <v>3.7009816439890264E-2</v>
      </c>
      <c r="E32" s="53">
        <f t="shared" si="15"/>
        <v>1.8692712015093885E-2</v>
      </c>
      <c r="F32" s="26">
        <f t="shared" si="15"/>
        <v>-3.440719270581144E-2</v>
      </c>
      <c r="G32" s="22">
        <f t="shared" si="15"/>
        <v>-199621209.71426314</v>
      </c>
      <c r="H32" s="17">
        <f t="shared" si="16"/>
        <v>17684556.070045862</v>
      </c>
      <c r="I32" s="17">
        <f t="shared" si="16"/>
        <v>11846806.291881561</v>
      </c>
      <c r="J32" s="17">
        <f t="shared" si="16"/>
        <v>6547627.9279946871</v>
      </c>
      <c r="K32" s="17">
        <f t="shared" si="17"/>
        <v>-709878.14983038604</v>
      </c>
      <c r="M32" s="6"/>
      <c r="N32" s="32"/>
    </row>
    <row r="33" spans="1:14" hidden="1" x14ac:dyDescent="0.25">
      <c r="A33" s="55" t="s">
        <v>16</v>
      </c>
      <c r="B33" s="52">
        <f t="shared" si="15"/>
        <v>-1.5296929384928493E-2</v>
      </c>
      <c r="C33" s="53">
        <f t="shared" si="15"/>
        <v>-1.8317104424796386E-2</v>
      </c>
      <c r="D33" s="53">
        <f t="shared" si="15"/>
        <v>3.7009816439890264E-2</v>
      </c>
      <c r="E33" s="53">
        <f t="shared" si="15"/>
        <v>1.8692712015093885E-2</v>
      </c>
      <c r="F33" s="26">
        <f t="shared" si="15"/>
        <v>-3.3989641400022377E-2</v>
      </c>
      <c r="G33" s="22">
        <f t="shared" si="15"/>
        <v>-33449018.524508953</v>
      </c>
      <c r="H33" s="17">
        <f t="shared" si="16"/>
        <v>4421103.9081494678</v>
      </c>
      <c r="I33" s="17">
        <f t="shared" si="16"/>
        <v>2594313.6609833091</v>
      </c>
      <c r="J33" s="17">
        <f t="shared" si="16"/>
        <v>-133823.8886169605</v>
      </c>
      <c r="K33" s="17">
        <f t="shared" si="17"/>
        <v>1960614.1357831191</v>
      </c>
      <c r="M33" s="6"/>
      <c r="N33" s="32"/>
    </row>
    <row r="34" spans="1:14" hidden="1" x14ac:dyDescent="0.25">
      <c r="A34" s="56" t="s">
        <v>17</v>
      </c>
      <c r="B34" s="62">
        <f t="shared" si="15"/>
        <v>-2.9624140768167467E-2</v>
      </c>
      <c r="C34" s="57">
        <f t="shared" si="15"/>
        <v>-1.8317104424796386E-2</v>
      </c>
      <c r="D34" s="57">
        <f t="shared" si="15"/>
        <v>3.7009816439890264E-2</v>
      </c>
      <c r="E34" s="57">
        <f t="shared" si="15"/>
        <v>1.8692712015093885E-2</v>
      </c>
      <c r="F34" s="58">
        <f t="shared" si="15"/>
        <v>-4.8316852783261352E-2</v>
      </c>
      <c r="G34" s="22">
        <f t="shared" si="15"/>
        <v>-26133154.019490205</v>
      </c>
      <c r="H34" s="17">
        <f t="shared" si="16"/>
        <v>6091002.5927910348</v>
      </c>
      <c r="I34" s="17">
        <f t="shared" si="16"/>
        <v>2465548.0663957922</v>
      </c>
      <c r="J34" s="17">
        <f t="shared" si="16"/>
        <v>-990858.44468470477</v>
      </c>
      <c r="K34" s="17">
        <f t="shared" si="17"/>
        <v>4616312.9710799474</v>
      </c>
      <c r="M34" s="6"/>
      <c r="N34" s="32"/>
    </row>
    <row r="35" spans="1:14" ht="15.75" hidden="1" thickBot="1" x14ac:dyDescent="0.3">
      <c r="G35" s="15">
        <f>SUM(G30:G34)</f>
        <v>-308421880.19573134</v>
      </c>
      <c r="H35" s="39">
        <f t="shared" ref="H35:J35" si="18">SUM(H30:H34)</f>
        <v>33327498.832735941</v>
      </c>
      <c r="I35" s="39">
        <f t="shared" si="18"/>
        <v>19595674.000025537</v>
      </c>
      <c r="J35" s="39">
        <f t="shared" si="18"/>
        <v>7505953.6499999948</v>
      </c>
      <c r="K35" s="39">
        <f>SUM(K30:K34)</f>
        <v>6225871.1827104129</v>
      </c>
    </row>
    <row r="36" spans="1:14" x14ac:dyDescent="0.25">
      <c r="K36" s="6"/>
    </row>
    <row r="37" spans="1:14" x14ac:dyDescent="0.25">
      <c r="J37" s="4"/>
      <c r="K37" s="6"/>
    </row>
    <row r="38" spans="1:14" x14ac:dyDescent="0.25">
      <c r="K38" s="32" t="s">
        <v>162</v>
      </c>
    </row>
  </sheetData>
  <pageMargins left="0.2" right="0.2" top="0.75" bottom="0.75" header="0.3" footer="0.3"/>
  <pageSetup scale="74" orientation="landscape" r:id="rId1"/>
  <headerFooter>
    <oddFooter>&amp;L&amp;Z&amp;F&amp;R&amp;D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G91"/>
  <sheetViews>
    <sheetView topLeftCell="B14" workbookViewId="0">
      <selection activeCell="C54" sqref="C54"/>
    </sheetView>
  </sheetViews>
  <sheetFormatPr defaultRowHeight="15" x14ac:dyDescent="0.25"/>
  <cols>
    <col min="2" max="2" width="3.7109375" customWidth="1"/>
    <col min="3" max="3" width="49.5703125" bestFit="1" customWidth="1"/>
    <col min="4" max="4" width="7" bestFit="1" customWidth="1"/>
    <col min="5" max="5" width="13.5703125" bestFit="1" customWidth="1"/>
    <col min="6" max="6" width="14" customWidth="1"/>
    <col min="7" max="7" width="12.28515625" bestFit="1" customWidth="1"/>
    <col min="8" max="8" width="12.7109375" bestFit="1" customWidth="1"/>
    <col min="9" max="9" width="11.5703125" bestFit="1" customWidth="1"/>
    <col min="10" max="10" width="10.85546875" bestFit="1" customWidth="1"/>
    <col min="11" max="11" width="9.7109375" bestFit="1" customWidth="1"/>
    <col min="13" max="13" width="15" bestFit="1" customWidth="1"/>
    <col min="14" max="14" width="15.140625" bestFit="1" customWidth="1"/>
    <col min="15" max="16" width="14.140625" bestFit="1" customWidth="1"/>
    <col min="17" max="17" width="14.42578125" bestFit="1" customWidth="1"/>
    <col min="18" max="20" width="14.28515625" bestFit="1" customWidth="1"/>
    <col min="21" max="21" width="15.28515625" bestFit="1" customWidth="1"/>
    <col min="22" max="22" width="14.28515625" bestFit="1" customWidth="1"/>
    <col min="23" max="23" width="15" bestFit="1" customWidth="1"/>
    <col min="24" max="24" width="12.42578125" bestFit="1" customWidth="1"/>
    <col min="25" max="25" width="34.7109375" bestFit="1" customWidth="1"/>
    <col min="26" max="29" width="14.28515625" bestFit="1" customWidth="1"/>
    <col min="30" max="30" width="15.28515625" bestFit="1" customWidth="1"/>
    <col min="31" max="31" width="11.5703125" bestFit="1" customWidth="1"/>
    <col min="32" max="32" width="15.28515625" bestFit="1" customWidth="1"/>
  </cols>
  <sheetData>
    <row r="2" spans="2:33" x14ac:dyDescent="0.25">
      <c r="B2" s="102" t="s">
        <v>220</v>
      </c>
      <c r="L2" s="68" t="s">
        <v>221</v>
      </c>
      <c r="Y2" s="226" t="s">
        <v>215</v>
      </c>
      <c r="Z2" s="226"/>
      <c r="AA2" s="226"/>
      <c r="AB2" s="226"/>
      <c r="AC2" s="226"/>
    </row>
    <row r="4" spans="2:33" ht="18" x14ac:dyDescent="0.35">
      <c r="B4" s="80" t="s">
        <v>241</v>
      </c>
      <c r="C4" s="72"/>
      <c r="D4" s="73"/>
      <c r="E4" s="81">
        <v>0</v>
      </c>
      <c r="F4" s="73"/>
      <c r="M4" s="69" t="s">
        <v>222</v>
      </c>
      <c r="N4" s="69"/>
      <c r="O4" s="69"/>
      <c r="P4" s="69"/>
      <c r="Q4" s="69"/>
      <c r="R4" s="69"/>
      <c r="S4" s="69"/>
      <c r="T4" s="70" t="s">
        <v>83</v>
      </c>
      <c r="Z4" s="23" t="s">
        <v>217</v>
      </c>
      <c r="AA4" s="23" t="s">
        <v>218</v>
      </c>
      <c r="AB4" s="23" t="s">
        <v>219</v>
      </c>
      <c r="AC4" s="23" t="s">
        <v>162</v>
      </c>
      <c r="AD4" s="23" t="s">
        <v>162</v>
      </c>
      <c r="AE4" s="23" t="s">
        <v>162</v>
      </c>
      <c r="AF4" s="23" t="s">
        <v>223</v>
      </c>
    </row>
    <row r="5" spans="2:33" ht="16.5" x14ac:dyDescent="0.3">
      <c r="B5" s="74"/>
      <c r="C5" s="74"/>
      <c r="D5" s="74"/>
      <c r="E5" s="79"/>
      <c r="F5" s="78"/>
      <c r="G5" s="249"/>
      <c r="H5" s="249"/>
      <c r="I5" s="249"/>
      <c r="Y5" t="s">
        <v>182</v>
      </c>
      <c r="Z5" s="5"/>
      <c r="AA5" s="5"/>
      <c r="AB5" s="5"/>
      <c r="AC5" s="5"/>
      <c r="AF5" s="5">
        <f>+E34</f>
        <v>533578129.35000002</v>
      </c>
    </row>
    <row r="6" spans="2:33" ht="16.5" x14ac:dyDescent="0.3">
      <c r="B6" s="74"/>
      <c r="C6" s="74"/>
      <c r="D6" s="4"/>
      <c r="E6" s="4"/>
      <c r="F6" s="4"/>
      <c r="G6" s="249"/>
      <c r="H6" s="249"/>
      <c r="I6" s="249"/>
      <c r="K6" s="217" t="s">
        <v>204</v>
      </c>
      <c r="L6" t="s">
        <v>84</v>
      </c>
      <c r="M6" s="5">
        <f>-'Whitby - Jan -Dec 2022'!M38</f>
        <v>0</v>
      </c>
      <c r="N6" s="5"/>
      <c r="O6" s="5"/>
      <c r="P6" s="5"/>
      <c r="Q6" s="5"/>
      <c r="R6" s="5"/>
      <c r="S6" s="5"/>
      <c r="T6" s="5">
        <f>SUM(M6:S6)</f>
        <v>0</v>
      </c>
      <c r="Y6" t="s">
        <v>183</v>
      </c>
      <c r="Z6" s="5">
        <f>'Whitby - Jan -Dec 2022'!Q44</f>
        <v>0</v>
      </c>
      <c r="AA6" s="5">
        <f>'Whitby - Jan -Dec 2022'!R44</f>
        <v>0</v>
      </c>
      <c r="AB6" s="5">
        <f>'Whitby - Jan -Dec 2022'!S44</f>
        <v>0</v>
      </c>
      <c r="AC6" s="5">
        <f>'Whitby - Jan -Dec 2022'!T44</f>
        <v>0</v>
      </c>
      <c r="AD6" s="5">
        <f>'Whitby - Jan -Dec 2022'!U44</f>
        <v>0</v>
      </c>
      <c r="AE6" s="5">
        <f>'Whitby - Jan -Dec 2022'!V44</f>
        <v>0</v>
      </c>
      <c r="AF6" s="5">
        <f>SUM(Z6:AE6)</f>
        <v>0</v>
      </c>
    </row>
    <row r="7" spans="2:33" ht="16.5" x14ac:dyDescent="0.3">
      <c r="B7" s="74"/>
      <c r="C7" s="83" t="s">
        <v>85</v>
      </c>
      <c r="D7" s="4"/>
      <c r="E7" s="4">
        <f>T8</f>
        <v>26767433.359999999</v>
      </c>
      <c r="F7" s="82"/>
      <c r="G7" s="250">
        <f>-T6</f>
        <v>0</v>
      </c>
      <c r="H7" s="250">
        <f>I35</f>
        <v>-4416.5972640564041</v>
      </c>
      <c r="I7" s="250">
        <f>SUM(G7:H7)</f>
        <v>-4416.5972640564041</v>
      </c>
      <c r="K7" s="217" t="s">
        <v>204</v>
      </c>
      <c r="L7" t="s">
        <v>86</v>
      </c>
      <c r="M7" s="5">
        <f>'Whitby - Jan -Dec 2022'!E84</f>
        <v>26767433.359999999</v>
      </c>
      <c r="N7" s="5"/>
      <c r="O7" s="5"/>
      <c r="P7" s="5"/>
      <c r="Q7" s="5"/>
      <c r="R7" s="5"/>
      <c r="S7" s="5"/>
      <c r="T7" s="5">
        <f>SUM(M7:S7)</f>
        <v>26767433.359999999</v>
      </c>
      <c r="AF7" s="5">
        <f>SUM(AF5:AF6)</f>
        <v>533578129.35000002</v>
      </c>
    </row>
    <row r="8" spans="2:33" ht="16.5" x14ac:dyDescent="0.3">
      <c r="B8" s="74"/>
      <c r="C8" s="83" t="s">
        <v>162</v>
      </c>
      <c r="D8" s="4"/>
      <c r="E8" s="4"/>
      <c r="F8" s="82"/>
      <c r="G8" s="250">
        <f>T7</f>
        <v>26767433.359999999</v>
      </c>
      <c r="H8" s="250">
        <f>I39</f>
        <v>-2194.7162131031778</v>
      </c>
      <c r="I8" s="250">
        <f>SUM(G8:H8)</f>
        <v>26765238.643786896</v>
      </c>
      <c r="M8" s="5">
        <f>SUM(M6:M7)</f>
        <v>26767433.359999999</v>
      </c>
      <c r="N8" s="5">
        <f t="shared" ref="N8:S8" si="0">SUM(N6:N7)</f>
        <v>0</v>
      </c>
      <c r="O8" s="5">
        <f t="shared" si="0"/>
        <v>0</v>
      </c>
      <c r="P8" s="5">
        <f t="shared" si="0"/>
        <v>0</v>
      </c>
      <c r="Q8" s="5">
        <f t="shared" si="0"/>
        <v>0</v>
      </c>
      <c r="R8" s="5">
        <f t="shared" si="0"/>
        <v>0</v>
      </c>
      <c r="S8" s="5">
        <f t="shared" si="0"/>
        <v>0</v>
      </c>
      <c r="T8" s="5">
        <f>SUM(T6:T7)</f>
        <v>26767433.359999999</v>
      </c>
    </row>
    <row r="9" spans="2:33" ht="16.5" x14ac:dyDescent="0.3">
      <c r="B9" s="74"/>
      <c r="C9" s="83" t="s">
        <v>162</v>
      </c>
      <c r="D9" s="4"/>
      <c r="E9" s="4"/>
      <c r="F9" s="82"/>
      <c r="G9" s="251">
        <f>G7-G8</f>
        <v>-26767433.359999999</v>
      </c>
      <c r="H9" s="251">
        <f>H7-H8</f>
        <v>-2221.8810509532263</v>
      </c>
      <c r="I9" s="251">
        <f>I7-I8</f>
        <v>-26769655.241050951</v>
      </c>
      <c r="AF9" s="192">
        <f>AF5/AF7</f>
        <v>1</v>
      </c>
    </row>
    <row r="10" spans="2:33" ht="16.5" x14ac:dyDescent="0.3">
      <c r="B10" s="74"/>
      <c r="C10" s="84" t="s">
        <v>87</v>
      </c>
      <c r="D10" s="4"/>
      <c r="E10" s="4"/>
      <c r="F10" s="82"/>
      <c r="G10" s="250">
        <f>E12</f>
        <v>13479154.73</v>
      </c>
      <c r="H10" s="250">
        <f>E13</f>
        <v>277441.48</v>
      </c>
      <c r="I10" s="250">
        <f>SUM(G10:H10)</f>
        <v>13756596.210000001</v>
      </c>
      <c r="M10" s="23" t="s">
        <v>217</v>
      </c>
      <c r="N10" s="23" t="s">
        <v>218</v>
      </c>
      <c r="O10" s="23" t="s">
        <v>219</v>
      </c>
      <c r="P10" s="23" t="s">
        <v>162</v>
      </c>
      <c r="Q10" s="23" t="s">
        <v>162</v>
      </c>
      <c r="R10" s="23"/>
      <c r="AF10" s="192">
        <f>AF6/AF7</f>
        <v>0</v>
      </c>
    </row>
    <row r="11" spans="2:33" ht="16.5" x14ac:dyDescent="0.3">
      <c r="B11" s="247"/>
      <c r="C11" s="84" t="s">
        <v>88</v>
      </c>
      <c r="D11" s="85">
        <v>1142</v>
      </c>
      <c r="E11" s="4">
        <f>T11</f>
        <v>579679.62000000104</v>
      </c>
      <c r="F11" s="82"/>
      <c r="G11" s="250">
        <f>G9-G10</f>
        <v>-40246588.090000004</v>
      </c>
      <c r="H11" s="250">
        <f>H9-H10</f>
        <v>-279663.36105095322</v>
      </c>
      <c r="I11" s="250">
        <f>SUM(G11:H11)</f>
        <v>-40526251.45105096</v>
      </c>
      <c r="K11" s="217" t="s">
        <v>204</v>
      </c>
      <c r="L11" t="s">
        <v>233</v>
      </c>
      <c r="M11" s="219">
        <v>4099728.31</v>
      </c>
      <c r="N11" s="219">
        <v>4570440.45</v>
      </c>
      <c r="O11" s="219">
        <v>5565886.9800000004</v>
      </c>
      <c r="P11" s="219"/>
      <c r="Q11" s="219"/>
      <c r="R11" s="219"/>
      <c r="S11" s="219"/>
      <c r="T11" s="5">
        <f>SUM(M11:O12)</f>
        <v>579679.62000000104</v>
      </c>
      <c r="U11" t="s">
        <v>132</v>
      </c>
    </row>
    <row r="12" spans="2:33" ht="16.5" x14ac:dyDescent="0.3">
      <c r="B12" s="245"/>
      <c r="C12" s="244" t="s">
        <v>89</v>
      </c>
      <c r="D12" s="85">
        <v>148</v>
      </c>
      <c r="E12" s="4">
        <f>T13</f>
        <v>13479154.73</v>
      </c>
      <c r="F12" s="82"/>
      <c r="G12" s="250"/>
      <c r="H12" s="250"/>
      <c r="I12" s="250">
        <f>E11</f>
        <v>579679.62000000104</v>
      </c>
      <c r="K12" s="217"/>
      <c r="L12" s="248" t="s">
        <v>234</v>
      </c>
      <c r="M12" s="219">
        <v>-4680222.6900000004</v>
      </c>
      <c r="N12" s="219">
        <v>-4242070.0599999996</v>
      </c>
      <c r="O12" s="219">
        <v>-4734083.37</v>
      </c>
      <c r="P12" s="219"/>
      <c r="Q12" s="219"/>
      <c r="R12" s="219"/>
      <c r="S12" s="219"/>
      <c r="T12" s="5"/>
      <c r="Y12" s="4" t="s">
        <v>184</v>
      </c>
      <c r="Z12" s="4">
        <f>'Whitby - Jan -Dec 2022'!Q48</f>
        <v>0</v>
      </c>
      <c r="AA12" s="4">
        <f>'Whitby - Jan -Dec 2022'!R48</f>
        <v>0</v>
      </c>
      <c r="AB12" s="4">
        <f>'Whitby - Jan -Dec 2022'!S48</f>
        <v>0</v>
      </c>
      <c r="AC12" s="4">
        <f>'Whitby - Jan -Dec 2022'!T48</f>
        <v>0</v>
      </c>
      <c r="AD12" s="4">
        <f>'Whitby - Jan -Dec 2022'!U48</f>
        <v>0</v>
      </c>
      <c r="AE12" s="4">
        <f>'Whitby - Jan -Dec 2022'!V48</f>
        <v>0</v>
      </c>
      <c r="AF12" s="4">
        <f>SUM(Z12:AE12)</f>
        <v>0</v>
      </c>
    </row>
    <row r="13" spans="2:33" ht="16.5" x14ac:dyDescent="0.3">
      <c r="B13" s="246"/>
      <c r="C13" s="244" t="s">
        <v>227</v>
      </c>
      <c r="D13" s="4">
        <v>148</v>
      </c>
      <c r="E13" s="20">
        <v>277441.48</v>
      </c>
      <c r="F13" s="217" t="s">
        <v>228</v>
      </c>
      <c r="G13" s="250"/>
      <c r="H13" s="249"/>
      <c r="I13" s="250">
        <f>I11-I12</f>
        <v>-41105931.071050957</v>
      </c>
      <c r="K13" s="217" t="s">
        <v>204</v>
      </c>
      <c r="L13" t="s">
        <v>133</v>
      </c>
      <c r="M13" s="219">
        <v>4397279.57</v>
      </c>
      <c r="N13" s="219">
        <v>4280990.87</v>
      </c>
      <c r="O13" s="20">
        <v>4800884.29</v>
      </c>
      <c r="P13" s="20"/>
      <c r="Q13" s="20"/>
      <c r="R13" s="20"/>
      <c r="S13" s="225"/>
      <c r="T13" s="5">
        <f>SUM(M13:S13)</f>
        <v>13479154.73</v>
      </c>
      <c r="U13" t="s">
        <v>134</v>
      </c>
    </row>
    <row r="14" spans="2:33" x14ac:dyDescent="0.25">
      <c r="C14" s="84" t="s">
        <v>119</v>
      </c>
      <c r="D14" s="85">
        <v>1142</v>
      </c>
      <c r="E14" s="20">
        <v>-276782</v>
      </c>
      <c r="F14" s="217" t="s">
        <v>196</v>
      </c>
      <c r="AF14">
        <f>AF12/AF7</f>
        <v>0</v>
      </c>
    </row>
    <row r="15" spans="2:33" ht="16.5" x14ac:dyDescent="0.3">
      <c r="B15" s="74"/>
      <c r="C15" s="84" t="s">
        <v>186</v>
      </c>
      <c r="D15" s="4"/>
      <c r="E15" s="4">
        <f>-I35+I39</f>
        <v>2221.8810509532263</v>
      </c>
      <c r="F15" s="4"/>
      <c r="AF15">
        <f>AF14-1</f>
        <v>-1</v>
      </c>
      <c r="AG15" t="s">
        <v>185</v>
      </c>
    </row>
    <row r="16" spans="2:33" ht="18.75" thickBot="1" x14ac:dyDescent="0.4">
      <c r="B16" s="80" t="s">
        <v>90</v>
      </c>
      <c r="C16" s="72"/>
      <c r="D16" s="4"/>
      <c r="E16" s="76">
        <f>SUM(E4:E15)</f>
        <v>40829149.071050949</v>
      </c>
      <c r="F16" s="4"/>
      <c r="M16" s="23" t="s">
        <v>225</v>
      </c>
      <c r="N16" s="23"/>
      <c r="V16" s="21"/>
      <c r="W16" s="21"/>
    </row>
    <row r="17" spans="2:33" ht="15.75" thickBot="1" x14ac:dyDescent="0.3">
      <c r="D17" s="4"/>
      <c r="E17" s="4"/>
      <c r="F17" s="4"/>
      <c r="M17" s="4">
        <f>+E7</f>
        <v>26767433.359999999</v>
      </c>
      <c r="N17" s="4" t="s">
        <v>245</v>
      </c>
      <c r="O17" s="100"/>
      <c r="P17" s="100"/>
      <c r="Q17" s="100"/>
      <c r="R17" s="100"/>
      <c r="S17" s="100"/>
      <c r="T17" s="100"/>
      <c r="U17" s="100"/>
      <c r="V17" s="21"/>
      <c r="W17" s="21"/>
      <c r="Y17" t="s">
        <v>207</v>
      </c>
      <c r="Z17" s="5">
        <f>Z12-Z18</f>
        <v>0</v>
      </c>
      <c r="AA17" s="5">
        <f t="shared" ref="AA17:AE17" si="1">AA12-AA18</f>
        <v>0</v>
      </c>
      <c r="AB17" s="5">
        <f t="shared" si="1"/>
        <v>0</v>
      </c>
      <c r="AC17" s="5">
        <f t="shared" si="1"/>
        <v>0</v>
      </c>
      <c r="AD17" s="5">
        <f t="shared" si="1"/>
        <v>0</v>
      </c>
      <c r="AE17" s="5">
        <f t="shared" si="1"/>
        <v>0</v>
      </c>
      <c r="AF17" s="5">
        <f>SUM(Z17:AE17)</f>
        <v>0</v>
      </c>
      <c r="AG17" s="192" t="e">
        <f>AF17/AF19</f>
        <v>#DIV/0!</v>
      </c>
    </row>
    <row r="18" spans="2:33" ht="15.75" thickBot="1" x14ac:dyDescent="0.3">
      <c r="B18" s="91" t="s">
        <v>91</v>
      </c>
      <c r="C18" s="92"/>
      <c r="D18" s="93"/>
      <c r="E18" s="94">
        <f>E11+E14</f>
        <v>302897.62000000104</v>
      </c>
      <c r="F18" s="4"/>
      <c r="M18" s="4">
        <f>+E15</f>
        <v>2221.8810509532263</v>
      </c>
      <c r="N18" s="4" t="s">
        <v>246</v>
      </c>
      <c r="O18" s="100"/>
      <c r="P18" s="100"/>
      <c r="Q18" s="100"/>
      <c r="R18" s="100"/>
      <c r="S18" s="100"/>
      <c r="T18" s="100"/>
      <c r="U18" s="100"/>
      <c r="V18" s="21"/>
      <c r="W18" s="21"/>
      <c r="Y18" t="s">
        <v>206</v>
      </c>
      <c r="Z18" s="5">
        <f>Z6+(Z6*$AF$15)</f>
        <v>0</v>
      </c>
      <c r="AA18" s="5">
        <f>AA6+(AA6*$AF$15)</f>
        <v>0</v>
      </c>
      <c r="AB18" s="5">
        <f>AB6+(AB6*$AF$15)</f>
        <v>0</v>
      </c>
      <c r="AC18" s="5">
        <f>AC6+(AC6*$AF$15)</f>
        <v>0</v>
      </c>
      <c r="AD18" s="5">
        <f t="shared" ref="AD18:AE18" si="2">AD6+(AD6*$AF$15)</f>
        <v>0</v>
      </c>
      <c r="AE18" s="5">
        <f t="shared" si="2"/>
        <v>0</v>
      </c>
      <c r="AF18" s="5">
        <f>AF6+(AF6*$AF$15)</f>
        <v>0</v>
      </c>
      <c r="AG18" s="192" t="e">
        <f>AF18/AF19</f>
        <v>#DIV/0!</v>
      </c>
    </row>
    <row r="19" spans="2:33" x14ac:dyDescent="0.25">
      <c r="E19" s="36"/>
      <c r="F19" s="36"/>
      <c r="G19" s="4"/>
      <c r="H19" s="4"/>
      <c r="M19" s="231">
        <f>SUM(M17:M18)</f>
        <v>26769655.241050951</v>
      </c>
      <c r="N19" s="4" t="s">
        <v>229</v>
      </c>
      <c r="O19" s="100"/>
      <c r="P19" s="100"/>
      <c r="Q19" s="100"/>
      <c r="R19" s="100"/>
      <c r="S19" s="100"/>
      <c r="T19" s="100"/>
      <c r="U19" s="100"/>
      <c r="V19" s="21"/>
      <c r="W19" s="21"/>
      <c r="Z19" s="5">
        <f t="shared" ref="Z19:AE19" si="3">SUM(Z17:Z18)</f>
        <v>0</v>
      </c>
      <c r="AA19" s="5">
        <f t="shared" si="3"/>
        <v>0</v>
      </c>
      <c r="AB19" s="5">
        <f t="shared" si="3"/>
        <v>0</v>
      </c>
      <c r="AC19" s="5">
        <f t="shared" si="3"/>
        <v>0</v>
      </c>
      <c r="AD19" s="5">
        <f t="shared" si="3"/>
        <v>0</v>
      </c>
      <c r="AE19" s="5">
        <f t="shared" si="3"/>
        <v>0</v>
      </c>
      <c r="AF19" s="5">
        <f>SUM(AF17:AF18)</f>
        <v>0</v>
      </c>
    </row>
    <row r="20" spans="2:33" x14ac:dyDescent="0.25">
      <c r="B20" s="68" t="s">
        <v>92</v>
      </c>
      <c r="E20" s="75" t="s">
        <v>195</v>
      </c>
      <c r="F20" s="75" t="s">
        <v>93</v>
      </c>
      <c r="G20" s="77" t="s">
        <v>97</v>
      </c>
      <c r="H20" s="4"/>
      <c r="M20" s="4"/>
      <c r="N20" s="4"/>
      <c r="O20" s="100"/>
      <c r="P20" s="100"/>
      <c r="Q20" s="100"/>
      <c r="R20" s="100"/>
      <c r="S20" s="100"/>
      <c r="T20" s="100"/>
      <c r="U20" s="100"/>
      <c r="V20" s="21"/>
      <c r="W20" s="21"/>
      <c r="AF20" s="21"/>
    </row>
    <row r="21" spans="2:33" x14ac:dyDescent="0.25">
      <c r="B21" t="s">
        <v>124</v>
      </c>
      <c r="C21" t="s">
        <v>94</v>
      </c>
      <c r="E21" s="4">
        <f>+'Whitby - Jan -Dec 2022'!E72</f>
        <v>53866177.43</v>
      </c>
      <c r="F21" s="4">
        <f>+'Whitby Jan-Dec22 RPP 2nd TU'!H24</f>
        <v>53861760.832735941</v>
      </c>
      <c r="G21" s="4">
        <f>F21-E21</f>
        <v>-4416.597264058888</v>
      </c>
      <c r="H21" s="86">
        <f>G21/E21</f>
        <v>-8.1992030524132332E-5</v>
      </c>
      <c r="I21" s="90" t="s">
        <v>110</v>
      </c>
      <c r="M21" s="4">
        <f>SUM(M11:O11)</f>
        <v>14236055.74</v>
      </c>
      <c r="N21" s="4" t="s">
        <v>243</v>
      </c>
      <c r="O21" s="100"/>
      <c r="P21" s="100"/>
      <c r="Q21" s="100"/>
      <c r="R21" s="100"/>
      <c r="S21" s="100"/>
      <c r="T21" s="100"/>
      <c r="U21" s="100"/>
      <c r="V21" s="21"/>
      <c r="W21" s="21"/>
      <c r="AG21" t="s">
        <v>216</v>
      </c>
    </row>
    <row r="22" spans="2:33" ht="15.75" thickBot="1" x14ac:dyDescent="0.3">
      <c r="B22" t="s">
        <v>125</v>
      </c>
      <c r="C22" t="s">
        <v>99</v>
      </c>
      <c r="E22" s="4">
        <f>+'Whitby - Jan -Dec 2022'!E84</f>
        <v>26767433.359999999</v>
      </c>
      <c r="F22" s="4">
        <f>+'Whitby Jan-Dec22 RPP 2nd TU'!I24</f>
        <v>26765238.643786892</v>
      </c>
      <c r="G22" s="4">
        <f>F22-E22</f>
        <v>-2194.7162131071091</v>
      </c>
      <c r="H22" s="86">
        <f t="shared" ref="H22:H25" si="4">G22/E22</f>
        <v>-8.199203052418131E-5</v>
      </c>
      <c r="I22" s="90" t="s">
        <v>114</v>
      </c>
      <c r="M22" s="34">
        <f>+M21+M19</f>
        <v>41005710.981050953</v>
      </c>
      <c r="N22" s="4" t="s">
        <v>232</v>
      </c>
      <c r="O22" s="100"/>
      <c r="P22" s="100"/>
      <c r="Q22" s="100"/>
      <c r="R22" s="100"/>
      <c r="S22" s="100"/>
      <c r="T22" s="100"/>
      <c r="U22" s="100"/>
      <c r="V22" s="21"/>
      <c r="W22" s="21"/>
      <c r="Y22" t="s">
        <v>208</v>
      </c>
      <c r="Z22" s="193" t="e">
        <f>+Q54</f>
        <v>#DIV/0!</v>
      </c>
      <c r="AA22" s="193" t="e">
        <f>+R54</f>
        <v>#DIV/0!</v>
      </c>
      <c r="AB22" s="193" t="e">
        <f t="shared" ref="AB22:AG22" si="5">S54</f>
        <v>#DIV/0!</v>
      </c>
      <c r="AC22" s="193" t="e">
        <f t="shared" si="5"/>
        <v>#DIV/0!</v>
      </c>
      <c r="AD22" s="193" t="e">
        <f t="shared" si="5"/>
        <v>#DIV/0!</v>
      </c>
      <c r="AE22" s="193" t="e">
        <f t="shared" si="5"/>
        <v>#DIV/0!</v>
      </c>
      <c r="AF22" s="193" t="e">
        <f t="shared" si="5"/>
        <v>#DIV/0!</v>
      </c>
      <c r="AG22" s="193" t="str">
        <f t="shared" si="5"/>
        <v>Total GA</v>
      </c>
    </row>
    <row r="23" spans="2:33" ht="15.75" thickTop="1" x14ac:dyDescent="0.25">
      <c r="B23" s="90" t="s">
        <v>126</v>
      </c>
      <c r="C23" t="s">
        <v>95</v>
      </c>
      <c r="E23" s="4">
        <f>+E12+E13</f>
        <v>13756596.210000001</v>
      </c>
      <c r="F23" s="4">
        <f>+'Whitby Jan-Dec22 RPP 2nd TU'!J24</f>
        <v>27396752.399999995</v>
      </c>
      <c r="G23" s="4">
        <f>F23-E23</f>
        <v>13640156.189999994</v>
      </c>
      <c r="H23" s="86">
        <f t="shared" si="4"/>
        <v>0.99153569544220799</v>
      </c>
      <c r="I23" s="90" t="s">
        <v>117</v>
      </c>
      <c r="M23" s="4"/>
      <c r="N23" s="100"/>
      <c r="O23" s="100"/>
      <c r="P23" s="100"/>
      <c r="Q23" s="100"/>
      <c r="R23" s="100"/>
      <c r="S23" s="100"/>
      <c r="T23" s="100"/>
      <c r="U23" s="100"/>
      <c r="V23" s="21"/>
      <c r="W23" s="21"/>
      <c r="Y23" t="s">
        <v>213</v>
      </c>
      <c r="Z23" s="229">
        <v>0.12806638619705266</v>
      </c>
      <c r="AA23" s="229">
        <v>0.11705076491791969</v>
      </c>
      <c r="AB23" s="229">
        <v>0.10557294415739073</v>
      </c>
      <c r="AC23" s="229"/>
      <c r="AD23" s="229"/>
    </row>
    <row r="24" spans="2:33" x14ac:dyDescent="0.25">
      <c r="B24" s="90"/>
      <c r="C24" t="s">
        <v>186</v>
      </c>
      <c r="E24" s="4">
        <f>E15</f>
        <v>2221.8810509532263</v>
      </c>
      <c r="F24" s="4"/>
      <c r="G24" s="4"/>
      <c r="H24" s="86"/>
      <c r="I24" s="90"/>
      <c r="M24" s="230" t="s">
        <v>226</v>
      </c>
      <c r="N24" s="100"/>
      <c r="O24" s="100"/>
      <c r="P24" s="100"/>
      <c r="Q24" s="100"/>
      <c r="R24" s="100"/>
      <c r="S24" s="100"/>
      <c r="T24" s="100"/>
      <c r="U24" s="100"/>
      <c r="V24" s="21"/>
      <c r="W24" s="21"/>
      <c r="Y24" t="s">
        <v>214</v>
      </c>
      <c r="Z24" s="229">
        <f>+Z23</f>
        <v>0.12806638619705266</v>
      </c>
      <c r="AA24" s="229">
        <f>+AA23</f>
        <v>0.11705076491791969</v>
      </c>
      <c r="AB24" s="229">
        <f>+AB23</f>
        <v>0.10557294415739073</v>
      </c>
      <c r="AC24" s="229"/>
      <c r="AD24" s="229"/>
    </row>
    <row r="25" spans="2:33" ht="15.75" thickBot="1" x14ac:dyDescent="0.3">
      <c r="C25" t="s">
        <v>127</v>
      </c>
      <c r="E25" s="76">
        <f>E21-E22-E23-E24</f>
        <v>13339925.978949046</v>
      </c>
      <c r="F25" s="76">
        <f>F21-F22-F23</f>
        <v>-300230.21105094627</v>
      </c>
      <c r="G25" s="76">
        <f>G21-G22-G23</f>
        <v>-13642378.071050946</v>
      </c>
      <c r="H25" s="86">
        <f t="shared" si="4"/>
        <v>-1.0226726964286894</v>
      </c>
      <c r="M25" s="4">
        <f>+E12</f>
        <v>13479154.73</v>
      </c>
      <c r="N25" s="100" t="s">
        <v>242</v>
      </c>
      <c r="O25" s="100"/>
      <c r="P25" s="100"/>
      <c r="Q25" s="100"/>
      <c r="R25" s="100"/>
      <c r="S25" s="100"/>
      <c r="T25" s="100"/>
      <c r="U25" s="100"/>
      <c r="V25" s="21"/>
      <c r="W25" s="21"/>
    </row>
    <row r="26" spans="2:33" x14ac:dyDescent="0.25">
      <c r="F26" s="5"/>
      <c r="G26" s="5"/>
      <c r="M26" s="4">
        <f>+E13</f>
        <v>277441.48</v>
      </c>
      <c r="N26" s="100" t="s">
        <v>244</v>
      </c>
      <c r="O26" s="100"/>
      <c r="P26" s="100"/>
      <c r="Q26" s="100"/>
      <c r="R26" s="100"/>
      <c r="S26" s="100"/>
      <c r="T26" s="100"/>
      <c r="U26" s="100"/>
      <c r="V26" s="21"/>
      <c r="W26" s="21"/>
      <c r="Y26" t="s">
        <v>209</v>
      </c>
      <c r="Z26" s="5" t="e">
        <f>Z17*Z22</f>
        <v>#DIV/0!</v>
      </c>
      <c r="AA26" s="5" t="e">
        <f>AA17*AA22</f>
        <v>#DIV/0!</v>
      </c>
      <c r="AB26" s="5">
        <f>AB17*AB23</f>
        <v>0</v>
      </c>
      <c r="AC26" s="5">
        <f>AC17*AC23</f>
        <v>0</v>
      </c>
      <c r="AD26" s="5">
        <f>AD17*AD23</f>
        <v>0</v>
      </c>
      <c r="AE26" s="5">
        <f>AE17*AE23</f>
        <v>0</v>
      </c>
      <c r="AF26" s="5" t="e">
        <f>SUM(Z26:AE26)</f>
        <v>#DIV/0!</v>
      </c>
      <c r="AG26" s="12" t="e">
        <f>AF26/AF17</f>
        <v>#DIV/0!</v>
      </c>
    </row>
    <row r="27" spans="2:33" x14ac:dyDescent="0.25">
      <c r="C27" s="68" t="s">
        <v>111</v>
      </c>
      <c r="E27" s="23"/>
      <c r="M27" s="231">
        <f>SUM(M25:M26)</f>
        <v>13756596.210000001</v>
      </c>
      <c r="N27" s="100" t="s">
        <v>230</v>
      </c>
      <c r="O27" s="100"/>
      <c r="P27" s="100"/>
      <c r="Q27" s="100"/>
      <c r="R27" s="100"/>
      <c r="S27" s="100"/>
      <c r="T27" s="100"/>
      <c r="U27" s="100"/>
      <c r="V27" s="21"/>
      <c r="W27" s="21"/>
      <c r="Z27" s="5"/>
      <c r="AA27" s="5"/>
      <c r="AB27" s="5"/>
      <c r="AC27" s="5"/>
      <c r="AD27" s="5"/>
      <c r="AE27" s="5"/>
      <c r="AF27" s="5"/>
      <c r="AG27" s="12"/>
    </row>
    <row r="28" spans="2:33" x14ac:dyDescent="0.25">
      <c r="B28" s="90" t="s">
        <v>110</v>
      </c>
      <c r="E28" s="64" t="s">
        <v>115</v>
      </c>
      <c r="F28" s="64" t="s">
        <v>116</v>
      </c>
      <c r="G28" s="64" t="s">
        <v>97</v>
      </c>
      <c r="H28" s="64" t="s">
        <v>112</v>
      </c>
      <c r="I28" s="64" t="s">
        <v>113</v>
      </c>
      <c r="M28" s="4"/>
      <c r="N28" s="100"/>
      <c r="O28" s="100"/>
      <c r="P28" s="100"/>
      <c r="Q28" s="100"/>
      <c r="R28" s="100"/>
      <c r="S28" s="100"/>
      <c r="T28" s="100"/>
      <c r="U28" s="100"/>
      <c r="V28" s="21"/>
      <c r="W28" s="21"/>
      <c r="Y28" t="s">
        <v>210</v>
      </c>
      <c r="Z28" s="5">
        <f t="shared" ref="Z28:AE28" si="6">Z18*Z24</f>
        <v>0</v>
      </c>
      <c r="AA28" s="5">
        <f t="shared" si="6"/>
        <v>0</v>
      </c>
      <c r="AB28" s="5">
        <f t="shared" si="6"/>
        <v>0</v>
      </c>
      <c r="AC28" s="5">
        <f t="shared" si="6"/>
        <v>0</v>
      </c>
      <c r="AD28" s="5">
        <f t="shared" si="6"/>
        <v>0</v>
      </c>
      <c r="AE28" s="5">
        <f t="shared" si="6"/>
        <v>0</v>
      </c>
      <c r="AF28" s="5">
        <f>SUM(Z28:AE28)</f>
        <v>0</v>
      </c>
      <c r="AG28" s="12" t="e">
        <f>AF28/AF18</f>
        <v>#DIV/0!</v>
      </c>
    </row>
    <row r="29" spans="2:33" x14ac:dyDescent="0.25">
      <c r="C29" t="s">
        <v>13</v>
      </c>
      <c r="E29" s="4">
        <f>'Whitby - Jan -Dec 2022'!D33</f>
        <v>41857287.289999999</v>
      </c>
      <c r="F29" s="4">
        <f>'Whitby - Jan -Dec 2022'!D16</f>
        <v>41853855.326022863</v>
      </c>
      <c r="G29" s="4">
        <f>E29-F29</f>
        <v>3431.9639771357179</v>
      </c>
      <c r="H29" s="95">
        <f>'Whitby - Jan -Dec 2022'!E33</f>
        <v>9.432603963666944E-2</v>
      </c>
      <c r="I29" s="4">
        <f>G29*H29</f>
        <v>323.72357013892542</v>
      </c>
      <c r="M29" s="4">
        <f>SUM(M12:O12)</f>
        <v>-13656376.120000001</v>
      </c>
      <c r="N29" s="100" t="s">
        <v>231</v>
      </c>
      <c r="O29" s="100"/>
      <c r="P29" s="100"/>
      <c r="Q29" s="100"/>
      <c r="R29" s="100"/>
      <c r="S29" s="100"/>
      <c r="T29" s="100"/>
      <c r="U29" s="100"/>
      <c r="V29" s="21"/>
      <c r="W29" s="21"/>
      <c r="Y29" t="s">
        <v>211</v>
      </c>
      <c r="Z29" s="5" t="e">
        <f t="shared" ref="Z29:AF29" si="7">SUM(Z26:Z28)</f>
        <v>#DIV/0!</v>
      </c>
      <c r="AA29" s="5" t="e">
        <f t="shared" si="7"/>
        <v>#DIV/0!</v>
      </c>
      <c r="AB29" s="5">
        <f t="shared" si="7"/>
        <v>0</v>
      </c>
      <c r="AC29" s="5">
        <f t="shared" si="7"/>
        <v>0</v>
      </c>
      <c r="AD29" s="5">
        <f t="shared" si="7"/>
        <v>0</v>
      </c>
      <c r="AE29" s="5">
        <f t="shared" si="7"/>
        <v>0</v>
      </c>
      <c r="AF29" s="5" t="e">
        <f t="shared" si="7"/>
        <v>#DIV/0!</v>
      </c>
      <c r="AG29" s="12" t="e">
        <f>AF29/AF19</f>
        <v>#DIV/0!</v>
      </c>
    </row>
    <row r="30" spans="2:33" ht="15.75" thickBot="1" x14ac:dyDescent="0.3">
      <c r="C30" t="s">
        <v>14</v>
      </c>
      <c r="E30" s="4">
        <f>'Whitby - Jan -Dec 2022'!D34</f>
        <v>19372230.98</v>
      </c>
      <c r="F30" s="4">
        <f>'Whitby - Jan -Dec 2022'!D17</f>
        <v>19370642.611446172</v>
      </c>
      <c r="G30" s="4">
        <f t="shared" ref="G30:G38" si="8">E30-F30</f>
        <v>1588.3685538284481</v>
      </c>
      <c r="H30" s="95">
        <f>'Whitby - Jan -Dec 2022'!E34</f>
        <v>0.11313160277010077</v>
      </c>
      <c r="I30" s="4">
        <f t="shared" ref="I30:I33" si="9">G30*H30</f>
        <v>179.69468028423941</v>
      </c>
      <c r="K30" s="223"/>
      <c r="M30" s="34">
        <f>M27+M29</f>
        <v>100220.08999999985</v>
      </c>
      <c r="N30" s="100" t="s">
        <v>232</v>
      </c>
      <c r="O30" s="100"/>
      <c r="P30" s="100"/>
      <c r="Q30" s="100"/>
      <c r="R30" s="100"/>
      <c r="S30" s="100"/>
      <c r="T30" s="100"/>
      <c r="U30" s="100"/>
      <c r="V30" s="21"/>
      <c r="W30" s="21"/>
      <c r="Y30" t="s">
        <v>212</v>
      </c>
      <c r="Z30" s="21" t="e">
        <f t="shared" ref="Z30:AF30" si="10">Z29-Q55</f>
        <v>#DIV/0!</v>
      </c>
      <c r="AA30" s="21" t="e">
        <f t="shared" si="10"/>
        <v>#DIV/0!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 t="e">
        <f t="shared" si="10"/>
        <v>#DIV/0!</v>
      </c>
    </row>
    <row r="31" spans="2:33" ht="15.75" thickTop="1" x14ac:dyDescent="0.25">
      <c r="C31" t="s">
        <v>15</v>
      </c>
      <c r="E31" s="4">
        <f>'Whitby - Jan -Dec 2022'!D35</f>
        <v>299695782.38</v>
      </c>
      <c r="F31" s="4">
        <f>'Whitby - Jan -Dec 2022'!D18</f>
        <v>299671209.71426314</v>
      </c>
      <c r="G31" s="4">
        <f t="shared" si="8"/>
        <v>24572.665736854076</v>
      </c>
      <c r="H31" s="95">
        <f>'Whitby - Jan -Dec 2022'!E35</f>
        <v>8.0714480690717558E-2</v>
      </c>
      <c r="I31" s="4">
        <f t="shared" si="9"/>
        <v>1983.3699541367653</v>
      </c>
      <c r="K31" s="223"/>
      <c r="M31" s="71"/>
      <c r="N31" s="100"/>
      <c r="O31" s="100"/>
      <c r="P31" s="100"/>
      <c r="Q31" s="100"/>
      <c r="R31" s="100"/>
      <c r="S31" s="100"/>
      <c r="T31" s="100"/>
      <c r="U31" s="100"/>
      <c r="V31" s="21"/>
      <c r="W31" s="21"/>
      <c r="AF31" s="192" t="e">
        <f>AF26/AF29</f>
        <v>#DIV/0!</v>
      </c>
    </row>
    <row r="32" spans="2:33" x14ac:dyDescent="0.25">
      <c r="C32" t="s">
        <v>16</v>
      </c>
      <c r="E32" s="4">
        <f>'Whitby - Jan -Dec 2022'!D36</f>
        <v>83480863.290000007</v>
      </c>
      <c r="F32" s="4">
        <f>'Whitby - Jan -Dec 2022'!D19</f>
        <v>83474018.524508953</v>
      </c>
      <c r="G32" s="4">
        <f t="shared" si="8"/>
        <v>6844.765491053462</v>
      </c>
      <c r="H32" s="95">
        <f>'Whitby - Jan -Dec 2022'!E36</f>
        <v>0.10929692938492849</v>
      </c>
      <c r="I32" s="4">
        <f t="shared" si="9"/>
        <v>748.11185053206566</v>
      </c>
      <c r="K32" s="223"/>
      <c r="M32" s="4">
        <f>+M30+M22</f>
        <v>41105931.071050957</v>
      </c>
      <c r="N32" s="100" t="s">
        <v>232</v>
      </c>
      <c r="O32" s="100"/>
      <c r="P32" s="100"/>
      <c r="Q32" s="100"/>
      <c r="R32" s="100"/>
      <c r="S32" s="100"/>
      <c r="T32" s="100"/>
      <c r="U32" s="100"/>
      <c r="V32" s="21"/>
      <c r="W32" s="21"/>
      <c r="AF32" s="192" t="e">
        <f>AF28/AF29</f>
        <v>#DIV/0!</v>
      </c>
    </row>
    <row r="33" spans="2:23" x14ac:dyDescent="0.25">
      <c r="C33" t="s">
        <v>17</v>
      </c>
      <c r="E33" s="4">
        <f>'Whitby - Jan -Dec 2022'!D37</f>
        <v>89171965.409999996</v>
      </c>
      <c r="F33" s="4">
        <f>'Whitby - Jan -Dec 2022'!D20</f>
        <v>89164654.019490212</v>
      </c>
      <c r="G33" s="4">
        <f t="shared" si="8"/>
        <v>7311.3905097842216</v>
      </c>
      <c r="H33" s="95">
        <f>'Whitby - Jan -Dec 2022'!E37</f>
        <v>0.16162414076816747</v>
      </c>
      <c r="I33" s="4">
        <f t="shared" si="9"/>
        <v>1181.6972089644087</v>
      </c>
      <c r="K33" s="223"/>
      <c r="M33" s="71"/>
      <c r="N33" s="100"/>
      <c r="O33" s="100"/>
      <c r="P33" s="100"/>
      <c r="Q33" s="100"/>
      <c r="R33" s="100"/>
      <c r="S33" s="100"/>
      <c r="T33" s="100"/>
      <c r="U33" s="100"/>
      <c r="V33" s="21"/>
      <c r="W33" s="21"/>
    </row>
    <row r="34" spans="2:23" ht="15.75" thickBot="1" x14ac:dyDescent="0.3">
      <c r="C34" t="str">
        <f>C21</f>
        <v>RPP Revenue</v>
      </c>
      <c r="E34" s="76">
        <f>SUM(E29:E33)</f>
        <v>533578129.35000002</v>
      </c>
      <c r="F34" s="76">
        <f>SUM(F29:F33)</f>
        <v>533534380.1957314</v>
      </c>
      <c r="G34" s="76">
        <f>SUM(G29:G33)</f>
        <v>43749.154268655926</v>
      </c>
      <c r="H34" s="96"/>
      <c r="I34" s="76">
        <f>SUM(I29:I33)</f>
        <v>4416.5972640564041</v>
      </c>
      <c r="K34" s="223"/>
      <c r="M34" s="232" t="s">
        <v>235</v>
      </c>
      <c r="N34" s="233"/>
      <c r="O34" s="234" t="s">
        <v>237</v>
      </c>
      <c r="P34" s="235" t="s">
        <v>238</v>
      </c>
      <c r="Q34" s="100"/>
      <c r="R34" s="100"/>
      <c r="S34" s="100"/>
      <c r="T34" s="100"/>
      <c r="U34" s="100"/>
      <c r="V34" s="21"/>
      <c r="W34" s="21"/>
    </row>
    <row r="35" spans="2:23" x14ac:dyDescent="0.25">
      <c r="C35" t="s">
        <v>187</v>
      </c>
      <c r="E35" s="36"/>
      <c r="F35" s="36"/>
      <c r="G35" s="36"/>
      <c r="H35" s="194"/>
      <c r="I35" s="36">
        <f>-I34</f>
        <v>-4416.5972640564041</v>
      </c>
      <c r="M35" s="236" t="s">
        <v>236</v>
      </c>
      <c r="N35" s="237"/>
      <c r="O35" s="237">
        <f>+M32</f>
        <v>41105931.071050957</v>
      </c>
      <c r="P35" s="238"/>
      <c r="Q35" s="100"/>
      <c r="R35" s="100"/>
      <c r="S35" s="100"/>
      <c r="T35" s="100"/>
      <c r="U35" s="100"/>
      <c r="V35" s="21"/>
      <c r="W35" s="21"/>
    </row>
    <row r="36" spans="2:23" ht="15.75" thickBot="1" x14ac:dyDescent="0.3">
      <c r="I36" s="87">
        <f>SUM(I34:I35)</f>
        <v>0</v>
      </c>
      <c r="K36" s="5"/>
      <c r="M36" s="236" t="s">
        <v>239</v>
      </c>
      <c r="N36" s="239"/>
      <c r="O36" s="237"/>
      <c r="P36" s="238">
        <f>+M22</f>
        <v>41005710.981050953</v>
      </c>
      <c r="Q36" s="100"/>
      <c r="R36" s="100"/>
      <c r="S36" s="100"/>
      <c r="T36" s="100"/>
      <c r="U36" s="100"/>
      <c r="V36" s="21"/>
      <c r="W36" s="21"/>
    </row>
    <row r="37" spans="2:23" x14ac:dyDescent="0.25">
      <c r="M37" s="240" t="s">
        <v>240</v>
      </c>
      <c r="N37" s="241"/>
      <c r="O37" s="242"/>
      <c r="P37" s="243">
        <f>+M30</f>
        <v>100220.08999999985</v>
      </c>
      <c r="Q37" s="100"/>
      <c r="R37" s="100"/>
      <c r="S37" s="100"/>
      <c r="T37" s="100"/>
      <c r="U37" s="100"/>
      <c r="V37" s="21"/>
      <c r="W37" s="21"/>
    </row>
    <row r="38" spans="2:23" x14ac:dyDescent="0.25">
      <c r="B38" s="90" t="s">
        <v>114</v>
      </c>
      <c r="C38" t="str">
        <f>C22</f>
        <v>Energy Revenue - RPP</v>
      </c>
      <c r="E38" s="4">
        <f>E34</f>
        <v>533578129.35000002</v>
      </c>
      <c r="F38" s="4">
        <f>F34</f>
        <v>533534380.1957314</v>
      </c>
      <c r="G38" s="4">
        <f t="shared" si="8"/>
        <v>43749.154268622398</v>
      </c>
      <c r="H38" s="99">
        <f>'Whitby - Jan -Dec 2022'!C84</f>
        <v>5.0165911771173681E-2</v>
      </c>
      <c r="I38" s="4">
        <f t="shared" ref="I38" si="11">G38*H38</f>
        <v>2194.7162131031778</v>
      </c>
      <c r="M38" s="71"/>
      <c r="N38" s="100"/>
      <c r="O38" s="100"/>
      <c r="P38" s="100"/>
      <c r="Q38" s="100"/>
      <c r="R38" s="100"/>
      <c r="S38" s="100"/>
      <c r="T38" s="100"/>
      <c r="U38" s="100"/>
      <c r="V38" s="21"/>
      <c r="W38" s="21"/>
    </row>
    <row r="39" spans="2:23" x14ac:dyDescent="0.25">
      <c r="B39" s="90"/>
      <c r="C39" t="s">
        <v>187</v>
      </c>
      <c r="E39" s="4"/>
      <c r="F39" s="4"/>
      <c r="G39" s="4"/>
      <c r="H39" s="99"/>
      <c r="I39" s="4">
        <f>-I38</f>
        <v>-2194.7162131031778</v>
      </c>
      <c r="M39" s="71"/>
      <c r="N39" s="100"/>
      <c r="O39" s="100"/>
      <c r="P39" s="100"/>
      <c r="Q39" s="100"/>
      <c r="R39" s="100"/>
      <c r="S39" s="100"/>
      <c r="T39" s="100"/>
      <c r="U39" s="100"/>
      <c r="V39" s="21"/>
      <c r="W39" s="21"/>
    </row>
    <row r="40" spans="2:23" ht="15" customHeight="1" thickBot="1" x14ac:dyDescent="0.3">
      <c r="I40" s="87">
        <f>SUM(I38:I39)</f>
        <v>0</v>
      </c>
      <c r="K40" s="5"/>
      <c r="M40" s="71"/>
      <c r="N40" s="100"/>
      <c r="O40" s="100"/>
      <c r="P40" s="100"/>
      <c r="Q40" s="100"/>
      <c r="R40" s="100"/>
      <c r="S40" s="100"/>
      <c r="T40" s="100"/>
      <c r="U40" s="100"/>
      <c r="V40" s="21"/>
      <c r="W40" s="21"/>
    </row>
    <row r="41" spans="2:23" ht="15" customHeight="1" x14ac:dyDescent="0.25">
      <c r="M41" s="71"/>
      <c r="N41" s="100"/>
      <c r="O41" s="100"/>
      <c r="P41" s="100"/>
      <c r="Q41" s="100"/>
      <c r="R41" s="100"/>
      <c r="S41" s="100"/>
      <c r="T41" s="100"/>
      <c r="U41" s="100"/>
      <c r="V41" s="21"/>
      <c r="W41" s="21"/>
    </row>
    <row r="42" spans="2:23" hidden="1" x14ac:dyDescent="0.25">
      <c r="B42" s="90"/>
      <c r="E42" s="5"/>
      <c r="F42" s="5"/>
      <c r="G42" s="4"/>
      <c r="H42" s="98"/>
      <c r="I42" s="4"/>
      <c r="M42" s="71"/>
      <c r="N42" s="100"/>
      <c r="O42" s="100"/>
      <c r="P42" s="100"/>
      <c r="Q42" s="100"/>
      <c r="R42" s="100"/>
      <c r="S42" s="100"/>
      <c r="T42" s="100"/>
      <c r="U42" s="100"/>
      <c r="V42" s="21"/>
      <c r="W42" s="21"/>
    </row>
    <row r="43" spans="2:23" hidden="1" x14ac:dyDescent="0.25">
      <c r="F43" s="5"/>
      <c r="G43" s="4"/>
      <c r="H43" s="98"/>
      <c r="I43" s="4"/>
      <c r="M43" s="71"/>
      <c r="N43" s="100"/>
      <c r="O43" s="100"/>
      <c r="P43" s="100"/>
      <c r="Q43" s="100"/>
      <c r="R43" s="100"/>
      <c r="S43" s="100"/>
      <c r="T43" s="100"/>
      <c r="U43" s="100"/>
      <c r="V43" s="21"/>
      <c r="W43" s="21"/>
    </row>
    <row r="44" spans="2:23" ht="15.75" hidden="1" thickBot="1" x14ac:dyDescent="0.3">
      <c r="I44" s="87"/>
      <c r="M44" s="71"/>
      <c r="N44" s="100"/>
      <c r="O44" s="100"/>
      <c r="P44" s="100"/>
      <c r="Q44" s="100"/>
      <c r="R44" s="100"/>
      <c r="S44" s="100"/>
      <c r="T44" s="100"/>
      <c r="U44" s="100"/>
      <c r="V44" s="21"/>
      <c r="W44" s="21"/>
    </row>
    <row r="45" spans="2:23" hidden="1" x14ac:dyDescent="0.25">
      <c r="I45" s="21"/>
      <c r="M45" s="71"/>
      <c r="N45" s="100"/>
      <c r="O45" s="100"/>
      <c r="P45" s="100"/>
      <c r="Q45" s="100"/>
      <c r="R45" s="100"/>
      <c r="S45" s="100"/>
      <c r="T45" s="100"/>
      <c r="U45" s="100"/>
      <c r="V45" s="21"/>
      <c r="W45" s="21"/>
    </row>
    <row r="46" spans="2:23" x14ac:dyDescent="0.25">
      <c r="I46" s="21"/>
      <c r="M46" s="71"/>
      <c r="N46" s="100"/>
      <c r="O46" s="100"/>
      <c r="P46" s="100"/>
      <c r="Q46" s="100"/>
      <c r="R46" s="100"/>
      <c r="S46" s="100"/>
      <c r="T46" s="100"/>
      <c r="U46" s="100"/>
      <c r="V46" s="21"/>
      <c r="W46" s="21"/>
    </row>
    <row r="47" spans="2:23" x14ac:dyDescent="0.25">
      <c r="B47" s="68" t="s">
        <v>129</v>
      </c>
      <c r="E47" s="89" t="s">
        <v>195</v>
      </c>
      <c r="F47" s="89" t="s">
        <v>93</v>
      </c>
      <c r="N47" s="100"/>
      <c r="O47" s="100"/>
      <c r="P47" s="100"/>
      <c r="Q47" s="100"/>
      <c r="R47" s="100"/>
      <c r="S47" s="100"/>
      <c r="T47" s="100"/>
      <c r="U47" s="100"/>
      <c r="V47" s="21"/>
      <c r="W47" s="21"/>
    </row>
    <row r="48" spans="2:23" x14ac:dyDescent="0.25">
      <c r="E48" s="5"/>
      <c r="N48" s="100"/>
      <c r="O48" s="100"/>
      <c r="P48" s="100"/>
      <c r="Q48" s="100"/>
      <c r="R48" s="100"/>
      <c r="S48" s="100"/>
      <c r="T48" s="100"/>
      <c r="U48" s="100"/>
    </row>
    <row r="49" spans="2:26" x14ac:dyDescent="0.25">
      <c r="E49" s="5"/>
    </row>
    <row r="50" spans="2:26" x14ac:dyDescent="0.25">
      <c r="C50" t="s">
        <v>94</v>
      </c>
      <c r="E50" s="88">
        <f>'Whitby - Jan -Dec 2022'!E72</f>
        <v>53866177.43</v>
      </c>
      <c r="F50" s="88">
        <f>'Whitby - Jan -Dec 2022'!E72</f>
        <v>53866177.43</v>
      </c>
      <c r="G50" s="5">
        <f>E50-F50</f>
        <v>0</v>
      </c>
    </row>
    <row r="51" spans="2:26" x14ac:dyDescent="0.25">
      <c r="V51" s="23"/>
      <c r="W51" t="s">
        <v>83</v>
      </c>
    </row>
    <row r="52" spans="2:26" x14ac:dyDescent="0.25">
      <c r="C52" t="s">
        <v>98</v>
      </c>
      <c r="E52" s="5">
        <f>'Whitby - Jan -Dec 2022'!E76</f>
        <v>18324890.951278675</v>
      </c>
      <c r="F52" s="5">
        <f>'Whitby - Jan -Dec 2022'!E76</f>
        <v>18324890.951278675</v>
      </c>
      <c r="G52" s="5">
        <f>E52-F52</f>
        <v>0</v>
      </c>
      <c r="L52" s="198"/>
      <c r="M52" s="199"/>
      <c r="N52" s="200"/>
      <c r="O52" s="201"/>
      <c r="Q52" s="23" t="s">
        <v>217</v>
      </c>
      <c r="R52" s="23" t="s">
        <v>218</v>
      </c>
      <c r="S52" s="23" t="s">
        <v>219</v>
      </c>
      <c r="T52" s="23"/>
      <c r="U52" s="23"/>
    </row>
    <row r="53" spans="2:26" ht="15.75" thickBot="1" x14ac:dyDescent="0.3">
      <c r="E53" s="87">
        <f>SUM(E50:E52)</f>
        <v>72191068.381278679</v>
      </c>
      <c r="F53" s="87">
        <f>SUM(F50:F52)</f>
        <v>72191068.381278679</v>
      </c>
      <c r="G53" s="87">
        <f>E53-F53</f>
        <v>0</v>
      </c>
      <c r="L53" s="202"/>
      <c r="M53" s="202"/>
      <c r="N53" s="202"/>
      <c r="O53" s="202"/>
      <c r="Q53" s="220">
        <f>'Whitby - Jan -Dec 2022'!Q48</f>
        <v>0</v>
      </c>
      <c r="R53" s="220">
        <f>'Whitby - Jan -Dec 2022'!R48</f>
        <v>0</v>
      </c>
      <c r="S53" s="220">
        <f>'Whitby - Jan -Dec 2022'!S48</f>
        <v>0</v>
      </c>
      <c r="T53" s="220">
        <f>'Whitby - Jan -Dec 2022'!T48</f>
        <v>0</v>
      </c>
      <c r="U53" s="220">
        <f>'Whitby - Jan -Dec 2022'!U48</f>
        <v>0</v>
      </c>
      <c r="V53" s="220">
        <f>'Whitby - Jan -Dec 2022'!V48</f>
        <v>0</v>
      </c>
      <c r="W53" s="4">
        <f>SUM(Q53:V53)</f>
        <v>0</v>
      </c>
      <c r="X53" t="s">
        <v>197</v>
      </c>
    </row>
    <row r="54" spans="2:26" x14ac:dyDescent="0.25">
      <c r="M54" s="101"/>
      <c r="N54" s="101"/>
      <c r="O54" s="101"/>
      <c r="Q54" s="104" t="e">
        <f t="shared" ref="Q54:U54" si="12">Q55/Q53</f>
        <v>#DIV/0!</v>
      </c>
      <c r="R54" s="104" t="e">
        <f t="shared" si="12"/>
        <v>#DIV/0!</v>
      </c>
      <c r="S54" s="104" t="e">
        <f t="shared" si="12"/>
        <v>#DIV/0!</v>
      </c>
      <c r="T54" s="104" t="e">
        <f t="shared" si="12"/>
        <v>#DIV/0!</v>
      </c>
      <c r="U54" s="104" t="e">
        <f t="shared" si="12"/>
        <v>#DIV/0!</v>
      </c>
      <c r="V54" s="104" t="e">
        <f>V55/V53</f>
        <v>#DIV/0!</v>
      </c>
      <c r="W54" s="104" t="e">
        <f>W55/W53</f>
        <v>#DIV/0!</v>
      </c>
      <c r="X54" t="s">
        <v>135</v>
      </c>
    </row>
    <row r="55" spans="2:26" x14ac:dyDescent="0.25">
      <c r="L55" s="203"/>
      <c r="M55" s="43"/>
      <c r="N55" s="202"/>
      <c r="O55" s="202"/>
      <c r="Q55" s="221">
        <f>'Whitby - Jan -Dec 2022'!Q47</f>
        <v>0</v>
      </c>
      <c r="R55" s="221">
        <f>'Whitby - Jan -Dec 2022'!R47</f>
        <v>0</v>
      </c>
      <c r="S55" s="221">
        <f>'Whitby - Jan -Dec 2022'!S47</f>
        <v>0</v>
      </c>
      <c r="T55" s="221">
        <f>'Whitby - Jan -Dec 2022'!T47</f>
        <v>0</v>
      </c>
      <c r="U55" s="221">
        <f>'Whitby - Jan -Dec 2022'!U47</f>
        <v>0</v>
      </c>
      <c r="V55" s="221">
        <f>'Whitby - Jan -Dec 2022'!V47</f>
        <v>0</v>
      </c>
      <c r="W55" s="4">
        <f>SUM(Q55:V55)</f>
        <v>0</v>
      </c>
      <c r="X55" t="s">
        <v>198</v>
      </c>
    </row>
    <row r="56" spans="2:26" x14ac:dyDescent="0.25">
      <c r="B56" s="68" t="s">
        <v>128</v>
      </c>
      <c r="D56">
        <v>101</v>
      </c>
      <c r="E56" s="5">
        <f>+'Whitby - Jan -Dec 2022'!E55</f>
        <v>44829848.189999998</v>
      </c>
      <c r="F56" s="5">
        <f>'Whitby - Jan -Dec 2022'!E55</f>
        <v>44829848.189999998</v>
      </c>
      <c r="Z56" t="s">
        <v>201</v>
      </c>
    </row>
    <row r="57" spans="2:26" x14ac:dyDescent="0.25">
      <c r="C57" t="s">
        <v>102</v>
      </c>
      <c r="E57" s="5">
        <f>'Whitby - Jan -Dec 2022'!E54+'Whitby - Jan -Dec 2022'!E60</f>
        <v>259406.39999999991</v>
      </c>
      <c r="F57" s="5">
        <f>'Whitby - Jan -Dec 2022'!E54+'Whitby - Jan -Dec 2022'!E60</f>
        <v>259406.39999999991</v>
      </c>
      <c r="P57" s="217" t="s">
        <v>204</v>
      </c>
      <c r="Q57" s="218">
        <v>19372343</v>
      </c>
      <c r="R57" s="218">
        <v>19388851</v>
      </c>
      <c r="S57" s="218">
        <v>20855457</v>
      </c>
      <c r="T57" s="218"/>
      <c r="U57" s="218"/>
      <c r="V57" s="218"/>
      <c r="W57" s="4">
        <f>SUM(Q57:V57)</f>
        <v>59616651</v>
      </c>
      <c r="X57" t="s">
        <v>199</v>
      </c>
    </row>
    <row r="58" spans="2:26" x14ac:dyDescent="0.25">
      <c r="E58" s="5"/>
      <c r="F58" s="5"/>
      <c r="L58" s="320" t="s">
        <v>188</v>
      </c>
      <c r="M58" s="321"/>
      <c r="N58" s="321"/>
      <c r="O58" s="321"/>
      <c r="Q58" s="104">
        <f t="shared" ref="Q58:R58" si="13">Z24</f>
        <v>0.12806638619705266</v>
      </c>
      <c r="R58" s="104">
        <f t="shared" si="13"/>
        <v>0.11705076491791969</v>
      </c>
      <c r="S58" s="104">
        <f>AB24</f>
        <v>0.10557294415739073</v>
      </c>
      <c r="T58" s="104">
        <f>AC24</f>
        <v>0</v>
      </c>
      <c r="U58" s="104">
        <f>AD24</f>
        <v>0</v>
      </c>
      <c r="V58" s="104">
        <f>AE24</f>
        <v>0</v>
      </c>
      <c r="W58" s="104">
        <f>W59/W57</f>
        <v>0.11661503424349019</v>
      </c>
    </row>
    <row r="59" spans="2:26" x14ac:dyDescent="0.25">
      <c r="C59" t="s">
        <v>100</v>
      </c>
      <c r="E59" s="5">
        <f>'Whitby - Jan -Dec 2022'!E57</f>
        <v>27396752.399999999</v>
      </c>
      <c r="F59" s="5">
        <f>'Whitby - Jan -Dec 2022'!E57</f>
        <v>27396752.399999999</v>
      </c>
      <c r="L59" s="321"/>
      <c r="M59" s="321"/>
      <c r="N59" s="321"/>
      <c r="O59" s="321"/>
      <c r="Q59" s="3">
        <f>Q57*Q58</f>
        <v>2480945.9601797694</v>
      </c>
      <c r="R59" s="3">
        <f>R57*R58</f>
        <v>2269479.8404295719</v>
      </c>
      <c r="S59" s="3">
        <f>S57*S58</f>
        <v>2201771.9972378635</v>
      </c>
      <c r="T59" s="3">
        <f t="shared" ref="T59:U59" si="14">T57*T58</f>
        <v>0</v>
      </c>
      <c r="U59" s="3">
        <f t="shared" si="14"/>
        <v>0</v>
      </c>
      <c r="V59" s="3">
        <f>V57*V58</f>
        <v>0</v>
      </c>
      <c r="W59" s="4">
        <f>SUM(Q59:V59)</f>
        <v>6952197.7978472039</v>
      </c>
      <c r="X59" t="s">
        <v>200</v>
      </c>
    </row>
    <row r="60" spans="2:26" ht="15.75" thickBot="1" x14ac:dyDescent="0.3">
      <c r="C60" t="s">
        <v>101</v>
      </c>
      <c r="E60" s="5">
        <f>'Whitby Jan-Dec22 RPP 2nd TU'!K24</f>
        <v>-241660.21105094533</v>
      </c>
      <c r="F60" s="5">
        <f>'Whitby Jan-Dec22 RPP 2nd TU'!K24</f>
        <v>-241660.21105094533</v>
      </c>
      <c r="L60" s="204"/>
      <c r="M60" s="205" t="s">
        <v>189</v>
      </c>
      <c r="N60" s="205" t="s">
        <v>189</v>
      </c>
      <c r="O60" s="205" t="s">
        <v>189</v>
      </c>
    </row>
    <row r="61" spans="2:26" x14ac:dyDescent="0.25">
      <c r="C61" t="s">
        <v>187</v>
      </c>
      <c r="E61" s="5">
        <f>-E15</f>
        <v>-2221.8810509532263</v>
      </c>
      <c r="F61" s="5"/>
      <c r="J61" s="107" t="s">
        <v>136</v>
      </c>
      <c r="L61" s="206" t="s">
        <v>224</v>
      </c>
      <c r="M61" s="207" t="s">
        <v>190</v>
      </c>
      <c r="N61" s="208" t="s">
        <v>191</v>
      </c>
      <c r="O61" s="208" t="s">
        <v>192</v>
      </c>
    </row>
    <row r="62" spans="2:26" ht="15.75" thickBot="1" x14ac:dyDescent="0.3">
      <c r="E62" s="87">
        <f>SUM(E56:E61)</f>
        <v>72242124.897898093</v>
      </c>
      <c r="F62" s="87">
        <f>SUM(F56:F61)</f>
        <v>72244346.778949052</v>
      </c>
      <c r="G62" s="87">
        <f>E62-F62</f>
        <v>-2221.8810509592295</v>
      </c>
      <c r="H62" s="90" t="s">
        <v>123</v>
      </c>
      <c r="J62" s="105">
        <v>5.0000000000000001E-3</v>
      </c>
      <c r="L62" s="209" t="s">
        <v>96</v>
      </c>
      <c r="M62" s="209">
        <f>+W53</f>
        <v>0</v>
      </c>
      <c r="N62" s="213">
        <f>+W57</f>
        <v>59616651</v>
      </c>
      <c r="O62" s="213">
        <f>+M62-N62</f>
        <v>-59616651</v>
      </c>
      <c r="Q62" s="222" t="e">
        <f>SUM(Q54:V54)/SUM(Q52:V52)</f>
        <v>#DIV/0!</v>
      </c>
    </row>
    <row r="63" spans="2:26" ht="15.75" thickBot="1" x14ac:dyDescent="0.3">
      <c r="J63" s="106">
        <f>J62*F62</f>
        <v>361221.7338947453</v>
      </c>
      <c r="L63" s="210" t="s">
        <v>193</v>
      </c>
      <c r="M63" s="211" t="e">
        <f>M64/M62</f>
        <v>#DIV/0!</v>
      </c>
      <c r="N63" s="211">
        <f>N64/N62</f>
        <v>0.11661503424349019</v>
      </c>
      <c r="O63" s="216">
        <f>O64/O62</f>
        <v>0.11661503424349019</v>
      </c>
    </row>
    <row r="64" spans="2:26" ht="15.75" thickBot="1" x14ac:dyDescent="0.3">
      <c r="B64" s="110" t="s">
        <v>137</v>
      </c>
      <c r="C64" s="110"/>
      <c r="D64" s="110"/>
      <c r="E64" s="15">
        <f>E62-E53</f>
        <v>51056.516619414091</v>
      </c>
      <c r="F64" s="15">
        <f>F62-F53</f>
        <v>53278.397670373321</v>
      </c>
      <c r="G64" s="15">
        <f>E64-F64</f>
        <v>-2221.8810509592295</v>
      </c>
      <c r="J64" s="5"/>
      <c r="L64" s="212" t="s">
        <v>194</v>
      </c>
      <c r="M64" s="214">
        <f>+W55</f>
        <v>0</v>
      </c>
      <c r="N64" s="215">
        <f>+W59</f>
        <v>6952197.7978472039</v>
      </c>
      <c r="O64" s="215">
        <f>+M64-N64</f>
        <v>-6952197.7978472039</v>
      </c>
    </row>
    <row r="65" spans="2:14" ht="15.75" thickTop="1" x14ac:dyDescent="0.25">
      <c r="J65" s="5"/>
    </row>
    <row r="66" spans="2:14" x14ac:dyDescent="0.25">
      <c r="B66" s="68" t="s">
        <v>120</v>
      </c>
      <c r="J66" s="5"/>
    </row>
    <row r="67" spans="2:14" x14ac:dyDescent="0.25">
      <c r="B67" s="90" t="s">
        <v>123</v>
      </c>
      <c r="C67" t="s">
        <v>121</v>
      </c>
      <c r="G67" s="5">
        <f>E18-F60</f>
        <v>544557.83105094638</v>
      </c>
      <c r="J67" s="5"/>
    </row>
    <row r="68" spans="2:14" x14ac:dyDescent="0.25">
      <c r="C68" t="s">
        <v>122</v>
      </c>
      <c r="G68" s="5">
        <f>(E12+E13)-F59</f>
        <v>-13640156.189999998</v>
      </c>
    </row>
    <row r="69" spans="2:14" x14ac:dyDescent="0.25">
      <c r="G69" s="5">
        <f>SUM(G67:G68)</f>
        <v>-13095598.35894905</v>
      </c>
    </row>
    <row r="71" spans="2:14" x14ac:dyDescent="0.25">
      <c r="F71" s="5"/>
    </row>
    <row r="72" spans="2:14" x14ac:dyDescent="0.25">
      <c r="B72" s="68" t="s">
        <v>130</v>
      </c>
      <c r="C72" s="68"/>
      <c r="E72" s="89" t="s">
        <v>195</v>
      </c>
      <c r="F72" s="89" t="s">
        <v>93</v>
      </c>
      <c r="L72" t="s">
        <v>103</v>
      </c>
      <c r="N72" s="217" t="s">
        <v>204</v>
      </c>
    </row>
    <row r="74" spans="2:14" x14ac:dyDescent="0.25">
      <c r="C74" t="s">
        <v>118</v>
      </c>
      <c r="E74" s="5">
        <f>+'Whitby - Jan -Dec 2022'!E78</f>
        <v>12118656.981741607</v>
      </c>
      <c r="F74" s="5">
        <f>'Whitby - Jan -Dec 2022'!E78</f>
        <v>12118656.981741607</v>
      </c>
    </row>
    <row r="75" spans="2:14" x14ac:dyDescent="0.25">
      <c r="C75" t="s">
        <v>107</v>
      </c>
      <c r="E75" s="5">
        <f>'Whitby - Jan -Dec 2022'!E77</f>
        <v>5339816.28</v>
      </c>
      <c r="F75" s="5">
        <f>'Whitby - Jan -Dec 2022'!E77</f>
        <v>5339816.28</v>
      </c>
      <c r="H75" s="35"/>
    </row>
    <row r="76" spans="2:14" ht="15.75" thickBot="1" x14ac:dyDescent="0.3">
      <c r="C76" t="s">
        <v>104</v>
      </c>
      <c r="E76" s="87">
        <f>SUM(E74:E75)</f>
        <v>17458473.261741608</v>
      </c>
      <c r="F76" s="87">
        <f>SUM(F74:F75)</f>
        <v>17458473.261741608</v>
      </c>
      <c r="G76" s="5">
        <f>E76-F76</f>
        <v>0</v>
      </c>
      <c r="H76" s="35"/>
    </row>
    <row r="77" spans="2:14" x14ac:dyDescent="0.25">
      <c r="E77" s="5"/>
      <c r="F77" s="5"/>
      <c r="G77" s="5"/>
      <c r="H77" s="35"/>
    </row>
    <row r="78" spans="2:14" x14ac:dyDescent="0.25">
      <c r="B78" t="s">
        <v>131</v>
      </c>
      <c r="E78" s="43"/>
      <c r="F78" s="23"/>
      <c r="H78" s="35"/>
    </row>
    <row r="79" spans="2:14" ht="15.75" thickBot="1" x14ac:dyDescent="0.3">
      <c r="C79" t="s">
        <v>105</v>
      </c>
      <c r="E79" s="43">
        <f>'Whitby - Jan -Dec 2022'!E56</f>
        <v>5339816.28</v>
      </c>
      <c r="F79" s="5">
        <f>'Whitby - Jan -Dec 2022'!E56</f>
        <v>5339816.28</v>
      </c>
      <c r="H79" s="35"/>
    </row>
    <row r="80" spans="2:14" x14ac:dyDescent="0.25">
      <c r="C80" t="s">
        <v>106</v>
      </c>
      <c r="E80" s="43">
        <f>+N64</f>
        <v>6952197.7978472039</v>
      </c>
      <c r="F80" s="5">
        <f>'Whitby - Jan -Dec 2022'!E58</f>
        <v>12071862.890000001</v>
      </c>
      <c r="H80" s="35"/>
      <c r="J80" s="107" t="s">
        <v>136</v>
      </c>
    </row>
    <row r="81" spans="2:25" ht="15.75" thickBot="1" x14ac:dyDescent="0.3">
      <c r="C81" t="s">
        <v>108</v>
      </c>
      <c r="E81" s="87">
        <f>SUM(E79:E80)</f>
        <v>12292014.077847205</v>
      </c>
      <c r="F81" s="87">
        <f>SUM(F79:F80)</f>
        <v>17411679.170000002</v>
      </c>
      <c r="G81" s="5">
        <f>E81-F81</f>
        <v>-5119665.0921527967</v>
      </c>
      <c r="H81" s="97" t="s">
        <v>110</v>
      </c>
      <c r="J81" s="105">
        <v>5.0000000000000001E-3</v>
      </c>
    </row>
    <row r="82" spans="2:25" ht="15.75" thickBot="1" x14ac:dyDescent="0.3">
      <c r="E82" s="43"/>
      <c r="F82" s="63"/>
      <c r="H82" s="35"/>
      <c r="J82" s="106">
        <f>J81*F81</f>
        <v>87058.395850000015</v>
      </c>
    </row>
    <row r="83" spans="2:25" ht="15.75" thickBot="1" x14ac:dyDescent="0.3">
      <c r="B83" s="110" t="s">
        <v>138</v>
      </c>
      <c r="C83" s="110"/>
      <c r="D83" s="110"/>
      <c r="E83" s="15">
        <f>E81-E76</f>
        <v>-5166459.1838944033</v>
      </c>
      <c r="F83" s="15">
        <f>F81-F76</f>
        <v>-46794.091741606593</v>
      </c>
      <c r="G83" s="15">
        <f>E83-F83</f>
        <v>-5119665.0921527967</v>
      </c>
      <c r="H83" s="35"/>
      <c r="J83" s="5"/>
    </row>
    <row r="84" spans="2:25" ht="15.75" thickTop="1" x14ac:dyDescent="0.25">
      <c r="E84" s="43"/>
      <c r="F84" s="63"/>
      <c r="H84" s="35"/>
      <c r="J84" s="5"/>
    </row>
    <row r="85" spans="2:25" x14ac:dyDescent="0.25">
      <c r="B85" s="90" t="s">
        <v>110</v>
      </c>
      <c r="C85" t="s">
        <v>111</v>
      </c>
      <c r="E85" s="43"/>
      <c r="F85" s="23"/>
      <c r="H85" s="35"/>
    </row>
    <row r="86" spans="2:25" x14ac:dyDescent="0.25">
      <c r="I86" s="5"/>
    </row>
    <row r="87" spans="2:25" x14ac:dyDescent="0.25">
      <c r="G87" s="108"/>
    </row>
    <row r="88" spans="2:25" x14ac:dyDescent="0.25">
      <c r="G88" s="109"/>
      <c r="V88" s="203">
        <f>'Whitby - Jan -Dec 2022'!U43</f>
        <v>0</v>
      </c>
      <c r="X88" s="203">
        <f>'Whitby - Jan -Dec 2022'!V43</f>
        <v>0</v>
      </c>
      <c r="Y88" s="103">
        <f>SUM(N88:X88)</f>
        <v>0</v>
      </c>
    </row>
    <row r="89" spans="2:25" x14ac:dyDescent="0.25">
      <c r="L89" s="217" t="s">
        <v>205</v>
      </c>
      <c r="N89" s="103">
        <f>'Whitby - Jan -Dec 2022'!Q43</f>
        <v>0</v>
      </c>
      <c r="O89" s="103"/>
      <c r="P89" s="103">
        <f>'Whitby - Jan -Dec 2022'!R43</f>
        <v>0</v>
      </c>
      <c r="Q89" s="103"/>
      <c r="R89" s="103">
        <f>'Whitby - Jan -Dec 2022'!S43</f>
        <v>0</v>
      </c>
      <c r="S89" s="103"/>
      <c r="T89" s="103">
        <f>'Whitby - Jan -Dec 2022'!T43</f>
        <v>0</v>
      </c>
      <c r="V89" s="203">
        <f>'Whitby - Jan -Dec 2022'!U44</f>
        <v>0</v>
      </c>
      <c r="Y89" s="4">
        <f>SUM(N89:V89)</f>
        <v>0</v>
      </c>
    </row>
    <row r="90" spans="2:25" x14ac:dyDescent="0.25">
      <c r="N90" s="103">
        <f>'Whitby - Jan -Dec 2022'!Q44</f>
        <v>0</v>
      </c>
      <c r="O90" s="103"/>
      <c r="P90" s="103">
        <f>'Whitby - Jan -Dec 2022'!R44</f>
        <v>0</v>
      </c>
      <c r="Q90" s="103"/>
      <c r="R90" s="103">
        <f>'Whitby - Jan -Dec 2022'!S44</f>
        <v>0</v>
      </c>
      <c r="S90" s="103"/>
      <c r="T90" s="103">
        <f>'Whitby - Jan -Dec 2022'!T44</f>
        <v>0</v>
      </c>
    </row>
    <row r="91" spans="2:25" x14ac:dyDescent="0.25">
      <c r="U91" t="s">
        <v>202</v>
      </c>
    </row>
  </sheetData>
  <mergeCells count="1">
    <mergeCell ref="L58:O59"/>
  </mergeCells>
  <pageMargins left="0.2" right="0.2" top="0.75" bottom="0.75" header="0.3" footer="0.3"/>
  <pageSetup scale="80" orientation="portrait" r:id="rId1"/>
  <headerFooter>
    <oddFooter>&amp;L&amp;Z&amp;F&amp;R&amp;D</oddFooter>
  </headerFooter>
  <rowBreaks count="1" manualBreakCount="1">
    <brk id="45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7"/>
  <sheetViews>
    <sheetView showGridLines="0" tabSelected="1" topLeftCell="A36" zoomScaleNormal="100" workbookViewId="0">
      <selection activeCell="F57" sqref="F57"/>
    </sheetView>
  </sheetViews>
  <sheetFormatPr defaultRowHeight="15" x14ac:dyDescent="0.25"/>
  <cols>
    <col min="1" max="1" width="16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  <col min="11" max="11" width="13" style="112" bestFit="1" customWidth="1"/>
    <col min="12" max="12" width="37.28515625" style="112" customWidth="1"/>
    <col min="13" max="13" width="18" style="112" bestFit="1" customWidth="1"/>
    <col min="14" max="15" width="12.7109375" style="112" customWidth="1"/>
  </cols>
  <sheetData>
    <row r="1" spans="1:15" ht="28.5" x14ac:dyDescent="0.45">
      <c r="A1" s="329" t="s">
        <v>139</v>
      </c>
      <c r="B1" s="329"/>
      <c r="C1" s="329"/>
      <c r="D1" s="329"/>
      <c r="E1" s="329"/>
      <c r="F1" s="329"/>
      <c r="G1" s="329"/>
      <c r="H1" s="329"/>
      <c r="I1" s="329"/>
      <c r="J1" s="111"/>
    </row>
    <row r="2" spans="1:15" ht="16.5" customHeight="1" x14ac:dyDescent="0.4">
      <c r="A2" s="113"/>
      <c r="B2" s="113"/>
      <c r="C2" s="113"/>
      <c r="D2" s="113"/>
      <c r="E2" s="113"/>
      <c r="F2" s="113"/>
      <c r="G2" s="113"/>
      <c r="H2" s="113"/>
      <c r="I2" s="113"/>
      <c r="J2" s="111"/>
    </row>
    <row r="3" spans="1:15" x14ac:dyDescent="0.25">
      <c r="A3" s="2" t="s">
        <v>140</v>
      </c>
      <c r="H3" s="322"/>
      <c r="I3" s="322"/>
    </row>
    <row r="4" spans="1:15" ht="29.45" customHeight="1" thickBot="1" x14ac:dyDescent="0.3">
      <c r="A4" s="330" t="s">
        <v>141</v>
      </c>
      <c r="B4" s="331"/>
      <c r="C4" s="332"/>
      <c r="D4" s="333" t="s">
        <v>142</v>
      </c>
      <c r="E4" s="334"/>
      <c r="F4" s="335" t="s">
        <v>143</v>
      </c>
      <c r="G4" s="336"/>
      <c r="H4" s="340"/>
      <c r="I4" s="340"/>
    </row>
    <row r="5" spans="1:15" ht="30.75" thickBot="1" x14ac:dyDescent="0.3">
      <c r="A5" s="164" t="s">
        <v>144</v>
      </c>
      <c r="B5" s="115" t="s">
        <v>145</v>
      </c>
      <c r="C5" s="115" t="s">
        <v>146</v>
      </c>
      <c r="D5" s="116" t="s">
        <v>112</v>
      </c>
      <c r="E5" s="117" t="s">
        <v>35</v>
      </c>
      <c r="F5" s="118" t="s">
        <v>147</v>
      </c>
      <c r="G5" s="117" t="s">
        <v>35</v>
      </c>
      <c r="H5" s="10"/>
      <c r="I5" s="10"/>
      <c r="J5" s="10"/>
      <c r="K5" s="119"/>
      <c r="L5" s="119"/>
      <c r="M5" s="120"/>
      <c r="N5" s="121"/>
    </row>
    <row r="6" spans="1:15" ht="17.25" x14ac:dyDescent="0.4">
      <c r="A6" s="122" t="s">
        <v>148</v>
      </c>
      <c r="B6" s="123">
        <f>'Whitby - Jan -Dec 2022'!D27</f>
        <v>533578129.35000002</v>
      </c>
      <c r="C6" s="123">
        <f>'Whitby - Jan -Dec 2022'!E27</f>
        <v>533578129.35000002</v>
      </c>
      <c r="D6" s="124">
        <f>'Whitby Jan-Dec22 RPP 2nd TU'!B24</f>
        <v>0.10095274612476954</v>
      </c>
      <c r="E6" s="123">
        <f>C6*D6</f>
        <v>53866177.429999992</v>
      </c>
      <c r="F6" s="125"/>
      <c r="G6" s="125"/>
      <c r="I6" s="43"/>
      <c r="J6" s="372"/>
      <c r="K6" s="153" t="s">
        <v>162</v>
      </c>
      <c r="L6" s="119"/>
      <c r="M6" s="120"/>
      <c r="N6" s="121"/>
    </row>
    <row r="7" spans="1:15" s="112" customFormat="1" x14ac:dyDescent="0.25">
      <c r="A7" s="122" t="s">
        <v>149</v>
      </c>
      <c r="B7" s="126">
        <v>0</v>
      </c>
      <c r="C7" s="126">
        <f>-'Whitby - Jan -Dec 2022'!D7</f>
        <v>162834277</v>
      </c>
      <c r="D7" s="127">
        <f>'Whitby - Jan -Dec 2022'!C85</f>
        <v>4.6999074322469303E-2</v>
      </c>
      <c r="E7" s="126">
        <f>+C7*D7</f>
        <v>7653060.2869685534</v>
      </c>
      <c r="F7" s="122"/>
      <c r="G7" s="126">
        <f>'Whitby - Jan -Dec 2022'!E77</f>
        <v>5339816.28</v>
      </c>
      <c r="H7"/>
      <c r="I7" s="43"/>
      <c r="J7" s="36"/>
      <c r="K7" s="119"/>
      <c r="L7" s="119"/>
      <c r="M7" s="119"/>
      <c r="O7" s="119"/>
    </row>
    <row r="8" spans="1:15" s="112" customFormat="1" ht="15.75" thickBot="1" x14ac:dyDescent="0.3">
      <c r="A8" s="122" t="s">
        <v>150</v>
      </c>
      <c r="B8" s="128">
        <f>'Whitby - Jan -Dec 2022'!D28</f>
        <v>227064699</v>
      </c>
      <c r="C8" s="128">
        <f>'Whitby - Jan -Dec 2022'!D28</f>
        <v>227064699</v>
      </c>
      <c r="D8" s="129">
        <f>'Whitby - Jan -Dec 2022'!C85</f>
        <v>4.6999074322469303E-2</v>
      </c>
      <c r="E8" s="128">
        <f>+D8*C8</f>
        <v>10671830.664310122</v>
      </c>
      <c r="F8" s="129">
        <f>'Whitby - Jan -Dec 2022'!C45</f>
        <v>5.3370942445534461E-2</v>
      </c>
      <c r="G8" s="128">
        <f>B8*F8</f>
        <v>12118656.981741607</v>
      </c>
      <c r="H8" s="265"/>
      <c r="I8" s="43"/>
      <c r="J8" s="36"/>
      <c r="O8" s="130"/>
    </row>
    <row r="9" spans="1:15" s="112" customFormat="1" x14ac:dyDescent="0.25">
      <c r="A9" s="122"/>
      <c r="B9" s="123">
        <f>SUM(B6:B8)</f>
        <v>760642828.35000002</v>
      </c>
      <c r="C9" s="123">
        <f>SUM(C6:C8)</f>
        <v>923477105.35000002</v>
      </c>
      <c r="D9" s="266"/>
      <c r="E9" s="267">
        <f>SUM(E6:E8)</f>
        <v>72191068.381278664</v>
      </c>
      <c r="F9" s="266"/>
      <c r="G9" s="267">
        <f>SUM(G6:G8)</f>
        <v>17458473.261741608</v>
      </c>
      <c r="H9"/>
      <c r="I9" s="43"/>
      <c r="J9" s="373"/>
      <c r="K9" s="119"/>
      <c r="L9" s="119"/>
      <c r="M9" s="134"/>
      <c r="N9" s="135"/>
    </row>
    <row r="10" spans="1:15" s="112" customFormat="1" x14ac:dyDescent="0.25">
      <c r="A10"/>
      <c r="B10" s="5"/>
      <c r="C10" s="5"/>
      <c r="D10"/>
      <c r="E10" s="5"/>
      <c r="F10"/>
      <c r="G10" s="5"/>
      <c r="I10"/>
      <c r="J10" s="373"/>
      <c r="K10" s="119"/>
      <c r="L10" s="119"/>
      <c r="M10" s="134"/>
      <c r="N10" s="135"/>
    </row>
    <row r="11" spans="1:15" ht="15.75" thickBot="1" x14ac:dyDescent="0.3">
      <c r="A11" s="2" t="s">
        <v>151</v>
      </c>
      <c r="E11" s="5"/>
      <c r="F11" s="312"/>
      <c r="G11" s="5"/>
      <c r="H11" s="313"/>
      <c r="J11" s="99"/>
      <c r="K11" s="119"/>
      <c r="L11" s="119"/>
      <c r="M11" s="120"/>
      <c r="N11" s="135"/>
    </row>
    <row r="12" spans="1:15" s="112" customFormat="1" ht="16.5" thickBot="1" x14ac:dyDescent="0.3">
      <c r="A12" s="136"/>
      <c r="B12" s="137"/>
      <c r="C12" s="138"/>
      <c r="D12" s="337" t="s">
        <v>152</v>
      </c>
      <c r="E12" s="338"/>
      <c r="F12" s="338"/>
      <c r="G12" s="338"/>
      <c r="H12" s="338"/>
      <c r="I12" s="339"/>
      <c r="J12" s="317"/>
      <c r="O12" s="130"/>
    </row>
    <row r="13" spans="1:15" s="112" customFormat="1" ht="29.45" customHeight="1" thickBot="1" x14ac:dyDescent="0.3">
      <c r="A13" s="323" t="s">
        <v>141</v>
      </c>
      <c r="B13" s="324"/>
      <c r="C13" s="325"/>
      <c r="D13" s="326" t="s">
        <v>153</v>
      </c>
      <c r="E13" s="327"/>
      <c r="F13" s="326" t="s">
        <v>154</v>
      </c>
      <c r="G13" s="328"/>
      <c r="H13" s="139" t="s">
        <v>155</v>
      </c>
      <c r="I13" s="140" t="s">
        <v>156</v>
      </c>
      <c r="J13" s="318"/>
    </row>
    <row r="14" spans="1:15" s="112" customFormat="1" ht="48" customHeight="1" thickBot="1" x14ac:dyDescent="0.3">
      <c r="A14" s="114" t="s">
        <v>144</v>
      </c>
      <c r="B14" s="115" t="s">
        <v>157</v>
      </c>
      <c r="C14" s="115" t="s">
        <v>158</v>
      </c>
      <c r="D14" s="118" t="s">
        <v>159</v>
      </c>
      <c r="E14" s="117" t="s">
        <v>35</v>
      </c>
      <c r="F14" s="118" t="s">
        <v>160</v>
      </c>
      <c r="G14" s="117" t="s">
        <v>35</v>
      </c>
      <c r="H14" s="139" t="s">
        <v>35</v>
      </c>
      <c r="I14" s="141" t="s">
        <v>35</v>
      </c>
    </row>
    <row r="15" spans="1:15" s="112" customFormat="1" x14ac:dyDescent="0.25">
      <c r="A15" s="142" t="s">
        <v>161</v>
      </c>
      <c r="B15" s="143">
        <f>'Whitby - Jan -Dec 2022'!D10</f>
        <v>533534380.1957314</v>
      </c>
      <c r="C15" s="144">
        <f>'Whitby - Jan -Dec 2022'!E10</f>
        <v>533534380.1957314</v>
      </c>
      <c r="D15" s="145">
        <f>'Whitby - Jan -Dec 2022'!C43</f>
        <v>5.0165911771173681E-2</v>
      </c>
      <c r="E15" s="144">
        <f>C15*D15</f>
        <v>26765238.643786896</v>
      </c>
      <c r="F15" s="145">
        <f>'Whitby - Jan -Dec 2022'!C49</f>
        <v>5.1349553874952311E-2</v>
      </c>
      <c r="G15" s="144">
        <f>B15*F15</f>
        <v>27396752.399999999</v>
      </c>
      <c r="H15" s="146">
        <f>'Whitby Jan-Dec22 RPP 2nd TU'!K24</f>
        <v>-241660.21105094533</v>
      </c>
      <c r="I15" s="147">
        <f>+E15+G15+H15</f>
        <v>53920330.832735956</v>
      </c>
      <c r="J15" s="119"/>
      <c r="K15" s="119"/>
      <c r="L15" s="119"/>
    </row>
    <row r="16" spans="1:15" s="112" customFormat="1" x14ac:dyDescent="0.25">
      <c r="A16" s="122" t="s">
        <v>149</v>
      </c>
      <c r="B16" s="148">
        <v>0</v>
      </c>
      <c r="C16" s="149">
        <f>-'Whitby - Jan -Dec 2022'!D7</f>
        <v>162834277</v>
      </c>
      <c r="D16" s="150">
        <f>'Whitby - Jan -Dec 2022'!C44</f>
        <v>4.6999074322469303E-2</v>
      </c>
      <c r="E16" s="149">
        <f>C16*D16</f>
        <v>7653060.2869685534</v>
      </c>
      <c r="F16" s="150"/>
      <c r="G16" s="149"/>
      <c r="H16" s="151"/>
      <c r="I16" s="152">
        <f>+E16+G16+H16</f>
        <v>7653060.2869685534</v>
      </c>
      <c r="J16" s="119"/>
      <c r="K16" s="153"/>
      <c r="L16" s="153"/>
    </row>
    <row r="17" spans="1:13" s="112" customFormat="1" ht="15.75" thickBot="1" x14ac:dyDescent="0.3">
      <c r="A17" s="122" t="s">
        <v>150</v>
      </c>
      <c r="B17" s="154">
        <f>'Whitby - Jan -Dec 2022'!D11</f>
        <v>227046081.50426865</v>
      </c>
      <c r="C17" s="149">
        <f>'Whitby - Jan -Dec 2022'!D11</f>
        <v>227046081.50426865</v>
      </c>
      <c r="D17" s="155">
        <f>'Whitby - Jan -Dec 2022'!C44</f>
        <v>4.6999074322469303E-2</v>
      </c>
      <c r="E17" s="149">
        <f>C17*D17</f>
        <v>10670955.659244545</v>
      </c>
      <c r="F17" s="129"/>
      <c r="G17" s="156"/>
      <c r="H17" s="151"/>
      <c r="I17" s="152">
        <f>+E17+G17+H17</f>
        <v>10670955.659244545</v>
      </c>
      <c r="J17" s="119"/>
    </row>
    <row r="18" spans="1:13" s="112" customFormat="1" ht="15.75" thickBot="1" x14ac:dyDescent="0.3">
      <c r="A18" s="122"/>
      <c r="B18" s="131">
        <f>SUM(B15:B17)</f>
        <v>760580461.70000005</v>
      </c>
      <c r="C18" s="131">
        <f>SUM(C15:C17)</f>
        <v>923414738.70000005</v>
      </c>
      <c r="D18" s="131"/>
      <c r="E18" s="131">
        <f>SUM(E15:E17)</f>
        <v>45089254.589999996</v>
      </c>
      <c r="F18" s="132"/>
      <c r="G18" s="131">
        <f>SUM(G15:G17)</f>
        <v>27396752.399999999</v>
      </c>
      <c r="H18" s="131">
        <f>SUM(H15:H17)</f>
        <v>-241660.21105094533</v>
      </c>
      <c r="I18" s="133">
        <f>SUM(I15:I17)</f>
        <v>72244346.778949052</v>
      </c>
      <c r="J18" s="119"/>
      <c r="K18" s="119"/>
      <c r="L18" s="119"/>
      <c r="M18" s="119"/>
    </row>
    <row r="19" spans="1:13" s="112" customFormat="1" ht="15.75" thickTop="1" x14ac:dyDescent="0.25">
      <c r="A19"/>
      <c r="B19"/>
      <c r="C19"/>
      <c r="D19"/>
      <c r="E19" s="157"/>
      <c r="F19" s="158"/>
      <c r="G19"/>
      <c r="H19"/>
      <c r="I19" s="303"/>
      <c r="J19" s="5" t="s">
        <v>162</v>
      </c>
      <c r="K19" s="119"/>
      <c r="L19" s="119"/>
    </row>
    <row r="20" spans="1:13" s="112" customFormat="1" x14ac:dyDescent="0.25">
      <c r="A20" s="2" t="s">
        <v>163</v>
      </c>
      <c r="B20"/>
      <c r="C20"/>
      <c r="D20"/>
      <c r="E20"/>
      <c r="F20" s="322"/>
      <c r="G20" s="322"/>
      <c r="H20" s="322"/>
      <c r="I20" s="5"/>
      <c r="J20"/>
      <c r="K20" s="120"/>
      <c r="L20" s="120"/>
    </row>
    <row r="21" spans="1:13" s="112" customFormat="1" ht="16.149999999999999" customHeight="1" thickBot="1" x14ac:dyDescent="0.3">
      <c r="A21" s="330" t="s">
        <v>141</v>
      </c>
      <c r="B21" s="331"/>
      <c r="C21" s="332"/>
      <c r="D21" s="344" t="s">
        <v>164</v>
      </c>
      <c r="E21" s="345"/>
      <c r="F21" s="364"/>
      <c r="G21" s="364"/>
      <c r="H21" s="364"/>
      <c r="I21"/>
      <c r="J21"/>
      <c r="K21" s="130"/>
      <c r="L21" s="130"/>
    </row>
    <row r="22" spans="1:13" s="112" customFormat="1" ht="45" customHeight="1" thickBot="1" x14ac:dyDescent="0.3">
      <c r="A22" s="164" t="s">
        <v>144</v>
      </c>
      <c r="B22" s="115" t="s">
        <v>157</v>
      </c>
      <c r="C22" s="115" t="s">
        <v>158</v>
      </c>
      <c r="D22" s="118" t="s">
        <v>160</v>
      </c>
      <c r="E22" s="117" t="s">
        <v>35</v>
      </c>
      <c r="F22" s="10"/>
      <c r="G22" s="10"/>
      <c r="H22" s="10"/>
      <c r="I22"/>
      <c r="J22"/>
    </row>
    <row r="23" spans="1:13" s="112" customFormat="1" x14ac:dyDescent="0.25">
      <c r="A23" s="122" t="s">
        <v>149</v>
      </c>
      <c r="B23" s="159"/>
      <c r="C23" s="149"/>
      <c r="D23" s="150"/>
      <c r="E23" s="149">
        <f>'Whitby - Jan -Dec 2022'!E77</f>
        <v>5339816.28</v>
      </c>
      <c r="F23" s="43"/>
      <c r="G23" s="43"/>
      <c r="H23" s="262"/>
      <c r="I23"/>
      <c r="J23"/>
    </row>
    <row r="24" spans="1:13" s="112" customFormat="1" ht="15.75" thickBot="1" x14ac:dyDescent="0.3">
      <c r="A24" s="122" t="s">
        <v>150</v>
      </c>
      <c r="B24" s="159">
        <f>B17</f>
        <v>227046081.50426865</v>
      </c>
      <c r="C24" s="149"/>
      <c r="D24" s="129">
        <f>'Whitby - Jan -Dec 2022'!C50</f>
        <v>5.3169219261654778E-2</v>
      </c>
      <c r="E24" s="149">
        <f>+D24*B24</f>
        <v>12071862.890000001</v>
      </c>
      <c r="F24" s="43"/>
      <c r="G24" s="263"/>
      <c r="H24" s="262"/>
      <c r="I24"/>
      <c r="J24"/>
    </row>
    <row r="25" spans="1:13" s="112" customFormat="1" x14ac:dyDescent="0.25">
      <c r="A25" s="122"/>
      <c r="B25" s="126">
        <f>+B23+B24</f>
        <v>227046081.50426865</v>
      </c>
      <c r="C25" s="126">
        <f>+C23+C24</f>
        <v>0</v>
      </c>
      <c r="D25" s="150"/>
      <c r="E25" s="264">
        <f>+E23+E24</f>
        <v>17411679.170000002</v>
      </c>
      <c r="F25" s="43"/>
      <c r="G25" s="262"/>
      <c r="H25" s="262"/>
      <c r="I25"/>
      <c r="J25"/>
      <c r="K25" s="130"/>
      <c r="L25" s="130"/>
    </row>
    <row r="26" spans="1:13" s="112" customFormat="1" x14ac:dyDescent="0.25">
      <c r="A26"/>
      <c r="B26" s="5"/>
      <c r="C26" s="5"/>
      <c r="D26" s="13"/>
      <c r="E26" s="5"/>
      <c r="F26"/>
      <c r="H26" s="119"/>
      <c r="I26"/>
      <c r="J26"/>
      <c r="K26" s="130"/>
      <c r="L26" s="130"/>
    </row>
    <row r="27" spans="1:13" s="112" customFormat="1" ht="15.75" thickBot="1" x14ac:dyDescent="0.3">
      <c r="A27" s="2" t="s">
        <v>165</v>
      </c>
      <c r="B27" s="13"/>
      <c r="C27" s="5"/>
      <c r="D27"/>
      <c r="E27" s="5"/>
      <c r="F27"/>
      <c r="G27"/>
      <c r="H27" s="5" t="s">
        <v>162</v>
      </c>
      <c r="I27"/>
      <c r="J27"/>
    </row>
    <row r="28" spans="1:13" s="112" customFormat="1" ht="15" customHeight="1" thickBot="1" x14ac:dyDescent="0.3">
      <c r="A28" s="49"/>
      <c r="B28" s="160"/>
      <c r="C28" s="346" t="s">
        <v>166</v>
      </c>
      <c r="D28" s="338"/>
      <c r="E28" s="338"/>
      <c r="F28" s="338"/>
      <c r="G28" s="338"/>
      <c r="H28" s="338"/>
      <c r="I28" s="339"/>
    </row>
    <row r="29" spans="1:13" s="112" customFormat="1" ht="15.75" thickBot="1" x14ac:dyDescent="0.3">
      <c r="A29" s="347"/>
      <c r="B29" s="348"/>
      <c r="C29" s="161"/>
      <c r="D29" s="10"/>
      <c r="F29" s="353"/>
      <c r="G29" s="354"/>
      <c r="H29" s="354"/>
      <c r="I29" s="355"/>
    </row>
    <row r="30" spans="1:13" s="112" customFormat="1" ht="15" customHeight="1" thickBot="1" x14ac:dyDescent="0.3">
      <c r="A30" s="349"/>
      <c r="B30" s="350"/>
      <c r="C30" s="356" t="s">
        <v>167</v>
      </c>
      <c r="D30" s="357"/>
      <c r="E30" s="162">
        <f>+I18-E9</f>
        <v>53278.397670388222</v>
      </c>
      <c r="F30" s="341" t="s">
        <v>168</v>
      </c>
      <c r="G30" s="342"/>
      <c r="H30" s="342"/>
      <c r="I30" s="343"/>
      <c r="J30" s="119"/>
    </row>
    <row r="31" spans="1:13" s="112" customFormat="1" ht="16.5" thickTop="1" thickBot="1" x14ac:dyDescent="0.3">
      <c r="A31" s="351"/>
      <c r="B31" s="352"/>
      <c r="C31" s="163"/>
      <c r="E31" s="119"/>
      <c r="F31" s="358"/>
      <c r="G31" s="359"/>
      <c r="H31" s="359"/>
      <c r="I31" s="360"/>
    </row>
    <row r="32" spans="1:13" s="112" customFormat="1" ht="16.5" thickBot="1" x14ac:dyDescent="0.3">
      <c r="A32" s="114" t="s">
        <v>144</v>
      </c>
      <c r="B32" s="164" t="s">
        <v>169</v>
      </c>
      <c r="C32" s="165" t="s">
        <v>170</v>
      </c>
      <c r="D32" s="166" t="s">
        <v>171</v>
      </c>
      <c r="E32" s="167" t="s">
        <v>83</v>
      </c>
      <c r="F32" s="361" t="s">
        <v>172</v>
      </c>
      <c r="G32" s="362"/>
      <c r="H32" s="362"/>
      <c r="I32" s="363"/>
    </row>
    <row r="33" spans="1:12" s="112" customFormat="1" x14ac:dyDescent="0.25">
      <c r="A33" s="168" t="s">
        <v>148</v>
      </c>
      <c r="B33" s="169" t="s">
        <v>173</v>
      </c>
      <c r="C33" s="170">
        <f>+C15</f>
        <v>533534380.1957314</v>
      </c>
      <c r="D33" s="171">
        <f>((+I15)/C15)-D6</f>
        <v>1.0977736800865667E-4</v>
      </c>
      <c r="E33" s="172">
        <f>+C33*D33</f>
        <v>58570.000000017353</v>
      </c>
      <c r="F33" s="342" t="s">
        <v>174</v>
      </c>
      <c r="G33" s="342"/>
      <c r="H33" s="342"/>
      <c r="I33" s="343"/>
    </row>
    <row r="34" spans="1:12" s="112" customFormat="1" x14ac:dyDescent="0.25">
      <c r="A34" s="168" t="s">
        <v>148</v>
      </c>
      <c r="B34" s="169" t="s">
        <v>175</v>
      </c>
      <c r="C34" s="173">
        <f>+C15-C6</f>
        <v>-43749.154268622398</v>
      </c>
      <c r="D34" s="174">
        <f>D6</f>
        <v>0.10095274612476954</v>
      </c>
      <c r="E34" s="175">
        <f>+C34*D34</f>
        <v>-4416.5972640536147</v>
      </c>
      <c r="F34" s="342" t="s">
        <v>176</v>
      </c>
      <c r="G34" s="342"/>
      <c r="H34" s="342"/>
      <c r="I34" s="343"/>
    </row>
    <row r="35" spans="1:12" s="112" customFormat="1" x14ac:dyDescent="0.25">
      <c r="A35" s="176" t="s">
        <v>150</v>
      </c>
      <c r="B35" s="169" t="s">
        <v>177</v>
      </c>
      <c r="C35" s="173">
        <f>+C16+C17</f>
        <v>389880358.50426865</v>
      </c>
      <c r="D35" s="177">
        <f>+D16-D7</f>
        <v>0</v>
      </c>
      <c r="E35" s="175">
        <f>+C35*D35</f>
        <v>0</v>
      </c>
      <c r="F35" s="342" t="s">
        <v>174</v>
      </c>
      <c r="G35" s="342"/>
      <c r="H35" s="342"/>
      <c r="I35" s="343"/>
      <c r="J35"/>
      <c r="K35" s="119">
        <f>-E11+I20</f>
        <v>0</v>
      </c>
    </row>
    <row r="36" spans="1:12" s="112" customFormat="1" ht="15.75" thickBot="1" x14ac:dyDescent="0.3">
      <c r="A36" s="168" t="s">
        <v>150</v>
      </c>
      <c r="B36" s="169" t="s">
        <v>175</v>
      </c>
      <c r="C36" s="178">
        <f>(+C17+C16)-(C8+C7)</f>
        <v>-18617.49573135376</v>
      </c>
      <c r="D36" s="179">
        <f>+D7</f>
        <v>4.6999074322469303E-2</v>
      </c>
      <c r="E36" s="180">
        <f>+C36*D36</f>
        <v>-875.0050655761504</v>
      </c>
      <c r="F36" s="342" t="s">
        <v>176</v>
      </c>
      <c r="G36" s="342"/>
      <c r="H36" s="342"/>
      <c r="I36" s="343"/>
      <c r="J36" s="23"/>
      <c r="K36" s="260"/>
    </row>
    <row r="37" spans="1:12" s="112" customFormat="1" ht="15.75" thickBot="1" x14ac:dyDescent="0.3">
      <c r="A37" s="181"/>
      <c r="B37" s="122"/>
      <c r="C37" s="182" t="s">
        <v>178</v>
      </c>
      <c r="D37" s="183"/>
      <c r="E37" s="184">
        <f>SUM(E33:E36)</f>
        <v>53278.397670387589</v>
      </c>
      <c r="F37" s="341"/>
      <c r="G37" s="342"/>
      <c r="H37" s="342"/>
      <c r="I37" s="343"/>
      <c r="J37" s="120"/>
      <c r="K37" s="261"/>
      <c r="L37" s="314"/>
    </row>
    <row r="38" spans="1:12" s="112" customFormat="1" ht="15.75" thickTop="1" x14ac:dyDescent="0.25">
      <c r="B38"/>
      <c r="C38" s="63"/>
      <c r="D38"/>
      <c r="E38" s="5"/>
      <c r="F38" s="63"/>
      <c r="G38" s="63"/>
      <c r="H38" s="63"/>
      <c r="I38" s="63"/>
      <c r="L38" s="315"/>
    </row>
    <row r="39" spans="1:12" s="112" customFormat="1" ht="15.75" thickBot="1" x14ac:dyDescent="0.3">
      <c r="A39" s="2" t="s">
        <v>179</v>
      </c>
      <c r="B39" s="5"/>
      <c r="C39" s="5"/>
      <c r="D39"/>
      <c r="E39"/>
      <c r="F39"/>
      <c r="G39"/>
      <c r="H39"/>
      <c r="J39"/>
      <c r="L39" s="315"/>
    </row>
    <row r="40" spans="1:12" s="112" customFormat="1" ht="16.5" thickBot="1" x14ac:dyDescent="0.3">
      <c r="A40" s="49"/>
      <c r="B40" s="158"/>
      <c r="C40" s="346" t="s">
        <v>180</v>
      </c>
      <c r="D40" s="338"/>
      <c r="E40" s="338"/>
      <c r="F40" s="338" t="s">
        <v>172</v>
      </c>
      <c r="G40" s="338"/>
      <c r="H40" s="338"/>
      <c r="I40" s="339"/>
      <c r="L40" s="315"/>
    </row>
    <row r="41" spans="1:12" s="112" customFormat="1" ht="15.75" thickBot="1" x14ac:dyDescent="0.3">
      <c r="A41" s="347"/>
      <c r="B41" s="348"/>
      <c r="C41" s="185"/>
      <c r="D41" s="10"/>
      <c r="E41"/>
      <c r="F41" s="358"/>
      <c r="G41" s="359"/>
      <c r="H41" s="359"/>
      <c r="I41" s="360"/>
      <c r="L41" s="315"/>
    </row>
    <row r="42" spans="1:12" s="112" customFormat="1" ht="15" customHeight="1" thickBot="1" x14ac:dyDescent="0.3">
      <c r="A42" s="349"/>
      <c r="B42" s="350"/>
      <c r="C42" s="356" t="s">
        <v>167</v>
      </c>
      <c r="D42" s="357"/>
      <c r="E42" s="162">
        <f>+E25+H25-G9-I9</f>
        <v>-46794.091741606593</v>
      </c>
      <c r="F42" s="341" t="s">
        <v>168</v>
      </c>
      <c r="G42" s="342"/>
      <c r="H42" s="342"/>
      <c r="I42" s="343"/>
      <c r="L42" s="315"/>
    </row>
    <row r="43" spans="1:12" s="112" customFormat="1" ht="16.5" thickTop="1" thickBot="1" x14ac:dyDescent="0.3">
      <c r="A43" s="351"/>
      <c r="B43" s="352"/>
      <c r="C43" s="163"/>
      <c r="E43" s="119"/>
      <c r="F43" s="358"/>
      <c r="G43" s="359"/>
      <c r="H43" s="359"/>
      <c r="I43" s="360"/>
      <c r="L43" s="315"/>
    </row>
    <row r="44" spans="1:12" s="112" customFormat="1" ht="16.5" thickBot="1" x14ac:dyDescent="0.3">
      <c r="A44" s="114" t="s">
        <v>144</v>
      </c>
      <c r="B44" s="164" t="s">
        <v>169</v>
      </c>
      <c r="C44" s="165" t="s">
        <v>170</v>
      </c>
      <c r="D44" s="166" t="s">
        <v>171</v>
      </c>
      <c r="E44" s="167" t="s">
        <v>83</v>
      </c>
      <c r="F44" s="361" t="s">
        <v>172</v>
      </c>
      <c r="G44" s="362"/>
      <c r="H44" s="362"/>
      <c r="I44" s="363"/>
      <c r="L44" s="315"/>
    </row>
    <row r="45" spans="1:12" s="112" customFormat="1" x14ac:dyDescent="0.25">
      <c r="A45" s="186" t="s">
        <v>150</v>
      </c>
      <c r="B45" s="187" t="s">
        <v>173</v>
      </c>
      <c r="C45" s="188">
        <f>+B24</f>
        <v>227046081.50426865</v>
      </c>
      <c r="D45" s="189">
        <f>+D24-F8</f>
        <v>-2.0172318387968319E-4</v>
      </c>
      <c r="E45" s="172">
        <f>+D45*C45</f>
        <v>-45800.45844844712</v>
      </c>
      <c r="F45" s="365" t="s">
        <v>181</v>
      </c>
      <c r="G45" s="365"/>
      <c r="H45" s="365"/>
      <c r="I45" s="366"/>
      <c r="J45" s="190"/>
      <c r="L45" s="315"/>
    </row>
    <row r="46" spans="1:12" s="112" customFormat="1" x14ac:dyDescent="0.25">
      <c r="A46" s="168" t="s">
        <v>150</v>
      </c>
      <c r="B46" s="169" t="s">
        <v>175</v>
      </c>
      <c r="C46" s="173">
        <f>+B8-B24</f>
        <v>18617.49573135376</v>
      </c>
      <c r="D46" s="174">
        <f>-F8</f>
        <v>-5.3370942445534461E-2</v>
      </c>
      <c r="E46" s="268">
        <f>+C46*D46</f>
        <v>-993.63329315806504</v>
      </c>
      <c r="F46" s="367" t="s">
        <v>176</v>
      </c>
      <c r="G46" s="367"/>
      <c r="H46" s="367"/>
      <c r="I46" s="368"/>
      <c r="J46" s="23"/>
      <c r="K46" s="119"/>
      <c r="L46" s="315"/>
    </row>
    <row r="47" spans="1:12" s="112" customFormat="1" ht="15.75" thickBot="1" x14ac:dyDescent="0.3">
      <c r="A47" s="254"/>
      <c r="B47" s="142"/>
      <c r="C47" s="182" t="s">
        <v>178</v>
      </c>
      <c r="D47" s="182"/>
      <c r="E47" s="184">
        <f>SUM(E45:E46)</f>
        <v>-46794.091741605182</v>
      </c>
      <c r="F47" s="369"/>
      <c r="G47" s="370"/>
      <c r="H47" s="370"/>
      <c r="I47" s="371"/>
      <c r="J47" s="120"/>
      <c r="K47" s="261"/>
      <c r="L47" s="314"/>
    </row>
    <row r="48" spans="1:12" s="112" customFormat="1" ht="15.75" thickTop="1" x14ac:dyDescent="0.25">
      <c r="A48"/>
      <c r="B48"/>
      <c r="C48"/>
    </row>
    <row r="55" spans="9:12" x14ac:dyDescent="0.25">
      <c r="I55" s="191"/>
      <c r="J55" s="100"/>
      <c r="K55" s="130"/>
      <c r="L55" s="130"/>
    </row>
    <row r="56" spans="9:12" x14ac:dyDescent="0.25">
      <c r="I56" s="191"/>
      <c r="J56" s="100"/>
      <c r="K56" s="130"/>
      <c r="L56" s="130"/>
    </row>
    <row r="57" spans="9:12" x14ac:dyDescent="0.25">
      <c r="I57" s="24"/>
      <c r="J57" s="21"/>
      <c r="K57" s="130"/>
      <c r="L57" s="130"/>
    </row>
  </sheetData>
  <mergeCells count="36">
    <mergeCell ref="F44:I44"/>
    <mergeCell ref="F45:I45"/>
    <mergeCell ref="F46:I46"/>
    <mergeCell ref="F47:I47"/>
    <mergeCell ref="C40:I40"/>
    <mergeCell ref="A41:B43"/>
    <mergeCell ref="F41:I41"/>
    <mergeCell ref="C42:D42"/>
    <mergeCell ref="F42:I42"/>
    <mergeCell ref="F43:I43"/>
    <mergeCell ref="F37:I37"/>
    <mergeCell ref="A21:C21"/>
    <mergeCell ref="D21:E21"/>
    <mergeCell ref="C28:I28"/>
    <mergeCell ref="A29:B31"/>
    <mergeCell ref="F29:I29"/>
    <mergeCell ref="C30:D30"/>
    <mergeCell ref="F30:I30"/>
    <mergeCell ref="F31:I31"/>
    <mergeCell ref="F32:I32"/>
    <mergeCell ref="F33:I33"/>
    <mergeCell ref="F34:I34"/>
    <mergeCell ref="F35:I35"/>
    <mergeCell ref="F36:I36"/>
    <mergeCell ref="F21:H21"/>
    <mergeCell ref="F20:H20"/>
    <mergeCell ref="A13:C13"/>
    <mergeCell ref="D13:E13"/>
    <mergeCell ref="F13:G13"/>
    <mergeCell ref="A1:I1"/>
    <mergeCell ref="A4:C4"/>
    <mergeCell ref="D4:E4"/>
    <mergeCell ref="F4:G4"/>
    <mergeCell ref="D12:I12"/>
    <mergeCell ref="H4:I4"/>
    <mergeCell ref="H3:I3"/>
  </mergeCells>
  <pageMargins left="0.7" right="0.7" top="0.75" bottom="0.75" header="0.3" footer="0.3"/>
  <pageSetup paperSize="17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Whitby - Jan -Dec 2022</vt:lpstr>
      <vt:lpstr>Whitby Jan-Dec22 RPP 2nd TU</vt:lpstr>
      <vt:lpstr>WH Settlement Comparison Orig</vt:lpstr>
      <vt:lpstr>Final RSVA Balances</vt:lpstr>
      <vt:lpstr>'WH Settlement Comparison Orig'!Print_Area</vt:lpstr>
      <vt:lpstr>'Whitby - Jan -Dec 2022'!Print_Area</vt:lpstr>
      <vt:lpstr>'WH Settlement Comparison Orig'!Print_Titles</vt:lpstr>
      <vt:lpstr>'Whitby - Jan -Dec 2022'!Print_Titles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Reffle</dc:creator>
  <cp:lastModifiedBy>Cindy Perrin</cp:lastModifiedBy>
  <cp:lastPrinted>2021-03-24T12:23:21Z</cp:lastPrinted>
  <dcterms:created xsi:type="dcterms:W3CDTF">2019-07-16T19:41:05Z</dcterms:created>
  <dcterms:modified xsi:type="dcterms:W3CDTF">2023-08-16T16:19:08Z</dcterms:modified>
</cp:coreProperties>
</file>