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IRM Model 2024 Rates\Appendices\"/>
    </mc:Choice>
  </mc:AlternateContent>
  <bookViews>
    <workbookView xWindow="0" yWindow="0" windowWidth="28800" windowHeight="12000"/>
  </bookViews>
  <sheets>
    <sheet name="Sheet1" sheetId="1" r:id="rId1"/>
  </sheets>
  <externalReferences>
    <externalReference r:id="rId2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  <definedName name="SME">'[1]17. Regulatory Charges'!$D$33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5" i="1"/>
  <c r="G22" i="1"/>
  <c r="G21" i="1"/>
  <c r="G20" i="1"/>
  <c r="H52" i="1"/>
  <c r="G31" i="1"/>
  <c r="F38" i="1" l="1"/>
  <c r="H38" i="1"/>
  <c r="H32" i="1"/>
  <c r="H31" i="1"/>
  <c r="H30" i="1"/>
  <c r="D30" i="1"/>
  <c r="G30" i="1"/>
  <c r="H19" i="1"/>
  <c r="J12" i="1"/>
  <c r="J11" i="1"/>
  <c r="I11" i="1"/>
  <c r="G28" i="1"/>
  <c r="G27" i="1"/>
  <c r="G16" i="1"/>
  <c r="G12" i="1"/>
  <c r="D19" i="1" l="1"/>
  <c r="D20" i="1"/>
  <c r="E20" i="1" s="1"/>
  <c r="E19" i="1"/>
  <c r="D16" i="1"/>
  <c r="E16" i="1" s="1"/>
  <c r="D12" i="1"/>
  <c r="E12" i="1" s="1"/>
  <c r="F37" i="1"/>
  <c r="D36" i="1"/>
  <c r="D34" i="1"/>
  <c r="E32" i="1"/>
  <c r="E31" i="1"/>
  <c r="E30" i="1"/>
  <c r="H28" i="1"/>
  <c r="I28" i="1" s="1"/>
  <c r="J28" i="1" s="1"/>
  <c r="E28" i="1"/>
  <c r="D28" i="1"/>
  <c r="H27" i="1"/>
  <c r="I27" i="1" s="1"/>
  <c r="J27" i="1" s="1"/>
  <c r="E27" i="1"/>
  <c r="D27" i="1"/>
  <c r="H25" i="1"/>
  <c r="I25" i="1" s="1"/>
  <c r="J25" i="1" s="1"/>
  <c r="E25" i="1"/>
  <c r="D25" i="1"/>
  <c r="H24" i="1"/>
  <c r="I24" i="1" s="1"/>
  <c r="J24" i="1" s="1"/>
  <c r="E24" i="1"/>
  <c r="H23" i="1"/>
  <c r="C23" i="1"/>
  <c r="E23" i="1" s="1"/>
  <c r="H22" i="1"/>
  <c r="I22" i="1" s="1"/>
  <c r="J22" i="1" s="1"/>
  <c r="E22" i="1"/>
  <c r="D22" i="1"/>
  <c r="H20" i="1"/>
  <c r="I20" i="1" s="1"/>
  <c r="H16" i="1"/>
  <c r="G15" i="1"/>
  <c r="H15" i="1" s="1"/>
  <c r="I15" i="1" s="1"/>
  <c r="J15" i="1" s="1"/>
  <c r="E15" i="1"/>
  <c r="I14" i="1"/>
  <c r="J14" i="1" s="1"/>
  <c r="G14" i="1"/>
  <c r="G13" i="1"/>
  <c r="H12" i="1"/>
  <c r="G11" i="1"/>
  <c r="H11" i="1" s="1"/>
  <c r="E11" i="1"/>
  <c r="G37" i="1"/>
  <c r="H37" i="1" s="1"/>
  <c r="H42" i="1"/>
  <c r="E36" i="1" l="1"/>
  <c r="E34" i="1"/>
  <c r="I32" i="1"/>
  <c r="J32" i="1" s="1"/>
  <c r="I23" i="1"/>
  <c r="J23" i="1" s="1"/>
  <c r="I37" i="1"/>
  <c r="J37" i="1" s="1"/>
  <c r="E17" i="1"/>
  <c r="J20" i="1"/>
  <c r="I12" i="1"/>
  <c r="H17" i="1"/>
  <c r="I16" i="1"/>
  <c r="J16" i="1" s="1"/>
  <c r="I19" i="1"/>
  <c r="J19" i="1" s="1"/>
  <c r="G38" i="1"/>
  <c r="D31" i="1"/>
  <c r="G36" i="1"/>
  <c r="H36" i="1" s="1"/>
  <c r="I36" i="1" s="1"/>
  <c r="J36" i="1" s="1"/>
  <c r="C18" i="1"/>
  <c r="D18" i="1" s="1"/>
  <c r="E18" i="1" s="1"/>
  <c r="E26" i="1" s="1"/>
  <c r="G34" i="1"/>
  <c r="H34" i="1" s="1"/>
  <c r="I34" i="1" s="1"/>
  <c r="J34" i="1" s="1"/>
  <c r="D37" i="1"/>
  <c r="E37" i="1" s="1"/>
  <c r="D35" i="1"/>
  <c r="E35" i="1" s="1"/>
  <c r="D21" i="1"/>
  <c r="E21" i="1" s="1"/>
  <c r="E42" i="1"/>
  <c r="I42" i="1" s="1"/>
  <c r="H47" i="1"/>
  <c r="F18" i="1"/>
  <c r="G18" i="1" s="1"/>
  <c r="E52" i="1"/>
  <c r="H21" i="1"/>
  <c r="G35" i="1"/>
  <c r="H35" i="1" s="1"/>
  <c r="E47" i="1"/>
  <c r="D38" i="1"/>
  <c r="E38" i="1" s="1"/>
  <c r="H18" i="1" l="1"/>
  <c r="I31" i="1"/>
  <c r="J31" i="1" s="1"/>
  <c r="I21" i="1"/>
  <c r="J21" i="1" s="1"/>
  <c r="I35" i="1"/>
  <c r="J35" i="1" s="1"/>
  <c r="I38" i="1"/>
  <c r="J38" i="1" s="1"/>
  <c r="I30" i="1"/>
  <c r="J30" i="1" s="1"/>
  <c r="I17" i="1"/>
  <c r="J17" i="1" s="1"/>
  <c r="I18" i="1" l="1"/>
  <c r="J18" i="1" s="1"/>
  <c r="H26" i="1"/>
  <c r="H29" i="1" s="1"/>
  <c r="H50" i="1" s="1"/>
  <c r="E29" i="1"/>
  <c r="I26" i="1" l="1"/>
  <c r="J26" i="1" s="1"/>
  <c r="H51" i="1"/>
  <c r="E50" i="1"/>
  <c r="E51" i="1" s="1"/>
  <c r="E53" i="1" s="1"/>
  <c r="E45" i="1"/>
  <c r="E40" i="1"/>
  <c r="H40" i="1"/>
  <c r="H45" i="1"/>
  <c r="I29" i="1"/>
  <c r="J29" i="1" s="1"/>
  <c r="I50" i="1" l="1"/>
  <c r="J50" i="1" s="1"/>
  <c r="E41" i="1"/>
  <c r="E43" i="1" s="1"/>
  <c r="E46" i="1"/>
  <c r="E48" i="1"/>
  <c r="I51" i="1"/>
  <c r="J51" i="1" s="1"/>
  <c r="I45" i="1"/>
  <c r="J45" i="1" s="1"/>
  <c r="H46" i="1"/>
  <c r="H41" i="1"/>
  <c r="I40" i="1"/>
  <c r="J40" i="1" s="1"/>
  <c r="I46" i="1" l="1"/>
  <c r="J46" i="1" s="1"/>
  <c r="H48" i="1"/>
  <c r="I48" i="1" s="1"/>
  <c r="J48" i="1" s="1"/>
  <c r="I41" i="1"/>
  <c r="J41" i="1" s="1"/>
  <c r="H43" i="1"/>
  <c r="I43" i="1" s="1"/>
  <c r="J43" i="1" s="1"/>
  <c r="H53" i="1"/>
  <c r="I53" i="1" s="1"/>
  <c r="J53" i="1" l="1"/>
</calcChain>
</file>

<file path=xl/sharedStrings.xml><?xml version="1.0" encoding="utf-8"?>
<sst xmlns="http://schemas.openxmlformats.org/spreadsheetml/2006/main" count="65" uniqueCount="53">
  <si>
    <t>Customer Class:</t>
  </si>
  <si>
    <t>EMBEDDED DISTRIBUTOR SERVICE CLASSIFICATION (Wellandport and Port Davidson)</t>
  </si>
  <si>
    <t>RPP / Non-RPP:</t>
  </si>
  <si>
    <t>Non-RPP (Other)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</si>
  <si>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</si>
  <si>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</si>
  <si>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</si>
  <si>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</si>
  <si>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</si>
  <si>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</si>
  <si>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</si>
  <si>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</si>
  <si>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</si>
  <si>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</si>
  <si>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</si>
  <si>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</si>
  <si>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</si>
  <si>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</si>
  <si>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</si>
  <si>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</si>
  <si>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</si>
  <si>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</si>
  <si>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</si>
  <si>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</si>
  <si>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</si>
  <si>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</si>
  <si>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</si>
  <si>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</si>
  <si>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</si>
  <si>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</si>
  <si>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</si>
  <si>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</si>
  <si>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</si>
  <si>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</si>
  <si>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</si>
  <si>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</si>
  <si>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</si>
  <si>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</si>
  <si>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</si>
  <si>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</si>
  <si>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</si>
  <si>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</si>
  <si>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</si>
  <si>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</si>
  <si>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</si>
  <si>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</si>
  <si>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</si>
  <si>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</si>
  <si>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</si>
  <si>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Ontario Electricity Rebate</t>
  </si>
  <si>
    <t>Total Bill on TOU</t>
  </si>
  <si>
    <t>Total Bill on Non-RPP Avg. Price</t>
  </si>
  <si>
    <t>Total Bill on Average IESO Wholesale 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</si>
</sst>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0.0000"/>
    <numFmt numFmtId="167" formatCode="_-&quot;$&quot;* #,##0.0000_-;\-&quot;$&quot;* #,##0.0000_-;_-&quot;$&quot;* &quot;-&quot;??_-;_-@_-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44" fontId="2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44" fontId="7" fillId="2" borderId="9" xfId="4" applyNumberFormat="1" applyFont="1" applyFill="1" applyBorder="1" applyAlignment="1" applyProtection="1">
      <alignment horizontal="left" vertical="center"/>
      <protection locked="0"/>
    </xf>
    <xf numFmtId="0" fontId="7" fillId="0" borderId="7" xfId="1" applyFont="1" applyFill="1" applyBorder="1" applyAlignment="1" applyProtection="1">
      <alignment vertical="center"/>
      <protection locked="0"/>
    </xf>
    <xf numFmtId="44" fontId="7" fillId="0" borderId="7" xfId="4" applyFont="1" applyBorder="1" applyAlignment="1" applyProtection="1">
      <alignment vertical="center"/>
      <protection locked="0"/>
    </xf>
    <xf numFmtId="44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167" fontId="7" fillId="2" borderId="9" xfId="4" applyNumberFormat="1" applyFont="1" applyFill="1" applyBorder="1" applyAlignment="1" applyProtection="1">
      <alignment horizontal="left" vertical="center"/>
      <protection locked="0"/>
    </xf>
    <xf numFmtId="0" fontId="7" fillId="0" borderId="9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7" fontId="2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44" fontId="8" fillId="3" borderId="5" xfId="4" applyFont="1" applyFill="1" applyBorder="1" applyAlignment="1" applyProtection="1">
      <alignment vertical="center"/>
      <protection locked="0"/>
    </xf>
    <xf numFmtId="167" fontId="9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165" fontId="1" fillId="4" borderId="9" xfId="2" applyNumberFormat="1" applyFont="1" applyFill="1" applyBorder="1" applyAlignment="1" applyProtection="1">
      <alignment vertical="center"/>
      <protection locked="0"/>
    </xf>
    <xf numFmtId="165" fontId="7" fillId="4" borderId="9" xfId="2" applyNumberFormat="1" applyFont="1" applyFill="1" applyBorder="1" applyAlignment="1" applyProtection="1">
      <alignment vertical="center"/>
      <protection locked="0"/>
    </xf>
    <xf numFmtId="165" fontId="1" fillId="0" borderId="9" xfId="2" applyNumberFormat="1" applyFont="1" applyFill="1" applyBorder="1" applyAlignment="1" applyProtection="1">
      <alignment vertical="center"/>
      <protection locked="0"/>
    </xf>
    <xf numFmtId="165" fontId="7" fillId="0" borderId="9" xfId="2" applyNumberFormat="1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164" fontId="2" fillId="2" borderId="9" xfId="4" applyNumberFormat="1" applyFont="1" applyFill="1" applyBorder="1" applyAlignment="1" applyProtection="1">
      <alignment horizontal="left" vertical="center"/>
      <protection locked="0"/>
    </xf>
    <xf numFmtId="16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1" fillId="3" borderId="1" xfId="1" applyFont="1" applyFill="1" applyBorder="1" applyAlignment="1" applyProtection="1">
      <alignment vertical="center"/>
      <protection locked="0"/>
    </xf>
    <xf numFmtId="44" fontId="2" fillId="3" borderId="5" xfId="1" applyNumberFormat="1" applyFont="1" applyFill="1" applyBorder="1" applyAlignment="1" applyProtection="1">
      <alignment vertical="center"/>
      <protection locked="0"/>
    </xf>
    <xf numFmtId="0" fontId="9" fillId="3" borderId="1" xfId="1" applyFont="1" applyFill="1" applyBorder="1" applyAlignment="1" applyProtection="1">
      <alignment horizontal="left" vertical="center"/>
      <protection locked="0"/>
    </xf>
    <xf numFmtId="0" fontId="1" fillId="3" borderId="5" xfId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167" fontId="9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7" fontId="2" fillId="0" borderId="9" xfId="4" applyNumberFormat="1" applyFont="1" applyFill="1" applyBorder="1" applyAlignment="1" applyProtection="1">
      <alignment horizontal="left" vertical="center"/>
      <protection locked="0"/>
    </xf>
    <xf numFmtId="165" fontId="1" fillId="2" borderId="9" xfId="2" applyNumberFormat="1" applyFont="1" applyFill="1" applyBorder="1" applyAlignment="1" applyProtection="1">
      <alignment vertical="center"/>
      <protection locked="0"/>
    </xf>
    <xf numFmtId="167" fontId="7" fillId="0" borderId="9" xfId="4" applyNumberFormat="1" applyFont="1" applyFill="1" applyBorder="1" applyAlignment="1" applyProtection="1">
      <alignment horizontal="left" vertical="center"/>
      <protection locked="0"/>
    </xf>
    <xf numFmtId="165" fontId="7" fillId="2" borderId="9" xfId="2" applyNumberFormat="1" applyFont="1" applyFill="1" applyBorder="1" applyAlignment="1" applyProtection="1">
      <alignment vertical="center"/>
      <protection locked="0"/>
    </xf>
    <xf numFmtId="167" fontId="2" fillId="5" borderId="9" xfId="4" applyNumberFormat="1" applyFont="1" applyFill="1" applyBorder="1" applyAlignment="1" applyProtection="1">
      <alignment horizontal="left" vertical="center"/>
      <protection locked="0"/>
    </xf>
    <xf numFmtId="167" fontId="7" fillId="5" borderId="9" xfId="4" applyNumberFormat="1" applyFont="1" applyFill="1" applyBorder="1" applyAlignment="1" applyProtection="1">
      <alignment horizontal="left" vertical="center"/>
      <protection locked="0"/>
    </xf>
    <xf numFmtId="0" fontId="1" fillId="6" borderId="12" xfId="1" applyFont="1" applyFill="1" applyBorder="1" applyProtection="1">
      <protection locked="0"/>
    </xf>
    <xf numFmtId="0" fontId="1" fillId="6" borderId="13" xfId="1" applyFill="1" applyBorder="1" applyAlignment="1" applyProtection="1">
      <alignment vertical="top"/>
      <protection locked="0"/>
    </xf>
    <xf numFmtId="167" fontId="1" fillId="6" borderId="14" xfId="4" applyNumberFormat="1" applyFont="1" applyFill="1" applyBorder="1" applyAlignment="1" applyProtection="1">
      <alignment vertical="top"/>
      <protection locked="0"/>
    </xf>
    <xf numFmtId="0" fontId="1" fillId="6" borderId="15" xfId="1" applyFont="1" applyFill="1" applyBorder="1" applyAlignment="1" applyProtection="1">
      <alignment vertical="center"/>
      <protection locked="0"/>
    </xf>
    <xf numFmtId="44" fontId="1" fillId="6" borderId="13" xfId="4" applyFont="1" applyFill="1" applyBorder="1" applyAlignment="1" applyProtection="1">
      <alignment vertical="center"/>
      <protection locked="0"/>
    </xf>
    <xf numFmtId="0" fontId="1" fillId="6" borderId="14" xfId="1" applyFont="1" applyFill="1" applyBorder="1" applyAlignment="1" applyProtection="1">
      <alignment vertical="center"/>
      <protection locked="0"/>
    </xf>
    <xf numFmtId="44" fontId="1" fillId="6" borderId="14" xfId="1" applyNumberFormat="1" applyFont="1" applyFill="1" applyBorder="1" applyAlignment="1" applyProtection="1">
      <alignment vertical="center"/>
      <protection locked="0"/>
    </xf>
    <xf numFmtId="10" fontId="1" fillId="6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44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44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4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4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horizontal="left" vertical="top" indent="1"/>
      <protection locked="0"/>
    </xf>
    <xf numFmtId="168" fontId="1" fillId="0" borderId="9" xfId="1" applyNumberFormat="1" applyBorder="1" applyAlignment="1" applyProtection="1">
      <alignment vertical="top"/>
      <protection locked="0"/>
    </xf>
    <xf numFmtId="0" fontId="1" fillId="7" borderId="2" xfId="1" applyFont="1" applyFill="1" applyBorder="1" applyAlignment="1" applyProtection="1">
      <alignment vertical="top"/>
      <protection locked="0"/>
    </xf>
    <xf numFmtId="0" fontId="1" fillId="7" borderId="11" xfId="1" applyFont="1" applyFill="1" applyBorder="1" applyAlignment="1" applyProtection="1">
      <alignment vertical="center"/>
      <protection locked="0"/>
    </xf>
    <xf numFmtId="44" fontId="2" fillId="7" borderId="17" xfId="1" applyNumberFormat="1" applyFont="1" applyFill="1" applyBorder="1" applyAlignment="1" applyProtection="1">
      <alignment vertical="center"/>
      <protection locked="0"/>
    </xf>
    <xf numFmtId="0" fontId="2" fillId="7" borderId="2" xfId="1" applyFont="1" applyFill="1" applyBorder="1" applyAlignment="1" applyProtection="1">
      <alignment vertical="center"/>
      <protection locked="0"/>
    </xf>
    <xf numFmtId="44" fontId="2" fillId="7" borderId="18" xfId="1" applyNumberFormat="1" applyFont="1" applyFill="1" applyBorder="1" applyAlignment="1" applyProtection="1">
      <alignment vertical="center"/>
      <protection locked="0"/>
    </xf>
    <xf numFmtId="44" fontId="2" fillId="7" borderId="2" xfId="1" applyNumberFormat="1" applyFont="1" applyFill="1" applyBorder="1" applyAlignment="1" applyProtection="1">
      <alignment vertical="center"/>
      <protection locked="0"/>
    </xf>
    <xf numFmtId="10" fontId="2" fillId="7" borderId="10" xfId="3" applyNumberFormat="1" applyFont="1" applyFill="1" applyBorder="1" applyAlignment="1" applyProtection="1">
      <alignment vertical="center"/>
      <protection locked="0"/>
    </xf>
    <xf numFmtId="0" fontId="1" fillId="7" borderId="9" xfId="1" applyFont="1" applyFill="1" applyBorder="1" applyAlignment="1" applyProtection="1">
      <alignment vertical="top"/>
      <protection locked="0"/>
    </xf>
    <xf numFmtId="0" fontId="1" fillId="7" borderId="0" xfId="1" applyFont="1" applyFill="1" applyBorder="1" applyAlignment="1" applyProtection="1">
      <alignment vertical="center"/>
      <protection locked="0"/>
    </xf>
    <xf numFmtId="0" fontId="2" fillId="7" borderId="9" xfId="1" applyFont="1" applyFill="1" applyBorder="1" applyAlignment="1" applyProtection="1">
      <alignment vertical="center"/>
      <protection locked="0"/>
    </xf>
    <xf numFmtId="44" fontId="2" fillId="7" borderId="9" xfId="1" applyNumberFormat="1" applyFont="1" applyFill="1" applyBorder="1" applyAlignment="1" applyProtection="1">
      <alignment vertical="center"/>
      <protection locked="0"/>
    </xf>
    <xf numFmtId="10" fontId="2" fillId="7" borderId="7" xfId="3" applyNumberFormat="1" applyFont="1" applyFill="1" applyBorder="1" applyAlignment="1" applyProtection="1">
      <alignment vertical="center"/>
      <protection locked="0"/>
    </xf>
    <xf numFmtId="167" fontId="1" fillId="6" borderId="15" xfId="4" applyNumberFormat="1" applyFont="1" applyFill="1" applyBorder="1" applyAlignment="1" applyProtection="1">
      <alignment vertical="top"/>
      <protection locked="0"/>
    </xf>
    <xf numFmtId="0" fontId="1" fillId="6" borderId="13" xfId="1" applyFont="1" applyFill="1" applyBorder="1" applyAlignment="1" applyProtection="1">
      <alignment vertical="center"/>
      <protection locked="0"/>
    </xf>
    <xf numFmtId="44" fontId="1" fillId="6" borderId="19" xfId="4" applyFont="1" applyFill="1" applyBorder="1" applyAlignment="1" applyProtection="1">
      <alignment vertical="center"/>
      <protection locked="0"/>
    </xf>
    <xf numFmtId="44" fontId="1" fillId="6" borderId="15" xfId="1" applyNumberFormat="1" applyFont="1" applyFill="1" applyBorder="1" applyAlignment="1" applyProtection="1">
      <alignment vertical="center"/>
      <protection locked="0"/>
    </xf>
    <xf numFmtId="167" fontId="1" fillId="6" borderId="15" xfId="4" applyNumberFormat="1" applyFill="1" applyBorder="1" applyAlignment="1" applyProtection="1">
      <alignment vertical="top"/>
      <protection locked="0"/>
    </xf>
    <xf numFmtId="0" fontId="1" fillId="6" borderId="13" xfId="1" applyFill="1" applyBorder="1" applyAlignment="1" applyProtection="1">
      <alignment vertical="center"/>
      <protection locked="0"/>
    </xf>
    <xf numFmtId="44" fontId="1" fillId="6" borderId="19" xfId="4" applyFill="1" applyBorder="1" applyAlignment="1" applyProtection="1">
      <alignment vertical="center"/>
      <protection locked="0"/>
    </xf>
    <xf numFmtId="0" fontId="1" fillId="6" borderId="15" xfId="1" applyFill="1" applyBorder="1" applyAlignment="1" applyProtection="1">
      <alignment vertical="center"/>
      <protection locked="0"/>
    </xf>
    <xf numFmtId="44" fontId="1" fillId="6" borderId="15" xfId="1" applyNumberFormat="1" applyFill="1" applyBorder="1" applyAlignment="1" applyProtection="1">
      <alignment vertical="center"/>
      <protection locked="0"/>
    </xf>
    <xf numFmtId="10" fontId="1" fillId="6" borderId="16" xfId="3" applyNumberFormat="1" applyFill="1" applyBorder="1" applyAlignment="1" applyProtection="1">
      <alignment vertical="center"/>
      <protection locked="0"/>
    </xf>
    <xf numFmtId="0" fontId="2" fillId="7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</cellXfs>
  <cellStyles count="5">
    <cellStyle name="Comma 4" xfId="2"/>
    <cellStyle name="Currency 2" xfId="4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IRM%20Model%202023%20Rates/Final%20Decision%20and%20Order/NPEI_2023-IRM-Rate-Generator-Model_Final%20Decision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>
        <row r="21">
          <cell r="BG21">
            <v>1950233.5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5">
          <cell r="E15">
            <v>3.0000000000000001E-3</v>
          </cell>
        </row>
        <row r="23">
          <cell r="D23">
            <v>7.3999999999999996E-2</v>
          </cell>
        </row>
        <row r="24">
          <cell r="D24">
            <v>0.10199999999999999</v>
          </cell>
        </row>
        <row r="25">
          <cell r="D25">
            <v>0.151</v>
          </cell>
        </row>
        <row r="33">
          <cell r="D33">
            <v>0.42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workbookViewId="0">
      <selection activeCell="K24" sqref="K24"/>
    </sheetView>
  </sheetViews>
  <sheetFormatPr defaultRowHeight="15" outlineLevelRow="1" x14ac:dyDescent="0.25"/>
  <cols>
    <col min="1" max="1" width="48.5703125" bestFit="1" customWidth="1"/>
    <col min="2" max="2" width="12.140625" customWidth="1"/>
    <col min="3" max="3" width="12.85546875" customWidth="1"/>
    <col min="4" max="4" width="17.140625" customWidth="1"/>
    <col min="5" max="5" width="15.140625" customWidth="1"/>
    <col min="6" max="6" width="16.140625" customWidth="1"/>
    <col min="7" max="7" width="10.85546875" customWidth="1"/>
    <col min="8" max="8" width="11.28515625" bestFit="1" customWidth="1"/>
    <col min="9" max="9" width="10.85546875" bestFit="1" customWidth="1"/>
    <col min="10" max="10" width="10" bestFit="1" customWidth="1"/>
  </cols>
  <sheetData>
    <row r="1" spans="1:10" x14ac:dyDescent="0.25">
      <c r="A1" s="1" t="s">
        <v>0</v>
      </c>
      <c r="B1" s="116" t="s">
        <v>1</v>
      </c>
      <c r="C1" s="116"/>
      <c r="D1" s="116"/>
      <c r="E1" s="116"/>
      <c r="F1" s="116"/>
      <c r="G1" s="116"/>
      <c r="H1" s="2"/>
      <c r="I1" s="2"/>
      <c r="J1" s="2"/>
    </row>
    <row r="2" spans="1:10" x14ac:dyDescent="0.25">
      <c r="A2" s="1" t="s">
        <v>2</v>
      </c>
      <c r="B2" s="117" t="s">
        <v>3</v>
      </c>
      <c r="C2" s="117"/>
      <c r="D2" s="117"/>
      <c r="E2" s="3"/>
      <c r="F2" s="3"/>
      <c r="G2" s="2"/>
      <c r="H2" s="2"/>
      <c r="I2" s="2"/>
      <c r="J2" s="2"/>
    </row>
    <row r="3" spans="1:10" ht="15.75" x14ac:dyDescent="0.25">
      <c r="A3" s="1" t="s">
        <v>4</v>
      </c>
      <c r="B3" s="4">
        <v>117359</v>
      </c>
      <c r="C3" s="5" t="s">
        <v>5</v>
      </c>
      <c r="D3" s="6"/>
      <c r="E3" s="2"/>
      <c r="F3" s="2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2"/>
      <c r="I4" s="2"/>
      <c r="J4" s="2"/>
    </row>
    <row r="5" spans="1:10" x14ac:dyDescent="0.25">
      <c r="A5" s="1" t="s">
        <v>8</v>
      </c>
      <c r="B5" s="11">
        <v>1.0423</v>
      </c>
      <c r="C5" s="2"/>
      <c r="D5" s="2"/>
      <c r="E5" s="2"/>
      <c r="F5" s="2"/>
      <c r="G5" s="2"/>
      <c r="H5" s="2"/>
      <c r="I5" s="2"/>
      <c r="J5" s="2"/>
    </row>
    <row r="6" spans="1:10" x14ac:dyDescent="0.25">
      <c r="A6" s="1" t="s">
        <v>9</v>
      </c>
      <c r="B6" s="11">
        <v>1.0423</v>
      </c>
      <c r="C6" s="2"/>
      <c r="D6" s="2"/>
      <c r="E6" s="2"/>
      <c r="F6" s="2"/>
      <c r="G6" s="2"/>
      <c r="H6" s="2"/>
      <c r="I6" s="2"/>
      <c r="J6" s="2"/>
    </row>
    <row r="7" spans="1:10" x14ac:dyDescent="0.25">
      <c r="A7" s="6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6"/>
      <c r="B8" s="12"/>
      <c r="C8" s="118" t="s">
        <v>10</v>
      </c>
      <c r="D8" s="119"/>
      <c r="E8" s="120"/>
      <c r="F8" s="118" t="s">
        <v>11</v>
      </c>
      <c r="G8" s="119"/>
      <c r="H8" s="120"/>
      <c r="I8" s="118" t="s">
        <v>12</v>
      </c>
      <c r="J8" s="120"/>
    </row>
    <row r="9" spans="1:10" x14ac:dyDescent="0.25">
      <c r="A9" s="6"/>
      <c r="B9" s="121"/>
      <c r="C9" s="13" t="s">
        <v>13</v>
      </c>
      <c r="D9" s="13" t="s">
        <v>14</v>
      </c>
      <c r="E9" s="14" t="s">
        <v>15</v>
      </c>
      <c r="F9" s="13" t="s">
        <v>13</v>
      </c>
      <c r="G9" s="15" t="s">
        <v>14</v>
      </c>
      <c r="H9" s="14" t="s">
        <v>15</v>
      </c>
      <c r="I9" s="123" t="s">
        <v>16</v>
      </c>
      <c r="J9" s="125" t="s">
        <v>17</v>
      </c>
    </row>
    <row r="10" spans="1:10" x14ac:dyDescent="0.25">
      <c r="A10" s="6"/>
      <c r="B10" s="122"/>
      <c r="C10" s="16" t="s">
        <v>18</v>
      </c>
      <c r="D10" s="16"/>
      <c r="E10" s="17" t="s">
        <v>18</v>
      </c>
      <c r="F10" s="16" t="s">
        <v>18</v>
      </c>
      <c r="G10" s="17"/>
      <c r="H10" s="17" t="s">
        <v>18</v>
      </c>
      <c r="I10" s="124"/>
      <c r="J10" s="126"/>
    </row>
    <row r="11" spans="1:10" x14ac:dyDescent="0.25">
      <c r="A11" s="18" t="s">
        <v>19</v>
      </c>
      <c r="B11" s="19"/>
      <c r="C11" s="20">
        <v>150.74</v>
      </c>
      <c r="D11" s="21">
        <v>1</v>
      </c>
      <c r="E11" s="22">
        <f>D11*C11</f>
        <v>150.74</v>
      </c>
      <c r="F11" s="23">
        <v>157.52000000000001</v>
      </c>
      <c r="G11" s="24">
        <f>D11</f>
        <v>1</v>
      </c>
      <c r="H11" s="25">
        <f>G11*F11</f>
        <v>157.52000000000001</v>
      </c>
      <c r="I11" s="26">
        <f>H11-E11</f>
        <v>6.7800000000000011</v>
      </c>
      <c r="J11" s="27">
        <f>IF(ISERROR(I11/E11), "", I11/E11)</f>
        <v>4.4978108000530717E-2</v>
      </c>
    </row>
    <row r="12" spans="1:10" x14ac:dyDescent="0.25">
      <c r="A12" s="18" t="s">
        <v>20</v>
      </c>
      <c r="B12" s="19"/>
      <c r="C12" s="28">
        <v>0</v>
      </c>
      <c r="D12" s="21">
        <f>IF($B4&gt;0, $B4, $B3)</f>
        <v>117359</v>
      </c>
      <c r="E12" s="22">
        <f t="shared" ref="E12:E24" si="0">D12*C12</f>
        <v>0</v>
      </c>
      <c r="F12" s="29">
        <v>0</v>
      </c>
      <c r="G12" s="24">
        <f>IF($B4&gt;0, $B4, $B3)</f>
        <v>117359</v>
      </c>
      <c r="H12" s="25">
        <f>G12*F12</f>
        <v>0</v>
      </c>
      <c r="I12" s="26">
        <f t="shared" ref="I12:I32" si="1">H12-E12</f>
        <v>0</v>
      </c>
      <c r="J12" s="27" t="str">
        <f>IF(ISERROR(I12/E12), "", I12/E12)</f>
        <v/>
      </c>
    </row>
    <row r="13" spans="1:10" hidden="1" outlineLevel="1" x14ac:dyDescent="0.25">
      <c r="A13" s="18" t="s">
        <v>21</v>
      </c>
      <c r="B13" s="19"/>
      <c r="C13" s="28"/>
      <c r="D13" s="21">
        <v>117359</v>
      </c>
      <c r="E13" s="22">
        <v>0</v>
      </c>
      <c r="F13" s="29"/>
      <c r="G13" s="24">
        <f>IF($E4&gt;0, $E4, $E3)</f>
        <v>0</v>
      </c>
      <c r="H13" s="25">
        <v>0</v>
      </c>
      <c r="I13" s="26"/>
      <c r="J13" s="27"/>
    </row>
    <row r="14" spans="1:10" hidden="1" outlineLevel="1" x14ac:dyDescent="0.25">
      <c r="A14" s="18" t="s">
        <v>22</v>
      </c>
      <c r="B14" s="19"/>
      <c r="C14" s="28"/>
      <c r="D14" s="21">
        <v>117359</v>
      </c>
      <c r="E14" s="22">
        <v>0</v>
      </c>
      <c r="F14" s="29"/>
      <c r="G14" s="30">
        <f>IF($E4&gt;0, $E4, $E3)</f>
        <v>0</v>
      </c>
      <c r="H14" s="25">
        <v>0</v>
      </c>
      <c r="I14" s="26">
        <f>H14-E14</f>
        <v>0</v>
      </c>
      <c r="J14" s="27" t="str">
        <f>IF(ISERROR(I14/E14), "", I14/E14)</f>
        <v/>
      </c>
    </row>
    <row r="15" spans="1:10" collapsed="1" x14ac:dyDescent="0.25">
      <c r="A15" s="31" t="s">
        <v>23</v>
      </c>
      <c r="B15" s="19"/>
      <c r="C15" s="20">
        <v>0</v>
      </c>
      <c r="D15" s="21">
        <v>1</v>
      </c>
      <c r="E15" s="22">
        <f t="shared" si="0"/>
        <v>0</v>
      </c>
      <c r="F15" s="23">
        <v>0</v>
      </c>
      <c r="G15" s="24">
        <f>D15</f>
        <v>1</v>
      </c>
      <c r="H15" s="25">
        <f t="shared" ref="H15:H22" si="2">G15*F15</f>
        <v>0</v>
      </c>
      <c r="I15" s="26">
        <f t="shared" si="1"/>
        <v>0</v>
      </c>
      <c r="J15" s="27" t="str">
        <f t="shared" ref="J15:J22" si="3">IF(ISERROR(I15/E15), "", I15/E15)</f>
        <v/>
      </c>
    </row>
    <row r="16" spans="1:10" x14ac:dyDescent="0.25">
      <c r="A16" s="18" t="s">
        <v>24</v>
      </c>
      <c r="B16" s="19"/>
      <c r="C16" s="28">
        <v>0</v>
      </c>
      <c r="D16" s="21">
        <f>IF($B4&gt;0, $B4, $B3)</f>
        <v>117359</v>
      </c>
      <c r="E16" s="22">
        <f t="shared" si="0"/>
        <v>0</v>
      </c>
      <c r="F16" s="29">
        <v>0</v>
      </c>
      <c r="G16" s="24">
        <f>IF($B4&gt;0, $B4, $B3)</f>
        <v>117359</v>
      </c>
      <c r="H16" s="25">
        <f t="shared" si="2"/>
        <v>0</v>
      </c>
      <c r="I16" s="26">
        <f t="shared" si="1"/>
        <v>0</v>
      </c>
      <c r="J16" s="27" t="str">
        <f t="shared" si="3"/>
        <v/>
      </c>
    </row>
    <row r="17" spans="1:10" x14ac:dyDescent="0.25">
      <c r="A17" s="32" t="s">
        <v>25</v>
      </c>
      <c r="B17" s="33"/>
      <c r="C17" s="34"/>
      <c r="D17" s="35"/>
      <c r="E17" s="36">
        <f>SUM(E11:E16)</f>
        <v>150.74</v>
      </c>
      <c r="F17" s="37"/>
      <c r="G17" s="38"/>
      <c r="H17" s="36">
        <f>SUM(H11:H16)</f>
        <v>157.52000000000001</v>
      </c>
      <c r="I17" s="39">
        <f t="shared" si="1"/>
        <v>6.7800000000000011</v>
      </c>
      <c r="J17" s="40">
        <f>IF((E17)=0,"",(I17/E17))</f>
        <v>4.4978108000530717E-2</v>
      </c>
    </row>
    <row r="18" spans="1:10" x14ac:dyDescent="0.25">
      <c r="A18" s="41" t="s">
        <v>26</v>
      </c>
      <c r="B18" s="19"/>
      <c r="C18" s="28">
        <f>IF((B3*12&gt;=150000), 0, IF(B2="RPP",(C34*0.64+C35*0.18+C36*0.18),IF(B2="Non-RPP (Retailer)",C37,C38)))</f>
        <v>0</v>
      </c>
      <c r="D18" s="42">
        <f>IF(C18=0, 0, $E3*B5-B3)</f>
        <v>0</v>
      </c>
      <c r="E18" s="22">
        <f>D18*C18</f>
        <v>0</v>
      </c>
      <c r="F18" s="29">
        <f>IF((B3*12&gt;=150000), 0, IF(B2="RPP",(F34*0.64+F35*0.18+F36*0.18),IF(B2="Non-RPP (Retailer)",F37,F38)))</f>
        <v>0</v>
      </c>
      <c r="G18" s="43">
        <f>IF(F18=0, 0, B3*B6-B3)</f>
        <v>0</v>
      </c>
      <c r="H18" s="25">
        <f>G18*F18</f>
        <v>0</v>
      </c>
      <c r="I18" s="26">
        <f>H18-E18</f>
        <v>0</v>
      </c>
      <c r="J18" s="27" t="str">
        <f>IF(ISERROR(I18/E18), "", I18/E18)</f>
        <v/>
      </c>
    </row>
    <row r="19" spans="1:10" x14ac:dyDescent="0.25">
      <c r="A19" s="41" t="s">
        <v>27</v>
      </c>
      <c r="B19" s="19"/>
      <c r="C19" s="28">
        <v>1.1000000000000001E-3</v>
      </c>
      <c r="D19" s="44">
        <f>B3</f>
        <v>117359</v>
      </c>
      <c r="E19" s="22">
        <f t="shared" si="0"/>
        <v>129.0949</v>
      </c>
      <c r="F19" s="66">
        <v>2.5000000000000001E-3</v>
      </c>
      <c r="G19" s="45">
        <f>IF($B4&gt;0, $B4, $B3)</f>
        <v>117359</v>
      </c>
      <c r="H19" s="25">
        <f t="shared" si="2"/>
        <v>293.39749999999998</v>
      </c>
      <c r="I19" s="26">
        <f t="shared" si="1"/>
        <v>164.30259999999998</v>
      </c>
      <c r="J19" s="27">
        <f t="shared" si="3"/>
        <v>1.2727272727272727</v>
      </c>
    </row>
    <row r="20" spans="1:10" x14ac:dyDescent="0.25">
      <c r="A20" s="41" t="s">
        <v>28</v>
      </c>
      <c r="B20" s="19"/>
      <c r="C20" s="28">
        <v>-1E-4</v>
      </c>
      <c r="D20" s="44">
        <f>B3</f>
        <v>117359</v>
      </c>
      <c r="E20" s="22">
        <f>D20*C20</f>
        <v>-11.735900000000001</v>
      </c>
      <c r="F20" s="28">
        <v>-1E-4</v>
      </c>
      <c r="G20" s="45">
        <f>IF($B4&gt;0, $B4, $B3)</f>
        <v>117359</v>
      </c>
      <c r="H20" s="25">
        <f>G20*F20</f>
        <v>-11.735900000000001</v>
      </c>
      <c r="I20" s="26">
        <f>H20-E20</f>
        <v>0</v>
      </c>
      <c r="J20" s="27">
        <f t="shared" si="3"/>
        <v>0</v>
      </c>
    </row>
    <row r="21" spans="1:10" x14ac:dyDescent="0.25">
      <c r="A21" s="41" t="s">
        <v>29</v>
      </c>
      <c r="B21" s="19"/>
      <c r="C21" s="28">
        <v>4.0000000000000002E-4</v>
      </c>
      <c r="D21" s="44">
        <f>B3</f>
        <v>117359</v>
      </c>
      <c r="E21" s="22">
        <f>D21*C21</f>
        <v>46.943600000000004</v>
      </c>
      <c r="F21" s="29">
        <v>2.0000000000000001E-4</v>
      </c>
      <c r="G21" s="45">
        <f>B3</f>
        <v>117359</v>
      </c>
      <c r="H21" s="25">
        <f t="shared" si="2"/>
        <v>23.471800000000002</v>
      </c>
      <c r="I21" s="26">
        <f t="shared" si="1"/>
        <v>-23.471800000000002</v>
      </c>
      <c r="J21" s="27">
        <f t="shared" si="3"/>
        <v>-0.5</v>
      </c>
    </row>
    <row r="22" spans="1:10" x14ac:dyDescent="0.25">
      <c r="A22" s="46" t="s">
        <v>30</v>
      </c>
      <c r="B22" s="19"/>
      <c r="C22" s="28">
        <v>0</v>
      </c>
      <c r="D22" s="44">
        <f>IF($E4&gt;0, $E4, $E3)</f>
        <v>0</v>
      </c>
      <c r="E22" s="22">
        <f t="shared" si="0"/>
        <v>0</v>
      </c>
      <c r="F22" s="29"/>
      <c r="G22" s="45">
        <f>IF($B4&gt;0, $B4, $B3)</f>
        <v>117359</v>
      </c>
      <c r="H22" s="25">
        <f t="shared" si="2"/>
        <v>0</v>
      </c>
      <c r="I22" s="26">
        <f t="shared" si="1"/>
        <v>0</v>
      </c>
      <c r="J22" s="27" t="str">
        <f t="shared" si="3"/>
        <v/>
      </c>
    </row>
    <row r="23" spans="1:10" x14ac:dyDescent="0.25">
      <c r="A23" s="47" t="s">
        <v>31</v>
      </c>
      <c r="B23" s="19"/>
      <c r="C23" s="48">
        <f>IF(OR(ISNUMBER(SEARCH("RESIDENTIAL", B1))=TRUE, ISNUMBER(SEARCH("GENERAL SERVICE LESS THAN 50", B1))=TRUE), 0.43, 0)</f>
        <v>0</v>
      </c>
      <c r="D23" s="21">
        <v>1</v>
      </c>
      <c r="E23" s="22">
        <f>D23*C23</f>
        <v>0</v>
      </c>
      <c r="F23" s="49">
        <v>0</v>
      </c>
      <c r="G23" s="30">
        <v>1</v>
      </c>
      <c r="H23" s="25">
        <f>G23*F23</f>
        <v>0</v>
      </c>
      <c r="I23" s="26">
        <f t="shared" si="1"/>
        <v>0</v>
      </c>
      <c r="J23" s="27" t="str">
        <f>IF(ISERROR(I23/E23), "", I23/E23)</f>
        <v/>
      </c>
    </row>
    <row r="24" spans="1:10" x14ac:dyDescent="0.25">
      <c r="A24" s="46" t="s">
        <v>32</v>
      </c>
      <c r="B24" s="19"/>
      <c r="C24" s="20">
        <v>0</v>
      </c>
      <c r="D24" s="21">
        <v>1</v>
      </c>
      <c r="E24" s="22">
        <f t="shared" si="0"/>
        <v>0</v>
      </c>
      <c r="F24" s="23">
        <v>0</v>
      </c>
      <c r="G24" s="30">
        <v>1</v>
      </c>
      <c r="H24" s="25">
        <f>G24*F24</f>
        <v>0</v>
      </c>
      <c r="I24" s="26">
        <f>H24-E24</f>
        <v>0</v>
      </c>
      <c r="J24" s="27" t="str">
        <f>IF(ISERROR(I24/E24), "", I24/E24)</f>
        <v/>
      </c>
    </row>
    <row r="25" spans="1:10" x14ac:dyDescent="0.25">
      <c r="A25" s="46" t="s">
        <v>33</v>
      </c>
      <c r="B25" s="19"/>
      <c r="C25" s="28">
        <v>0</v>
      </c>
      <c r="D25" s="44">
        <f>IF($E4&gt;0, $E4, $E3)</f>
        <v>0</v>
      </c>
      <c r="E25" s="22">
        <f>D25*C25</f>
        <v>0</v>
      </c>
      <c r="F25" s="29">
        <v>0</v>
      </c>
      <c r="G25" s="45">
        <f>IF($B4&gt;0, $B4, $B3)</f>
        <v>117359</v>
      </c>
      <c r="H25" s="25">
        <f>G25*F25</f>
        <v>0</v>
      </c>
      <c r="I25" s="26">
        <f t="shared" si="1"/>
        <v>0</v>
      </c>
      <c r="J25" s="27" t="str">
        <f>IF(ISERROR(I25/E25), "", I25/E25)</f>
        <v/>
      </c>
    </row>
    <row r="26" spans="1:10" x14ac:dyDescent="0.25">
      <c r="A26" s="50" t="s">
        <v>34</v>
      </c>
      <c r="B26" s="51"/>
      <c r="C26" s="52"/>
      <c r="D26" s="53"/>
      <c r="E26" s="54">
        <f>SUM(E17:E25)</f>
        <v>315.04259999999999</v>
      </c>
      <c r="F26" s="55"/>
      <c r="G26" s="56"/>
      <c r="H26" s="54">
        <f>SUM(H17:H25)</f>
        <v>462.65340000000003</v>
      </c>
      <c r="I26" s="39">
        <f t="shared" si="1"/>
        <v>147.61080000000004</v>
      </c>
      <c r="J26" s="40">
        <f>IF((E26)=0,"",(I26/E26))</f>
        <v>0.46854234951082818</v>
      </c>
    </row>
    <row r="27" spans="1:10" x14ac:dyDescent="0.25">
      <c r="A27" s="57" t="s">
        <v>35</v>
      </c>
      <c r="B27" s="19"/>
      <c r="C27" s="28">
        <v>0</v>
      </c>
      <c r="D27" s="42">
        <f>IF($E4&gt;0, $E4, $E3*$E5)</f>
        <v>0</v>
      </c>
      <c r="E27" s="22">
        <f>D27*C27</f>
        <v>0</v>
      </c>
      <c r="F27" s="58">
        <v>0</v>
      </c>
      <c r="G27" s="43">
        <f>IF($B4&gt;0, $B4, $B3*$B6)</f>
        <v>122323.28570000001</v>
      </c>
      <c r="H27" s="25">
        <f>G27*F27</f>
        <v>0</v>
      </c>
      <c r="I27" s="26">
        <f t="shared" si="1"/>
        <v>0</v>
      </c>
      <c r="J27" s="27" t="str">
        <f>IF(ISERROR(I27/E27), "", I27/E27)</f>
        <v/>
      </c>
    </row>
    <row r="28" spans="1:10" ht="25.5" x14ac:dyDescent="0.25">
      <c r="A28" s="59" t="s">
        <v>36</v>
      </c>
      <c r="B28" s="19"/>
      <c r="C28" s="28">
        <v>0</v>
      </c>
      <c r="D28" s="42">
        <f>IF($E4&gt;0, $E4, $E3*$E5)</f>
        <v>0</v>
      </c>
      <c r="E28" s="22">
        <f>D28*C28</f>
        <v>0</v>
      </c>
      <c r="F28" s="58">
        <v>0</v>
      </c>
      <c r="G28" s="43">
        <f>IF($B4&gt;0, $B4, $B3*$B6)</f>
        <v>122323.28570000001</v>
      </c>
      <c r="H28" s="25">
        <f>G28*F28</f>
        <v>0</v>
      </c>
      <c r="I28" s="26">
        <f t="shared" si="1"/>
        <v>0</v>
      </c>
      <c r="J28" s="27" t="str">
        <f>IF(ISERROR(I28/E28), "", I28/E28)</f>
        <v/>
      </c>
    </row>
    <row r="29" spans="1:10" x14ac:dyDescent="0.25">
      <c r="A29" s="50" t="s">
        <v>37</v>
      </c>
      <c r="B29" s="33"/>
      <c r="C29" s="52"/>
      <c r="D29" s="53"/>
      <c r="E29" s="54">
        <f>SUM(E26:E28)</f>
        <v>315.04259999999999</v>
      </c>
      <c r="F29" s="55"/>
      <c r="G29" s="38"/>
      <c r="H29" s="54">
        <f>SUM(H26:H28)</f>
        <v>462.65340000000003</v>
      </c>
      <c r="I29" s="39">
        <f t="shared" si="1"/>
        <v>147.61080000000004</v>
      </c>
      <c r="J29" s="40">
        <f>IF((E29)=0,"",(I29/E29))</f>
        <v>0.46854234951082818</v>
      </c>
    </row>
    <row r="30" spans="1:10" x14ac:dyDescent="0.25">
      <c r="A30" s="60" t="s">
        <v>38</v>
      </c>
      <c r="B30" s="19"/>
      <c r="C30" s="29">
        <v>4.4999999999999997E-3</v>
      </c>
      <c r="D30" s="42">
        <f>B3*B5</f>
        <v>122323.28570000001</v>
      </c>
      <c r="E30" s="61">
        <f>D30*C30</f>
        <v>550.45478564999996</v>
      </c>
      <c r="F30" s="29">
        <v>4.4999999999999997E-3</v>
      </c>
      <c r="G30" s="43">
        <f>B3*B6</f>
        <v>122323.28570000001</v>
      </c>
      <c r="H30" s="25">
        <f>G30*F30</f>
        <v>550.45478564999996</v>
      </c>
      <c r="I30" s="26">
        <f t="shared" si="1"/>
        <v>0</v>
      </c>
      <c r="J30" s="27">
        <f t="shared" ref="J30:J38" si="4">IF(ISERROR(I30/E30), "", I30/E30)</f>
        <v>0</v>
      </c>
    </row>
    <row r="31" spans="1:10" x14ac:dyDescent="0.25">
      <c r="A31" s="60" t="s">
        <v>39</v>
      </c>
      <c r="B31" s="19"/>
      <c r="C31" s="29">
        <v>6.9999999999999999E-4</v>
      </c>
      <c r="D31" s="42">
        <f>B3*B5</f>
        <v>122323.28570000001</v>
      </c>
      <c r="E31" s="61">
        <f t="shared" ref="E31:E32" si="5">D31*C31</f>
        <v>85.626299990000007</v>
      </c>
      <c r="F31" s="29">
        <v>6.9999999999999999E-4</v>
      </c>
      <c r="G31" s="43">
        <f>B3*B6</f>
        <v>122323.28570000001</v>
      </c>
      <c r="H31" s="25">
        <f>G31*F31</f>
        <v>85.626299990000007</v>
      </c>
      <c r="I31" s="26">
        <f t="shared" si="1"/>
        <v>0</v>
      </c>
      <c r="J31" s="27">
        <f t="shared" si="4"/>
        <v>0</v>
      </c>
    </row>
    <row r="32" spans="1:10" x14ac:dyDescent="0.25">
      <c r="A32" s="62" t="s">
        <v>40</v>
      </c>
      <c r="B32" s="19"/>
      <c r="C32" s="29">
        <v>0.25</v>
      </c>
      <c r="D32" s="21">
        <v>1</v>
      </c>
      <c r="E32" s="61">
        <f t="shared" si="5"/>
        <v>0.25</v>
      </c>
      <c r="F32" s="29">
        <v>0.25</v>
      </c>
      <c r="G32" s="24">
        <v>1</v>
      </c>
      <c r="H32" s="25">
        <f>G32*F32</f>
        <v>0.25</v>
      </c>
      <c r="I32" s="26">
        <f t="shared" si="1"/>
        <v>0</v>
      </c>
      <c r="J32" s="27">
        <f t="shared" si="4"/>
        <v>0</v>
      </c>
    </row>
    <row r="33" spans="1:10" ht="25.5" hidden="1" outlineLevel="1" x14ac:dyDescent="0.25">
      <c r="A33" s="60" t="s">
        <v>41</v>
      </c>
      <c r="B33" s="19"/>
      <c r="C33" s="28"/>
      <c r="D33" s="42"/>
      <c r="E33" s="61"/>
      <c r="F33" s="29"/>
      <c r="G33" s="43"/>
      <c r="H33" s="25"/>
      <c r="I33" s="26"/>
      <c r="J33" s="27"/>
    </row>
    <row r="34" spans="1:10" hidden="1" outlineLevel="1" x14ac:dyDescent="0.25">
      <c r="A34" s="63" t="s">
        <v>42</v>
      </c>
      <c r="B34" s="19"/>
      <c r="C34" s="64">
        <v>7.3999999999999996E-2</v>
      </c>
      <c r="D34" s="65">
        <f>IF(AND(B3*12&gt;=150000),0.64*B3*B5,0.64*B3)</f>
        <v>78286.902847999998</v>
      </c>
      <c r="E34" s="61">
        <f t="shared" ref="E34:E36" si="6">D34*C34</f>
        <v>5793.2308107519993</v>
      </c>
      <c r="F34" s="66">
        <v>7.3999999999999996E-2</v>
      </c>
      <c r="G34" s="67">
        <f>IF(AND(B3*12&gt;=150000),0.64*B3*B6,0.64*B3)</f>
        <v>78286.902847999998</v>
      </c>
      <c r="H34" s="25">
        <f t="shared" ref="H34:H36" si="7">G34*F34</f>
        <v>5793.2308107519993</v>
      </c>
      <c r="I34" s="26">
        <f>H34-E34</f>
        <v>0</v>
      </c>
      <c r="J34" s="27">
        <f t="shared" si="4"/>
        <v>0</v>
      </c>
    </row>
    <row r="35" spans="1:10" hidden="1" outlineLevel="1" x14ac:dyDescent="0.25">
      <c r="A35" s="63" t="s">
        <v>43</v>
      </c>
      <c r="B35" s="19"/>
      <c r="C35" s="64">
        <v>0.10199999999999999</v>
      </c>
      <c r="D35" s="65">
        <f>IF(AND(B3*12&gt;=150000),0.18*B3*B5,0.18*B3)</f>
        <v>22018.191425999998</v>
      </c>
      <c r="E35" s="61">
        <f t="shared" si="6"/>
        <v>2245.8555254519997</v>
      </c>
      <c r="F35" s="66">
        <v>0.10199999999999999</v>
      </c>
      <c r="G35" s="67">
        <f>IF(AND(B3*12&gt;=150000),0.18*B3*B6,0.18*B3)</f>
        <v>22018.191425999998</v>
      </c>
      <c r="H35" s="25">
        <f t="shared" si="7"/>
        <v>2245.8555254519997</v>
      </c>
      <c r="I35" s="26">
        <f>H35-E35</f>
        <v>0</v>
      </c>
      <c r="J35" s="27">
        <f t="shared" si="4"/>
        <v>0</v>
      </c>
    </row>
    <row r="36" spans="1:10" hidden="1" outlineLevel="1" x14ac:dyDescent="0.25">
      <c r="A36" s="6" t="s">
        <v>44</v>
      </c>
      <c r="B36" s="19"/>
      <c r="C36" s="64">
        <v>0.151</v>
      </c>
      <c r="D36" s="65">
        <f>IF(AND(B3*12&gt;=150000),0.18*B3*B5,0.18*B3)</f>
        <v>22018.191425999998</v>
      </c>
      <c r="E36" s="61">
        <f t="shared" si="6"/>
        <v>3324.7469053259997</v>
      </c>
      <c r="F36" s="66">
        <v>0.151</v>
      </c>
      <c r="G36" s="67">
        <f>IF(AND(B3*12&gt;=150000),0.18*B3*B6,0.18*B3)</f>
        <v>22018.191425999998</v>
      </c>
      <c r="H36" s="25">
        <f t="shared" si="7"/>
        <v>3324.7469053259997</v>
      </c>
      <c r="I36" s="26">
        <f>H36-E36</f>
        <v>0</v>
      </c>
      <c r="J36" s="27">
        <f t="shared" si="4"/>
        <v>0</v>
      </c>
    </row>
    <row r="37" spans="1:10" hidden="1" outlineLevel="1" x14ac:dyDescent="0.25">
      <c r="A37" s="63" t="s">
        <v>45</v>
      </c>
      <c r="B37" s="19"/>
      <c r="C37" s="68">
        <v>9.6699999999999994E-2</v>
      </c>
      <c r="D37" s="65">
        <f>IF(AND(B3*12&gt;=150000),B3*B5,B3)</f>
        <v>122323.28570000001</v>
      </c>
      <c r="E37" s="61">
        <f>D37*C37</f>
        <v>11828.66172719</v>
      </c>
      <c r="F37" s="69">
        <f>C37</f>
        <v>9.6699999999999994E-2</v>
      </c>
      <c r="G37" s="67">
        <f>IF(AND(B3*12&gt;=150000),B3*B6,B3)</f>
        <v>122323.28570000001</v>
      </c>
      <c r="H37" s="25">
        <f>G37*F37</f>
        <v>11828.66172719</v>
      </c>
      <c r="I37" s="26">
        <f>H37-E37</f>
        <v>0</v>
      </c>
      <c r="J37" s="27">
        <f t="shared" si="4"/>
        <v>0</v>
      </c>
    </row>
    <row r="38" spans="1:10" ht="15.75" collapsed="1" thickBot="1" x14ac:dyDescent="0.3">
      <c r="A38" s="63" t="s">
        <v>46</v>
      </c>
      <c r="B38" s="19"/>
      <c r="C38" s="68">
        <v>0.1076</v>
      </c>
      <c r="D38" s="65">
        <f>IF(AND(B3*12&gt;=150000),B3*B5,B3)</f>
        <v>122323.28570000001</v>
      </c>
      <c r="E38" s="61">
        <f>D38*C38</f>
        <v>13161.98554132</v>
      </c>
      <c r="F38" s="69">
        <f>C38</f>
        <v>0.1076</v>
      </c>
      <c r="G38" s="67">
        <f>IF(AND(B3*12&gt;=150000),B3*B6,B3)</f>
        <v>122323.28570000001</v>
      </c>
      <c r="H38" s="25">
        <f>G38*F38</f>
        <v>13161.98554132</v>
      </c>
      <c r="I38" s="26">
        <f>H38-E38</f>
        <v>0</v>
      </c>
      <c r="J38" s="27">
        <f t="shared" si="4"/>
        <v>0</v>
      </c>
    </row>
    <row r="39" spans="1:10" ht="15.75" hidden="1" outlineLevel="1" thickBot="1" x14ac:dyDescent="0.3">
      <c r="A39" s="70"/>
      <c r="B39" s="71"/>
      <c r="C39" s="72"/>
      <c r="D39" s="73"/>
      <c r="E39" s="74"/>
      <c r="F39" s="72"/>
      <c r="G39" s="75"/>
      <c r="H39" s="74"/>
      <c r="I39" s="76"/>
      <c r="J39" s="77"/>
    </row>
    <row r="40" spans="1:10" hidden="1" outlineLevel="1" x14ac:dyDescent="0.25">
      <c r="A40" s="78" t="s">
        <v>47</v>
      </c>
      <c r="B40" s="62"/>
      <c r="C40" s="79"/>
      <c r="D40" s="80"/>
      <c r="E40" s="81">
        <f>SUM(E30:E36,E29)</f>
        <v>12315.206927169998</v>
      </c>
      <c r="F40" s="82"/>
      <c r="G40" s="82"/>
      <c r="H40" s="81">
        <f>SUM(H30:H36,H29)</f>
        <v>12462.817727169997</v>
      </c>
      <c r="I40" s="83">
        <f>H40-E40</f>
        <v>147.61079999999856</v>
      </c>
      <c r="J40" s="84">
        <f>IF((E40)=0,"",(I40/E40))</f>
        <v>1.1986059257708237E-2</v>
      </c>
    </row>
    <row r="41" spans="1:10" hidden="1" outlineLevel="1" x14ac:dyDescent="0.25">
      <c r="A41" s="85" t="s">
        <v>48</v>
      </c>
      <c r="B41" s="62"/>
      <c r="C41" s="79">
        <v>0.13</v>
      </c>
      <c r="D41" s="86"/>
      <c r="E41" s="87">
        <f>E40*C41</f>
        <v>1600.9769005320998</v>
      </c>
      <c r="F41" s="88">
        <v>0.13</v>
      </c>
      <c r="G41" s="21"/>
      <c r="H41" s="87">
        <f>H40*F41</f>
        <v>1620.1663045320997</v>
      </c>
      <c r="I41" s="89">
        <f>H41-E41</f>
        <v>19.189403999999968</v>
      </c>
      <c r="J41" s="90">
        <f>IF((E41)=0,"",(I41/E41))</f>
        <v>1.1986059257708332E-2</v>
      </c>
    </row>
    <row r="42" spans="1:10" hidden="1" outlineLevel="1" x14ac:dyDescent="0.25">
      <c r="A42" s="91" t="s">
        <v>49</v>
      </c>
      <c r="C42" s="92">
        <v>0.11700000000000001</v>
      </c>
      <c r="D42" s="86"/>
      <c r="E42" s="87">
        <f>IF(OR(ISNUMBER(SEARCH("[DGEN]", B1))=TRUE, ISNUMBER(SEARCH("STREET LIGHT", B1))=TRUE), 0, IF(AND(B3=0, B4=0),0, IF(AND(B4=0, B3*12&gt;250000), 0, IF(AND(B3=0, B4&gt;=50), 0, IF(B3*12&lt;=250000, C42*E40*-1, IF(B4&lt;50, C42*E40*-1, 0))))))</f>
        <v>0</v>
      </c>
      <c r="F42" s="92">
        <v>0.11700000000000001</v>
      </c>
      <c r="G42" s="21"/>
      <c r="H42" s="87">
        <f>IF(OR(ISNUMBER(SEARCH("[DGEN]", B1))=TRUE, ISNUMBER(SEARCH("STREET LIGHT", B1))=TRUE), 0, IF(AND(B3=0, B4=0),0, IF(AND(B4=0, B3*12&gt;250000), 0, IF(AND(B3=0, B4&gt;=50), 0, IF(B3*12&lt;=250000, F42*H40*-1, IF(B4&lt;50, F42*H40*-1, 0))))))</f>
        <v>0</v>
      </c>
      <c r="I42" s="89">
        <f>H42-E42</f>
        <v>0</v>
      </c>
      <c r="J42" s="90"/>
    </row>
    <row r="43" spans="1:10" ht="15.75" hidden="1" outlineLevel="1" thickBot="1" x14ac:dyDescent="0.3">
      <c r="A43" s="115" t="s">
        <v>50</v>
      </c>
      <c r="B43" s="115"/>
      <c r="C43" s="93"/>
      <c r="D43" s="94"/>
      <c r="E43" s="95">
        <f>E40+E41+E42</f>
        <v>13916.183827702098</v>
      </c>
      <c r="F43" s="96"/>
      <c r="G43" s="96"/>
      <c r="H43" s="97">
        <f>H40+H41+H42</f>
        <v>14082.984031702097</v>
      </c>
      <c r="I43" s="98">
        <f>H43-E43</f>
        <v>166.80020399999921</v>
      </c>
      <c r="J43" s="99">
        <f>IF((E43)=0,"",(I43/E43))</f>
        <v>1.1986059257708296E-2</v>
      </c>
    </row>
    <row r="44" spans="1:10" ht="15.75" hidden="1" outlineLevel="1" thickBot="1" x14ac:dyDescent="0.3">
      <c r="A44" s="70"/>
      <c r="B44" s="71"/>
      <c r="C44" s="72"/>
      <c r="D44" s="73"/>
      <c r="E44" s="74"/>
      <c r="F44" s="72"/>
      <c r="G44" s="75"/>
      <c r="H44" s="74"/>
      <c r="I44" s="76"/>
      <c r="J44" s="77"/>
    </row>
    <row r="45" spans="1:10" hidden="1" outlineLevel="1" x14ac:dyDescent="0.25">
      <c r="A45" s="78" t="s">
        <v>51</v>
      </c>
      <c r="B45" s="62"/>
      <c r="C45" s="79"/>
      <c r="D45" s="80"/>
      <c r="E45" s="81">
        <f>SUM(E37,E30:E33,E29)</f>
        <v>12780.035412829999</v>
      </c>
      <c r="F45" s="82"/>
      <c r="G45" s="82"/>
      <c r="H45" s="81">
        <f>SUM(H37,H30:H33,H29)</f>
        <v>12927.646212829997</v>
      </c>
      <c r="I45" s="83">
        <f>H45-E45</f>
        <v>147.61079999999856</v>
      </c>
      <c r="J45" s="84">
        <f>IF((E45)=0,"",(I45/E45))</f>
        <v>1.1550108840215786E-2</v>
      </c>
    </row>
    <row r="46" spans="1:10" hidden="1" outlineLevel="1" x14ac:dyDescent="0.25">
      <c r="A46" s="85" t="s">
        <v>48</v>
      </c>
      <c r="B46" s="62"/>
      <c r="C46" s="79">
        <v>0.13</v>
      </c>
      <c r="D46" s="80"/>
      <c r="E46" s="87">
        <f>E45*C46</f>
        <v>1661.4046036678999</v>
      </c>
      <c r="F46" s="79">
        <v>0.13</v>
      </c>
      <c r="G46" s="88"/>
      <c r="H46" s="87">
        <f>H45*F46</f>
        <v>1680.5940076678996</v>
      </c>
      <c r="I46" s="89">
        <f>H46-E46</f>
        <v>19.18940399999974</v>
      </c>
      <c r="J46" s="90">
        <f>IF((E46)=0,"",(I46/E46))</f>
        <v>1.1550108840215741E-2</v>
      </c>
    </row>
    <row r="47" spans="1:10" hidden="1" outlineLevel="1" x14ac:dyDescent="0.25">
      <c r="A47" s="91" t="s">
        <v>49</v>
      </c>
      <c r="C47" s="92">
        <v>0.11700000000000001</v>
      </c>
      <c r="D47" s="80"/>
      <c r="E47" s="87">
        <f>IF(OR(ISNUMBER(SEARCH("[DGEN]", B1))=TRUE, ISNUMBER(SEARCH("STREET LIGHT", B1))=TRUE), 0, IF(AND(B3=0, B4=0),0, IF(AND(B4=0, B3*12&gt;250000), 0, IF(AND(B3=0, B4&gt;=50), 0, IF(B3*12&lt;=250000, C47*E45*-1, IF(B4&lt;50, C47*E45*-1, 0))))))</f>
        <v>0</v>
      </c>
      <c r="F47" s="92">
        <v>0.11700000000000001</v>
      </c>
      <c r="G47" s="88"/>
      <c r="H47" s="87">
        <f>IF(OR(ISNUMBER(SEARCH("[DGEN]", B1))=TRUE, ISNUMBER(SEARCH("STREET LIGHT", B1))=TRUE), 0, IF(AND(B3=0, B4=0),0, IF(AND(B4=0, B3*12&gt;250000), 0, IF(AND(B3=0, B4&gt;=50), 0, IF(B3*12&lt;=250000, F47*H45*-1, IF(B4&lt;50, F47*H45*-1, 0))))))</f>
        <v>0</v>
      </c>
      <c r="I47" s="89"/>
      <c r="J47" s="90"/>
    </row>
    <row r="48" spans="1:10" ht="15.75" hidden="1" outlineLevel="1" thickBot="1" x14ac:dyDescent="0.3">
      <c r="A48" s="115" t="s">
        <v>51</v>
      </c>
      <c r="B48" s="115"/>
      <c r="C48" s="100"/>
      <c r="D48" s="101"/>
      <c r="E48" s="95">
        <f>SUM(E45,E46)</f>
        <v>14441.440016497898</v>
      </c>
      <c r="F48" s="102"/>
      <c r="G48" s="102"/>
      <c r="H48" s="95">
        <f>SUM(H45,H46)</f>
        <v>14608.240220497897</v>
      </c>
      <c r="I48" s="103">
        <f>H48-E48</f>
        <v>166.80020399999921</v>
      </c>
      <c r="J48" s="104">
        <f>IF((E48)=0,"",(I48/E48))</f>
        <v>1.1550108840215843E-2</v>
      </c>
    </row>
    <row r="49" spans="1:10" ht="15.75" collapsed="1" thickBot="1" x14ac:dyDescent="0.3">
      <c r="A49" s="70"/>
      <c r="B49" s="71"/>
      <c r="C49" s="105"/>
      <c r="D49" s="106"/>
      <c r="E49" s="107"/>
      <c r="F49" s="105"/>
      <c r="G49" s="73"/>
      <c r="H49" s="107"/>
      <c r="I49" s="108"/>
      <c r="J49" s="77"/>
    </row>
    <row r="50" spans="1:10" x14ac:dyDescent="0.25">
      <c r="A50" s="78" t="s">
        <v>52</v>
      </c>
      <c r="B50" s="62"/>
      <c r="C50" s="79"/>
      <c r="D50" s="80"/>
      <c r="E50" s="81">
        <f>SUM(E38,E30:E33,E29)</f>
        <v>14113.359226960001</v>
      </c>
      <c r="F50" s="82"/>
      <c r="G50" s="82"/>
      <c r="H50" s="81">
        <f>SUM(H38,H30:H33,H29)</f>
        <v>14260.97002696</v>
      </c>
      <c r="I50" s="83">
        <f>H50-E50</f>
        <v>147.61079999999856</v>
      </c>
      <c r="J50" s="84">
        <f>IF((E50)=0,"",(I50/E50))</f>
        <v>1.0458941604634103E-2</v>
      </c>
    </row>
    <row r="51" spans="1:10" x14ac:dyDescent="0.25">
      <c r="A51" s="85" t="s">
        <v>48</v>
      </c>
      <c r="B51" s="62"/>
      <c r="C51" s="79">
        <v>0.13</v>
      </c>
      <c r="D51" s="80"/>
      <c r="E51" s="87">
        <f>E50*C51</f>
        <v>1834.7366995048003</v>
      </c>
      <c r="F51" s="79">
        <v>0.13</v>
      </c>
      <c r="G51" s="88"/>
      <c r="H51" s="87">
        <f>H50*F51</f>
        <v>1853.9261035048</v>
      </c>
      <c r="I51" s="89">
        <f>H51-E51</f>
        <v>19.18940399999974</v>
      </c>
      <c r="J51" s="90">
        <f>IF((E51)=0,"",(I51/E51))</f>
        <v>1.0458941604634063E-2</v>
      </c>
    </row>
    <row r="52" spans="1:10" x14ac:dyDescent="0.25">
      <c r="A52" s="91" t="s">
        <v>49</v>
      </c>
      <c r="C52" s="92">
        <v>0.11700000000000001</v>
      </c>
      <c r="D52" s="80"/>
      <c r="E52" s="87">
        <f>IF(OR(ISNUMBER(SEARCH("[DGEN]", B1))=TRUE, ISNUMBER(SEARCH("STREET LIGHT", B1))=TRUE), 0, IF(AND(B3=0, B4=0),0, IF(AND(B4=0, B3*12&gt;250000), 0, IF(AND(B3=0, B4&gt;=50), 0, IF(B3*12&lt;=250000, C52*E50*-1, IF(B4&lt;50, C52*E50*-1, 0))))))</f>
        <v>0</v>
      </c>
      <c r="F52" s="92">
        <v>0.11700000000000001</v>
      </c>
      <c r="G52" s="88"/>
      <c r="H52" s="87">
        <f>IF(OR(ISNUMBER(SEARCH("[DGEN]", B1))=TRUE, ISNUMBER(SEARCH("STREET LIGHT", B1))=TRUE), 0, IF(AND(B3=0, B4=0),0, IF(AND(B4=0, B3*12&gt;250000), 0, IF(AND(B3=0, B4&gt;=50), 0, IF(B3*12&lt;=250000, F52*H50*-1, IF(B4&lt;50, F52*H50*-1, 0))))))</f>
        <v>0</v>
      </c>
      <c r="I52" s="89"/>
      <c r="J52" s="90"/>
    </row>
    <row r="53" spans="1:10" ht="15.75" thickBot="1" x14ac:dyDescent="0.3">
      <c r="A53" s="115" t="s">
        <v>52</v>
      </c>
      <c r="B53" s="115"/>
      <c r="C53" s="100"/>
      <c r="D53" s="101"/>
      <c r="E53" s="95">
        <f>SUM(E50,E51)</f>
        <v>15948.095926464801</v>
      </c>
      <c r="F53" s="102"/>
      <c r="G53" s="102"/>
      <c r="H53" s="95">
        <f>SUM(H50,H51)</f>
        <v>16114.8961304648</v>
      </c>
      <c r="I53" s="103">
        <f>H53-E53</f>
        <v>166.80020399999921</v>
      </c>
      <c r="J53" s="104">
        <f>IF((E53)=0,"",(I53/E53))</f>
        <v>1.0458941604634156E-2</v>
      </c>
    </row>
    <row r="54" spans="1:10" ht="15.75" thickBot="1" x14ac:dyDescent="0.3">
      <c r="A54" s="70"/>
      <c r="B54" s="71"/>
      <c r="C54" s="109"/>
      <c r="D54" s="110"/>
      <c r="E54" s="111"/>
      <c r="F54" s="109"/>
      <c r="G54" s="112"/>
      <c r="H54" s="111"/>
      <c r="I54" s="113"/>
      <c r="J54" s="114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</sheetData>
  <mergeCells count="11">
    <mergeCell ref="I8:J8"/>
    <mergeCell ref="B9:B10"/>
    <mergeCell ref="I9:I10"/>
    <mergeCell ref="J9:J10"/>
    <mergeCell ref="A43:B43"/>
    <mergeCell ref="A48:B48"/>
    <mergeCell ref="A53:B53"/>
    <mergeCell ref="B1:G1"/>
    <mergeCell ref="B2:D2"/>
    <mergeCell ref="C8:E8"/>
    <mergeCell ref="F8:H8"/>
  </mergeCells>
  <dataValidations disablePrompts="1" count="1">
    <dataValidation type="list" allowBlank="1" showInputMessage="1" showErrorMessage="1" prompt="Select Charge Unit - monthly, per kWh, per kW" sqref="B44 B49 B54 B39">
      <formula1>"Monthly, per kWh, per kW"</formula1>
    </dataValidation>
  </dataValidations>
  <pageMargins left="0.7" right="0.7" top="0.75" bottom="0.75" header="0.3" footer="0.3"/>
  <pageSetup scale="7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MacSween</dc:creator>
  <cp:lastModifiedBy>Paul Blythin</cp:lastModifiedBy>
  <cp:lastPrinted>2023-08-17T18:19:00Z</cp:lastPrinted>
  <dcterms:created xsi:type="dcterms:W3CDTF">2023-08-14T18:30:12Z</dcterms:created>
  <dcterms:modified xsi:type="dcterms:W3CDTF">2023-08-17T18:19:05Z</dcterms:modified>
</cp:coreProperties>
</file>