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V:\ACTIVE APPLICATIONS\API_2024_IRM\Final Application Files\"/>
    </mc:Choice>
  </mc:AlternateContent>
  <xr:revisionPtr revIDLastSave="0" documentId="13_ncr:1_{989C662A-F17B-46CD-BEFA-1CC59DB340B3}" xr6:coauthVersionLast="47" xr6:coauthVersionMax="47" xr10:uidLastSave="{00000000-0000-0000-0000-000000000000}"/>
  <bookViews>
    <workbookView xWindow="-120" yWindow="-120" windowWidth="29040" windowHeight="15840" xr2:uid="{C6425671-09D4-4937-B35C-6D4BC0B16305}"/>
  </bookViews>
  <sheets>
    <sheet name="Bill Impact" sheetId="1" r:id="rId1"/>
    <sheet name="Current (2023) Tariff" sheetId="2" r:id="rId2"/>
  </sheets>
  <definedNames>
    <definedName name="DRP">#REF!</definedName>
    <definedName name="MidPeak">#REF!</definedName>
    <definedName name="MidPeakPer">#REF!</definedName>
    <definedName name="OffPeak">#REF!</definedName>
    <definedName name="OffPeakPer">#REF!</definedName>
    <definedName name="OnPeak">#REF!</definedName>
    <definedName name="OnPeakPer">#REF!</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7" i="1" l="1"/>
  <c r="D247" i="1"/>
  <c r="G77" i="1" l="1"/>
  <c r="C374" i="1"/>
  <c r="C373" i="1"/>
  <c r="C319" i="1"/>
  <c r="E319" i="1" s="1"/>
  <c r="C318" i="1"/>
  <c r="C317" i="1"/>
  <c r="C262" i="1"/>
  <c r="C263" i="1"/>
  <c r="E263" i="1" s="1"/>
  <c r="C261" i="1"/>
  <c r="C206" i="1"/>
  <c r="C205" i="1"/>
  <c r="C149" i="1"/>
  <c r="C150" i="1"/>
  <c r="C198" i="1"/>
  <c r="C366" i="1"/>
  <c r="C298" i="1"/>
  <c r="C95" i="1"/>
  <c r="E95" i="1" s="1"/>
  <c r="D41" i="1"/>
  <c r="F381" i="1"/>
  <c r="F380" i="1"/>
  <c r="H375" i="1"/>
  <c r="H368" i="1"/>
  <c r="G368" i="1"/>
  <c r="D368" i="1"/>
  <c r="E368" i="1" s="1"/>
  <c r="H367" i="1"/>
  <c r="E367" i="1"/>
  <c r="G365" i="1"/>
  <c r="H365" i="1" s="1"/>
  <c r="I365" i="1" s="1"/>
  <c r="J365" i="1" s="1"/>
  <c r="D365" i="1"/>
  <c r="E365" i="1" s="1"/>
  <c r="G358" i="1"/>
  <c r="H358" i="1" s="1"/>
  <c r="I358" i="1" s="1"/>
  <c r="J358" i="1" s="1"/>
  <c r="E358" i="1"/>
  <c r="I357" i="1"/>
  <c r="J357" i="1" s="1"/>
  <c r="G357" i="1"/>
  <c r="D357" i="1"/>
  <c r="G356" i="1"/>
  <c r="D356" i="1"/>
  <c r="G354" i="1"/>
  <c r="E354" i="1"/>
  <c r="B348" i="1"/>
  <c r="B347" i="1"/>
  <c r="B346" i="1"/>
  <c r="D380" i="1" s="1"/>
  <c r="E380" i="1" s="1"/>
  <c r="B345" i="1"/>
  <c r="H344" i="1"/>
  <c r="B344" i="1"/>
  <c r="F325" i="1"/>
  <c r="F324" i="1"/>
  <c r="H319" i="1"/>
  <c r="G312" i="1"/>
  <c r="H312" i="1" s="1"/>
  <c r="D312" i="1"/>
  <c r="E312" i="1" s="1"/>
  <c r="H311" i="1"/>
  <c r="E311" i="1"/>
  <c r="G309" i="1"/>
  <c r="H309" i="1" s="1"/>
  <c r="D309" i="1"/>
  <c r="E309" i="1" s="1"/>
  <c r="G302" i="1"/>
  <c r="H302" i="1" s="1"/>
  <c r="E302" i="1"/>
  <c r="G301" i="1"/>
  <c r="D301" i="1"/>
  <c r="G300" i="1"/>
  <c r="D300" i="1"/>
  <c r="G298" i="1"/>
  <c r="E298" i="1"/>
  <c r="B292" i="1"/>
  <c r="B291" i="1"/>
  <c r="B290" i="1"/>
  <c r="D305" i="1" s="1"/>
  <c r="B289" i="1"/>
  <c r="H288" i="1"/>
  <c r="B288" i="1"/>
  <c r="H310" i="1" s="1"/>
  <c r="H283" i="1"/>
  <c r="F269" i="1"/>
  <c r="F268" i="1"/>
  <c r="H263" i="1"/>
  <c r="G256" i="1"/>
  <c r="H256" i="1" s="1"/>
  <c r="E256" i="1"/>
  <c r="D256" i="1"/>
  <c r="I255" i="1"/>
  <c r="J255" i="1" s="1"/>
  <c r="H255" i="1"/>
  <c r="E255" i="1"/>
  <c r="E254" i="1"/>
  <c r="G253" i="1"/>
  <c r="H253" i="1" s="1"/>
  <c r="E253" i="1"/>
  <c r="D253" i="1"/>
  <c r="H247" i="1"/>
  <c r="H246" i="1"/>
  <c r="I246" i="1" s="1"/>
  <c r="J246" i="1" s="1"/>
  <c r="E246" i="1"/>
  <c r="I245" i="1"/>
  <c r="J245" i="1" s="1"/>
  <c r="G245" i="1"/>
  <c r="D245" i="1"/>
  <c r="G244" i="1"/>
  <c r="D244" i="1"/>
  <c r="H242" i="1"/>
  <c r="I242" i="1" s="1"/>
  <c r="J242" i="1" s="1"/>
  <c r="E242" i="1"/>
  <c r="B236" i="1"/>
  <c r="B235" i="1"/>
  <c r="B234" i="1"/>
  <c r="G269" i="1" s="1"/>
  <c r="H269" i="1" s="1"/>
  <c r="B233" i="1"/>
  <c r="H232" i="1"/>
  <c r="B232" i="1"/>
  <c r="H273" i="1" s="1"/>
  <c r="F213" i="1"/>
  <c r="F212" i="1"/>
  <c r="H207" i="1"/>
  <c r="G200" i="1"/>
  <c r="H200" i="1" s="1"/>
  <c r="I200" i="1" s="1"/>
  <c r="J200" i="1" s="1"/>
  <c r="D200" i="1"/>
  <c r="E200" i="1" s="1"/>
  <c r="H199" i="1"/>
  <c r="I199" i="1" s="1"/>
  <c r="J199" i="1" s="1"/>
  <c r="E199" i="1"/>
  <c r="H198" i="1"/>
  <c r="G197" i="1"/>
  <c r="H197" i="1" s="1"/>
  <c r="I197" i="1" s="1"/>
  <c r="J197" i="1" s="1"/>
  <c r="D197" i="1"/>
  <c r="E197" i="1" s="1"/>
  <c r="G190" i="1"/>
  <c r="H190" i="1" s="1"/>
  <c r="I190" i="1" s="1"/>
  <c r="J190" i="1" s="1"/>
  <c r="E190" i="1"/>
  <c r="J189" i="1"/>
  <c r="I189" i="1"/>
  <c r="G189" i="1"/>
  <c r="D189" i="1"/>
  <c r="G188" i="1"/>
  <c r="D188" i="1"/>
  <c r="G186" i="1"/>
  <c r="E186" i="1"/>
  <c r="B180" i="1"/>
  <c r="B179" i="1"/>
  <c r="B178" i="1"/>
  <c r="D194" i="1" s="1"/>
  <c r="E194" i="1" s="1"/>
  <c r="B177" i="1"/>
  <c r="H176" i="1"/>
  <c r="B176" i="1"/>
  <c r="F157" i="1"/>
  <c r="F156" i="1"/>
  <c r="H151" i="1"/>
  <c r="G144" i="1"/>
  <c r="H144" i="1" s="1"/>
  <c r="E144" i="1"/>
  <c r="D144" i="1"/>
  <c r="H143" i="1"/>
  <c r="I143" i="1" s="1"/>
  <c r="J143" i="1" s="1"/>
  <c r="E143" i="1"/>
  <c r="G141" i="1"/>
  <c r="H141" i="1" s="1"/>
  <c r="D141" i="1"/>
  <c r="E141" i="1" s="1"/>
  <c r="G134" i="1"/>
  <c r="H134" i="1" s="1"/>
  <c r="E134" i="1"/>
  <c r="I133" i="1"/>
  <c r="J133" i="1" s="1"/>
  <c r="G133" i="1"/>
  <c r="D133" i="1"/>
  <c r="G132" i="1"/>
  <c r="D132" i="1"/>
  <c r="G130" i="1"/>
  <c r="E130" i="1"/>
  <c r="B125" i="1"/>
  <c r="B124" i="1"/>
  <c r="B123" i="1"/>
  <c r="D138" i="1" s="1"/>
  <c r="E138" i="1" s="1"/>
  <c r="B122" i="1"/>
  <c r="B121" i="1"/>
  <c r="H120" i="1"/>
  <c r="B120" i="1"/>
  <c r="F101" i="1"/>
  <c r="D101" i="1"/>
  <c r="E101" i="1" s="1"/>
  <c r="F100" i="1"/>
  <c r="H95" i="1"/>
  <c r="H88" i="1"/>
  <c r="G88" i="1"/>
  <c r="D88" i="1"/>
  <c r="E88" i="1" s="1"/>
  <c r="I87" i="1"/>
  <c r="J87" i="1" s="1"/>
  <c r="H87" i="1"/>
  <c r="E87" i="1"/>
  <c r="H85" i="1"/>
  <c r="G85" i="1"/>
  <c r="D85" i="1"/>
  <c r="E85" i="1" s="1"/>
  <c r="H83" i="1"/>
  <c r="E83" i="1"/>
  <c r="H82" i="1"/>
  <c r="E82" i="1"/>
  <c r="H79" i="1"/>
  <c r="E79" i="1"/>
  <c r="G78" i="1"/>
  <c r="H78" i="1" s="1"/>
  <c r="E78" i="1"/>
  <c r="D77" i="1"/>
  <c r="G76" i="1"/>
  <c r="D76" i="1"/>
  <c r="G75" i="1"/>
  <c r="H75" i="1" s="1"/>
  <c r="I75" i="1" s="1"/>
  <c r="J75" i="1" s="1"/>
  <c r="D75" i="1"/>
  <c r="E75" i="1" s="1"/>
  <c r="G74" i="1"/>
  <c r="E74" i="1"/>
  <c r="E77" i="1" s="1"/>
  <c r="B68" i="1"/>
  <c r="B67" i="1"/>
  <c r="B66" i="1"/>
  <c r="D81" i="1" s="1"/>
  <c r="B65" i="1"/>
  <c r="H64" i="1"/>
  <c r="B64" i="1"/>
  <c r="E86" i="1" s="1"/>
  <c r="A60" i="1"/>
  <c r="A59" i="1"/>
  <c r="A58" i="1"/>
  <c r="A57" i="1"/>
  <c r="A56" i="1"/>
  <c r="A55" i="1"/>
  <c r="A54" i="1"/>
  <c r="A53" i="1"/>
  <c r="A52" i="1"/>
  <c r="A51" i="1"/>
  <c r="A50" i="1"/>
  <c r="A49" i="1"/>
  <c r="A48" i="1"/>
  <c r="A47" i="1"/>
  <c r="A46" i="1"/>
  <c r="A45" i="1"/>
  <c r="A44" i="1"/>
  <c r="A43" i="1"/>
  <c r="A42" i="1"/>
  <c r="A41" i="1"/>
  <c r="G35" i="1"/>
  <c r="D60" i="1"/>
  <c r="G34" i="1"/>
  <c r="D59" i="1"/>
  <c r="G33" i="1"/>
  <c r="D58" i="1"/>
  <c r="G32" i="1"/>
  <c r="D57" i="1"/>
  <c r="G31" i="1"/>
  <c r="D56" i="1"/>
  <c r="G30" i="1"/>
  <c r="D55" i="1"/>
  <c r="G29" i="1"/>
  <c r="D54" i="1"/>
  <c r="G28" i="1"/>
  <c r="D53" i="1"/>
  <c r="G27" i="1"/>
  <c r="D52" i="1"/>
  <c r="G26" i="1"/>
  <c r="D51" i="1"/>
  <c r="G25" i="1"/>
  <c r="D50" i="1"/>
  <c r="G24" i="1"/>
  <c r="D49" i="1"/>
  <c r="G23" i="1"/>
  <c r="D48" i="1"/>
  <c r="G22" i="1"/>
  <c r="D47" i="1"/>
  <c r="G21" i="1"/>
  <c r="B349" i="1" s="1"/>
  <c r="D46" i="1"/>
  <c r="G20" i="1"/>
  <c r="B293" i="1" s="1"/>
  <c r="D45" i="1"/>
  <c r="G19" i="1"/>
  <c r="B237" i="1" s="1"/>
  <c r="D44" i="1"/>
  <c r="G18" i="1"/>
  <c r="B181" i="1" s="1"/>
  <c r="G205" i="1" s="1"/>
  <c r="D43" i="1"/>
  <c r="G17" i="1"/>
  <c r="D42" i="1"/>
  <c r="G16" i="1"/>
  <c r="B69" i="1" s="1"/>
  <c r="I311" i="1" l="1"/>
  <c r="J311" i="1" s="1"/>
  <c r="D131" i="1"/>
  <c r="D195" i="1"/>
  <c r="E195" i="1" s="1"/>
  <c r="G243" i="1"/>
  <c r="H243" i="1" s="1"/>
  <c r="D259" i="1"/>
  <c r="E259" i="1" s="1"/>
  <c r="D306" i="1"/>
  <c r="E306" i="1" s="1"/>
  <c r="H98" i="1"/>
  <c r="I141" i="1"/>
  <c r="J141" i="1" s="1"/>
  <c r="G206" i="1"/>
  <c r="C375" i="1"/>
  <c r="E375" i="1" s="1"/>
  <c r="G194" i="1"/>
  <c r="H194" i="1" s="1"/>
  <c r="E247" i="1"/>
  <c r="E248" i="1" s="1"/>
  <c r="G258" i="1"/>
  <c r="H258" i="1" s="1"/>
  <c r="D307" i="1"/>
  <c r="E307" i="1" s="1"/>
  <c r="I312" i="1"/>
  <c r="J312" i="1" s="1"/>
  <c r="D135" i="1"/>
  <c r="E135" i="1" s="1"/>
  <c r="D187" i="1"/>
  <c r="G195" i="1"/>
  <c r="H195" i="1" s="1"/>
  <c r="I195" i="1" s="1"/>
  <c r="J195" i="1" s="1"/>
  <c r="D249" i="1"/>
  <c r="G259" i="1"/>
  <c r="H259" i="1" s="1"/>
  <c r="I259" i="1" s="1"/>
  <c r="J259" i="1" s="1"/>
  <c r="K259" i="1" s="1"/>
  <c r="G306" i="1"/>
  <c r="H306" i="1" s="1"/>
  <c r="I306" i="1" s="1"/>
  <c r="J306" i="1" s="1"/>
  <c r="E97" i="1"/>
  <c r="D252" i="1"/>
  <c r="E252" i="1" s="1"/>
  <c r="D261" i="1"/>
  <c r="E261" i="1" s="1"/>
  <c r="G268" i="1"/>
  <c r="H268" i="1" s="1"/>
  <c r="C151" i="1"/>
  <c r="E151" i="1" s="1"/>
  <c r="I151" i="1" s="1"/>
  <c r="J151" i="1" s="1"/>
  <c r="D90" i="1"/>
  <c r="G135" i="1"/>
  <c r="H135" i="1" s="1"/>
  <c r="I135" i="1" s="1"/>
  <c r="J135" i="1" s="1"/>
  <c r="D202" i="1"/>
  <c r="D250" i="1"/>
  <c r="E250" i="1" s="1"/>
  <c r="D299" i="1"/>
  <c r="E299" i="1" s="1"/>
  <c r="G307" i="1"/>
  <c r="H307" i="1" s="1"/>
  <c r="I85" i="1"/>
  <c r="J85" i="1" s="1"/>
  <c r="I309" i="1"/>
  <c r="J309" i="1" s="1"/>
  <c r="D91" i="1"/>
  <c r="D191" i="1"/>
  <c r="E191" i="1" s="1"/>
  <c r="I191" i="1" s="1"/>
  <c r="J191" i="1" s="1"/>
  <c r="D251" i="1"/>
  <c r="E251" i="1" s="1"/>
  <c r="G299" i="1"/>
  <c r="D314" i="1"/>
  <c r="D146" i="1"/>
  <c r="D147" i="1"/>
  <c r="G138" i="1"/>
  <c r="H138" i="1" s="1"/>
  <c r="I138" i="1" s="1"/>
  <c r="J138" i="1" s="1"/>
  <c r="G191" i="1"/>
  <c r="H191" i="1" s="1"/>
  <c r="G250" i="1"/>
  <c r="H250" i="1" s="1"/>
  <c r="D303" i="1"/>
  <c r="E303" i="1" s="1"/>
  <c r="D315" i="1"/>
  <c r="I144" i="1"/>
  <c r="J144" i="1" s="1"/>
  <c r="G196" i="1"/>
  <c r="H196" i="1" s="1"/>
  <c r="I196" i="1" s="1"/>
  <c r="J196" i="1" s="1"/>
  <c r="D205" i="1"/>
  <c r="E205" i="1" s="1"/>
  <c r="I253" i="1"/>
  <c r="J253" i="1" s="1"/>
  <c r="I256" i="1"/>
  <c r="J256" i="1" s="1"/>
  <c r="D262" i="1"/>
  <c r="E283" i="1"/>
  <c r="D139" i="1"/>
  <c r="E139" i="1" s="1"/>
  <c r="D193" i="1"/>
  <c r="G251" i="1"/>
  <c r="H251" i="1" s="1"/>
  <c r="G303" i="1"/>
  <c r="H303" i="1" s="1"/>
  <c r="I303" i="1" s="1"/>
  <c r="J303" i="1" s="1"/>
  <c r="C207" i="1"/>
  <c r="E207" i="1" s="1"/>
  <c r="G139" i="1"/>
  <c r="H139" i="1" s="1"/>
  <c r="D243" i="1"/>
  <c r="E243" i="1" s="1"/>
  <c r="D258" i="1"/>
  <c r="E258" i="1" s="1"/>
  <c r="E379" i="1"/>
  <c r="D362" i="1"/>
  <c r="E362" i="1" s="1"/>
  <c r="G364" i="1"/>
  <c r="H364" i="1" s="1"/>
  <c r="D363" i="1"/>
  <c r="E363" i="1" s="1"/>
  <c r="E377" i="1"/>
  <c r="G362" i="1"/>
  <c r="H362" i="1" s="1"/>
  <c r="D355" i="1"/>
  <c r="E355" i="1" s="1"/>
  <c r="G363" i="1"/>
  <c r="H363" i="1" s="1"/>
  <c r="I363" i="1" s="1"/>
  <c r="J363" i="1" s="1"/>
  <c r="D359" i="1"/>
  <c r="E359" i="1" s="1"/>
  <c r="D370" i="1"/>
  <c r="E378" i="1"/>
  <c r="G381" i="1"/>
  <c r="H381" i="1" s="1"/>
  <c r="G355" i="1"/>
  <c r="G359" i="1"/>
  <c r="H359" i="1" s="1"/>
  <c r="D361" i="1"/>
  <c r="E99" i="1"/>
  <c r="H205" i="1"/>
  <c r="I205" i="1" s="1"/>
  <c r="J205" i="1" s="1"/>
  <c r="G81" i="1"/>
  <c r="H81" i="1" s="1"/>
  <c r="H97" i="1"/>
  <c r="H99" i="1"/>
  <c r="H266" i="1"/>
  <c r="E193" i="1"/>
  <c r="H206" i="1"/>
  <c r="E98" i="1"/>
  <c r="I258" i="1"/>
  <c r="J258" i="1" s="1"/>
  <c r="K258" i="1" s="1"/>
  <c r="I250" i="1"/>
  <c r="J250" i="1" s="1"/>
  <c r="I251" i="1"/>
  <c r="J251" i="1" s="1"/>
  <c r="H248" i="1"/>
  <c r="I247" i="1"/>
  <c r="J247" i="1" s="1"/>
  <c r="E81" i="1"/>
  <c r="I83" i="1"/>
  <c r="J83" i="1" s="1"/>
  <c r="I79" i="1"/>
  <c r="J79" i="1" s="1"/>
  <c r="I134" i="1"/>
  <c r="J134" i="1" s="1"/>
  <c r="E262" i="1"/>
  <c r="I263" i="1"/>
  <c r="J263" i="1" s="1"/>
  <c r="I207" i="1"/>
  <c r="J207" i="1" s="1"/>
  <c r="E198" i="1"/>
  <c r="I95" i="1"/>
  <c r="J95" i="1" s="1"/>
  <c r="I78" i="1"/>
  <c r="J78" i="1" s="1"/>
  <c r="G318" i="1"/>
  <c r="H318" i="1" s="1"/>
  <c r="I88" i="1"/>
  <c r="J88" i="1" s="1"/>
  <c r="H161" i="1"/>
  <c r="H166" i="1"/>
  <c r="E161" i="1"/>
  <c r="H142" i="1"/>
  <c r="H171" i="1"/>
  <c r="E142" i="1"/>
  <c r="I139" i="1"/>
  <c r="J139" i="1" s="1"/>
  <c r="E166" i="1"/>
  <c r="I319" i="1"/>
  <c r="J319" i="1" s="1"/>
  <c r="I368" i="1"/>
  <c r="J368" i="1" s="1"/>
  <c r="G193" i="1"/>
  <c r="H193" i="1" s="1"/>
  <c r="E80" i="1"/>
  <c r="I82" i="1"/>
  <c r="J82" i="1" s="1"/>
  <c r="G157" i="1"/>
  <c r="H157" i="1" s="1"/>
  <c r="G140" i="1"/>
  <c r="H140" i="1" s="1"/>
  <c r="E155" i="1"/>
  <c r="E154" i="1"/>
  <c r="E153" i="1"/>
  <c r="D156" i="1"/>
  <c r="E156" i="1" s="1"/>
  <c r="D140" i="1"/>
  <c r="E140" i="1" s="1"/>
  <c r="D157" i="1"/>
  <c r="E157" i="1" s="1"/>
  <c r="G137" i="1"/>
  <c r="H137" i="1" s="1"/>
  <c r="G150" i="1"/>
  <c r="H150" i="1" s="1"/>
  <c r="G149" i="1"/>
  <c r="H149" i="1" s="1"/>
  <c r="H155" i="1"/>
  <c r="H154" i="1"/>
  <c r="H153" i="1"/>
  <c r="D137" i="1"/>
  <c r="E137" i="1" s="1"/>
  <c r="D149" i="1"/>
  <c r="E149" i="1" s="1"/>
  <c r="E171" i="1"/>
  <c r="G317" i="1"/>
  <c r="H317" i="1" s="1"/>
  <c r="I194" i="1"/>
  <c r="J194" i="1" s="1"/>
  <c r="G94" i="1"/>
  <c r="H94" i="1" s="1"/>
  <c r="D150" i="1"/>
  <c r="E150" i="1" s="1"/>
  <c r="G156" i="1"/>
  <c r="H156" i="1" s="1"/>
  <c r="D84" i="1"/>
  <c r="E84" i="1" s="1"/>
  <c r="D100" i="1"/>
  <c r="E100" i="1" s="1"/>
  <c r="H211" i="1"/>
  <c r="H210" i="1"/>
  <c r="G212" i="1"/>
  <c r="H212" i="1" s="1"/>
  <c r="E211" i="1"/>
  <c r="E210" i="1"/>
  <c r="E209" i="1"/>
  <c r="D212" i="1"/>
  <c r="E212" i="1" s="1"/>
  <c r="D196" i="1"/>
  <c r="E196" i="1" s="1"/>
  <c r="D213" i="1"/>
  <c r="E213" i="1" s="1"/>
  <c r="I243" i="1"/>
  <c r="J243" i="1" s="1"/>
  <c r="I367" i="1"/>
  <c r="J367" i="1" s="1"/>
  <c r="G84" i="1"/>
  <c r="H84" i="1" s="1"/>
  <c r="G101" i="1"/>
  <c r="H101" i="1" s="1"/>
  <c r="H209" i="1"/>
  <c r="H267" i="1"/>
  <c r="D93" i="1"/>
  <c r="E93" i="1" s="1"/>
  <c r="D94" i="1"/>
  <c r="G100" i="1"/>
  <c r="H100" i="1" s="1"/>
  <c r="G213" i="1"/>
  <c r="H213" i="1" s="1"/>
  <c r="I198" i="1"/>
  <c r="J198" i="1" s="1"/>
  <c r="H265" i="1"/>
  <c r="I375" i="1"/>
  <c r="J375" i="1" s="1"/>
  <c r="E249" i="1"/>
  <c r="I302" i="1"/>
  <c r="J302" i="1" s="1"/>
  <c r="H86" i="1"/>
  <c r="I86" i="1" s="1"/>
  <c r="J86" i="1" s="1"/>
  <c r="G93" i="1"/>
  <c r="H93" i="1" s="1"/>
  <c r="D206" i="1"/>
  <c r="E206" i="1" s="1"/>
  <c r="H323" i="1"/>
  <c r="H322" i="1"/>
  <c r="H321" i="1"/>
  <c r="E305" i="1"/>
  <c r="G324" i="1"/>
  <c r="H324" i="1" s="1"/>
  <c r="D318" i="1"/>
  <c r="E318" i="1" s="1"/>
  <c r="D317" i="1"/>
  <c r="E317" i="1" s="1"/>
  <c r="G325" i="1"/>
  <c r="H325" i="1" s="1"/>
  <c r="G308" i="1"/>
  <c r="H308" i="1" s="1"/>
  <c r="E323" i="1"/>
  <c r="E322" i="1"/>
  <c r="E321" i="1"/>
  <c r="D324" i="1"/>
  <c r="E324" i="1" s="1"/>
  <c r="D308" i="1"/>
  <c r="E308" i="1" s="1"/>
  <c r="D325" i="1"/>
  <c r="E325" i="1" s="1"/>
  <c r="G305" i="1"/>
  <c r="H305" i="1" s="1"/>
  <c r="E278" i="1"/>
  <c r="D373" i="1"/>
  <c r="E373" i="1" s="1"/>
  <c r="D374" i="1"/>
  <c r="E374" i="1" s="1"/>
  <c r="G380" i="1"/>
  <c r="H380" i="1" s="1"/>
  <c r="H254" i="1"/>
  <c r="I254" i="1" s="1"/>
  <c r="J254" i="1" s="1"/>
  <c r="G261" i="1"/>
  <c r="H261" i="1" s="1"/>
  <c r="G262" i="1"/>
  <c r="H262" i="1" s="1"/>
  <c r="E273" i="1"/>
  <c r="H278" i="1"/>
  <c r="E304" i="1"/>
  <c r="E361" i="1"/>
  <c r="E366" i="1"/>
  <c r="H377" i="1"/>
  <c r="H378" i="1"/>
  <c r="H379" i="1"/>
  <c r="G249" i="1"/>
  <c r="H249" i="1" s="1"/>
  <c r="D269" i="1"/>
  <c r="E269" i="1" s="1"/>
  <c r="D268" i="1"/>
  <c r="E268" i="1" s="1"/>
  <c r="H366" i="1"/>
  <c r="G373" i="1"/>
  <c r="H373" i="1" s="1"/>
  <c r="G374" i="1"/>
  <c r="H374" i="1" s="1"/>
  <c r="E265" i="1"/>
  <c r="E266" i="1"/>
  <c r="E267" i="1"/>
  <c r="G361" i="1"/>
  <c r="H361" i="1" s="1"/>
  <c r="D381" i="1"/>
  <c r="E381" i="1" s="1"/>
  <c r="G252" i="1"/>
  <c r="H252" i="1" s="1"/>
  <c r="I252" i="1" s="1"/>
  <c r="J252" i="1" s="1"/>
  <c r="E310" i="1"/>
  <c r="I310" i="1" s="1"/>
  <c r="J310" i="1" s="1"/>
  <c r="D364" i="1"/>
  <c r="E364" i="1" s="1"/>
  <c r="I307" i="1" l="1"/>
  <c r="J307" i="1" s="1"/>
  <c r="I193" i="1"/>
  <c r="J193" i="1" s="1"/>
  <c r="G147" i="1"/>
  <c r="H147" i="1" s="1"/>
  <c r="E147" i="1"/>
  <c r="G91" i="1"/>
  <c r="H91" i="1" s="1"/>
  <c r="E91" i="1"/>
  <c r="G90" i="1"/>
  <c r="H90" i="1" s="1"/>
  <c r="E90" i="1"/>
  <c r="G146" i="1"/>
  <c r="H146" i="1" s="1"/>
  <c r="E146" i="1"/>
  <c r="I362" i="1"/>
  <c r="J362" i="1" s="1"/>
  <c r="G315" i="1"/>
  <c r="H315" i="1" s="1"/>
  <c r="E315" i="1"/>
  <c r="I308" i="1"/>
  <c r="J308" i="1" s="1"/>
  <c r="G314" i="1"/>
  <c r="H314" i="1" s="1"/>
  <c r="E314" i="1"/>
  <c r="E187" i="1"/>
  <c r="E192" i="1" s="1"/>
  <c r="E201" i="1" s="1"/>
  <c r="G187" i="1"/>
  <c r="E131" i="1"/>
  <c r="E136" i="1" s="1"/>
  <c r="G131" i="1"/>
  <c r="I99" i="1"/>
  <c r="J99" i="1" s="1"/>
  <c r="I97" i="1"/>
  <c r="J97" i="1" s="1"/>
  <c r="G202" i="1"/>
  <c r="H202" i="1" s="1"/>
  <c r="D203" i="1"/>
  <c r="E202" i="1"/>
  <c r="I209" i="1"/>
  <c r="J209" i="1" s="1"/>
  <c r="I98" i="1"/>
  <c r="J98" i="1" s="1"/>
  <c r="I323" i="1"/>
  <c r="J323" i="1" s="1"/>
  <c r="I364" i="1"/>
  <c r="J364" i="1" s="1"/>
  <c r="I359" i="1"/>
  <c r="J359" i="1" s="1"/>
  <c r="I377" i="1"/>
  <c r="J377" i="1" s="1"/>
  <c r="E360" i="1"/>
  <c r="E369" i="1" s="1"/>
  <c r="G370" i="1"/>
  <c r="H370" i="1" s="1"/>
  <c r="D371" i="1"/>
  <c r="E370" i="1"/>
  <c r="I378" i="1"/>
  <c r="J378" i="1" s="1"/>
  <c r="I155" i="1"/>
  <c r="J155" i="1" s="1"/>
  <c r="H257" i="1"/>
  <c r="H260" i="1" s="1"/>
  <c r="I361" i="1"/>
  <c r="J361" i="1" s="1"/>
  <c r="I266" i="1"/>
  <c r="J266" i="1" s="1"/>
  <c r="I379" i="1"/>
  <c r="J379" i="1" s="1"/>
  <c r="I81" i="1"/>
  <c r="J81" i="1" s="1"/>
  <c r="I265" i="1"/>
  <c r="J265" i="1" s="1"/>
  <c r="I154" i="1"/>
  <c r="J154" i="1" s="1"/>
  <c r="I206" i="1"/>
  <c r="J206" i="1" s="1"/>
  <c r="E257" i="1"/>
  <c r="I248" i="1"/>
  <c r="I262" i="1"/>
  <c r="J262" i="1" s="1"/>
  <c r="I273" i="1"/>
  <c r="I161" i="1"/>
  <c r="I366" i="1"/>
  <c r="J366" i="1" s="1"/>
  <c r="I374" i="1"/>
  <c r="J374" i="1" s="1"/>
  <c r="I322" i="1"/>
  <c r="J322" i="1" s="1"/>
  <c r="I318" i="1"/>
  <c r="J318" i="1" s="1"/>
  <c r="E313" i="1"/>
  <c r="I101" i="1"/>
  <c r="J101" i="1" s="1"/>
  <c r="I373" i="1"/>
  <c r="J373" i="1" s="1"/>
  <c r="I261" i="1"/>
  <c r="J261" i="1" s="1"/>
  <c r="I305" i="1"/>
  <c r="J305" i="1" s="1"/>
  <c r="I325" i="1"/>
  <c r="J325" i="1" s="1"/>
  <c r="I100" i="1"/>
  <c r="J100" i="1" s="1"/>
  <c r="I84" i="1"/>
  <c r="J84" i="1" s="1"/>
  <c r="I153" i="1"/>
  <c r="J153" i="1" s="1"/>
  <c r="E89" i="1"/>
  <c r="I317" i="1"/>
  <c r="J317" i="1" s="1"/>
  <c r="I380" i="1"/>
  <c r="J380" i="1" s="1"/>
  <c r="I324" i="1"/>
  <c r="J324" i="1" s="1"/>
  <c r="I93" i="1"/>
  <c r="J93" i="1" s="1"/>
  <c r="I212" i="1"/>
  <c r="J212" i="1" s="1"/>
  <c r="I269" i="1"/>
  <c r="J269" i="1" s="1"/>
  <c r="I149" i="1"/>
  <c r="J149" i="1" s="1"/>
  <c r="I210" i="1"/>
  <c r="J210" i="1" s="1"/>
  <c r="I150" i="1"/>
  <c r="J150" i="1" s="1"/>
  <c r="I140" i="1"/>
  <c r="J140" i="1" s="1"/>
  <c r="I268" i="1"/>
  <c r="J268" i="1" s="1"/>
  <c r="I142" i="1"/>
  <c r="J142" i="1" s="1"/>
  <c r="I156" i="1"/>
  <c r="J156" i="1" s="1"/>
  <c r="I249" i="1"/>
  <c r="J249" i="1" s="1"/>
  <c r="I321" i="1"/>
  <c r="J321" i="1" s="1"/>
  <c r="I381" i="1"/>
  <c r="J381" i="1" s="1"/>
  <c r="I267" i="1"/>
  <c r="J267" i="1" s="1"/>
  <c r="I211" i="1"/>
  <c r="J211" i="1" s="1"/>
  <c r="I137" i="1"/>
  <c r="J137" i="1" s="1"/>
  <c r="I157" i="1"/>
  <c r="J157" i="1" s="1"/>
  <c r="I213" i="1"/>
  <c r="J213" i="1" s="1"/>
  <c r="E145" i="1"/>
  <c r="G203" i="1" l="1"/>
  <c r="H203" i="1" s="1"/>
  <c r="E203" i="1"/>
  <c r="I202" i="1"/>
  <c r="J202" i="1" s="1"/>
  <c r="K202" i="1" s="1"/>
  <c r="I314" i="1"/>
  <c r="J314" i="1" s="1"/>
  <c r="K314" i="1" s="1"/>
  <c r="I90" i="1"/>
  <c r="J90" i="1" s="1"/>
  <c r="K90" i="1" s="1"/>
  <c r="I91" i="1"/>
  <c r="J91" i="1" s="1"/>
  <c r="K91" i="1" s="1"/>
  <c r="I146" i="1"/>
  <c r="J146" i="1" s="1"/>
  <c r="K146" i="1" s="1"/>
  <c r="I315" i="1"/>
  <c r="J315" i="1" s="1"/>
  <c r="K315" i="1" s="1"/>
  <c r="I147" i="1"/>
  <c r="J147" i="1" s="1"/>
  <c r="K147" i="1" s="1"/>
  <c r="G371" i="1"/>
  <c r="H371" i="1" s="1"/>
  <c r="E371" i="1"/>
  <c r="I370" i="1"/>
  <c r="J370" i="1" s="1"/>
  <c r="K370" i="1" s="1"/>
  <c r="E372" i="1"/>
  <c r="E388" i="1" s="1"/>
  <c r="H276" i="1"/>
  <c r="H277" i="1" s="1"/>
  <c r="H279" i="1" s="1"/>
  <c r="H281" i="1"/>
  <c r="H282" i="1" s="1"/>
  <c r="H284" i="1" s="1"/>
  <c r="I257" i="1"/>
  <c r="J257" i="1" s="1"/>
  <c r="H44" i="1" s="1"/>
  <c r="J248" i="1"/>
  <c r="F44" i="1" s="1"/>
  <c r="E44" i="1"/>
  <c r="E260" i="1"/>
  <c r="E271" i="1" s="1"/>
  <c r="E272" i="1" s="1"/>
  <c r="E393" i="1"/>
  <c r="E92" i="1"/>
  <c r="E204" i="1"/>
  <c r="E148" i="1"/>
  <c r="H271" i="1"/>
  <c r="E316" i="1"/>
  <c r="E383" i="1" l="1"/>
  <c r="E385" i="1" s="1"/>
  <c r="I203" i="1"/>
  <c r="J203" i="1" s="1"/>
  <c r="K203" i="1" s="1"/>
  <c r="E389" i="1"/>
  <c r="E391" i="1" s="1"/>
  <c r="E390" i="1"/>
  <c r="G44" i="1"/>
  <c r="I371" i="1"/>
  <c r="J371" i="1" s="1"/>
  <c r="K371" i="1" s="1"/>
  <c r="E337" i="1"/>
  <c r="E332" i="1"/>
  <c r="E327" i="1"/>
  <c r="E274" i="1"/>
  <c r="I260" i="1"/>
  <c r="E281" i="1"/>
  <c r="E282" i="1" s="1"/>
  <c r="E284" i="1" s="1"/>
  <c r="E276" i="1"/>
  <c r="E277" i="1" s="1"/>
  <c r="E279" i="1" s="1"/>
  <c r="I279" i="1" s="1"/>
  <c r="J279" i="1" s="1"/>
  <c r="E215" i="1"/>
  <c r="E225" i="1"/>
  <c r="E220" i="1"/>
  <c r="E159" i="1"/>
  <c r="E164" i="1"/>
  <c r="E165" i="1" s="1"/>
  <c r="E169" i="1"/>
  <c r="E395" i="1"/>
  <c r="E394" i="1"/>
  <c r="E396" i="1" s="1"/>
  <c r="I271" i="1"/>
  <c r="J271" i="1" s="1"/>
  <c r="H272" i="1"/>
  <c r="I272" i="1" s="1"/>
  <c r="J272" i="1" s="1"/>
  <c r="E384" i="1" l="1"/>
  <c r="E386" i="1" s="1"/>
  <c r="I284" i="1"/>
  <c r="K44" i="1" s="1"/>
  <c r="J260" i="1"/>
  <c r="J44" i="1" s="1"/>
  <c r="I44" i="1"/>
  <c r="E339" i="1"/>
  <c r="E338" i="1"/>
  <c r="E340" i="1" s="1"/>
  <c r="E334" i="1"/>
  <c r="E333" i="1"/>
  <c r="E335" i="1" s="1"/>
  <c r="E328" i="1"/>
  <c r="E329" i="1"/>
  <c r="I282" i="1"/>
  <c r="J282" i="1" s="1"/>
  <c r="I276" i="1"/>
  <c r="J276" i="1" s="1"/>
  <c r="I277" i="1"/>
  <c r="J277" i="1" s="1"/>
  <c r="I281" i="1"/>
  <c r="J281" i="1" s="1"/>
  <c r="E221" i="1"/>
  <c r="E223" i="1" s="1"/>
  <c r="E222" i="1"/>
  <c r="E227" i="1"/>
  <c r="E226" i="1"/>
  <c r="E228" i="1" s="1"/>
  <c r="E217" i="1"/>
  <c r="E216" i="1"/>
  <c r="E167" i="1"/>
  <c r="E160" i="1"/>
  <c r="E162" i="1" s="1"/>
  <c r="E170" i="1"/>
  <c r="E172" i="1" s="1"/>
  <c r="H274" i="1"/>
  <c r="I274" i="1" s="1"/>
  <c r="J274" i="1" s="1"/>
  <c r="J284" i="1" l="1"/>
  <c r="L44" i="1" s="1"/>
  <c r="E330" i="1"/>
  <c r="E218" i="1"/>
  <c r="E94" i="1" l="1"/>
  <c r="I94" i="1" l="1"/>
  <c r="J94" i="1" s="1"/>
  <c r="E103" i="1"/>
  <c r="E105" i="1" s="1"/>
  <c r="E113" i="1"/>
  <c r="E115" i="1" s="1"/>
  <c r="E108" i="1"/>
  <c r="E104" i="1" l="1"/>
  <c r="E106" i="1" s="1"/>
  <c r="E109" i="1"/>
  <c r="E110" i="1"/>
  <c r="E114" i="1"/>
  <c r="E116" i="1" s="1"/>
  <c r="E111" i="1" l="1"/>
  <c r="F51" i="1" l="1"/>
  <c r="I51" i="1"/>
  <c r="L51" i="1"/>
  <c r="H51" i="1"/>
  <c r="E51" i="1"/>
  <c r="J51" i="1"/>
  <c r="K51" i="1"/>
  <c r="E60" i="1"/>
  <c r="I60" i="1"/>
  <c r="F60" i="1"/>
  <c r="K60" i="1"/>
  <c r="H60" i="1"/>
  <c r="L60" i="1"/>
  <c r="J60" i="1"/>
  <c r="I59" i="1"/>
  <c r="H59" i="1"/>
  <c r="J59" i="1"/>
  <c r="L59" i="1"/>
  <c r="K59" i="1"/>
  <c r="F59" i="1"/>
  <c r="E59" i="1"/>
  <c r="H57" i="1"/>
  <c r="I57" i="1"/>
  <c r="K57" i="1"/>
  <c r="L57" i="1"/>
  <c r="E57" i="1"/>
  <c r="J57" i="1"/>
  <c r="F57" i="1"/>
  <c r="E56" i="1"/>
  <c r="K56" i="1"/>
  <c r="H56" i="1"/>
  <c r="F56" i="1"/>
  <c r="L56" i="1"/>
  <c r="I56" i="1"/>
  <c r="J56" i="1"/>
  <c r="H55" i="1"/>
  <c r="I55" i="1"/>
  <c r="J55" i="1"/>
  <c r="E55" i="1"/>
  <c r="K55" i="1"/>
  <c r="F55" i="1"/>
  <c r="L55" i="1"/>
  <c r="J54" i="1"/>
  <c r="F54" i="1"/>
  <c r="H54" i="1"/>
  <c r="I54" i="1"/>
  <c r="K54" i="1"/>
  <c r="E54" i="1"/>
  <c r="L54" i="1"/>
  <c r="L53" i="1"/>
  <c r="H53" i="1"/>
  <c r="I53" i="1"/>
  <c r="J53" i="1"/>
  <c r="K53" i="1"/>
  <c r="F53" i="1"/>
  <c r="E53" i="1"/>
  <c r="K52" i="1"/>
  <c r="H52" i="1"/>
  <c r="F52" i="1"/>
  <c r="J52" i="1"/>
  <c r="I52" i="1"/>
  <c r="L52" i="1"/>
  <c r="E52" i="1"/>
  <c r="K50" i="1"/>
  <c r="E50" i="1"/>
  <c r="L50" i="1"/>
  <c r="F50" i="1"/>
  <c r="I50" i="1"/>
  <c r="H50" i="1"/>
  <c r="J50" i="1"/>
  <c r="L49" i="1"/>
  <c r="J49" i="1"/>
  <c r="I49" i="1"/>
  <c r="E49" i="1"/>
  <c r="K49" i="1"/>
  <c r="F49" i="1"/>
  <c r="H49" i="1"/>
  <c r="F48" i="1"/>
  <c r="H48" i="1"/>
  <c r="K48" i="1"/>
  <c r="J48" i="1"/>
  <c r="L48" i="1"/>
  <c r="I48" i="1"/>
  <c r="E48" i="1"/>
  <c r="H47" i="1"/>
  <c r="E47" i="1"/>
  <c r="L47" i="1"/>
  <c r="I47" i="1"/>
  <c r="K47" i="1"/>
  <c r="F47" i="1"/>
  <c r="J47" i="1"/>
  <c r="F58" i="1"/>
  <c r="I58" i="1"/>
  <c r="K58" i="1"/>
  <c r="L58" i="1"/>
  <c r="H58" i="1"/>
  <c r="J58" i="1"/>
  <c r="E58" i="1"/>
  <c r="H131" i="1"/>
  <c r="I131" i="1" s="1"/>
  <c r="J131" i="1" s="1"/>
  <c r="H130" i="1"/>
  <c r="H299" i="1"/>
  <c r="I299" i="1" s="1"/>
  <c r="J299" i="1" s="1"/>
  <c r="H298" i="1"/>
  <c r="H187" i="1" l="1"/>
  <c r="I187" i="1" s="1"/>
  <c r="J187" i="1" s="1"/>
  <c r="H355" i="1"/>
  <c r="I355" i="1" s="1"/>
  <c r="J355" i="1" s="1"/>
  <c r="H74" i="1"/>
  <c r="H77" i="1"/>
  <c r="I77" i="1" s="1"/>
  <c r="J77" i="1" s="1"/>
  <c r="I130" i="1"/>
  <c r="J130" i="1" s="1"/>
  <c r="H136" i="1"/>
  <c r="H354" i="1"/>
  <c r="H186" i="1"/>
  <c r="I298" i="1"/>
  <c r="J298" i="1" s="1"/>
  <c r="I136" i="1" l="1"/>
  <c r="H145" i="1"/>
  <c r="I186" i="1"/>
  <c r="J186" i="1" s="1"/>
  <c r="H192" i="1"/>
  <c r="I74" i="1"/>
  <c r="J74" i="1" s="1"/>
  <c r="H80" i="1"/>
  <c r="I354" i="1"/>
  <c r="J354" i="1" s="1"/>
  <c r="H360" i="1"/>
  <c r="H304" i="1"/>
  <c r="I301" i="1"/>
  <c r="J301" i="1" s="1"/>
  <c r="H201" i="1" l="1"/>
  <c r="I192" i="1"/>
  <c r="I360" i="1"/>
  <c r="H369" i="1"/>
  <c r="H89" i="1"/>
  <c r="I80" i="1"/>
  <c r="H148" i="1"/>
  <c r="I145" i="1"/>
  <c r="H313" i="1"/>
  <c r="I304" i="1"/>
  <c r="E42" i="1"/>
  <c r="J136" i="1"/>
  <c r="F42" i="1" s="1"/>
  <c r="J80" i="1" l="1"/>
  <c r="F41" i="1" s="1"/>
  <c r="E41" i="1"/>
  <c r="I369" i="1"/>
  <c r="H372" i="1"/>
  <c r="J145" i="1"/>
  <c r="H42" i="1" s="1"/>
  <c r="G42" i="1"/>
  <c r="E45" i="1"/>
  <c r="J304" i="1"/>
  <c r="F45" i="1" s="1"/>
  <c r="H169" i="1"/>
  <c r="H159" i="1"/>
  <c r="I148" i="1"/>
  <c r="H164" i="1"/>
  <c r="I89" i="1"/>
  <c r="H92" i="1"/>
  <c r="J360" i="1"/>
  <c r="F46" i="1" s="1"/>
  <c r="E46" i="1"/>
  <c r="J192" i="1"/>
  <c r="F43" i="1" s="1"/>
  <c r="E43" i="1"/>
  <c r="H316" i="1"/>
  <c r="I313" i="1"/>
  <c r="I201" i="1"/>
  <c r="H204" i="1"/>
  <c r="I164" i="1" l="1"/>
  <c r="J164" i="1" s="1"/>
  <c r="H165" i="1"/>
  <c r="I165" i="1" s="1"/>
  <c r="J165" i="1" s="1"/>
  <c r="H393" i="1"/>
  <c r="I372" i="1"/>
  <c r="H383" i="1"/>
  <c r="H388" i="1"/>
  <c r="H215" i="1"/>
  <c r="H225" i="1"/>
  <c r="I204" i="1"/>
  <c r="H220" i="1"/>
  <c r="G41" i="1"/>
  <c r="J89" i="1"/>
  <c r="H41" i="1" s="1"/>
  <c r="H327" i="1"/>
  <c r="H337" i="1"/>
  <c r="H332" i="1"/>
  <c r="I316" i="1"/>
  <c r="H160" i="1"/>
  <c r="I160" i="1" s="1"/>
  <c r="J160" i="1" s="1"/>
  <c r="I159" i="1"/>
  <c r="J159" i="1" s="1"/>
  <c r="I92" i="1"/>
  <c r="H113" i="1"/>
  <c r="H103" i="1"/>
  <c r="H108" i="1"/>
  <c r="J201" i="1"/>
  <c r="H43" i="1" s="1"/>
  <c r="G43" i="1"/>
  <c r="J313" i="1"/>
  <c r="H45" i="1" s="1"/>
  <c r="G45" i="1"/>
  <c r="J148" i="1"/>
  <c r="J42" i="1" s="1"/>
  <c r="I42" i="1"/>
  <c r="G46" i="1"/>
  <c r="J369" i="1"/>
  <c r="H46" i="1" s="1"/>
  <c r="H170" i="1"/>
  <c r="I170" i="1" s="1"/>
  <c r="J170" i="1" s="1"/>
  <c r="I169" i="1"/>
  <c r="J169" i="1" s="1"/>
  <c r="H162" i="1" l="1"/>
  <c r="I162" i="1" s="1"/>
  <c r="J162" i="1" s="1"/>
  <c r="H167" i="1"/>
  <c r="I167" i="1" s="1"/>
  <c r="J167" i="1" s="1"/>
  <c r="I388" i="1"/>
  <c r="J388" i="1" s="1"/>
  <c r="H390" i="1"/>
  <c r="H389" i="1"/>
  <c r="I389" i="1" s="1"/>
  <c r="J389" i="1" s="1"/>
  <c r="I215" i="1"/>
  <c r="J215" i="1" s="1"/>
  <c r="H217" i="1"/>
  <c r="I217" i="1" s="1"/>
  <c r="H216" i="1"/>
  <c r="I216" i="1" s="1"/>
  <c r="J216" i="1" s="1"/>
  <c r="H115" i="1"/>
  <c r="H114" i="1"/>
  <c r="I113" i="1"/>
  <c r="J113" i="1" s="1"/>
  <c r="I393" i="1"/>
  <c r="J393" i="1" s="1"/>
  <c r="H395" i="1"/>
  <c r="H394" i="1"/>
  <c r="I394" i="1" s="1"/>
  <c r="J394" i="1" s="1"/>
  <c r="H109" i="1"/>
  <c r="I109" i="1" s="1"/>
  <c r="J109" i="1" s="1"/>
  <c r="H110" i="1"/>
  <c r="I108" i="1"/>
  <c r="J108" i="1" s="1"/>
  <c r="I337" i="1"/>
  <c r="J337" i="1" s="1"/>
  <c r="H339" i="1"/>
  <c r="H338" i="1"/>
  <c r="I338" i="1" s="1"/>
  <c r="J338" i="1" s="1"/>
  <c r="H384" i="1"/>
  <c r="I384" i="1" s="1"/>
  <c r="J384" i="1" s="1"/>
  <c r="H385" i="1"/>
  <c r="I385" i="1" s="1"/>
  <c r="I383" i="1"/>
  <c r="J383" i="1" s="1"/>
  <c r="H172" i="1"/>
  <c r="I220" i="1"/>
  <c r="J220" i="1" s="1"/>
  <c r="H221" i="1"/>
  <c r="I221" i="1" s="1"/>
  <c r="J221" i="1" s="1"/>
  <c r="H222" i="1"/>
  <c r="H333" i="1"/>
  <c r="I333" i="1" s="1"/>
  <c r="J333" i="1" s="1"/>
  <c r="I332" i="1"/>
  <c r="J332" i="1" s="1"/>
  <c r="H334" i="1"/>
  <c r="H328" i="1"/>
  <c r="I328" i="1" s="1"/>
  <c r="J328" i="1" s="1"/>
  <c r="I327" i="1"/>
  <c r="J327" i="1" s="1"/>
  <c r="H329" i="1"/>
  <c r="I329" i="1" s="1"/>
  <c r="J92" i="1"/>
  <c r="J41" i="1" s="1"/>
  <c r="I41" i="1"/>
  <c r="J372" i="1"/>
  <c r="J46" i="1" s="1"/>
  <c r="I46" i="1"/>
  <c r="I43" i="1"/>
  <c r="J204" i="1"/>
  <c r="J43" i="1" s="1"/>
  <c r="H105" i="1"/>
  <c r="I105" i="1" s="1"/>
  <c r="H104" i="1"/>
  <c r="I104" i="1" s="1"/>
  <c r="J104" i="1" s="1"/>
  <c r="I103" i="1"/>
  <c r="J103" i="1" s="1"/>
  <c r="J316" i="1"/>
  <c r="J45" i="1" s="1"/>
  <c r="I45" i="1"/>
  <c r="H226" i="1"/>
  <c r="I226" i="1" s="1"/>
  <c r="J226" i="1" s="1"/>
  <c r="I225" i="1"/>
  <c r="J225" i="1" s="1"/>
  <c r="H227" i="1"/>
  <c r="I172" i="1" l="1"/>
  <c r="J172" i="1" s="1"/>
  <c r="L42" i="1" s="1"/>
  <c r="H396" i="1"/>
  <c r="I396" i="1" s="1"/>
  <c r="J396" i="1" s="1"/>
  <c r="H340" i="1"/>
  <c r="I340" i="1" s="1"/>
  <c r="J340" i="1" s="1"/>
  <c r="H391" i="1"/>
  <c r="I391" i="1" s="1"/>
  <c r="J391" i="1" s="1"/>
  <c r="H111" i="1"/>
  <c r="I111" i="1" s="1"/>
  <c r="J111" i="1" s="1"/>
  <c r="H228" i="1"/>
  <c r="I228" i="1" s="1"/>
  <c r="J228" i="1" s="1"/>
  <c r="H330" i="1"/>
  <c r="H223" i="1"/>
  <c r="I223" i="1" s="1"/>
  <c r="J223" i="1" s="1"/>
  <c r="H218" i="1"/>
  <c r="H335" i="1"/>
  <c r="I335" i="1" s="1"/>
  <c r="J335" i="1" s="1"/>
  <c r="H386" i="1"/>
  <c r="H106" i="1"/>
  <c r="H116" i="1"/>
  <c r="I116" i="1" s="1"/>
  <c r="J116" i="1" s="1"/>
  <c r="I114" i="1"/>
  <c r="J114" i="1" s="1"/>
  <c r="K42" i="1" l="1"/>
  <c r="I386" i="1"/>
  <c r="J386" i="1" s="1"/>
  <c r="L46" i="1" s="1"/>
  <c r="I330" i="1"/>
  <c r="I106" i="1"/>
  <c r="J106" i="1" s="1"/>
  <c r="L41" i="1" s="1"/>
  <c r="I218" i="1"/>
  <c r="K43" i="1" s="1"/>
  <c r="J330" i="1"/>
  <c r="L45" i="1" s="1"/>
  <c r="K45" i="1"/>
  <c r="K46" i="1" l="1"/>
  <c r="J218" i="1"/>
  <c r="L43" i="1" s="1"/>
  <c r="K41" i="1"/>
</calcChain>
</file>

<file path=xl/sharedStrings.xml><?xml version="1.0" encoding="utf-8"?>
<sst xmlns="http://schemas.openxmlformats.org/spreadsheetml/2006/main" count="772" uniqueCount="204">
  <si>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Those distributors that are still in the process of moving to fully fixed residential rates should refer to section 3.2.3 of Chapter 3 of  the Filing Requirements for Incentive Rate-Setting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of </t>
    </r>
    <r>
      <rPr>
        <sz val="9.3000000000000007"/>
        <color theme="9" tint="-0.249977111117893"/>
        <rFont val="Arial"/>
        <family val="2"/>
      </rPr>
      <t>$0.1076/kWh (IESO's Monthly Market Report for May 2023)</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</si>
  <si>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</si>
  <si>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</si>
  <si>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</si>
  <si>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</si>
  <si>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</si>
  <si>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</si>
  <si>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</si>
  <si>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</si>
  <si>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</si>
  <si>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</si>
  <si>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</si>
  <si>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R1 SERVICE CLASSIFICATION</t>
  </si>
  <si>
    <t>RPP</t>
  </si>
  <si>
    <t>CONSUMPTION</t>
  </si>
  <si>
    <t>RESIDENTIAL R2 SERVICE CLASSIFICATION</t>
  </si>
  <si>
    <t>Non-RPP (Other)</t>
  </si>
  <si>
    <t>DEMAND</t>
  </si>
  <si>
    <t>SEASONAL CUSTOMERS SERVICE CLASSIFICATION</t>
  </si>
  <si>
    <t>STREET LIGHTING SERVICE CLASSIFICATION</t>
  </si>
  <si>
    <t>Add additional scenarios if required</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</si>
  <si>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</si>
  <si>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</si>
  <si>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</si>
  <si>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</si>
  <si>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</si>
  <si>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</si>
  <si>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</si>
  <si>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</si>
  <si>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</si>
  <si>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</si>
  <si>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</si>
  <si>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</si>
  <si>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</si>
  <si>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</si>
  <si>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</si>
  <si>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</si>
  <si>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</si>
  <si>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</si>
  <si>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</si>
  <si>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</si>
  <si>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</si>
  <si>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</si>
  <si>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</si>
  <si>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</si>
  <si>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</si>
  <si>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</si>
  <si>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</si>
  <si>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</si>
  <si>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</si>
  <si>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</si>
  <si>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</si>
  <si>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</si>
  <si>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</si>
  <si>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</si>
  <si>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</si>
  <si>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</si>
  <si>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</si>
  <si>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</si>
  <si>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</si>
  <si>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</si>
  <si>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</si>
  <si>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</si>
  <si>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</si>
  <si>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</si>
  <si>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</si>
  <si>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</si>
  <si>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</si>
  <si>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</si>
  <si>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</si>
  <si>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</si>
  <si>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</si>
  <si>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</si>
  <si>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</si>
  <si>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</si>
  <si>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</si>
  <si>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</si>
  <si>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</si>
  <si>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</si>
  <si>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</si>
  <si>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</si>
  <si>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RESIDENTIAL R1 (i)SERVICE CLASSIFICATION</t>
  </si>
  <si>
    <t>RESIDENTIAL R1(ii) SERVICE CLASSIFICATION</t>
  </si>
  <si>
    <t>Algoma Power Inc.</t>
  </si>
  <si>
    <t>TARIFF OF RATES AND CHARGES</t>
  </si>
  <si>
    <t>Effective and Implementation Date January 1, 2023</t>
  </si>
  <si>
    <t>This schedule supersedes and replaces all previously</t>
  </si>
  <si>
    <t>approved schedules of Rates, Charges and Loss Factors</t>
  </si>
  <si>
    <t>EB-2022-0014</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</si>
  <si>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</si>
  <si>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</si>
  <si>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</si>
  <si>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</si>
  <si>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</si>
  <si>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</si>
  <si>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</si>
  <si>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</si>
  <si>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</si>
  <si>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</si>
  <si>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</si>
  <si>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</si>
  <si>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</si>
  <si>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</si>
  <si>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(2023) - effective until December 31, 2023
     Applicable only for Class B Customers</t>
  </si>
  <si>
    <t>Rate Rider for Disposition of Deferral/Variance Accounts (2023) - effective until December 31, 2023</t>
  </si>
  <si>
    <t>Rate Rider for Disposition of Lost Revenue Adjustment Mechanism Variance Account (LRAMVA) (2023)
     - effective until December 31, 2023</t>
  </si>
  <si>
    <t>Rate Rider for Prospective Lost Revenue Adjustment Mechanism Variance Account Disposition (2023)
     - effective until December 31, 2023</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</si>
  <si>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</si>
  <si>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</si>
  <si>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</si>
  <si>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</si>
  <si>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</si>
  <si>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</si>
  <si>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</si>
  <si>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</si>
  <si>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</si>
  <si>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</si>
  <si>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</si>
  <si>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</si>
  <si>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$/kW</t>
  </si>
  <si>
    <t>Rate Rider for Disposition of Lost Revenue Adjustment Mechanism Variance Account 
    (LRAMVA) (2020) - effective until December 31, 2023</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</si>
  <si>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</si>
  <si>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effective until the date of the next cost of service-based rate order</t>
  </si>
  <si>
    <t>Rate Rider for Recovery of Advanced Capital Module - effective until December 31, 2024</t>
  </si>
  <si>
    <t xml:space="preserve">Distribution Volumetric Rate </t>
  </si>
  <si>
    <t>Rate Rider for Disposition of Lost Revenue Adjustment Mechanism Variance Account (LRAMVA) (2023) - effective until December 31, 2023</t>
  </si>
  <si>
    <t>Rate Rider for Disposition of Lost Revenue Adjustment Mechanism Variance Account (LRAMVA) (2020)
     - effective until December 31, 2023</t>
  </si>
  <si>
    <t>Rate Rider for Disposition of Account 1574 - effective until December 31, 2023</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</si>
  <si>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</si>
  <si>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</si>
  <si>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</si>
  <si>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</si>
  <si>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</si>
  <si>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</si>
  <si>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</si>
  <si>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</si>
  <si>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</si>
  <si>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</si>
  <si>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</si>
  <si>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</si>
  <si>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</si>
  <si>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</si>
  <si>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</si>
  <si>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</si>
  <si>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</si>
  <si>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</si>
  <si>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</si>
  <si>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</si>
  <si>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</si>
  <si>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</si>
  <si>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</si>
  <si>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</si>
  <si>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</si>
  <si>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</si>
  <si>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</si>
  <si>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</si>
  <si>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</si>
  <si>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</si>
  <si>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</si>
  <si>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</si>
  <si>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</si>
  <si>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</si>
  <si>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</si>
  <si>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</si>
  <si>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</si>
  <si>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</si>
  <si>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</si>
  <si>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</si>
  <si>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</si>
  <si>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</si>
  <si>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</si>
  <si>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</si>
  <si>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</si>
  <si>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</si>
  <si>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</si>
  <si>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</si>
  <si>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</si>
  <si>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</si>
  <si>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</si>
  <si>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</si>
  <si>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</si>
  <si>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</si>
  <si>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</si>
  <si>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</si>
  <si>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</si>
  <si>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</si>
  <si>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</si>
  <si>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</si>
  <si>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</si>
  <si>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</si>
  <si>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</si>
  <si>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</si>
  <si>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</si>
  <si>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</si>
  <si>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R1(i) Applicability</t>
  </si>
  <si>
    <t xml:space="preserve">R1(ii) Applicability </t>
  </si>
  <si>
    <t xml:space="preserve">N/A for "typical" Customer </t>
  </si>
  <si>
    <t>Yes</t>
  </si>
  <si>
    <t>No</t>
  </si>
  <si>
    <t xml:space="preserve">Yes </t>
  </si>
  <si>
    <t>Distribution Rate Protection As of July 1, 2023</t>
  </si>
  <si>
    <t>not applicable to typical customer</t>
  </si>
  <si>
    <r>
      <t xml:space="preserve">Rate Rider </t>
    </r>
    <r>
      <rPr>
        <sz val="8"/>
        <color rgb="FFFF0000"/>
        <rFont val="Arial"/>
        <family val="2"/>
      </rPr>
      <t>for Disposition of</t>
    </r>
    <r>
      <rPr>
        <sz val="8"/>
        <color theme="1"/>
        <rFont val="Arial"/>
        <family val="2"/>
      </rPr>
      <t xml:space="preserve"> Lost Revenue Adjustment Mechanism Variance Account Disposition (</t>
    </r>
    <r>
      <rPr>
        <sz val="8"/>
        <color rgb="FFFF0000"/>
        <rFont val="Arial"/>
        <family val="2"/>
      </rPr>
      <t>2020</t>
    </r>
    <r>
      <rPr>
        <sz val="8"/>
        <color theme="1"/>
        <rFont val="Arial"/>
        <family val="2"/>
      </rPr>
      <t>)
     - effective until December 31, 2023</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</si>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</sst>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_(* #,##0.00_);_(* \(#,##0.00\);_(* &quot;-&quot;??_);_(@_)"/>
    <numFmt numFmtId="165" formatCode="_-* #,##0_-;\-* #,##0_-;_-* &quot;-&quot;??_-;_-@_-"/>
    <numFmt numFmtId="166" formatCode="_(&quot;$&quot;* #,##0.00_);_(&quot;$&quot;* \(#,##0.00\);_(&quot;$&quot;* &quot;-&quot;??_);_(@_)"/>
    <numFmt numFmtId="167" formatCode="0.0%"/>
    <numFmt numFmtId="168" formatCode="0.0000"/>
    <numFmt numFmtId="169" formatCode="_-&quot;$&quot;* #,##0.0000_-;\-&quot;$&quot;* #,##0.0000_-;_-&quot;$&quot;* &quot;-&quot;??_-;_-@_-"/>
    <numFmt numFmtId="170" formatCode="#,##0.00;[Red]\(#,##0.00\)"/>
    <numFmt numFmtId="171" formatCode="#,##0.0000;[Red]\(#,##0.0000\)"/>
  </numFmts>
  <fonts count="35" x14ac:knownFonts="1">
    <font>
      <sz val="11"/>
      <color theme="1"/>
      <name val="Calibri"/>
      <family val="2"/>
      <scheme val="minor"/>
    </font>
    <font>
      <sz val="10"/>
      <name val="Arial"/>
      <family val="2"/>
    </font>
    <font>
      <sz val="16"/>
      <color indexed="12"/>
      <name val="Algerian"/>
      <family val="5"/>
    </font>
    <font>
      <b/>
      <sz val="10"/>
      <name val="Arial"/>
      <family val="2"/>
    </font>
    <font>
      <sz val="8"/>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
      <b/>
      <sz val="18"/>
      <color theme="1"/>
      <name val="Arial"/>
      <family val="2"/>
    </font>
    <font>
      <b/>
      <sz val="14"/>
      <color theme="1"/>
      <name val="Arial"/>
      <family val="2"/>
    </font>
    <font>
      <b/>
      <sz val="12"/>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color rgb="FF000000"/>
      <name val="Arial"/>
      <family val="2"/>
    </font>
    <font>
      <sz val="14"/>
      <color theme="1"/>
      <name val="Calibri"/>
      <family val="2"/>
      <scheme val="minor"/>
    </font>
    <font>
      <b/>
      <u/>
      <sz val="11"/>
      <color theme="1"/>
      <name val="Calibri"/>
      <family val="2"/>
      <scheme val="minor"/>
    </font>
    <font>
      <i/>
      <sz val="11"/>
      <color theme="1"/>
      <name val="Calibri"/>
      <family val="2"/>
      <scheme val="minor"/>
    </font>
    <font>
      <sz val="8"/>
      <color rgb="FFFF0000"/>
      <name val="Arial"/>
      <family val="2"/>
    </font>
  </fonts>
  <fills count="2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291">
    <xf numFmtId="0" fontId="0" fillId="0" borderId="0" xfId="0"/>
    <xf numFmtId="0" fontId="2" fillId="2" borderId="0" xfId="1" applyFont="1" applyFill="1" applyAlignment="1">
      <alignment vertical="top" wrapText="1"/>
    </xf>
    <xf numFmtId="0" fontId="3" fillId="0" borderId="0" xfId="1" applyFont="1"/>
    <xf numFmtId="0" fontId="4" fillId="0" borderId="0" xfId="1" applyFont="1" applyAlignment="1">
      <alignment horizontal="right" vertical="top"/>
    </xf>
    <xf numFmtId="0" fontId="1" fillId="2" borderId="0" xfId="1" applyFill="1"/>
    <xf numFmtId="0" fontId="5" fillId="2" borderId="0" xfId="1" applyFont="1" applyFill="1"/>
    <xf numFmtId="0" fontId="1" fillId="2" borderId="0" xfId="1" applyFill="1" applyAlignment="1">
      <alignment horizontal="left" indent="1"/>
    </xf>
    <xf numFmtId="0" fontId="6" fillId="2" borderId="0" xfId="1" applyFont="1" applyFill="1"/>
    <xf numFmtId="0" fontId="1" fillId="0" borderId="0" xfId="1"/>
    <xf numFmtId="0" fontId="7" fillId="0" borderId="0" xfId="1" applyFont="1"/>
    <xf numFmtId="0" fontId="6" fillId="0" borderId="0" xfId="1" applyFont="1"/>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3" borderId="4" xfId="1" applyFont="1" applyFill="1" applyBorder="1" applyAlignment="1">
      <alignment horizontal="center" vertical="center" wrapText="1"/>
    </xf>
    <xf numFmtId="0" fontId="3" fillId="0" borderId="4" xfId="1" applyFont="1" applyBorder="1" applyAlignment="1">
      <alignment horizontal="center" wrapText="1"/>
    </xf>
    <xf numFmtId="0" fontId="14" fillId="4" borderId="1" xfId="1" applyFont="1" applyFill="1" applyBorder="1" applyAlignment="1" applyProtection="1">
      <alignment vertical="top"/>
      <protection locked="0"/>
    </xf>
    <xf numFmtId="0" fontId="1" fillId="4" borderId="2" xfId="1" applyFill="1" applyBorder="1" applyAlignment="1" applyProtection="1">
      <alignment vertical="top"/>
      <protection locked="0"/>
    </xf>
    <xf numFmtId="0" fontId="1" fillId="4" borderId="3" xfId="1" applyFill="1" applyBorder="1" applyAlignment="1" applyProtection="1">
      <alignment vertical="top"/>
      <protection locked="0"/>
    </xf>
    <xf numFmtId="0" fontId="3" fillId="4" borderId="4" xfId="1" applyFont="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6" borderId="4" xfId="1" applyFill="1" applyBorder="1" applyAlignment="1" applyProtection="1">
      <alignment horizontal="center" vertical="center"/>
      <protection locked="0"/>
    </xf>
    <xf numFmtId="0" fontId="1" fillId="4" borderId="4" xfId="1" applyFill="1" applyBorder="1" applyAlignment="1">
      <alignment horizontal="center" vertical="center"/>
    </xf>
    <xf numFmtId="165" fontId="0" fillId="0" borderId="4" xfId="2" applyNumberFormat="1" applyFont="1" applyBorder="1" applyAlignment="1" applyProtection="1">
      <alignment horizontal="center" vertical="center"/>
      <protection locked="0"/>
    </xf>
    <xf numFmtId="3" fontId="0" fillId="0" borderId="4" xfId="0" applyNumberFormat="1" applyBorder="1" applyProtection="1">
      <protection locked="0"/>
    </xf>
    <xf numFmtId="3" fontId="0" fillId="7" borderId="4" xfId="0" applyNumberFormat="1" applyFill="1" applyBorder="1" applyProtection="1">
      <protection locked="0"/>
    </xf>
    <xf numFmtId="0" fontId="14" fillId="8" borderId="1" xfId="1" applyFont="1" applyFill="1" applyBorder="1" applyAlignment="1" applyProtection="1">
      <alignment vertical="top"/>
      <protection locked="0"/>
    </xf>
    <xf numFmtId="0" fontId="1" fillId="8" borderId="2" xfId="1" applyFill="1" applyBorder="1" applyAlignment="1" applyProtection="1">
      <alignment vertical="top"/>
      <protection locked="0"/>
    </xf>
    <xf numFmtId="0" fontId="1" fillId="8" borderId="3" xfId="1" applyFill="1" applyBorder="1" applyAlignment="1" applyProtection="1">
      <alignment vertical="top"/>
      <protection locked="0"/>
    </xf>
    <xf numFmtId="0" fontId="3" fillId="11" borderId="4" xfId="1" applyFont="1" applyFill="1" applyBorder="1" applyAlignment="1">
      <alignment horizontal="center" vertical="center"/>
    </xf>
    <xf numFmtId="0" fontId="1" fillId="0" borderId="4" xfId="1" applyBorder="1" applyAlignment="1">
      <alignment horizontal="center" vertical="center"/>
    </xf>
    <xf numFmtId="166" fontId="0" fillId="0" borderId="4" xfId="3" applyFont="1" applyBorder="1" applyAlignment="1" applyProtection="1">
      <alignment horizontal="center" vertical="center"/>
    </xf>
    <xf numFmtId="167" fontId="0" fillId="0" borderId="4" xfId="4" applyNumberFormat="1" applyFont="1" applyBorder="1" applyAlignment="1" applyProtection="1">
      <alignment horizontal="center" vertical="center"/>
    </xf>
    <xf numFmtId="0" fontId="1" fillId="12" borderId="0" xfId="1" applyFill="1" applyProtection="1">
      <protection locked="0"/>
    </xf>
    <xf numFmtId="0" fontId="3" fillId="0" borderId="0" xfId="1" applyFont="1" applyAlignment="1" applyProtection="1">
      <alignment horizontal="right" vertical="center"/>
      <protection locked="0"/>
    </xf>
    <xf numFmtId="0" fontId="1" fillId="0" borderId="0" xfId="1" applyProtection="1">
      <protection locked="0"/>
    </xf>
    <xf numFmtId="0" fontId="16" fillId="4" borderId="0" xfId="1" applyFont="1" applyFill="1" applyAlignment="1" applyProtection="1">
      <alignment vertical="top"/>
      <protection locked="0"/>
    </xf>
    <xf numFmtId="165" fontId="3" fillId="4" borderId="4" xfId="2" applyNumberFormat="1" applyFont="1" applyFill="1" applyBorder="1" applyAlignment="1" applyProtection="1">
      <alignment horizontal="center" vertical="center"/>
      <protection locked="0"/>
    </xf>
    <xf numFmtId="0" fontId="3" fillId="0" borderId="0" xfId="1" applyFont="1" applyProtection="1">
      <protection locked="0"/>
    </xf>
    <xf numFmtId="0" fontId="6" fillId="4" borderId="0" xfId="1" applyFont="1" applyFill="1" applyAlignment="1" applyProtection="1">
      <alignment vertical="center"/>
      <protection locked="0"/>
    </xf>
    <xf numFmtId="0" fontId="3" fillId="0" borderId="0" xfId="1" applyFont="1" applyAlignment="1" applyProtection="1">
      <alignment horizontal="left"/>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68" fontId="3" fillId="4" borderId="4" xfId="4" applyNumberFormat="1" applyFont="1" applyFill="1" applyBorder="1" applyProtection="1">
      <protection locked="0"/>
    </xf>
    <xf numFmtId="0" fontId="3" fillId="0" borderId="14"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13" xfId="1" quotePrefix="1" applyFont="1" applyBorder="1" applyAlignment="1" applyProtection="1">
      <alignment horizontal="center"/>
      <protection locked="0"/>
    </xf>
    <xf numFmtId="0" fontId="3" fillId="0" borderId="12" xfId="1" quotePrefix="1" applyFont="1" applyBorder="1" applyAlignment="1" applyProtection="1">
      <alignment horizontal="center"/>
      <protection locked="0"/>
    </xf>
    <xf numFmtId="0" fontId="1" fillId="0" borderId="0" xfId="1" applyAlignment="1">
      <alignment vertical="top"/>
    </xf>
    <xf numFmtId="0" fontId="1" fillId="4" borderId="0" xfId="1" applyFill="1" applyAlignment="1" applyProtection="1">
      <alignment vertical="top"/>
      <protection locked="0"/>
    </xf>
    <xf numFmtId="166" fontId="3" fillId="4" borderId="15" xfId="3" applyFont="1" applyFill="1" applyBorder="1" applyAlignment="1" applyProtection="1">
      <alignment horizontal="left" vertical="center"/>
      <protection locked="0"/>
    </xf>
    <xf numFmtId="0" fontId="1" fillId="0" borderId="15" xfId="1" applyBorder="1" applyAlignment="1" applyProtection="1">
      <alignment vertical="center"/>
      <protection locked="0"/>
    </xf>
    <xf numFmtId="166" fontId="17" fillId="0" borderId="9" xfId="3" applyFont="1" applyBorder="1" applyAlignment="1" applyProtection="1">
      <alignment vertical="center"/>
      <protection locked="0"/>
    </xf>
    <xf numFmtId="166" fontId="18" fillId="4" borderId="15" xfId="3" applyFont="1" applyFill="1" applyBorder="1" applyAlignment="1" applyProtection="1">
      <alignment horizontal="left" vertical="center"/>
      <protection locked="0"/>
    </xf>
    <xf numFmtId="0" fontId="18" fillId="0" borderId="9" xfId="1" applyFont="1" applyBorder="1" applyAlignment="1" applyProtection="1">
      <alignment vertical="center"/>
      <protection locked="0"/>
    </xf>
    <xf numFmtId="166" fontId="18" fillId="0" borderId="9" xfId="3" applyFont="1" applyBorder="1" applyAlignment="1" applyProtection="1">
      <alignment vertical="center"/>
      <protection locked="0"/>
    </xf>
    <xf numFmtId="166" fontId="1" fillId="0" borderId="15" xfId="1" applyNumberFormat="1" applyBorder="1" applyAlignment="1" applyProtection="1">
      <alignment vertical="center"/>
      <protection locked="0"/>
    </xf>
    <xf numFmtId="10" fontId="17" fillId="0" borderId="9" xfId="4" applyNumberFormat="1" applyFont="1" applyBorder="1" applyAlignment="1" applyProtection="1">
      <alignment vertical="center"/>
      <protection locked="0"/>
    </xf>
    <xf numFmtId="169" fontId="3" fillId="4" borderId="15" xfId="3" applyNumberFormat="1" applyFont="1" applyFill="1" applyBorder="1" applyAlignment="1" applyProtection="1">
      <alignment horizontal="left" vertical="center"/>
      <protection locked="0"/>
    </xf>
    <xf numFmtId="169" fontId="18" fillId="4" borderId="15" xfId="3" applyNumberFormat="1" applyFont="1" applyFill="1" applyBorder="1" applyAlignment="1" applyProtection="1">
      <alignment horizontal="left" vertical="center"/>
      <protection locked="0"/>
    </xf>
    <xf numFmtId="0" fontId="18" fillId="0" borderId="15" xfId="1" applyFont="1" applyBorder="1" applyAlignment="1" applyProtection="1">
      <alignment vertical="center"/>
      <protection locked="0"/>
    </xf>
    <xf numFmtId="0" fontId="3" fillId="11" borderId="1" xfId="1" applyFont="1" applyFill="1" applyBorder="1" applyAlignment="1" applyProtection="1">
      <alignment vertical="top"/>
      <protection locked="0"/>
    </xf>
    <xf numFmtId="0" fontId="1" fillId="11" borderId="2" xfId="1" applyFill="1" applyBorder="1" applyAlignment="1" applyProtection="1">
      <alignment vertical="top"/>
      <protection locked="0"/>
    </xf>
    <xf numFmtId="169" fontId="3" fillId="11" borderId="4" xfId="3" applyNumberFormat="1" applyFont="1" applyFill="1" applyBorder="1" applyAlignment="1" applyProtection="1">
      <alignment horizontal="left" vertical="center"/>
      <protection locked="0"/>
    </xf>
    <xf numFmtId="0" fontId="3" fillId="11" borderId="4" xfId="1" applyFont="1" applyFill="1" applyBorder="1" applyAlignment="1" applyProtection="1">
      <alignment vertical="center"/>
      <protection locked="0"/>
    </xf>
    <xf numFmtId="166" fontId="19" fillId="11" borderId="3" xfId="3" applyFont="1" applyFill="1" applyBorder="1" applyAlignment="1" applyProtection="1">
      <alignment vertical="center"/>
      <protection locked="0"/>
    </xf>
    <xf numFmtId="169" fontId="20" fillId="11" borderId="4" xfId="3" applyNumberFormat="1" applyFont="1" applyFill="1" applyBorder="1" applyAlignment="1" applyProtection="1">
      <alignment horizontal="left" vertical="center"/>
      <protection locked="0"/>
    </xf>
    <xf numFmtId="0" fontId="3" fillId="11" borderId="3" xfId="1" applyFont="1" applyFill="1" applyBorder="1" applyAlignment="1" applyProtection="1">
      <alignment vertical="center"/>
      <protection locked="0"/>
    </xf>
    <xf numFmtId="166" fontId="3" fillId="11" borderId="4" xfId="1" applyNumberFormat="1" applyFont="1" applyFill="1" applyBorder="1" applyAlignment="1" applyProtection="1">
      <alignment vertical="center"/>
      <protection locked="0"/>
    </xf>
    <xf numFmtId="10" fontId="3" fillId="11" borderId="3" xfId="4" applyNumberFormat="1" applyFont="1" applyFill="1" applyBorder="1" applyAlignment="1" applyProtection="1">
      <alignment vertical="center"/>
      <protection locked="0"/>
    </xf>
    <xf numFmtId="0" fontId="1" fillId="0" borderId="0" xfId="1" applyAlignment="1">
      <alignment vertical="top" wrapText="1"/>
    </xf>
    <xf numFmtId="165" fontId="1" fillId="13" borderId="15" xfId="2" applyNumberFormat="1" applyFont="1" applyFill="1" applyBorder="1" applyAlignment="1" applyProtection="1">
      <alignment vertical="center"/>
      <protection locked="0"/>
    </xf>
    <xf numFmtId="165" fontId="18" fillId="13" borderId="15" xfId="2" applyNumberFormat="1" applyFont="1" applyFill="1" applyBorder="1" applyAlignment="1" applyProtection="1">
      <alignment vertical="center"/>
      <protection locked="0"/>
    </xf>
    <xf numFmtId="165" fontId="1" fillId="0" borderId="15" xfId="2" applyNumberFormat="1" applyFont="1" applyFill="1" applyBorder="1" applyAlignment="1" applyProtection="1">
      <alignment vertical="center"/>
      <protection locked="0"/>
    </xf>
    <xf numFmtId="165" fontId="18" fillId="0" borderId="15" xfId="2" applyNumberFormat="1" applyFont="1" applyFill="1" applyBorder="1" applyAlignment="1" applyProtection="1">
      <alignment vertical="center"/>
      <protection locked="0"/>
    </xf>
    <xf numFmtId="44" fontId="3" fillId="4" borderId="15" xfId="3" applyNumberFormat="1" applyFont="1" applyFill="1" applyBorder="1" applyAlignment="1" applyProtection="1">
      <alignment horizontal="left" vertical="center"/>
      <protection locked="0"/>
    </xf>
    <xf numFmtId="44" fontId="18" fillId="4" borderId="15" xfId="3" applyNumberFormat="1" applyFont="1" applyFill="1" applyBorder="1" applyAlignment="1" applyProtection="1">
      <alignment horizontal="left" vertical="center"/>
      <protection locked="0"/>
    </xf>
    <xf numFmtId="0" fontId="3" fillId="11" borderId="1" xfId="1" applyFont="1" applyFill="1" applyBorder="1" applyAlignment="1" applyProtection="1">
      <alignment vertical="top" wrapText="1"/>
      <protection locked="0"/>
    </xf>
    <xf numFmtId="0" fontId="1" fillId="11" borderId="2" xfId="1" applyFill="1" applyBorder="1" applyProtection="1">
      <protection locked="0"/>
    </xf>
    <xf numFmtId="0" fontId="3" fillId="11" borderId="4" xfId="1" applyFont="1" applyFill="1" applyBorder="1" applyAlignment="1" applyProtection="1">
      <alignment horizontal="left" vertical="center"/>
      <protection locked="0"/>
    </xf>
    <xf numFmtId="0" fontId="1" fillId="11" borderId="4" xfId="1" applyFill="1" applyBorder="1" applyAlignment="1" applyProtection="1">
      <alignment vertical="center"/>
      <protection locked="0"/>
    </xf>
    <xf numFmtId="166" fontId="3" fillId="11" borderId="3" xfId="1" applyNumberFormat="1" applyFont="1" applyFill="1" applyBorder="1" applyAlignment="1" applyProtection="1">
      <alignment vertical="center"/>
      <protection locked="0"/>
    </xf>
    <xf numFmtId="0" fontId="20" fillId="11" borderId="4" xfId="1" applyFont="1" applyFill="1" applyBorder="1" applyAlignment="1" applyProtection="1">
      <alignment horizontal="left" vertical="center"/>
      <protection locked="0"/>
    </xf>
    <xf numFmtId="0" fontId="1" fillId="11" borderId="3" xfId="1" applyFill="1" applyBorder="1" applyAlignment="1" applyProtection="1">
      <alignment vertical="center"/>
      <protection locked="0"/>
    </xf>
    <xf numFmtId="0" fontId="1" fillId="0" borderId="0" xfId="1" applyAlignment="1">
      <alignment vertical="center"/>
    </xf>
    <xf numFmtId="0" fontId="21" fillId="0" borderId="0" xfId="1" applyFont="1" applyProtection="1">
      <protection locked="0"/>
    </xf>
    <xf numFmtId="0" fontId="1" fillId="0" borderId="11" xfId="1" applyBorder="1" applyAlignment="1">
      <alignment vertical="center" wrapText="1"/>
    </xf>
    <xf numFmtId="0" fontId="1" fillId="0" borderId="0" xfId="1" applyAlignment="1" applyProtection="1">
      <alignment vertical="top" wrapText="1"/>
      <protection locked="0"/>
    </xf>
    <xf numFmtId="166" fontId="1" fillId="0" borderId="9" xfId="3" applyFont="1" applyBorder="1" applyAlignment="1" applyProtection="1">
      <alignment vertical="center"/>
      <protection locked="0"/>
    </xf>
    <xf numFmtId="0" fontId="1" fillId="0" borderId="0" xfId="1" applyAlignment="1" applyProtection="1">
      <alignment vertical="top"/>
      <protection locked="0"/>
    </xf>
    <xf numFmtId="169" fontId="3" fillId="0" borderId="15" xfId="3" applyNumberFormat="1" applyFont="1" applyFill="1" applyBorder="1" applyAlignment="1" applyProtection="1">
      <alignment horizontal="left" vertical="center"/>
      <protection locked="0"/>
    </xf>
    <xf numFmtId="165" fontId="1" fillId="4" borderId="15" xfId="2" applyNumberFormat="1" applyFont="1" applyFill="1" applyBorder="1" applyAlignment="1" applyProtection="1">
      <alignment vertical="center"/>
      <protection locked="0"/>
    </xf>
    <xf numFmtId="169" fontId="18" fillId="0" borderId="15" xfId="3" applyNumberFormat="1" applyFont="1" applyFill="1" applyBorder="1" applyAlignment="1" applyProtection="1">
      <alignment horizontal="left" vertical="center"/>
      <protection locked="0"/>
    </xf>
    <xf numFmtId="165" fontId="18" fillId="4" borderId="15" xfId="2" applyNumberFormat="1" applyFont="1" applyFill="1" applyBorder="1" applyAlignment="1" applyProtection="1">
      <alignment vertical="center"/>
      <protection locked="0"/>
    </xf>
    <xf numFmtId="169" fontId="3" fillId="14" borderId="15" xfId="3" applyNumberFormat="1" applyFont="1" applyFill="1" applyBorder="1" applyAlignment="1" applyProtection="1">
      <alignment horizontal="left" vertical="center"/>
      <protection locked="0"/>
    </xf>
    <xf numFmtId="169" fontId="18" fillId="14" borderId="15" xfId="3" applyNumberFormat="1" applyFont="1" applyFill="1" applyBorder="1" applyAlignment="1" applyProtection="1">
      <alignment horizontal="left" vertical="center"/>
      <protection locked="0"/>
    </xf>
    <xf numFmtId="0" fontId="1" fillId="15" borderId="16" xfId="1" applyFill="1" applyBorder="1" applyProtection="1">
      <protection locked="0"/>
    </xf>
    <xf numFmtId="0" fontId="1" fillId="15" borderId="17" xfId="1" applyFill="1" applyBorder="1" applyAlignment="1" applyProtection="1">
      <alignment vertical="top"/>
      <protection locked="0"/>
    </xf>
    <xf numFmtId="169" fontId="1" fillId="15" borderId="18" xfId="3" applyNumberFormat="1" applyFont="1" applyFill="1" applyBorder="1" applyAlignment="1" applyProtection="1">
      <alignment vertical="top"/>
      <protection locked="0"/>
    </xf>
    <xf numFmtId="0" fontId="1" fillId="15" borderId="19" xfId="1" applyFill="1" applyBorder="1" applyAlignment="1" applyProtection="1">
      <alignment vertical="center"/>
      <protection locked="0"/>
    </xf>
    <xf numFmtId="166" fontId="1" fillId="15" borderId="17" xfId="3" applyFont="1" applyFill="1" applyBorder="1" applyAlignment="1" applyProtection="1">
      <alignment vertical="center"/>
      <protection locked="0"/>
    </xf>
    <xf numFmtId="0" fontId="1" fillId="15" borderId="18" xfId="1" applyFill="1" applyBorder="1" applyAlignment="1" applyProtection="1">
      <alignment vertical="center"/>
      <protection locked="0"/>
    </xf>
    <xf numFmtId="166" fontId="1" fillId="15" borderId="18" xfId="1" applyNumberFormat="1" applyFill="1" applyBorder="1" applyAlignment="1" applyProtection="1">
      <alignment vertical="center"/>
      <protection locked="0"/>
    </xf>
    <xf numFmtId="10" fontId="1" fillId="15" borderId="20" xfId="4" applyNumberFormat="1" applyFont="1" applyFill="1" applyBorder="1" applyAlignment="1" applyProtection="1">
      <alignment vertical="center"/>
      <protection locked="0"/>
    </xf>
    <xf numFmtId="0" fontId="3" fillId="0" borderId="0" xfId="1" applyFont="1" applyAlignment="1" applyProtection="1">
      <alignment vertical="top"/>
      <protection locked="0"/>
    </xf>
    <xf numFmtId="9" fontId="1" fillId="0" borderId="15" xfId="1" applyNumberFormat="1" applyBorder="1" applyAlignment="1" applyProtection="1">
      <alignment vertical="top"/>
      <protection locked="0"/>
    </xf>
    <xf numFmtId="9" fontId="1" fillId="0" borderId="0" xfId="1" applyNumberFormat="1" applyAlignment="1" applyProtection="1">
      <alignment vertical="center"/>
      <protection locked="0"/>
    </xf>
    <xf numFmtId="166" fontId="3" fillId="0" borderId="8" xfId="1" applyNumberFormat="1" applyFont="1" applyBorder="1" applyAlignment="1" applyProtection="1">
      <alignment vertical="center"/>
      <protection locked="0"/>
    </xf>
    <xf numFmtId="9" fontId="3" fillId="0" borderId="15" xfId="1" applyNumberFormat="1" applyFont="1" applyBorder="1" applyAlignment="1" applyProtection="1">
      <alignment vertical="center"/>
      <protection locked="0"/>
    </xf>
    <xf numFmtId="166" fontId="3" fillId="0" borderId="15" xfId="1" applyNumberFormat="1" applyFont="1" applyBorder="1" applyAlignment="1" applyProtection="1">
      <alignment vertical="center"/>
      <protection locked="0"/>
    </xf>
    <xf numFmtId="10" fontId="3" fillId="0" borderId="9" xfId="4" applyNumberFormat="1" applyFont="1" applyFill="1" applyBorder="1" applyAlignment="1" applyProtection="1">
      <alignment vertical="center"/>
      <protection locked="0"/>
    </xf>
    <xf numFmtId="0" fontId="1" fillId="0" borderId="0" xfId="1" applyAlignment="1" applyProtection="1">
      <alignment horizontal="left" vertical="top" indent="1"/>
      <protection locked="0"/>
    </xf>
    <xf numFmtId="0" fontId="1" fillId="0" borderId="0" xfId="1" applyAlignment="1" applyProtection="1">
      <alignment vertical="center"/>
      <protection locked="0"/>
    </xf>
    <xf numFmtId="166" fontId="1" fillId="0" borderId="8" xfId="1" applyNumberFormat="1" applyBorder="1" applyAlignment="1" applyProtection="1">
      <alignment vertical="center"/>
      <protection locked="0"/>
    </xf>
    <xf numFmtId="9" fontId="1" fillId="0" borderId="15" xfId="1" applyNumberFormat="1" applyBorder="1" applyAlignment="1" applyProtection="1">
      <alignment vertical="center"/>
      <protection locked="0"/>
    </xf>
    <xf numFmtId="10" fontId="1" fillId="0" borderId="9" xfId="4" applyNumberFormat="1" applyFont="1" applyFill="1" applyBorder="1" applyAlignment="1" applyProtection="1">
      <alignment vertical="center"/>
      <protection locked="0"/>
    </xf>
    <xf numFmtId="167" fontId="1" fillId="0" borderId="15" xfId="1" applyNumberFormat="1" applyBorder="1" applyAlignment="1" applyProtection="1">
      <alignment vertical="top"/>
      <protection locked="0"/>
    </xf>
    <xf numFmtId="0" fontId="1" fillId="16" borderId="13" xfId="1" applyFill="1" applyBorder="1" applyAlignment="1" applyProtection="1">
      <alignment vertical="top"/>
      <protection locked="0"/>
    </xf>
    <xf numFmtId="0" fontId="1" fillId="16" borderId="11" xfId="1" applyFill="1" applyBorder="1" applyAlignment="1" applyProtection="1">
      <alignment vertical="center"/>
      <protection locked="0"/>
    </xf>
    <xf numFmtId="166" fontId="3" fillId="16" borderId="8" xfId="1" applyNumberFormat="1" applyFont="1" applyFill="1" applyBorder="1" applyAlignment="1" applyProtection="1">
      <alignment vertical="center"/>
      <protection locked="0"/>
    </xf>
    <xf numFmtId="0" fontId="3" fillId="16" borderId="13" xfId="1" applyFont="1" applyFill="1" applyBorder="1" applyAlignment="1" applyProtection="1">
      <alignment vertical="center"/>
      <protection locked="0"/>
    </xf>
    <xf numFmtId="166" fontId="3" fillId="16" borderId="10" xfId="1" applyNumberFormat="1" applyFont="1" applyFill="1" applyBorder="1" applyAlignment="1" applyProtection="1">
      <alignment vertical="center"/>
      <protection locked="0"/>
    </xf>
    <xf numFmtId="166" fontId="3" fillId="16" borderId="13" xfId="1" applyNumberFormat="1" applyFont="1" applyFill="1" applyBorder="1" applyAlignment="1" applyProtection="1">
      <alignment vertical="center"/>
      <protection locked="0"/>
    </xf>
    <xf numFmtId="10" fontId="3" fillId="16" borderId="12" xfId="4" applyNumberFormat="1" applyFont="1" applyFill="1" applyBorder="1" applyAlignment="1" applyProtection="1">
      <alignment vertical="center"/>
      <protection locked="0"/>
    </xf>
    <xf numFmtId="0" fontId="1" fillId="16" borderId="15" xfId="1" applyFill="1" applyBorder="1" applyAlignment="1" applyProtection="1">
      <alignment vertical="top"/>
      <protection locked="0"/>
    </xf>
    <xf numFmtId="0" fontId="1" fillId="16" borderId="0" xfId="1" applyFill="1" applyAlignment="1" applyProtection="1">
      <alignment vertical="center"/>
      <protection locked="0"/>
    </xf>
    <xf numFmtId="0" fontId="3" fillId="16" borderId="15" xfId="1" applyFont="1" applyFill="1" applyBorder="1" applyAlignment="1" applyProtection="1">
      <alignment vertical="center"/>
      <protection locked="0"/>
    </xf>
    <xf numFmtId="166" fontId="3" fillId="16" borderId="15" xfId="1" applyNumberFormat="1" applyFont="1" applyFill="1" applyBorder="1" applyAlignment="1" applyProtection="1">
      <alignment vertical="center"/>
      <protection locked="0"/>
    </xf>
    <xf numFmtId="10" fontId="3" fillId="16" borderId="9" xfId="4" applyNumberFormat="1" applyFont="1" applyFill="1" applyBorder="1" applyAlignment="1" applyProtection="1">
      <alignment vertical="center"/>
      <protection locked="0"/>
    </xf>
    <xf numFmtId="169" fontId="1" fillId="15" borderId="19" xfId="3" applyNumberFormat="1" applyFont="1" applyFill="1" applyBorder="1" applyAlignment="1" applyProtection="1">
      <alignment vertical="top"/>
      <protection locked="0"/>
    </xf>
    <xf numFmtId="0" fontId="1" fillId="15" borderId="17" xfId="1" applyFill="1" applyBorder="1" applyAlignment="1" applyProtection="1">
      <alignment vertical="center"/>
      <protection locked="0"/>
    </xf>
    <xf numFmtId="166" fontId="1" fillId="15" borderId="21" xfId="3" applyFont="1" applyFill="1" applyBorder="1" applyAlignment="1" applyProtection="1">
      <alignment vertical="center"/>
      <protection locked="0"/>
    </xf>
    <xf numFmtId="166" fontId="1" fillId="15" borderId="19" xfId="1" applyNumberFormat="1" applyFill="1" applyBorder="1" applyAlignment="1" applyProtection="1">
      <alignment vertical="center"/>
      <protection locked="0"/>
    </xf>
    <xf numFmtId="169" fontId="1" fillId="15" borderId="19" xfId="3" applyNumberFormat="1" applyFill="1" applyBorder="1" applyAlignment="1" applyProtection="1">
      <alignment vertical="top"/>
      <protection locked="0"/>
    </xf>
    <xf numFmtId="166" fontId="1" fillId="15" borderId="21" xfId="3" applyFill="1" applyBorder="1" applyAlignment="1" applyProtection="1">
      <alignment vertical="center"/>
      <protection locked="0"/>
    </xf>
    <xf numFmtId="10" fontId="1" fillId="15" borderId="20" xfId="4" applyNumberFormat="1" applyFill="1" applyBorder="1" applyAlignment="1" applyProtection="1">
      <alignment vertical="center"/>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pplyProtection="1">
      <alignment horizontal="left" wrapText="1"/>
      <protection locked="0"/>
    </xf>
    <xf numFmtId="0" fontId="29" fillId="4" borderId="0" xfId="0" applyFont="1" applyFill="1" applyAlignment="1">
      <alignment horizontal="left"/>
    </xf>
    <xf numFmtId="170" fontId="29" fillId="4" borderId="0" xfId="0" applyNumberFormat="1" applyFont="1" applyFill="1" applyAlignment="1">
      <alignment horizontal="right"/>
    </xf>
    <xf numFmtId="0" fontId="29" fillId="4" borderId="0" xfId="0" applyFont="1" applyFill="1" applyAlignment="1">
      <alignment horizontal="left" wrapText="1"/>
    </xf>
    <xf numFmtId="171" fontId="29" fillId="4" borderId="0" xfId="0" applyNumberFormat="1" applyFont="1" applyFill="1" applyAlignment="1">
      <alignment horizontal="right"/>
    </xf>
    <xf numFmtId="0" fontId="19" fillId="4" borderId="0" xfId="0" applyFont="1" applyFill="1" applyAlignment="1" applyProtection="1">
      <alignment horizontal="left" wrapText="1"/>
      <protection locked="0"/>
    </xf>
    <xf numFmtId="0" fontId="29" fillId="4" borderId="0" xfId="0" applyFont="1" applyFill="1" applyAlignment="1" applyProtection="1">
      <alignment horizontal="left"/>
      <protection locked="0"/>
    </xf>
    <xf numFmtId="0" fontId="4" fillId="4" borderId="0" xfId="0" applyFont="1" applyFill="1" applyAlignment="1" applyProtection="1">
      <alignment horizontal="left"/>
      <protection locked="0"/>
    </xf>
    <xf numFmtId="171" fontId="4" fillId="4" borderId="0" xfId="0" applyNumberFormat="1" applyFont="1" applyFill="1" applyAlignment="1" applyProtection="1">
      <alignment horizontal="right"/>
      <protection locked="0"/>
    </xf>
    <xf numFmtId="170" fontId="4" fillId="4" borderId="0" xfId="0" applyNumberFormat="1" applyFont="1" applyFill="1" applyAlignment="1" applyProtection="1">
      <alignment horizontal="right"/>
      <protection locked="0"/>
    </xf>
    <xf numFmtId="171" fontId="27" fillId="4" borderId="0" xfId="0" applyNumberFormat="1" applyFont="1" applyFill="1" applyAlignment="1" applyProtection="1">
      <alignment horizontal="left" vertical="top" wrapText="1"/>
      <protection locked="0"/>
    </xf>
    <xf numFmtId="0" fontId="30" fillId="4" borderId="0" xfId="0" applyFont="1" applyFill="1" applyAlignment="1">
      <alignment horizontal="left"/>
    </xf>
    <xf numFmtId="0" fontId="17" fillId="4" borderId="0" xfId="0" applyFont="1" applyFill="1" applyAlignment="1" applyProtection="1">
      <alignment horizontal="left" wrapText="1"/>
      <protection locked="0"/>
    </xf>
    <xf numFmtId="0" fontId="23" fillId="4" borderId="0" xfId="0" applyFont="1" applyFill="1" applyAlignment="1" applyProtection="1">
      <alignment horizontal="left"/>
      <protection locked="0"/>
    </xf>
    <xf numFmtId="0" fontId="31" fillId="4" borderId="0" xfId="0" applyFont="1" applyFill="1" applyAlignment="1" applyProtection="1">
      <alignment horizontal="left" vertical="center"/>
      <protection locked="0"/>
    </xf>
    <xf numFmtId="0" fontId="23" fillId="4" borderId="0" xfId="0" applyFont="1" applyFill="1" applyAlignment="1">
      <alignment horizontal="left"/>
    </xf>
    <xf numFmtId="0" fontId="5" fillId="4" borderId="0" xfId="5" applyFont="1" applyFill="1" applyAlignment="1">
      <alignment vertical="center"/>
    </xf>
    <xf numFmtId="0" fontId="5" fillId="4" borderId="0" xfId="5" applyFont="1" applyFill="1" applyAlignment="1">
      <alignment horizontal="left" vertical="center"/>
    </xf>
    <xf numFmtId="171" fontId="28" fillId="4" borderId="0" xfId="0" applyNumberFormat="1" applyFont="1" applyFill="1" applyAlignment="1">
      <alignment horizontal="left" vertical="top" wrapText="1"/>
    </xf>
    <xf numFmtId="15" fontId="3" fillId="4" borderId="0" xfId="5" applyNumberFormat="1" applyFont="1" applyFill="1" applyAlignment="1">
      <alignment horizontal="left"/>
    </xf>
    <xf numFmtId="0" fontId="1" fillId="4" borderId="0" xfId="5" applyFill="1" applyAlignment="1">
      <alignment vertical="center"/>
    </xf>
    <xf numFmtId="0" fontId="1" fillId="4" borderId="0" xfId="5" applyFill="1" applyAlignment="1">
      <alignment horizontal="left" vertical="center"/>
    </xf>
    <xf numFmtId="0" fontId="4" fillId="4" borderId="0" xfId="6" applyFont="1" applyFill="1" applyAlignment="1" applyProtection="1">
      <alignment horizontal="left" wrapText="1" indent="2"/>
      <protection locked="0"/>
    </xf>
    <xf numFmtId="0" fontId="1" fillId="4" borderId="0" xfId="5" applyFill="1"/>
    <xf numFmtId="0" fontId="1" fillId="4" borderId="0" xfId="5" applyFill="1" applyAlignment="1">
      <alignment horizontal="left" indent="2"/>
    </xf>
    <xf numFmtId="15" fontId="3" fillId="4" borderId="0" xfId="5" applyNumberFormat="1" applyFont="1" applyFill="1" applyAlignment="1">
      <alignment vertical="center"/>
    </xf>
    <xf numFmtId="0" fontId="29" fillId="4" borderId="0" xfId="0" applyFont="1" applyFill="1" applyAlignment="1">
      <alignment vertical="center"/>
    </xf>
    <xf numFmtId="0" fontId="29" fillId="4" borderId="0" xfId="0" applyFont="1" applyFill="1" applyAlignment="1">
      <alignment horizontal="right"/>
    </xf>
    <xf numFmtId="15" fontId="7" fillId="4" borderId="0" xfId="5" applyNumberFormat="1" applyFont="1" applyFill="1" applyAlignment="1">
      <alignment horizontal="left"/>
    </xf>
    <xf numFmtId="0" fontId="5" fillId="4" borderId="0" xfId="5" applyFont="1" applyFill="1"/>
    <xf numFmtId="0" fontId="5" fillId="4" borderId="0" xfId="5" applyFont="1" applyFill="1" applyAlignment="1">
      <alignment horizontal="left" indent="2"/>
    </xf>
    <xf numFmtId="0" fontId="4" fillId="4" borderId="0" xfId="5" applyFont="1" applyFill="1" applyAlignment="1" applyProtection="1">
      <alignment horizontal="left"/>
      <protection locked="0"/>
    </xf>
    <xf numFmtId="0" fontId="4" fillId="4" borderId="0" xfId="5" applyFont="1" applyFill="1" applyAlignment="1" applyProtection="1">
      <alignment horizontal="left" vertical="top"/>
      <protection locked="0"/>
    </xf>
    <xf numFmtId="0" fontId="4" fillId="4" borderId="0" xfId="0" applyFont="1" applyFill="1"/>
    <xf numFmtId="0" fontId="29" fillId="4" borderId="0" xfId="7" applyFont="1" applyFill="1" applyAlignment="1" applyProtection="1">
      <alignment horizontal="left" vertical="top" wrapText="1"/>
      <protection locked="0"/>
    </xf>
    <xf numFmtId="0" fontId="4" fillId="4" borderId="0" xfId="0" applyFont="1" applyFill="1" applyAlignment="1">
      <alignment horizontal="left"/>
    </xf>
    <xf numFmtId="166" fontId="3" fillId="17" borderId="15" xfId="3" applyFont="1" applyFill="1" applyBorder="1" applyAlignment="1" applyProtection="1">
      <alignment horizontal="left" vertical="center"/>
      <protection locked="0"/>
    </xf>
    <xf numFmtId="44" fontId="3" fillId="17" borderId="15" xfId="3" applyNumberFormat="1" applyFont="1" applyFill="1" applyBorder="1" applyAlignment="1" applyProtection="1">
      <alignment horizontal="left" vertical="center"/>
      <protection locked="0"/>
    </xf>
    <xf numFmtId="0" fontId="0" fillId="16" borderId="0" xfId="0" applyFill="1"/>
    <xf numFmtId="169" fontId="3" fillId="16" borderId="15" xfId="3" applyNumberFormat="1" applyFont="1" applyFill="1" applyBorder="1" applyAlignment="1" applyProtection="1">
      <alignment horizontal="left" vertical="center"/>
      <protection locked="0"/>
    </xf>
    <xf numFmtId="44" fontId="3" fillId="16" borderId="15" xfId="3" applyNumberFormat="1" applyFont="1" applyFill="1" applyBorder="1" applyAlignment="1" applyProtection="1">
      <alignment horizontal="left" vertical="center"/>
      <protection locked="0"/>
    </xf>
    <xf numFmtId="166" fontId="3" fillId="18" borderId="15" xfId="3" applyFont="1" applyFill="1" applyBorder="1" applyAlignment="1" applyProtection="1">
      <alignment horizontal="left" vertical="center"/>
      <protection locked="0"/>
    </xf>
    <xf numFmtId="0" fontId="0" fillId="18" borderId="0" xfId="0" applyFill="1"/>
    <xf numFmtId="44" fontId="3" fillId="18" borderId="15" xfId="3" applyNumberFormat="1" applyFont="1" applyFill="1" applyBorder="1" applyAlignment="1" applyProtection="1">
      <alignment horizontal="left" vertical="center"/>
      <protection locked="0"/>
    </xf>
    <xf numFmtId="169" fontId="3" fillId="18" borderId="15" xfId="3" applyNumberFormat="1" applyFont="1" applyFill="1" applyBorder="1" applyAlignment="1" applyProtection="1">
      <alignment horizontal="left" vertical="center"/>
      <protection locked="0"/>
    </xf>
    <xf numFmtId="0" fontId="32" fillId="0" borderId="0" xfId="0" applyFont="1"/>
    <xf numFmtId="170" fontId="29" fillId="19" borderId="0" xfId="0" applyNumberFormat="1" applyFont="1" applyFill="1" applyAlignment="1">
      <alignment horizontal="right"/>
    </xf>
    <xf numFmtId="166" fontId="3" fillId="19" borderId="15" xfId="3" applyFont="1" applyFill="1" applyBorder="1" applyAlignment="1" applyProtection="1">
      <alignment horizontal="left" vertical="center"/>
      <protection locked="0"/>
    </xf>
    <xf numFmtId="171" fontId="29" fillId="19" borderId="0" xfId="0" applyNumberFormat="1" applyFont="1" applyFill="1" applyAlignment="1">
      <alignment horizontal="right"/>
    </xf>
    <xf numFmtId="169" fontId="3" fillId="19" borderId="15" xfId="3" applyNumberFormat="1" applyFont="1" applyFill="1" applyBorder="1" applyAlignment="1" applyProtection="1">
      <alignment horizontal="left" vertical="center"/>
      <protection locked="0"/>
    </xf>
    <xf numFmtId="44" fontId="3" fillId="19" borderId="15" xfId="3" applyNumberFormat="1" applyFont="1" applyFill="1" applyBorder="1" applyAlignment="1" applyProtection="1">
      <alignment horizontal="left" vertical="center"/>
      <protection locked="0"/>
    </xf>
    <xf numFmtId="171" fontId="4" fillId="19" borderId="0" xfId="0" applyNumberFormat="1" applyFont="1" applyFill="1" applyAlignment="1" applyProtection="1">
      <alignment horizontal="right"/>
      <protection locked="0"/>
    </xf>
    <xf numFmtId="170" fontId="29" fillId="20" borderId="0" xfId="0" applyNumberFormat="1" applyFont="1" applyFill="1" applyAlignment="1">
      <alignment horizontal="right"/>
    </xf>
    <xf numFmtId="166" fontId="3" fillId="20" borderId="15" xfId="3" applyFont="1" applyFill="1" applyBorder="1" applyAlignment="1" applyProtection="1">
      <alignment horizontal="left" vertical="center"/>
      <protection locked="0"/>
    </xf>
    <xf numFmtId="0" fontId="33" fillId="0" borderId="0" xfId="0" applyFont="1"/>
    <xf numFmtId="171" fontId="29" fillId="20" borderId="0" xfId="0" applyNumberFormat="1" applyFont="1" applyFill="1" applyAlignment="1">
      <alignment horizontal="right"/>
    </xf>
    <xf numFmtId="169" fontId="3" fillId="20" borderId="15" xfId="3" applyNumberFormat="1" applyFont="1" applyFill="1" applyBorder="1" applyAlignment="1" applyProtection="1">
      <alignment horizontal="left" vertical="center"/>
      <protection locked="0"/>
    </xf>
    <xf numFmtId="171" fontId="4" fillId="20" borderId="0" xfId="0" applyNumberFormat="1" applyFont="1" applyFill="1" applyAlignment="1" applyProtection="1">
      <alignment horizontal="right"/>
      <protection locked="0"/>
    </xf>
    <xf numFmtId="170" fontId="4" fillId="20" borderId="0" xfId="0" applyNumberFormat="1" applyFont="1" applyFill="1" applyAlignment="1" applyProtection="1">
      <alignment horizontal="right"/>
      <protection locked="0"/>
    </xf>
    <xf numFmtId="166" fontId="3" fillId="21" borderId="15" xfId="3" applyFont="1" applyFill="1" applyBorder="1" applyAlignment="1" applyProtection="1">
      <alignment horizontal="left" vertical="center"/>
      <protection locked="0"/>
    </xf>
    <xf numFmtId="170" fontId="29" fillId="21" borderId="0" xfId="0" applyNumberFormat="1" applyFont="1" applyFill="1" applyAlignment="1">
      <alignment horizontal="right"/>
    </xf>
    <xf numFmtId="171" fontId="29" fillId="21" borderId="0" xfId="0" applyNumberFormat="1" applyFont="1" applyFill="1" applyAlignment="1">
      <alignment horizontal="right"/>
    </xf>
    <xf numFmtId="169" fontId="3" fillId="21" borderId="15" xfId="3" applyNumberFormat="1" applyFont="1" applyFill="1" applyBorder="1" applyAlignment="1" applyProtection="1">
      <alignment horizontal="left" vertical="center"/>
      <protection locked="0"/>
    </xf>
    <xf numFmtId="171" fontId="4" fillId="21" borderId="0" xfId="0" applyNumberFormat="1" applyFont="1" applyFill="1" applyAlignment="1" applyProtection="1">
      <alignment horizontal="right"/>
      <protection locked="0"/>
    </xf>
    <xf numFmtId="170" fontId="4" fillId="21" borderId="0" xfId="0" applyNumberFormat="1" applyFont="1" applyFill="1" applyAlignment="1" applyProtection="1">
      <alignment horizontal="right"/>
      <protection locked="0"/>
    </xf>
    <xf numFmtId="44" fontId="18" fillId="16" borderId="15" xfId="3" applyNumberFormat="1" applyFont="1" applyFill="1" applyBorder="1" applyAlignment="1" applyProtection="1">
      <alignment horizontal="left" vertical="center"/>
      <protection locked="0"/>
    </xf>
    <xf numFmtId="169" fontId="18" fillId="16" borderId="15" xfId="3" applyNumberFormat="1" applyFont="1" applyFill="1" applyBorder="1" applyAlignment="1" applyProtection="1">
      <alignment horizontal="left" vertical="center"/>
      <protection locked="0"/>
    </xf>
    <xf numFmtId="169" fontId="20" fillId="16" borderId="15" xfId="3" applyNumberFormat="1" applyFont="1" applyFill="1" applyBorder="1" applyAlignment="1" applyProtection="1">
      <alignment horizontal="left" vertical="center"/>
      <protection locked="0"/>
    </xf>
    <xf numFmtId="166" fontId="18" fillId="16" borderId="15" xfId="3" applyFont="1" applyFill="1" applyBorder="1" applyAlignment="1" applyProtection="1">
      <alignment horizontal="left" vertical="center"/>
      <protection locked="0"/>
    </xf>
    <xf numFmtId="44" fontId="18" fillId="18" borderId="15" xfId="3" applyNumberFormat="1" applyFont="1" applyFill="1" applyBorder="1" applyAlignment="1" applyProtection="1">
      <alignment horizontal="left" vertical="center"/>
      <protection locked="0"/>
    </xf>
    <xf numFmtId="166" fontId="18" fillId="18" borderId="15" xfId="3" applyFont="1" applyFill="1" applyBorder="1" applyAlignment="1" applyProtection="1">
      <alignment horizontal="left" vertical="center"/>
      <protection locked="0"/>
    </xf>
    <xf numFmtId="169" fontId="18" fillId="18" borderId="15" xfId="3" applyNumberFormat="1" applyFont="1" applyFill="1" applyBorder="1" applyAlignment="1" applyProtection="1">
      <alignment horizontal="left" vertical="center"/>
      <protection locked="0"/>
    </xf>
    <xf numFmtId="169" fontId="20" fillId="18" borderId="15" xfId="3" applyNumberFormat="1" applyFont="1" applyFill="1" applyBorder="1" applyAlignment="1" applyProtection="1">
      <alignment horizontal="left" vertical="center"/>
      <protection locked="0"/>
    </xf>
    <xf numFmtId="166" fontId="18" fillId="20" borderId="15" xfId="3" applyFont="1" applyFill="1" applyBorder="1" applyAlignment="1" applyProtection="1">
      <alignment horizontal="left" vertical="center"/>
      <protection locked="0"/>
    </xf>
    <xf numFmtId="169" fontId="18" fillId="20" borderId="15" xfId="3" applyNumberFormat="1" applyFont="1" applyFill="1" applyBorder="1" applyAlignment="1" applyProtection="1">
      <alignment horizontal="left" vertical="center"/>
      <protection locked="0"/>
    </xf>
    <xf numFmtId="169" fontId="20" fillId="20" borderId="15" xfId="3" applyNumberFormat="1" applyFont="1" applyFill="1" applyBorder="1" applyAlignment="1" applyProtection="1">
      <alignment horizontal="left" vertical="center"/>
      <protection locked="0"/>
    </xf>
    <xf numFmtId="44" fontId="18" fillId="20" borderId="15" xfId="3" applyNumberFormat="1" applyFont="1" applyFill="1" applyBorder="1" applyAlignment="1" applyProtection="1">
      <alignment horizontal="left" vertical="center"/>
      <protection locked="0"/>
    </xf>
    <xf numFmtId="166" fontId="18" fillId="5" borderId="15" xfId="3" applyFont="1" applyFill="1" applyBorder="1" applyAlignment="1" applyProtection="1">
      <alignment horizontal="left" vertical="center"/>
      <protection locked="0"/>
    </xf>
    <xf numFmtId="44" fontId="18" fillId="5" borderId="15" xfId="3" applyNumberFormat="1" applyFont="1" applyFill="1" applyBorder="1" applyAlignment="1" applyProtection="1">
      <alignment horizontal="left" vertical="center"/>
      <protection locked="0"/>
    </xf>
    <xf numFmtId="169" fontId="18" fillId="5" borderId="15" xfId="3" applyNumberFormat="1" applyFont="1" applyFill="1" applyBorder="1" applyAlignment="1" applyProtection="1">
      <alignment horizontal="left" vertical="center"/>
      <protection locked="0"/>
    </xf>
    <xf numFmtId="169" fontId="20" fillId="5" borderId="15" xfId="3" applyNumberFormat="1" applyFont="1" applyFill="1" applyBorder="1" applyAlignment="1" applyProtection="1">
      <alignment horizontal="left" vertical="center"/>
      <protection locked="0"/>
    </xf>
    <xf numFmtId="166" fontId="18" fillId="21" borderId="15" xfId="3" applyFont="1" applyFill="1" applyBorder="1" applyAlignment="1" applyProtection="1">
      <alignment horizontal="left" vertical="center"/>
      <protection locked="0"/>
    </xf>
    <xf numFmtId="169" fontId="18" fillId="21" borderId="15" xfId="3" applyNumberFormat="1" applyFont="1" applyFill="1" applyBorder="1" applyAlignment="1" applyProtection="1">
      <alignment horizontal="left" vertical="center"/>
      <protection locked="0"/>
    </xf>
    <xf numFmtId="169" fontId="20" fillId="21" borderId="15" xfId="3" applyNumberFormat="1" applyFont="1" applyFill="1" applyBorder="1" applyAlignment="1" applyProtection="1">
      <alignment horizontal="left" vertical="center"/>
      <protection locked="0"/>
    </xf>
    <xf numFmtId="44" fontId="18" fillId="21" borderId="15" xfId="3" applyNumberFormat="1" applyFont="1" applyFill="1" applyBorder="1" applyAlignment="1" applyProtection="1">
      <alignment horizontal="left" vertical="center"/>
      <protection locked="0"/>
    </xf>
    <xf numFmtId="166" fontId="18" fillId="19" borderId="15" xfId="3" applyFont="1" applyFill="1" applyBorder="1" applyAlignment="1" applyProtection="1">
      <alignment horizontal="left" vertical="center"/>
      <protection locked="0"/>
    </xf>
    <xf numFmtId="169" fontId="18" fillId="19" borderId="15" xfId="3" applyNumberFormat="1" applyFont="1" applyFill="1" applyBorder="1" applyAlignment="1" applyProtection="1">
      <alignment horizontal="left" vertical="center"/>
      <protection locked="0"/>
    </xf>
    <xf numFmtId="44" fontId="18" fillId="19" borderId="15" xfId="3" applyNumberFormat="1" applyFont="1" applyFill="1" applyBorder="1" applyAlignment="1" applyProtection="1">
      <alignment horizontal="left" vertical="center"/>
      <protection locked="0"/>
    </xf>
    <xf numFmtId="169" fontId="20" fillId="19" borderId="15" xfId="3" applyNumberFormat="1" applyFont="1" applyFill="1" applyBorder="1" applyAlignment="1" applyProtection="1">
      <alignment horizontal="left" vertical="center"/>
      <protection locked="0"/>
    </xf>
    <xf numFmtId="165" fontId="1" fillId="0" borderId="15" xfId="1" applyNumberFormat="1" applyBorder="1" applyAlignment="1" applyProtection="1">
      <alignment vertical="center"/>
      <protection locked="0"/>
    </xf>
    <xf numFmtId="165" fontId="18" fillId="0" borderId="9" xfId="1" applyNumberFormat="1" applyFont="1" applyBorder="1" applyAlignment="1" applyProtection="1">
      <alignment vertical="center"/>
      <protection locked="0"/>
    </xf>
    <xf numFmtId="166" fontId="0" fillId="0" borderId="4" xfId="3" applyFont="1" applyFill="1" applyBorder="1" applyAlignment="1" applyProtection="1">
      <alignment horizontal="center" vertical="center"/>
    </xf>
    <xf numFmtId="167" fontId="0" fillId="0" borderId="4" xfId="4" applyNumberFormat="1" applyFont="1" applyFill="1" applyBorder="1" applyAlignment="1" applyProtection="1">
      <alignment horizontal="center" vertical="center"/>
    </xf>
    <xf numFmtId="10" fontId="0" fillId="0" borderId="4" xfId="4" applyNumberFormat="1" applyFont="1" applyFill="1" applyBorder="1" applyAlignment="1" applyProtection="1">
      <alignment horizontal="center" vertical="center"/>
    </xf>
    <xf numFmtId="0" fontId="7" fillId="0" borderId="0" xfId="1" applyFont="1" applyAlignment="1">
      <alignment horizontal="center"/>
    </xf>
    <xf numFmtId="0" fontId="8" fillId="0" borderId="0" xfId="1" applyFont="1" applyAlignment="1">
      <alignment horizontal="left" vertical="top"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 fillId="4" borderId="4" xfId="1" applyFill="1" applyBorder="1" applyAlignment="1">
      <alignment horizontal="left" vertical="top"/>
    </xf>
    <xf numFmtId="0" fontId="3" fillId="9" borderId="4" xfId="1" applyFont="1" applyFill="1" applyBorder="1" applyAlignment="1">
      <alignment horizontal="center" vertical="center"/>
    </xf>
    <xf numFmtId="0" fontId="3" fillId="10" borderId="4" xfId="1" applyFont="1" applyFill="1" applyBorder="1" applyAlignment="1">
      <alignment horizontal="center"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4" xfId="1" applyFont="1" applyBorder="1" applyAlignment="1">
      <alignment horizontal="center" vertical="center"/>
    </xf>
    <xf numFmtId="0" fontId="15" fillId="4" borderId="4" xfId="1" applyFont="1" applyFill="1" applyBorder="1" applyAlignment="1" applyProtection="1">
      <alignment horizontal="left" vertical="top"/>
      <protection locked="0"/>
    </xf>
    <xf numFmtId="0" fontId="3" fillId="4" borderId="13" xfId="1" applyFont="1" applyFill="1" applyBorder="1" applyAlignment="1" applyProtection="1">
      <alignment horizontal="left" vertical="top"/>
      <protection locked="0"/>
    </xf>
    <xf numFmtId="0" fontId="3" fillId="0" borderId="1"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4" borderId="0" xfId="1" applyFont="1" applyFill="1" applyAlignment="1" applyProtection="1">
      <alignment horizontal="center" wrapText="1"/>
      <protection locked="0"/>
    </xf>
    <xf numFmtId="0" fontId="1" fillId="4" borderId="0" xfId="1" applyFill="1" applyAlignment="1" applyProtection="1">
      <alignment horizontal="center" wrapText="1"/>
      <protection locked="0"/>
    </xf>
    <xf numFmtId="0" fontId="3" fillId="0" borderId="15" xfId="1" applyFont="1" applyBorder="1" applyAlignment="1" applyProtection="1">
      <alignment horizontal="center" wrapText="1"/>
      <protection locked="0"/>
    </xf>
    <xf numFmtId="0" fontId="1" fillId="0" borderId="13" xfId="1" applyBorder="1" applyAlignment="1" applyProtection="1">
      <alignment wrapText="1"/>
      <protection locked="0"/>
    </xf>
    <xf numFmtId="0" fontId="3" fillId="0" borderId="9" xfId="1" applyFont="1" applyBorder="1" applyAlignment="1" applyProtection="1">
      <alignment horizontal="center" wrapText="1"/>
      <protection locked="0"/>
    </xf>
    <xf numFmtId="0" fontId="1" fillId="0" borderId="12" xfId="1" applyBorder="1" applyAlignment="1" applyProtection="1">
      <alignment wrapText="1"/>
      <protection locked="0"/>
    </xf>
    <xf numFmtId="0" fontId="3" fillId="16" borderId="0" xfId="1" applyFont="1" applyFill="1" applyAlignment="1" applyProtection="1">
      <alignment horizontal="left" vertical="top" wrapText="1"/>
      <protection locked="0"/>
    </xf>
    <xf numFmtId="0" fontId="23" fillId="4" borderId="0" xfId="0" applyFont="1" applyFill="1" applyAlignment="1" applyProtection="1">
      <alignment horizontal="left" vertical="top" wrapText="1"/>
      <protection locked="0"/>
    </xf>
    <xf numFmtId="0" fontId="26" fillId="4" borderId="0" xfId="0" applyFont="1" applyFill="1" applyAlignment="1" applyProtection="1">
      <alignment horizontal="left" vertical="top" wrapText="1"/>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22" fillId="4" borderId="0" xfId="0" applyFont="1" applyFill="1" applyAlignment="1">
      <alignment horizontal="center" vertical="top" wrapText="1"/>
    </xf>
    <xf numFmtId="0" fontId="23" fillId="4" borderId="0" xfId="0" applyFont="1" applyFill="1" applyAlignment="1">
      <alignment horizontal="center"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25" fillId="4" borderId="0" xfId="0" applyFont="1" applyFill="1" applyAlignment="1">
      <alignment horizontal="right" vertical="top"/>
    </xf>
    <xf numFmtId="0" fontId="29" fillId="4" borderId="0" xfId="0" applyFont="1" applyFill="1" applyAlignment="1" applyProtection="1">
      <alignment horizontal="left" wrapText="1"/>
      <protection locked="0"/>
    </xf>
    <xf numFmtId="0" fontId="29" fillId="4" borderId="0" xfId="0" applyFont="1" applyFill="1" applyAlignment="1">
      <alignment horizontal="left" wrapText="1"/>
    </xf>
    <xf numFmtId="0" fontId="19" fillId="4" borderId="0" xfId="0" applyFont="1" applyFill="1" applyAlignment="1" applyProtection="1">
      <alignment horizontal="left"/>
      <protection locked="0"/>
    </xf>
    <xf numFmtId="0" fontId="28" fillId="4" borderId="0" xfId="0" applyFont="1" applyFill="1" applyAlignment="1">
      <alignment horizontal="left"/>
    </xf>
    <xf numFmtId="171" fontId="27" fillId="4" borderId="0" xfId="0" applyNumberFormat="1" applyFont="1" applyFill="1" applyAlignment="1" applyProtection="1">
      <alignment horizontal="left" vertical="top" wrapText="1"/>
      <protection locked="0"/>
    </xf>
    <xf numFmtId="0" fontId="19" fillId="4" borderId="0" xfId="0" applyFont="1" applyFill="1" applyAlignment="1" applyProtection="1">
      <alignment horizontal="left" wrapText="1"/>
      <protection locked="0"/>
    </xf>
    <xf numFmtId="171" fontId="23" fillId="4" borderId="0" xfId="0" applyNumberFormat="1" applyFont="1" applyFill="1" applyAlignment="1" applyProtection="1">
      <alignment horizontal="left" vertical="top" wrapText="1"/>
      <protection locked="0"/>
    </xf>
    <xf numFmtId="171" fontId="28" fillId="4" borderId="0" xfId="0" applyNumberFormat="1" applyFont="1" applyFill="1" applyAlignment="1">
      <alignment horizontal="left" vertical="top" wrapText="1"/>
    </xf>
    <xf numFmtId="0" fontId="4" fillId="4" borderId="0" xfId="6" applyFont="1" applyFill="1" applyAlignment="1" applyProtection="1">
      <alignment horizontal="left" wrapText="1" indent="2"/>
      <protection locked="0"/>
    </xf>
    <xf numFmtId="0" fontId="29" fillId="4" borderId="0" xfId="0" applyFont="1" applyFill="1" applyAlignment="1">
      <alignment horizontal="left" wrapText="1" indent="2"/>
    </xf>
    <xf numFmtId="0" fontId="29" fillId="4" borderId="0" xfId="0" applyFont="1" applyFill="1" applyAlignment="1" applyProtection="1">
      <alignment horizontal="left" wrapText="1" indent="6"/>
      <protection locked="0"/>
    </xf>
    <xf numFmtId="0" fontId="29" fillId="4" borderId="0" xfId="7" applyFont="1" applyFill="1" applyAlignment="1" applyProtection="1">
      <alignment horizontal="left" vertical="top" wrapText="1"/>
      <protection locked="0"/>
    </xf>
    <xf numFmtId="0" fontId="29" fillId="4" borderId="0" xfId="0" applyFont="1" applyFill="1" applyAlignment="1">
      <alignment horizontal="left" vertical="top" wrapText="1"/>
    </xf>
    <xf numFmtId="171" fontId="29" fillId="4" borderId="0" xfId="0" applyNumberFormat="1" applyFont="1" applyFill="1" applyAlignment="1">
      <alignment horizontal="left" vertical="top" wrapText="1"/>
    </xf>
  </cellXfs>
  <cellStyles count="8">
    <cellStyle name="Comma 4" xfId="2" xr:uid="{AAC04D39-4B7E-4B9E-A5E4-83014A50072B}"/>
    <cellStyle name="Currency 2" xfId="3" xr:uid="{D0BBD049-E3A9-4BF8-AD44-4F2C53EC7C46}"/>
    <cellStyle name="Normal" xfId="0" builtinId="0"/>
    <cellStyle name="Normal 10 12" xfId="7" xr:uid="{7DB7E8E8-9999-4A08-82CC-FC6B224D76D6}"/>
    <cellStyle name="Normal 2" xfId="1" xr:uid="{9EAE797C-3A49-40FF-AAB6-60E5AEDB6845}"/>
    <cellStyle name="Normal_lists_1 2" xfId="6" xr:uid="{216B9644-78EE-40EF-ADB0-6EFDD090165D}"/>
    <cellStyle name="Normal_Sheet4 2" xfId="5" xr:uid="{DB8DEE4A-0F5E-442F-8598-7AE86F20AB59}"/>
    <cellStyle name="Percent 2" xfId="4" xr:uid="{72AD4257-C393-4D3C-BF6F-3AD55FDF5CB7}"/>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10</xdr:col>
      <xdr:colOff>1438275</xdr:colOff>
      <xdr:row>8</xdr:row>
      <xdr:rowOff>1884</xdr:rowOff>
    </xdr:to>
    <xdr:pic>
      <xdr:nvPicPr>
        <xdr:cNvPr id="2" name="Picture 1">
          <a:extLst>
            <a:ext uri="{FF2B5EF4-FFF2-40B4-BE49-F238E27FC236}">
              <a16:creationId xmlns:a16="http://schemas.microsoft.com/office/drawing/2014/main" id="{7A0C30AA-24C4-4686-9362-AA78BD1980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0</xdr:col>
      <xdr:colOff>1814300</xdr:colOff>
      <xdr:row>1</xdr:row>
      <xdr:rowOff>47154</xdr:rowOff>
    </xdr:from>
    <xdr:to>
      <xdr:col>9</xdr:col>
      <xdr:colOff>508335</xdr:colOff>
      <xdr:row>4</xdr:row>
      <xdr:rowOff>18168</xdr:rowOff>
    </xdr:to>
    <xdr:sp macro="" textlink="">
      <xdr:nvSpPr>
        <xdr:cNvPr id="3" name="Rectangle 2">
          <a:extLst>
            <a:ext uri="{FF2B5EF4-FFF2-40B4-BE49-F238E27FC236}">
              <a16:creationId xmlns:a16="http://schemas.microsoft.com/office/drawing/2014/main" id="{7D4D152A-D6A9-4BED-B40F-66FE1A649110}"/>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2024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16357</xdr:colOff>
      <xdr:row>1</xdr:row>
      <xdr:rowOff>6409</xdr:rowOff>
    </xdr:from>
    <xdr:to>
      <xdr:col>0</xdr:col>
      <xdr:colOff>407593</xdr:colOff>
      <xdr:row>3</xdr:row>
      <xdr:rowOff>20475</xdr:rowOff>
    </xdr:to>
    <xdr:pic>
      <xdr:nvPicPr>
        <xdr:cNvPr id="4" name="Picture 3">
          <a:extLst>
            <a:ext uri="{FF2B5EF4-FFF2-40B4-BE49-F238E27FC236}">
              <a16:creationId xmlns:a16="http://schemas.microsoft.com/office/drawing/2014/main" id="{F7D19A87-A227-404E-AC23-A494D7846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358613</xdr:colOff>
      <xdr:row>0</xdr:row>
      <xdr:rowOff>165301</xdr:rowOff>
    </xdr:from>
    <xdr:to>
      <xdr:col>1</xdr:col>
      <xdr:colOff>640216</xdr:colOff>
      <xdr:row>2</xdr:row>
      <xdr:rowOff>135597</xdr:rowOff>
    </xdr:to>
    <xdr:sp macro="" textlink="">
      <xdr:nvSpPr>
        <xdr:cNvPr id="5" name="Rectangle 4">
          <a:extLst>
            <a:ext uri="{FF2B5EF4-FFF2-40B4-BE49-F238E27FC236}">
              <a16:creationId xmlns:a16="http://schemas.microsoft.com/office/drawing/2014/main" id="{3DFB4790-5AB3-4138-A1CE-CBD6520FE01A}"/>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C872-E83A-42AD-8CC0-14C40106F5D4}">
  <sheetPr>
    <pageSetUpPr fitToPage="1"/>
  </sheetPr>
  <dimension ref="A1:L397"/>
  <sheetViews>
    <sheetView tabSelected="1" zoomScaleNormal="100" workbookViewId="0">
      <selection activeCell="F347" sqref="F347"/>
    </sheetView>
  </sheetViews>
  <sheetFormatPr defaultRowHeight="15" x14ac:dyDescent="0.25"/>
  <cols>
    <col min="1" max="1" width="34.7109375" style="34" customWidth="1"/>
    <col min="2" max="2" width="13.28515625" style="34" customWidth="1"/>
    <col min="3" max="3" width="26.7109375" style="34" customWidth="1"/>
    <col min="4" max="4" width="10.28515625" style="34" bestFit="1" customWidth="1"/>
    <col min="5" max="5" width="18.28515625" style="34" customWidth="1"/>
    <col min="6" max="6" width="12.7109375" style="34" customWidth="1"/>
    <col min="7" max="7" width="14.28515625" style="34" bestFit="1" customWidth="1"/>
    <col min="8" max="8" width="18.7109375" style="34" bestFit="1" customWidth="1"/>
    <col min="9" max="9" width="13.5703125" style="34" bestFit="1" customWidth="1"/>
    <col min="10" max="10" width="15.7109375" style="34" customWidth="1"/>
    <col min="11" max="11" width="22.28515625" style="34" customWidth="1"/>
    <col min="12" max="12" width="14.42578125" style="34" customWidth="1"/>
  </cols>
  <sheetData>
    <row r="1" spans="1:12" ht="21.75" x14ac:dyDescent="0.25">
      <c r="A1" s="1"/>
      <c r="B1" s="1"/>
      <c r="C1" s="1"/>
      <c r="D1" s="1"/>
      <c r="E1" s="1"/>
      <c r="F1" s="1"/>
      <c r="G1" s="1"/>
      <c r="H1" s="1"/>
      <c r="I1" s="2"/>
      <c r="J1" s="3"/>
      <c r="K1" s="4"/>
      <c r="L1" s="4"/>
    </row>
    <row r="2" spans="1:12" ht="18" x14ac:dyDescent="0.25">
      <c r="A2" s="5"/>
      <c r="B2" s="5"/>
      <c r="C2" s="5"/>
      <c r="D2" s="5"/>
      <c r="E2" s="5"/>
      <c r="F2" s="5"/>
      <c r="G2" s="5"/>
      <c r="H2" s="5"/>
      <c r="I2" s="2"/>
      <c r="J2" s="3"/>
      <c r="K2" s="4"/>
      <c r="L2" s="4"/>
    </row>
    <row r="3" spans="1:12" x14ac:dyDescent="0.25">
      <c r="A3"/>
      <c r="B3"/>
      <c r="C3"/>
      <c r="D3"/>
      <c r="E3"/>
      <c r="F3"/>
      <c r="G3"/>
      <c r="H3"/>
      <c r="I3" s="2"/>
      <c r="J3" s="3"/>
      <c r="K3" s="4"/>
      <c r="L3" s="4"/>
    </row>
    <row r="4" spans="1:12" ht="18" x14ac:dyDescent="0.25">
      <c r="A4" s="5"/>
      <c r="B4" s="5"/>
      <c r="C4" s="5"/>
      <c r="D4" s="5"/>
      <c r="E4" s="5"/>
      <c r="F4" s="6"/>
      <c r="G4" s="6"/>
      <c r="H4" s="6"/>
      <c r="I4" s="2"/>
      <c r="J4" s="3"/>
      <c r="K4" s="4"/>
      <c r="L4" s="4"/>
    </row>
    <row r="5" spans="1:12" ht="15.75" x14ac:dyDescent="0.25">
      <c r="A5" s="4"/>
      <c r="B5" s="7"/>
      <c r="C5" s="4"/>
      <c r="D5" s="4"/>
      <c r="E5" s="4"/>
      <c r="F5" s="4"/>
      <c r="G5" s="4"/>
      <c r="H5" s="4"/>
      <c r="I5" s="2"/>
      <c r="J5" s="3"/>
      <c r="K5" s="4"/>
      <c r="L5" s="4"/>
    </row>
    <row r="6" spans="1:12" x14ac:dyDescent="0.25">
      <c r="A6" s="4"/>
      <c r="B6" s="4"/>
      <c r="C6" s="4"/>
      <c r="D6" s="4"/>
      <c r="E6" s="4"/>
      <c r="F6" s="4"/>
      <c r="G6" s="4"/>
      <c r="H6" s="4"/>
      <c r="I6" s="2"/>
      <c r="J6" s="3"/>
      <c r="K6" s="4"/>
      <c r="L6" s="4"/>
    </row>
    <row r="7" spans="1:12" x14ac:dyDescent="0.25">
      <c r="A7" s="4"/>
      <c r="B7" s="4"/>
      <c r="C7" s="4"/>
      <c r="D7" s="4"/>
      <c r="E7" s="4"/>
      <c r="F7" s="4"/>
      <c r="G7" s="4"/>
      <c r="H7" s="4"/>
      <c r="I7" s="2"/>
      <c r="J7" s="3"/>
      <c r="K7" s="4"/>
      <c r="L7" s="4"/>
    </row>
    <row r="8" spans="1:12" x14ac:dyDescent="0.25">
      <c r="A8" s="4"/>
      <c r="B8" s="4"/>
      <c r="C8" s="4"/>
      <c r="D8" s="4"/>
      <c r="E8" s="4"/>
      <c r="F8" s="4"/>
      <c r="G8" s="4"/>
      <c r="H8" s="4"/>
      <c r="I8" s="4"/>
      <c r="J8" s="3"/>
      <c r="K8" s="8"/>
      <c r="L8" s="8"/>
    </row>
    <row r="9" spans="1:12" x14ac:dyDescent="0.25">
      <c r="A9" s="8"/>
      <c r="B9" s="8"/>
      <c r="C9" s="8"/>
      <c r="D9" s="8"/>
      <c r="E9" s="8"/>
      <c r="F9" s="8"/>
      <c r="G9" s="8"/>
      <c r="H9" s="8"/>
      <c r="I9" s="8"/>
      <c r="J9" s="8"/>
      <c r="K9" s="8"/>
      <c r="L9" s="8"/>
    </row>
    <row r="10" spans="1:12" ht="18" x14ac:dyDescent="0.25">
      <c r="A10" s="236"/>
      <c r="B10" s="236"/>
      <c r="C10" s="236"/>
      <c r="D10" s="236"/>
      <c r="E10" s="236"/>
      <c r="F10" s="236"/>
      <c r="G10" s="236"/>
      <c r="H10" s="236"/>
      <c r="I10" s="236"/>
      <c r="J10" s="236"/>
      <c r="K10" s="9"/>
      <c r="L10" s="9"/>
    </row>
    <row r="11" spans="1:12" ht="18" x14ac:dyDescent="0.25">
      <c r="A11" s="236"/>
      <c r="B11" s="236"/>
      <c r="C11" s="236"/>
      <c r="D11" s="236"/>
      <c r="E11" s="236"/>
      <c r="F11" s="236"/>
      <c r="G11" s="236"/>
      <c r="H11" s="236"/>
      <c r="I11" s="236"/>
      <c r="J11" s="236"/>
      <c r="K11" s="236"/>
      <c r="L11" s="236"/>
    </row>
    <row r="12" spans="1:12" x14ac:dyDescent="0.25">
      <c r="A12" s="237" t="s">
        <v>0</v>
      </c>
      <c r="B12" s="237"/>
      <c r="C12" s="237"/>
      <c r="D12" s="237"/>
      <c r="E12" s="237"/>
      <c r="F12" s="237"/>
      <c r="G12" s="237"/>
      <c r="H12" s="237"/>
      <c r="I12" s="237"/>
      <c r="J12" s="237"/>
      <c r="K12" s="237"/>
      <c r="L12" s="8"/>
    </row>
    <row r="13" spans="1:12" x14ac:dyDescent="0.25">
      <c r="A13" s="8" t="s">
        <v>1</v>
      </c>
      <c r="B13" s="8"/>
      <c r="C13" s="8"/>
      <c r="D13" s="8"/>
      <c r="E13" s="8"/>
      <c r="F13" s="8"/>
      <c r="G13" s="8"/>
      <c r="H13" s="8"/>
      <c r="I13" s="8"/>
      <c r="J13" s="8"/>
      <c r="K13" s="8"/>
      <c r="L13" s="8"/>
    </row>
    <row r="14" spans="1:12" ht="15.75" x14ac:dyDescent="0.25">
      <c r="A14" s="10" t="s">
        <v>2</v>
      </c>
      <c r="B14" s="8"/>
      <c r="C14" s="8"/>
      <c r="D14" s="8"/>
      <c r="E14" s="8"/>
      <c r="F14" s="8"/>
      <c r="G14" s="8"/>
      <c r="H14" s="8"/>
      <c r="I14" s="8"/>
      <c r="J14" s="8"/>
      <c r="K14" s="8"/>
      <c r="L14" s="8"/>
    </row>
    <row r="15" spans="1:12" ht="64.5" x14ac:dyDescent="0.25">
      <c r="A15" s="238" t="s">
        <v>3</v>
      </c>
      <c r="B15" s="239"/>
      <c r="C15" s="240"/>
      <c r="D15" s="11" t="s">
        <v>4</v>
      </c>
      <c r="E15" s="12" t="s">
        <v>5</v>
      </c>
      <c r="F15" s="12" t="s">
        <v>6</v>
      </c>
      <c r="G15" s="12" t="s">
        <v>7</v>
      </c>
      <c r="H15" s="12" t="s">
        <v>8</v>
      </c>
      <c r="I15" s="12" t="s">
        <v>9</v>
      </c>
      <c r="J15" s="13" t="s">
        <v>10</v>
      </c>
      <c r="K15" s="14" t="s">
        <v>11</v>
      </c>
      <c r="L15" s="8"/>
    </row>
    <row r="16" spans="1:12" x14ac:dyDescent="0.25">
      <c r="A16" s="15" t="s">
        <v>81</v>
      </c>
      <c r="B16" s="16"/>
      <c r="C16" s="17"/>
      <c r="D16" s="18" t="s">
        <v>33</v>
      </c>
      <c r="E16" s="19" t="s">
        <v>13</v>
      </c>
      <c r="F16" s="20">
        <v>1.0829</v>
      </c>
      <c r="G16" s="21">
        <f t="shared" ref="G16:G35" si="0">IF(ISBLANK(F16),"", F16)</f>
        <v>1.0829</v>
      </c>
      <c r="H16" s="22">
        <v>750</v>
      </c>
      <c r="I16" s="22"/>
      <c r="J16" s="19" t="s">
        <v>14</v>
      </c>
      <c r="K16" s="23"/>
      <c r="L16" s="8"/>
    </row>
    <row r="17" spans="1:12" x14ac:dyDescent="0.25">
      <c r="A17" s="15" t="s">
        <v>15</v>
      </c>
      <c r="B17" s="16"/>
      <c r="C17" s="17"/>
      <c r="D17" s="18" t="s">
        <v>35</v>
      </c>
      <c r="E17" s="19" t="s">
        <v>16</v>
      </c>
      <c r="F17" s="20">
        <v>1.0829</v>
      </c>
      <c r="G17" s="21">
        <f t="shared" si="0"/>
        <v>1.0829</v>
      </c>
      <c r="H17" s="22">
        <v>90000</v>
      </c>
      <c r="I17" s="22">
        <v>225</v>
      </c>
      <c r="J17" s="19" t="s">
        <v>17</v>
      </c>
      <c r="K17" s="23"/>
      <c r="L17" s="8"/>
    </row>
    <row r="18" spans="1:12" x14ac:dyDescent="0.25">
      <c r="A18" s="15" t="s">
        <v>18</v>
      </c>
      <c r="B18" s="16"/>
      <c r="C18" s="17"/>
      <c r="D18" s="18" t="s">
        <v>33</v>
      </c>
      <c r="E18" s="19" t="s">
        <v>13</v>
      </c>
      <c r="F18" s="20">
        <v>1.0829</v>
      </c>
      <c r="G18" s="21">
        <f t="shared" si="0"/>
        <v>1.0829</v>
      </c>
      <c r="H18" s="22">
        <v>750</v>
      </c>
      <c r="I18" s="22"/>
      <c r="J18" s="19" t="s">
        <v>14</v>
      </c>
      <c r="K18" s="23"/>
      <c r="L18" s="8"/>
    </row>
    <row r="19" spans="1:12" x14ac:dyDescent="0.25">
      <c r="A19" s="15" t="s">
        <v>19</v>
      </c>
      <c r="B19" s="16"/>
      <c r="C19" s="17"/>
      <c r="D19" s="18" t="s">
        <v>35</v>
      </c>
      <c r="E19" s="19" t="s">
        <v>16</v>
      </c>
      <c r="F19" s="20">
        <v>1.0829</v>
      </c>
      <c r="G19" s="21">
        <f t="shared" si="0"/>
        <v>1.0829</v>
      </c>
      <c r="H19" s="22">
        <v>3228</v>
      </c>
      <c r="I19" s="22">
        <v>9</v>
      </c>
      <c r="J19" s="19" t="s">
        <v>17</v>
      </c>
      <c r="K19" s="24"/>
      <c r="L19" s="8"/>
    </row>
    <row r="20" spans="1:12" x14ac:dyDescent="0.25">
      <c r="A20" s="25" t="s">
        <v>82</v>
      </c>
      <c r="B20" s="26"/>
      <c r="C20" s="27"/>
      <c r="D20" s="18" t="s">
        <v>33</v>
      </c>
      <c r="E20" s="19" t="s">
        <v>13</v>
      </c>
      <c r="F20" s="20">
        <v>1.0829</v>
      </c>
      <c r="G20" s="21">
        <f t="shared" si="0"/>
        <v>1.0829</v>
      </c>
      <c r="H20" s="22">
        <v>2000</v>
      </c>
      <c r="I20" s="22"/>
      <c r="J20" s="19" t="s">
        <v>14</v>
      </c>
      <c r="K20" s="23"/>
      <c r="L20" s="8"/>
    </row>
    <row r="21" spans="1:12" x14ac:dyDescent="0.25">
      <c r="A21" s="25" t="s">
        <v>18</v>
      </c>
      <c r="B21" s="26"/>
      <c r="C21" s="27"/>
      <c r="D21" s="18" t="s">
        <v>33</v>
      </c>
      <c r="E21" s="19" t="s">
        <v>13</v>
      </c>
      <c r="F21" s="20">
        <v>1.0829</v>
      </c>
      <c r="G21" s="21">
        <f t="shared" si="0"/>
        <v>1.0829</v>
      </c>
      <c r="H21" s="22">
        <v>15</v>
      </c>
      <c r="I21" s="22"/>
      <c r="J21" s="19" t="s">
        <v>14</v>
      </c>
      <c r="K21" s="23"/>
      <c r="L21" s="8"/>
    </row>
    <row r="22" spans="1:12" hidden="1" x14ac:dyDescent="0.25">
      <c r="A22" s="25" t="s">
        <v>20</v>
      </c>
      <c r="B22" s="26"/>
      <c r="C22" s="27"/>
      <c r="D22" s="18" t="s">
        <v>203</v>
      </c>
      <c r="E22" s="19"/>
      <c r="F22" s="20">
        <v>1.0829</v>
      </c>
      <c r="G22" s="21">
        <f t="shared" si="0"/>
        <v>1.0829</v>
      </c>
      <c r="H22" s="22"/>
      <c r="I22" s="22"/>
      <c r="J22" s="19"/>
      <c r="K22" s="23"/>
      <c r="L22" s="8"/>
    </row>
    <row r="23" spans="1:12" hidden="1" x14ac:dyDescent="0.25">
      <c r="A23" s="25" t="s">
        <v>20</v>
      </c>
      <c r="B23" s="26"/>
      <c r="C23" s="27"/>
      <c r="D23" s="18" t="s">
        <v>203</v>
      </c>
      <c r="E23" s="19"/>
      <c r="F23" s="20">
        <v>1.0829</v>
      </c>
      <c r="G23" s="21">
        <f t="shared" si="0"/>
        <v>1.0829</v>
      </c>
      <c r="H23" s="22"/>
      <c r="I23" s="22"/>
      <c r="J23" s="19"/>
      <c r="K23" s="23"/>
      <c r="L23" s="8"/>
    </row>
    <row r="24" spans="1:12" hidden="1" x14ac:dyDescent="0.25">
      <c r="A24" s="25" t="s">
        <v>20</v>
      </c>
      <c r="B24" s="26"/>
      <c r="C24" s="27"/>
      <c r="D24" s="18" t="s">
        <v>203</v>
      </c>
      <c r="E24" s="19"/>
      <c r="F24" s="20">
        <v>1.0829</v>
      </c>
      <c r="G24" s="21">
        <f t="shared" si="0"/>
        <v>1.0829</v>
      </c>
      <c r="H24" s="22"/>
      <c r="I24" s="22"/>
      <c r="J24" s="19"/>
      <c r="K24" s="23"/>
      <c r="L24" s="8"/>
    </row>
    <row r="25" spans="1:12" hidden="1" x14ac:dyDescent="0.25">
      <c r="A25" s="25" t="s">
        <v>20</v>
      </c>
      <c r="B25" s="26"/>
      <c r="C25" s="27"/>
      <c r="D25" s="18" t="s">
        <v>203</v>
      </c>
      <c r="E25" s="19"/>
      <c r="F25" s="20">
        <v>1.0829</v>
      </c>
      <c r="G25" s="21">
        <f t="shared" si="0"/>
        <v>1.0829</v>
      </c>
      <c r="H25" s="22"/>
      <c r="I25" s="22"/>
      <c r="J25" s="19"/>
      <c r="K25" s="23"/>
      <c r="L25" s="8"/>
    </row>
    <row r="26" spans="1:12" hidden="1" x14ac:dyDescent="0.25">
      <c r="A26" s="25" t="s">
        <v>20</v>
      </c>
      <c r="B26" s="26"/>
      <c r="C26" s="27"/>
      <c r="D26" s="18" t="s">
        <v>203</v>
      </c>
      <c r="E26" s="19"/>
      <c r="F26" s="20">
        <v>1.0829</v>
      </c>
      <c r="G26" s="21">
        <f t="shared" si="0"/>
        <v>1.0829</v>
      </c>
      <c r="H26" s="22"/>
      <c r="I26" s="22"/>
      <c r="J26" s="19"/>
      <c r="K26" s="23"/>
      <c r="L26" s="8"/>
    </row>
    <row r="27" spans="1:12" hidden="1" x14ac:dyDescent="0.25">
      <c r="A27" s="25" t="s">
        <v>20</v>
      </c>
      <c r="B27" s="26"/>
      <c r="C27" s="27"/>
      <c r="D27" s="18" t="s">
        <v>203</v>
      </c>
      <c r="E27" s="19"/>
      <c r="F27" s="20">
        <v>1.0829</v>
      </c>
      <c r="G27" s="21">
        <f t="shared" si="0"/>
        <v>1.0829</v>
      </c>
      <c r="H27" s="22"/>
      <c r="I27" s="22"/>
      <c r="J27" s="19"/>
      <c r="K27" s="23"/>
      <c r="L27" s="8"/>
    </row>
    <row r="28" spans="1:12" hidden="1" x14ac:dyDescent="0.25">
      <c r="A28" s="25" t="s">
        <v>20</v>
      </c>
      <c r="B28" s="26"/>
      <c r="C28" s="27"/>
      <c r="D28" s="18" t="s">
        <v>203</v>
      </c>
      <c r="E28" s="19"/>
      <c r="F28" s="20">
        <v>1.0829</v>
      </c>
      <c r="G28" s="21">
        <f t="shared" si="0"/>
        <v>1.0829</v>
      </c>
      <c r="H28" s="22"/>
      <c r="I28" s="22"/>
      <c r="J28" s="19"/>
      <c r="K28" s="23"/>
      <c r="L28" s="8"/>
    </row>
    <row r="29" spans="1:12" hidden="1" x14ac:dyDescent="0.25">
      <c r="A29" s="25" t="s">
        <v>20</v>
      </c>
      <c r="B29" s="26"/>
      <c r="C29" s="27"/>
      <c r="D29" s="18" t="s">
        <v>203</v>
      </c>
      <c r="E29" s="19"/>
      <c r="F29" s="20">
        <v>1.0829</v>
      </c>
      <c r="G29" s="21">
        <f t="shared" si="0"/>
        <v>1.0829</v>
      </c>
      <c r="H29" s="22"/>
      <c r="I29" s="22"/>
      <c r="J29" s="19"/>
      <c r="K29" s="23"/>
      <c r="L29" s="8"/>
    </row>
    <row r="30" spans="1:12" hidden="1" x14ac:dyDescent="0.25">
      <c r="A30" s="25" t="s">
        <v>20</v>
      </c>
      <c r="B30" s="26"/>
      <c r="C30" s="27"/>
      <c r="D30" s="18" t="s">
        <v>203</v>
      </c>
      <c r="E30" s="19"/>
      <c r="F30" s="20">
        <v>1.0829</v>
      </c>
      <c r="G30" s="21">
        <f t="shared" si="0"/>
        <v>1.0829</v>
      </c>
      <c r="H30" s="22"/>
      <c r="I30" s="22"/>
      <c r="J30" s="19"/>
      <c r="K30" s="23"/>
      <c r="L30" s="8"/>
    </row>
    <row r="31" spans="1:12" hidden="1" x14ac:dyDescent="0.25">
      <c r="A31" s="25" t="s">
        <v>20</v>
      </c>
      <c r="B31" s="26"/>
      <c r="C31" s="27"/>
      <c r="D31" s="18" t="s">
        <v>203</v>
      </c>
      <c r="E31" s="19"/>
      <c r="F31" s="20">
        <v>1.0829</v>
      </c>
      <c r="G31" s="21">
        <f t="shared" si="0"/>
        <v>1.0829</v>
      </c>
      <c r="H31" s="22"/>
      <c r="I31" s="22"/>
      <c r="J31" s="19"/>
      <c r="K31" s="23"/>
      <c r="L31" s="8"/>
    </row>
    <row r="32" spans="1:12" hidden="1" x14ac:dyDescent="0.25">
      <c r="A32" s="25" t="s">
        <v>20</v>
      </c>
      <c r="B32" s="26"/>
      <c r="C32" s="27"/>
      <c r="D32" s="18" t="s">
        <v>203</v>
      </c>
      <c r="E32" s="19"/>
      <c r="F32" s="20">
        <v>1.0829</v>
      </c>
      <c r="G32" s="21">
        <f t="shared" si="0"/>
        <v>1.0829</v>
      </c>
      <c r="H32" s="22"/>
      <c r="I32" s="22"/>
      <c r="J32" s="19"/>
      <c r="K32" s="23"/>
      <c r="L32" s="8"/>
    </row>
    <row r="33" spans="1:12" hidden="1" x14ac:dyDescent="0.25">
      <c r="A33" s="25" t="s">
        <v>20</v>
      </c>
      <c r="B33" s="26"/>
      <c r="C33" s="27"/>
      <c r="D33" s="18" t="s">
        <v>203</v>
      </c>
      <c r="E33" s="19"/>
      <c r="F33" s="20">
        <v>1.0829</v>
      </c>
      <c r="G33" s="21">
        <f t="shared" si="0"/>
        <v>1.0829</v>
      </c>
      <c r="H33" s="22"/>
      <c r="I33" s="22"/>
      <c r="J33" s="19"/>
      <c r="K33" s="23"/>
      <c r="L33" s="8"/>
    </row>
    <row r="34" spans="1:12" hidden="1" x14ac:dyDescent="0.25">
      <c r="A34" s="25" t="s">
        <v>20</v>
      </c>
      <c r="B34" s="26"/>
      <c r="C34" s="27"/>
      <c r="D34" s="18" t="s">
        <v>203</v>
      </c>
      <c r="E34" s="19"/>
      <c r="F34" s="20">
        <v>1.0829</v>
      </c>
      <c r="G34" s="21">
        <f t="shared" si="0"/>
        <v>1.0829</v>
      </c>
      <c r="H34" s="22"/>
      <c r="I34" s="22"/>
      <c r="J34" s="19"/>
      <c r="K34" s="23"/>
      <c r="L34" s="8"/>
    </row>
    <row r="35" spans="1:12" hidden="1" x14ac:dyDescent="0.25">
      <c r="A35" s="25" t="s">
        <v>20</v>
      </c>
      <c r="B35" s="26"/>
      <c r="C35" s="27"/>
      <c r="D35" s="18" t="s">
        <v>203</v>
      </c>
      <c r="E35" s="19"/>
      <c r="F35" s="20">
        <v>1.0829</v>
      </c>
      <c r="G35" s="21">
        <f t="shared" si="0"/>
        <v>1.0829</v>
      </c>
      <c r="H35" s="22"/>
      <c r="I35" s="22"/>
      <c r="J35" s="19"/>
      <c r="K35" s="23"/>
      <c r="L35" s="8"/>
    </row>
    <row r="36" spans="1:12" x14ac:dyDescent="0.25">
      <c r="A36" s="8"/>
      <c r="B36" s="8"/>
      <c r="C36" s="8"/>
      <c r="D36" s="8"/>
      <c r="E36" s="8"/>
      <c r="F36" s="8"/>
      <c r="G36" s="8"/>
      <c r="H36" s="8"/>
      <c r="I36" s="8"/>
      <c r="J36" s="8"/>
      <c r="K36" s="8"/>
      <c r="L36" s="8"/>
    </row>
    <row r="37" spans="1:12" ht="15.75" x14ac:dyDescent="0.25">
      <c r="A37" s="10" t="s">
        <v>21</v>
      </c>
      <c r="B37" s="8"/>
      <c r="C37" s="8"/>
      <c r="D37" s="8"/>
      <c r="E37" s="8"/>
      <c r="F37" s="8"/>
      <c r="G37" s="8"/>
      <c r="H37" s="8"/>
      <c r="I37" s="8"/>
      <c r="J37" s="8"/>
      <c r="K37" s="8"/>
      <c r="L37" s="8"/>
    </row>
    <row r="38" spans="1:12" x14ac:dyDescent="0.25">
      <c r="A38" s="244" t="s">
        <v>3</v>
      </c>
      <c r="B38" s="245"/>
      <c r="C38" s="246"/>
      <c r="D38" s="253" t="s">
        <v>4</v>
      </c>
      <c r="E38" s="242" t="s">
        <v>22</v>
      </c>
      <c r="F38" s="242"/>
      <c r="G38" s="242"/>
      <c r="H38" s="242"/>
      <c r="I38" s="242"/>
      <c r="J38" s="242"/>
      <c r="K38" s="242" t="s">
        <v>23</v>
      </c>
      <c r="L38" s="242"/>
    </row>
    <row r="39" spans="1:12" x14ac:dyDescent="0.25">
      <c r="A39" s="247"/>
      <c r="B39" s="248"/>
      <c r="C39" s="249"/>
      <c r="D39" s="253"/>
      <c r="E39" s="243" t="s">
        <v>24</v>
      </c>
      <c r="F39" s="243"/>
      <c r="G39" s="243" t="s">
        <v>25</v>
      </c>
      <c r="H39" s="243"/>
      <c r="I39" s="243" t="s">
        <v>26</v>
      </c>
      <c r="J39" s="243"/>
      <c r="K39" s="243" t="s">
        <v>27</v>
      </c>
      <c r="L39" s="243"/>
    </row>
    <row r="40" spans="1:12" x14ac:dyDescent="0.25">
      <c r="A40" s="250"/>
      <c r="B40" s="251"/>
      <c r="C40" s="252"/>
      <c r="D40" s="253"/>
      <c r="E40" s="28" t="s">
        <v>28</v>
      </c>
      <c r="F40" s="28" t="s">
        <v>29</v>
      </c>
      <c r="G40" s="28" t="s">
        <v>28</v>
      </c>
      <c r="H40" s="28" t="s">
        <v>29</v>
      </c>
      <c r="I40" s="28" t="s">
        <v>28</v>
      </c>
      <c r="J40" s="28" t="s">
        <v>29</v>
      </c>
      <c r="K40" s="28" t="s">
        <v>28</v>
      </c>
      <c r="L40" s="28" t="s">
        <v>29</v>
      </c>
    </row>
    <row r="41" spans="1:12" x14ac:dyDescent="0.25">
      <c r="A41" s="241" t="str">
        <f t="shared" ref="A41:A60" si="1">IF(ISBLANK(A16), "", IF(A16 = "Add additional scenarios if required", "", IF(J16="YES", A16 &amp; " - " &amp; E16 &amp; " - Interval Customers", A16 &amp; " - " &amp;E16)))</f>
        <v>RESIDENTIAL R1 (i)SERVICE CLASSIFICATION - RPP</v>
      </c>
      <c r="B41" s="241"/>
      <c r="C41" s="241"/>
      <c r="D41" s="29" t="str">
        <f t="shared" ref="D41:D55" si="2">IF(ISBLANK(D16), "", D16)</f>
        <v>kWh</v>
      </c>
      <c r="E41" s="233">
        <f>I80</f>
        <v>-0.52499999999999858</v>
      </c>
      <c r="F41" s="234">
        <f>J80</f>
        <v>-1.312007997001121E-2</v>
      </c>
      <c r="G41" s="233">
        <f>I89</f>
        <v>-0.31927977879726654</v>
      </c>
      <c r="H41" s="234">
        <f>J89</f>
        <v>-6.5818760378356204E-3</v>
      </c>
      <c r="I41" s="233">
        <f>I92</f>
        <v>-0.46898803855361848</v>
      </c>
      <c r="J41" s="234">
        <f>J92</f>
        <v>-7.4483160109756266E-3</v>
      </c>
      <c r="K41" s="233">
        <f>I106</f>
        <v>-0.47508488305481933</v>
      </c>
      <c r="L41" s="235">
        <f>J106</f>
        <v>-3.4060794178545324E-3</v>
      </c>
    </row>
    <row r="42" spans="1:12" x14ac:dyDescent="0.25">
      <c r="A42" s="241" t="str">
        <f t="shared" si="1"/>
        <v>RESIDENTIAL R2 SERVICE CLASSIFICATION - Non-RPP (Other)</v>
      </c>
      <c r="B42" s="241"/>
      <c r="C42" s="241"/>
      <c r="D42" s="29" t="str">
        <f t="shared" si="2"/>
        <v>kW</v>
      </c>
      <c r="E42" s="233">
        <f>I136</f>
        <v>87.5625</v>
      </c>
      <c r="F42" s="234">
        <f>J136</f>
        <v>5.8217618371668584E-2</v>
      </c>
      <c r="G42" s="233">
        <f>I145</f>
        <v>117.91393973525715</v>
      </c>
      <c r="H42" s="234">
        <f>J145</f>
        <v>6.3760787282474279E-2</v>
      </c>
      <c r="I42" s="233">
        <f>I148</f>
        <v>102.02942056540996</v>
      </c>
      <c r="J42" s="234">
        <f>J148</f>
        <v>3.0263646582613348E-2</v>
      </c>
      <c r="K42" s="233">
        <f>I172</f>
        <v>115.29324523891228</v>
      </c>
      <c r="L42" s="235">
        <f>J172</f>
        <v>7.1025392703916055E-3</v>
      </c>
    </row>
    <row r="43" spans="1:12" x14ac:dyDescent="0.25">
      <c r="A43" s="241" t="str">
        <f t="shared" si="1"/>
        <v>SEASONAL CUSTOMERS SERVICE CLASSIFICATION - RPP</v>
      </c>
      <c r="B43" s="241"/>
      <c r="C43" s="241"/>
      <c r="D43" s="29" t="str">
        <f t="shared" si="2"/>
        <v>kWh</v>
      </c>
      <c r="E43" s="233">
        <f>I192</f>
        <v>-34.069999999999993</v>
      </c>
      <c r="F43" s="234">
        <f>J192</f>
        <v>-0.22571882867364512</v>
      </c>
      <c r="G43" s="233">
        <f>I201</f>
        <v>-33.44680828460433</v>
      </c>
      <c r="H43" s="234">
        <f>J201</f>
        <v>-0.21008122981494548</v>
      </c>
      <c r="I43" s="233">
        <f>I204</f>
        <v>-33.596516133063147</v>
      </c>
      <c r="J43" s="234">
        <f>J204</f>
        <v>-0.19345516321198147</v>
      </c>
      <c r="K43" s="233">
        <f>I218</f>
        <v>-34.033270842792945</v>
      </c>
      <c r="L43" s="235">
        <f>J218</f>
        <v>-0.13525632686815411</v>
      </c>
    </row>
    <row r="44" spans="1:12" x14ac:dyDescent="0.25">
      <c r="A44" s="241" t="str">
        <f t="shared" si="1"/>
        <v>STREET LIGHTING SERVICE CLASSIFICATION - Non-RPP (Other)</v>
      </c>
      <c r="B44" s="241"/>
      <c r="C44" s="241"/>
      <c r="D44" s="29" t="str">
        <f t="shared" si="2"/>
        <v>kW</v>
      </c>
      <c r="E44" s="233">
        <f>I248</f>
        <v>-485.28969999999993</v>
      </c>
      <c r="F44" s="234">
        <f>J248</f>
        <v>-0.91049441665393982</v>
      </c>
      <c r="G44" s="233">
        <f>I257</f>
        <v>-486.15828285693703</v>
      </c>
      <c r="H44" s="234">
        <f>J257</f>
        <v>-0.84688289536688666</v>
      </c>
      <c r="I44" s="233">
        <f>I260</f>
        <v>-486.62057636906474</v>
      </c>
      <c r="J44" s="234">
        <f>J260</f>
        <v>-0.7873197135725577</v>
      </c>
      <c r="K44" s="233">
        <f>I284</f>
        <v>-549.88125129704326</v>
      </c>
      <c r="L44" s="235">
        <f>J284</f>
        <v>-0.49474311277237359</v>
      </c>
    </row>
    <row r="45" spans="1:12" x14ac:dyDescent="0.25">
      <c r="A45" s="241" t="str">
        <f t="shared" si="1"/>
        <v>RESIDENTIAL R1(ii) SERVICE CLASSIFICATION - RPP</v>
      </c>
      <c r="B45" s="241"/>
      <c r="C45" s="241"/>
      <c r="D45" s="29" t="str">
        <f t="shared" si="2"/>
        <v>kWh</v>
      </c>
      <c r="E45" s="233">
        <f>I304</f>
        <v>1.8699999999999903</v>
      </c>
      <c r="F45" s="234">
        <f>J304</f>
        <v>1.7371110078959501E-2</v>
      </c>
      <c r="G45" s="233">
        <f>I313</f>
        <v>2.4185872565405759</v>
      </c>
      <c r="H45" s="234">
        <f>J313</f>
        <v>1.8661868725867094E-2</v>
      </c>
      <c r="I45" s="233">
        <f>I316</f>
        <v>2.0193652305236469</v>
      </c>
      <c r="J45" s="234">
        <f>J316</f>
        <v>1.2009185267141695E-2</v>
      </c>
      <c r="K45" s="233">
        <f>I330</f>
        <v>2.0456169785204565</v>
      </c>
      <c r="L45" s="235">
        <f>J330</f>
        <v>5.502299314955072E-3</v>
      </c>
    </row>
    <row r="46" spans="1:12" x14ac:dyDescent="0.25">
      <c r="A46" s="241" t="str">
        <f t="shared" si="1"/>
        <v>SEASONAL CUSTOMERS SERVICE CLASSIFICATION - RPP</v>
      </c>
      <c r="B46" s="241"/>
      <c r="C46" s="241"/>
      <c r="D46" s="29" t="str">
        <f t="shared" si="2"/>
        <v>kWh</v>
      </c>
      <c r="E46" s="233">
        <f>I360</f>
        <v>6.355000000000004</v>
      </c>
      <c r="F46" s="234">
        <f>J360</f>
        <v>7.7225942083581495E-2</v>
      </c>
      <c r="G46" s="233">
        <f>I369</f>
        <v>6.3689638343079196</v>
      </c>
      <c r="H46" s="234">
        <f>J369</f>
        <v>7.6856753820339532E-2</v>
      </c>
      <c r="I46" s="233">
        <f>I372</f>
        <v>6.3659696773387395</v>
      </c>
      <c r="J46" s="234">
        <f>J372</f>
        <v>7.6553519619532523E-2</v>
      </c>
      <c r="K46" s="233">
        <f>I386</f>
        <v>6.4487272831441516</v>
      </c>
      <c r="L46" s="235">
        <f>J386</f>
        <v>7.4984952187747408E-2</v>
      </c>
    </row>
    <row r="47" spans="1:12" x14ac:dyDescent="0.25">
      <c r="A47" s="241" t="str">
        <f t="shared" si="1"/>
        <v/>
      </c>
      <c r="B47" s="241"/>
      <c r="C47" s="241"/>
      <c r="D47" s="29" t="str">
        <f t="shared" si="2"/>
        <v/>
      </c>
      <c r="E47" s="30" t="str">
        <f t="shared" ref="E47:E60" si="3">IF(LEN($G47)&gt;1, (SUMPRODUCT(--($C$64:$C$1986=$B22), --($A$64:$A$1986=$D22), --($B$64:$B$1986="ST_A"), $L$64:$L$1986)), "")</f>
        <v/>
      </c>
      <c r="F47" s="31" t="str">
        <f t="shared" ref="F47:F60" si="4">IF(LEN($G47)&gt;1, (SUMPRODUCT(--($C$64:$C$1986=$B22), --($A$64:$A$1986=$D22), --($B$64:$B$1986="ST_A"), $M$64:$M$1986)), "")</f>
        <v/>
      </c>
      <c r="G47" s="30"/>
      <c r="H47" s="31" t="str">
        <f t="shared" ref="H47:H60" si="5">IF(LEN($G47)&gt;1, (SUMPRODUCT(--($C$64:$C$1986=$B22), --($A$64:$A$1986=$D22), --($B$64:$B$1986="ST_B"), $M$64:$M$1986)), "")</f>
        <v/>
      </c>
      <c r="I47" s="30" t="str">
        <f t="shared" ref="I47:I60" si="6">IF(LEN($G47)&gt;1, (SUMPRODUCT(--($C$64:$C$1986=$B22), --($A$64:$A$1986=$D22), --($B$64:$B$1986="ST_C"), $L$64:$L$1986)), "")</f>
        <v/>
      </c>
      <c r="J47" s="31" t="str">
        <f t="shared" ref="J47:J60" si="7">IF(LEN($G47)&gt;1, (SUMPRODUCT(--($C$64:$C$1986=$B22), --($A$64:$A$1986=$D22), --($B$64:$B$1986="ST_C"), $M$64:$M$1986)), "")</f>
        <v/>
      </c>
      <c r="K47" s="30" t="str">
        <f t="shared" ref="K47:K60" si="8">IF(LEN($G47)&gt;1, (SUMPRODUCT(--($C$64:$C$1986=$B22), --($A$64:$A$1986=$D22), --($B$64:$B$1986=$B47&amp;"_TOTAL"), $L$64:$L$1986)), "")</f>
        <v/>
      </c>
      <c r="L47" s="31" t="str">
        <f t="shared" ref="L47:L60" si="9">IF(LEN($G47)&gt;1, (SUMPRODUCT(--($C$64:$C$1986=$B22), --($A$64:$A$1986=$D22), --($B$64:$B$1986=$B47&amp;"_TOTAL"), $M$64:$M$1986)), "")</f>
        <v/>
      </c>
    </row>
    <row r="48" spans="1:12" x14ac:dyDescent="0.25">
      <c r="A48" s="241" t="str">
        <f t="shared" si="1"/>
        <v/>
      </c>
      <c r="B48" s="241"/>
      <c r="C48" s="241"/>
      <c r="D48" s="29" t="str">
        <f t="shared" si="2"/>
        <v/>
      </c>
      <c r="E48" s="30" t="str">
        <f t="shared" si="3"/>
        <v/>
      </c>
      <c r="F48" s="31" t="str">
        <f t="shared" si="4"/>
        <v/>
      </c>
      <c r="G48" s="30"/>
      <c r="H48" s="31" t="str">
        <f t="shared" si="5"/>
        <v/>
      </c>
      <c r="I48" s="30" t="str">
        <f t="shared" si="6"/>
        <v/>
      </c>
      <c r="J48" s="31" t="str">
        <f t="shared" si="7"/>
        <v/>
      </c>
      <c r="K48" s="30" t="str">
        <f t="shared" si="8"/>
        <v/>
      </c>
      <c r="L48" s="31" t="str">
        <f t="shared" si="9"/>
        <v/>
      </c>
    </row>
    <row r="49" spans="1:12" x14ac:dyDescent="0.25">
      <c r="A49" s="241" t="str">
        <f t="shared" si="1"/>
        <v/>
      </c>
      <c r="B49" s="241"/>
      <c r="C49" s="241"/>
      <c r="D49" s="29" t="str">
        <f t="shared" si="2"/>
        <v/>
      </c>
      <c r="E49" s="30" t="str">
        <f t="shared" si="3"/>
        <v/>
      </c>
      <c r="F49" s="31" t="str">
        <f t="shared" si="4"/>
        <v/>
      </c>
      <c r="G49" s="30"/>
      <c r="H49" s="31" t="str">
        <f t="shared" si="5"/>
        <v/>
      </c>
      <c r="I49" s="30" t="str">
        <f t="shared" si="6"/>
        <v/>
      </c>
      <c r="J49" s="31" t="str">
        <f t="shared" si="7"/>
        <v/>
      </c>
      <c r="K49" s="30" t="str">
        <f t="shared" si="8"/>
        <v/>
      </c>
      <c r="L49" s="31" t="str">
        <f t="shared" si="9"/>
        <v/>
      </c>
    </row>
    <row r="50" spans="1:12" x14ac:dyDescent="0.25">
      <c r="A50" s="241" t="str">
        <f t="shared" si="1"/>
        <v/>
      </c>
      <c r="B50" s="241"/>
      <c r="C50" s="241"/>
      <c r="D50" s="29" t="str">
        <f t="shared" si="2"/>
        <v/>
      </c>
      <c r="E50" s="30" t="str">
        <f t="shared" si="3"/>
        <v/>
      </c>
      <c r="F50" s="31" t="str">
        <f t="shared" si="4"/>
        <v/>
      </c>
      <c r="G50" s="30"/>
      <c r="H50" s="31" t="str">
        <f t="shared" si="5"/>
        <v/>
      </c>
      <c r="I50" s="30" t="str">
        <f t="shared" si="6"/>
        <v/>
      </c>
      <c r="J50" s="31" t="str">
        <f t="shared" si="7"/>
        <v/>
      </c>
      <c r="K50" s="30" t="str">
        <f t="shared" si="8"/>
        <v/>
      </c>
      <c r="L50" s="31" t="str">
        <f t="shared" si="9"/>
        <v/>
      </c>
    </row>
    <row r="51" spans="1:12" x14ac:dyDescent="0.25">
      <c r="A51" s="241" t="str">
        <f t="shared" si="1"/>
        <v/>
      </c>
      <c r="B51" s="241"/>
      <c r="C51" s="241"/>
      <c r="D51" s="29" t="str">
        <f t="shared" si="2"/>
        <v/>
      </c>
      <c r="E51" s="30" t="str">
        <f t="shared" si="3"/>
        <v/>
      </c>
      <c r="F51" s="31" t="str">
        <f t="shared" si="4"/>
        <v/>
      </c>
      <c r="G51" s="30"/>
      <c r="H51" s="31" t="str">
        <f t="shared" si="5"/>
        <v/>
      </c>
      <c r="I51" s="30" t="str">
        <f t="shared" si="6"/>
        <v/>
      </c>
      <c r="J51" s="31" t="str">
        <f t="shared" si="7"/>
        <v/>
      </c>
      <c r="K51" s="30" t="str">
        <f t="shared" si="8"/>
        <v/>
      </c>
      <c r="L51" s="31" t="str">
        <f t="shared" si="9"/>
        <v/>
      </c>
    </row>
    <row r="52" spans="1:12" x14ac:dyDescent="0.25">
      <c r="A52" s="241" t="str">
        <f t="shared" si="1"/>
        <v/>
      </c>
      <c r="B52" s="241"/>
      <c r="C52" s="241"/>
      <c r="D52" s="29" t="str">
        <f t="shared" si="2"/>
        <v/>
      </c>
      <c r="E52" s="30" t="str">
        <f t="shared" si="3"/>
        <v/>
      </c>
      <c r="F52" s="31" t="str">
        <f t="shared" si="4"/>
        <v/>
      </c>
      <c r="G52" s="30"/>
      <c r="H52" s="31" t="str">
        <f t="shared" si="5"/>
        <v/>
      </c>
      <c r="I52" s="30" t="str">
        <f t="shared" si="6"/>
        <v/>
      </c>
      <c r="J52" s="31" t="str">
        <f t="shared" si="7"/>
        <v/>
      </c>
      <c r="K52" s="30" t="str">
        <f t="shared" si="8"/>
        <v/>
      </c>
      <c r="L52" s="31" t="str">
        <f t="shared" si="9"/>
        <v/>
      </c>
    </row>
    <row r="53" spans="1:12" x14ac:dyDescent="0.25">
      <c r="A53" s="241" t="str">
        <f t="shared" si="1"/>
        <v/>
      </c>
      <c r="B53" s="241"/>
      <c r="C53" s="241"/>
      <c r="D53" s="29" t="str">
        <f t="shared" si="2"/>
        <v/>
      </c>
      <c r="E53" s="30" t="str">
        <f t="shared" si="3"/>
        <v/>
      </c>
      <c r="F53" s="31" t="str">
        <f t="shared" si="4"/>
        <v/>
      </c>
      <c r="G53" s="30"/>
      <c r="H53" s="31" t="str">
        <f t="shared" si="5"/>
        <v/>
      </c>
      <c r="I53" s="30" t="str">
        <f t="shared" si="6"/>
        <v/>
      </c>
      <c r="J53" s="31" t="str">
        <f t="shared" si="7"/>
        <v/>
      </c>
      <c r="K53" s="30" t="str">
        <f t="shared" si="8"/>
        <v/>
      </c>
      <c r="L53" s="31" t="str">
        <f t="shared" si="9"/>
        <v/>
      </c>
    </row>
    <row r="54" spans="1:12" x14ac:dyDescent="0.25">
      <c r="A54" s="241" t="str">
        <f t="shared" si="1"/>
        <v/>
      </c>
      <c r="B54" s="241"/>
      <c r="C54" s="241"/>
      <c r="D54" s="29" t="str">
        <f t="shared" si="2"/>
        <v/>
      </c>
      <c r="E54" s="30" t="str">
        <f t="shared" si="3"/>
        <v/>
      </c>
      <c r="F54" s="31" t="str">
        <f t="shared" si="4"/>
        <v/>
      </c>
      <c r="G54" s="30"/>
      <c r="H54" s="31" t="str">
        <f t="shared" si="5"/>
        <v/>
      </c>
      <c r="I54" s="30" t="str">
        <f t="shared" si="6"/>
        <v/>
      </c>
      <c r="J54" s="31" t="str">
        <f t="shared" si="7"/>
        <v/>
      </c>
      <c r="K54" s="30" t="str">
        <f t="shared" si="8"/>
        <v/>
      </c>
      <c r="L54" s="31" t="str">
        <f t="shared" si="9"/>
        <v/>
      </c>
    </row>
    <row r="55" spans="1:12" x14ac:dyDescent="0.25">
      <c r="A55" s="241" t="str">
        <f t="shared" si="1"/>
        <v/>
      </c>
      <c r="B55" s="241"/>
      <c r="C55" s="241"/>
      <c r="D55" s="29" t="str">
        <f t="shared" si="2"/>
        <v/>
      </c>
      <c r="E55" s="30" t="str">
        <f t="shared" si="3"/>
        <v/>
      </c>
      <c r="F55" s="31" t="str">
        <f t="shared" si="4"/>
        <v/>
      </c>
      <c r="G55" s="30"/>
      <c r="H55" s="31" t="str">
        <f t="shared" si="5"/>
        <v/>
      </c>
      <c r="I55" s="30" t="str">
        <f t="shared" si="6"/>
        <v/>
      </c>
      <c r="J55" s="31" t="str">
        <f t="shared" si="7"/>
        <v/>
      </c>
      <c r="K55" s="30" t="str">
        <f t="shared" si="8"/>
        <v/>
      </c>
      <c r="L55" s="31" t="str">
        <f t="shared" si="9"/>
        <v/>
      </c>
    </row>
    <row r="56" spans="1:12" x14ac:dyDescent="0.25">
      <c r="A56" s="241" t="str">
        <f t="shared" si="1"/>
        <v/>
      </c>
      <c r="B56" s="241"/>
      <c r="C56" s="241"/>
      <c r="D56" s="29" t="str">
        <f>IF(ISBLANK(D31), "", D31)</f>
        <v/>
      </c>
      <c r="E56" s="30" t="str">
        <f t="shared" si="3"/>
        <v/>
      </c>
      <c r="F56" s="31" t="str">
        <f t="shared" si="4"/>
        <v/>
      </c>
      <c r="G56" s="30"/>
      <c r="H56" s="31" t="str">
        <f t="shared" si="5"/>
        <v/>
      </c>
      <c r="I56" s="30" t="str">
        <f t="shared" si="6"/>
        <v/>
      </c>
      <c r="J56" s="31" t="str">
        <f t="shared" si="7"/>
        <v/>
      </c>
      <c r="K56" s="30" t="str">
        <f t="shared" si="8"/>
        <v/>
      </c>
      <c r="L56" s="31" t="str">
        <f t="shared" si="9"/>
        <v/>
      </c>
    </row>
    <row r="57" spans="1:12" x14ac:dyDescent="0.25">
      <c r="A57" s="241" t="str">
        <f t="shared" si="1"/>
        <v/>
      </c>
      <c r="B57" s="241"/>
      <c r="C57" s="241"/>
      <c r="D57" s="29" t="str">
        <f>IF(ISBLANK(D32), "", D32)</f>
        <v/>
      </c>
      <c r="E57" s="30" t="str">
        <f t="shared" si="3"/>
        <v/>
      </c>
      <c r="F57" s="31" t="str">
        <f t="shared" si="4"/>
        <v/>
      </c>
      <c r="G57" s="30"/>
      <c r="H57" s="31" t="str">
        <f t="shared" si="5"/>
        <v/>
      </c>
      <c r="I57" s="30" t="str">
        <f t="shared" si="6"/>
        <v/>
      </c>
      <c r="J57" s="31" t="str">
        <f t="shared" si="7"/>
        <v/>
      </c>
      <c r="K57" s="30" t="str">
        <f t="shared" si="8"/>
        <v/>
      </c>
      <c r="L57" s="31" t="str">
        <f t="shared" si="9"/>
        <v/>
      </c>
    </row>
    <row r="58" spans="1:12" x14ac:dyDescent="0.25">
      <c r="A58" s="241" t="str">
        <f t="shared" si="1"/>
        <v/>
      </c>
      <c r="B58" s="241"/>
      <c r="C58" s="241"/>
      <c r="D58" s="29" t="str">
        <f>IF(ISBLANK(D33), "", D33)</f>
        <v/>
      </c>
      <c r="E58" s="30" t="str">
        <f t="shared" si="3"/>
        <v/>
      </c>
      <c r="F58" s="31" t="str">
        <f t="shared" si="4"/>
        <v/>
      </c>
      <c r="G58" s="30"/>
      <c r="H58" s="31" t="str">
        <f t="shared" si="5"/>
        <v/>
      </c>
      <c r="I58" s="30" t="str">
        <f t="shared" si="6"/>
        <v/>
      </c>
      <c r="J58" s="31" t="str">
        <f t="shared" si="7"/>
        <v/>
      </c>
      <c r="K58" s="30" t="str">
        <f t="shared" si="8"/>
        <v/>
      </c>
      <c r="L58" s="31" t="str">
        <f t="shared" si="9"/>
        <v/>
      </c>
    </row>
    <row r="59" spans="1:12" x14ac:dyDescent="0.25">
      <c r="A59" s="241" t="str">
        <f t="shared" si="1"/>
        <v/>
      </c>
      <c r="B59" s="241"/>
      <c r="C59" s="241"/>
      <c r="D59" s="29" t="str">
        <f>IF(ISBLANK(D34), "", D34)</f>
        <v/>
      </c>
      <c r="E59" s="30" t="str">
        <f t="shared" si="3"/>
        <v/>
      </c>
      <c r="F59" s="31" t="str">
        <f t="shared" si="4"/>
        <v/>
      </c>
      <c r="G59" s="30"/>
      <c r="H59" s="31" t="str">
        <f t="shared" si="5"/>
        <v/>
      </c>
      <c r="I59" s="30" t="str">
        <f t="shared" si="6"/>
        <v/>
      </c>
      <c r="J59" s="31" t="str">
        <f t="shared" si="7"/>
        <v/>
      </c>
      <c r="K59" s="30" t="str">
        <f t="shared" si="8"/>
        <v/>
      </c>
      <c r="L59" s="31" t="str">
        <f t="shared" si="9"/>
        <v/>
      </c>
    </row>
    <row r="60" spans="1:12" x14ac:dyDescent="0.25">
      <c r="A60" s="241" t="str">
        <f t="shared" si="1"/>
        <v/>
      </c>
      <c r="B60" s="241"/>
      <c r="C60" s="241"/>
      <c r="D60" s="29" t="str">
        <f>IF(ISBLANK(D35), "", D35)</f>
        <v/>
      </c>
      <c r="E60" s="30" t="str">
        <f t="shared" si="3"/>
        <v/>
      </c>
      <c r="F60" s="31" t="str">
        <f t="shared" si="4"/>
        <v/>
      </c>
      <c r="G60" s="30"/>
      <c r="H60" s="31" t="str">
        <f t="shared" si="5"/>
        <v/>
      </c>
      <c r="I60" s="30" t="str">
        <f t="shared" si="6"/>
        <v/>
      </c>
      <c r="J60" s="31" t="str">
        <f t="shared" si="7"/>
        <v/>
      </c>
      <c r="K60" s="30" t="str">
        <f t="shared" si="8"/>
        <v/>
      </c>
      <c r="L60" s="31" t="str">
        <f t="shared" si="9"/>
        <v/>
      </c>
    </row>
    <row r="61" spans="1:12" x14ac:dyDescent="0.25">
      <c r="A61" s="8"/>
      <c r="B61" s="8"/>
      <c r="C61" s="8"/>
      <c r="D61" s="8"/>
      <c r="E61" s="8"/>
      <c r="F61" s="8"/>
      <c r="G61" s="8"/>
      <c r="H61" s="8"/>
      <c r="I61" s="8"/>
      <c r="J61" s="8"/>
      <c r="K61" s="8"/>
      <c r="L61" s="8"/>
    </row>
    <row r="62" spans="1:12" x14ac:dyDescent="0.25">
      <c r="A62" s="32"/>
      <c r="B62" s="32"/>
      <c r="C62" s="32"/>
      <c r="D62" s="32"/>
      <c r="E62" s="32"/>
      <c r="F62" s="32"/>
      <c r="G62" s="32"/>
      <c r="H62" s="32"/>
      <c r="I62" s="32"/>
      <c r="J62" s="32"/>
      <c r="K62" s="32"/>
      <c r="L62" s="32"/>
    </row>
    <row r="63" spans="1:12" x14ac:dyDescent="0.25">
      <c r="A63" s="8"/>
      <c r="B63" s="8"/>
      <c r="C63" s="8"/>
      <c r="D63" s="8"/>
      <c r="E63" s="8"/>
      <c r="F63" s="8"/>
      <c r="G63" s="8"/>
      <c r="H63" s="8"/>
      <c r="I63" s="8"/>
      <c r="J63" s="8"/>
      <c r="K63" s="8"/>
      <c r="L63" s="8"/>
    </row>
    <row r="64" spans="1:12" x14ac:dyDescent="0.25">
      <c r="A64" s="33" t="s">
        <v>30</v>
      </c>
      <c r="B64" s="254" t="str">
        <f>A16</f>
        <v>RESIDENTIAL R1 (i)SERVICE CLASSIFICATION</v>
      </c>
      <c r="C64" s="254"/>
      <c r="D64" s="254"/>
      <c r="E64" s="254"/>
      <c r="F64" s="254"/>
      <c r="G64" s="254"/>
      <c r="H64" s="34" t="str">
        <f>IF(K16="DEMAND - INTERVAL","RTSR - INTERVAL METERED","")</f>
        <v/>
      </c>
    </row>
    <row r="65" spans="1:11" x14ac:dyDescent="0.25">
      <c r="A65" s="33" t="s">
        <v>31</v>
      </c>
      <c r="B65" s="255" t="str">
        <f>E16</f>
        <v>RPP</v>
      </c>
      <c r="C65" s="255"/>
      <c r="D65" s="255"/>
      <c r="E65" s="35"/>
      <c r="F65" s="35"/>
    </row>
    <row r="66" spans="1:11" ht="15.75" x14ac:dyDescent="0.25">
      <c r="A66" s="33" t="s">
        <v>32</v>
      </c>
      <c r="B66" s="36">
        <f>H16</f>
        <v>750</v>
      </c>
      <c r="C66" s="37" t="s">
        <v>33</v>
      </c>
      <c r="G66" s="38"/>
      <c r="H66" s="38"/>
      <c r="I66" s="38"/>
      <c r="J66" s="38"/>
      <c r="K66" s="38"/>
    </row>
    <row r="67" spans="1:11" ht="15.75" x14ac:dyDescent="0.25">
      <c r="A67" s="33" t="s">
        <v>34</v>
      </c>
      <c r="B67" s="36">
        <f>I16</f>
        <v>0</v>
      </c>
      <c r="C67" s="39" t="s">
        <v>35</v>
      </c>
      <c r="D67" s="40"/>
      <c r="E67" s="41"/>
      <c r="F67" s="41"/>
      <c r="G67" s="41"/>
    </row>
    <row r="68" spans="1:11" x14ac:dyDescent="0.25">
      <c r="A68" s="33" t="s">
        <v>36</v>
      </c>
      <c r="B68" s="42">
        <f>F16</f>
        <v>1.0829</v>
      </c>
    </row>
    <row r="69" spans="1:11" x14ac:dyDescent="0.25">
      <c r="A69" s="33" t="s">
        <v>37</v>
      </c>
      <c r="B69" s="42">
        <f>G16</f>
        <v>1.0829</v>
      </c>
    </row>
    <row r="71" spans="1:11" x14ac:dyDescent="0.25">
      <c r="B71" s="37"/>
      <c r="C71" s="256" t="s">
        <v>38</v>
      </c>
      <c r="D71" s="257"/>
      <c r="E71" s="258"/>
      <c r="F71" s="256" t="s">
        <v>39</v>
      </c>
      <c r="G71" s="257"/>
      <c r="H71" s="258"/>
      <c r="I71" s="256" t="s">
        <v>40</v>
      </c>
      <c r="J71" s="258"/>
    </row>
    <row r="72" spans="1:11" x14ac:dyDescent="0.25">
      <c r="B72" s="259"/>
      <c r="C72" s="43" t="s">
        <v>41</v>
      </c>
      <c r="D72" s="43" t="s">
        <v>42</v>
      </c>
      <c r="E72" s="44" t="s">
        <v>43</v>
      </c>
      <c r="F72" s="43" t="s">
        <v>41</v>
      </c>
      <c r="G72" s="45" t="s">
        <v>42</v>
      </c>
      <c r="H72" s="44" t="s">
        <v>43</v>
      </c>
      <c r="I72" s="261" t="s">
        <v>44</v>
      </c>
      <c r="J72" s="263" t="s">
        <v>45</v>
      </c>
    </row>
    <row r="73" spans="1:11" x14ac:dyDescent="0.25">
      <c r="B73" s="260"/>
      <c r="C73" s="46" t="s">
        <v>46</v>
      </c>
      <c r="D73" s="46"/>
      <c r="E73" s="47" t="s">
        <v>46</v>
      </c>
      <c r="F73" s="46" t="s">
        <v>46</v>
      </c>
      <c r="G73" s="47"/>
      <c r="H73" s="47" t="s">
        <v>46</v>
      </c>
      <c r="I73" s="262"/>
      <c r="J73" s="264"/>
    </row>
    <row r="74" spans="1:11" x14ac:dyDescent="0.25">
      <c r="A74" s="48" t="s">
        <v>47</v>
      </c>
      <c r="B74" s="49"/>
      <c r="C74" s="178">
        <v>62.11</v>
      </c>
      <c r="D74" s="51">
        <v>1</v>
      </c>
      <c r="E74" s="52">
        <f>D74*C74</f>
        <v>62.11</v>
      </c>
      <c r="F74" s="210">
        <v>64.040000000000006</v>
      </c>
      <c r="G74" s="54">
        <f>D74</f>
        <v>1</v>
      </c>
      <c r="H74" s="55">
        <f>G74*F74</f>
        <v>64.040000000000006</v>
      </c>
      <c r="I74" s="56">
        <f t="shared" ref="I74:I95" si="10">H74-E74</f>
        <v>1.9300000000000068</v>
      </c>
      <c r="J74" s="57">
        <f>IF(ISERROR(I74/E74), "", I74/E74)</f>
        <v>3.107390114313326E-2</v>
      </c>
    </row>
    <row r="75" spans="1:11" x14ac:dyDescent="0.25">
      <c r="A75" s="48" t="s">
        <v>48</v>
      </c>
      <c r="B75" s="49"/>
      <c r="C75" s="58">
        <v>0</v>
      </c>
      <c r="D75" s="51">
        <f>IF($E67&gt;0, $E67, $E66)</f>
        <v>0</v>
      </c>
      <c r="E75" s="52">
        <f t="shared" ref="E75:E87" si="11">D75*C75</f>
        <v>0</v>
      </c>
      <c r="F75" s="59">
        <v>0</v>
      </c>
      <c r="G75" s="54">
        <f>IF($E67&gt;0, $E67, $E66)</f>
        <v>0</v>
      </c>
      <c r="H75" s="55">
        <f>G75*F75</f>
        <v>0</v>
      </c>
      <c r="I75" s="56">
        <f t="shared" si="10"/>
        <v>0</v>
      </c>
      <c r="J75" s="57" t="str">
        <f t="shared" ref="J75:J85" si="12">IF(ISERROR(I75/E75), "", I75/E75)</f>
        <v/>
      </c>
    </row>
    <row r="76" spans="1:11" x14ac:dyDescent="0.25">
      <c r="A76" s="48" t="s">
        <v>49</v>
      </c>
      <c r="B76" s="49"/>
      <c r="C76" s="58"/>
      <c r="D76" s="51">
        <f>IF($E67&gt;0, $E67, $E66)</f>
        <v>0</v>
      </c>
      <c r="E76" s="52">
        <v>0</v>
      </c>
      <c r="F76" s="59"/>
      <c r="G76" s="54">
        <f>IF($E67&gt;0, $E67, $E66)</f>
        <v>0</v>
      </c>
      <c r="H76" s="55">
        <v>0</v>
      </c>
      <c r="I76" s="56"/>
      <c r="J76" s="57"/>
    </row>
    <row r="77" spans="1:11" x14ac:dyDescent="0.25">
      <c r="A77" s="48" t="s">
        <v>50</v>
      </c>
      <c r="B77" s="49"/>
      <c r="C77" s="58"/>
      <c r="D77" s="51">
        <f>IF($E67&gt;0, $E67, $E66)</f>
        <v>0</v>
      </c>
      <c r="E77" s="52">
        <f>'Current (2023) Tariff'!I4-E74</f>
        <v>-22.619999999999997</v>
      </c>
      <c r="F77" s="59"/>
      <c r="G77" s="60">
        <f>IF($E67&gt;0, $E67, $E66)</f>
        <v>0</v>
      </c>
      <c r="H77" s="55">
        <f>'Current (2023) Tariff'!I4-'Bill Impact'!F74</f>
        <v>-24.550000000000004</v>
      </c>
      <c r="I77" s="56">
        <f>H77-E77</f>
        <v>-1.9300000000000068</v>
      </c>
      <c r="J77" s="57">
        <f>IF(ISERROR(I77/E77), "", I77/E77)</f>
        <v>8.5322723253758045E-2</v>
      </c>
    </row>
    <row r="78" spans="1:11" x14ac:dyDescent="0.25">
      <c r="A78" s="48" t="s">
        <v>51</v>
      </c>
      <c r="B78" s="49"/>
      <c r="C78" s="50">
        <v>0</v>
      </c>
      <c r="D78" s="51">
        <v>1</v>
      </c>
      <c r="E78" s="52">
        <f t="shared" si="11"/>
        <v>0</v>
      </c>
      <c r="F78" s="53">
        <v>0</v>
      </c>
      <c r="G78" s="54">
        <f>D78</f>
        <v>1</v>
      </c>
      <c r="H78" s="55">
        <f t="shared" ref="H78:H85" si="13">G78*F78</f>
        <v>0</v>
      </c>
      <c r="I78" s="56">
        <f t="shared" si="10"/>
        <v>0</v>
      </c>
      <c r="J78" s="57" t="str">
        <f t="shared" si="12"/>
        <v/>
      </c>
    </row>
    <row r="79" spans="1:11" x14ac:dyDescent="0.25">
      <c r="A79" s="48" t="s">
        <v>52</v>
      </c>
      <c r="B79" s="49"/>
      <c r="C79" s="181">
        <v>6.9999999999999999E-4</v>
      </c>
      <c r="D79" s="51">
        <v>750</v>
      </c>
      <c r="E79" s="52">
        <f t="shared" si="11"/>
        <v>0.52500000000000002</v>
      </c>
      <c r="F79" s="59">
        <v>0</v>
      </c>
      <c r="G79" s="54">
        <v>750</v>
      </c>
      <c r="H79" s="55">
        <f t="shared" si="13"/>
        <v>0</v>
      </c>
      <c r="I79" s="56">
        <f t="shared" si="10"/>
        <v>-0.52500000000000002</v>
      </c>
      <c r="J79" s="57">
        <f t="shared" si="12"/>
        <v>-1</v>
      </c>
    </row>
    <row r="80" spans="1:11" x14ac:dyDescent="0.25">
      <c r="A80" s="61" t="s">
        <v>53</v>
      </c>
      <c r="B80" s="62"/>
      <c r="C80" s="63"/>
      <c r="D80" s="64"/>
      <c r="E80" s="65">
        <f>SUM(E74:E79)</f>
        <v>40.015000000000001</v>
      </c>
      <c r="F80" s="66"/>
      <c r="G80" s="67"/>
      <c r="H80" s="65">
        <f>SUM(H74:H79)</f>
        <v>39.49</v>
      </c>
      <c r="I80" s="68">
        <f t="shared" si="10"/>
        <v>-0.52499999999999858</v>
      </c>
      <c r="J80" s="69">
        <f>IF((E80)=0,"",(I80/E80))</f>
        <v>-1.312007997001121E-2</v>
      </c>
    </row>
    <row r="81" spans="1:11" x14ac:dyDescent="0.25">
      <c r="A81" s="70" t="s">
        <v>54</v>
      </c>
      <c r="B81" s="49"/>
      <c r="C81" s="58">
        <v>9.3670000000000003E-2</v>
      </c>
      <c r="D81" s="71">
        <f>B66*(B68-1)</f>
        <v>62.174999999999983</v>
      </c>
      <c r="E81" s="52">
        <f>D81*C81</f>
        <v>5.8239322499999986</v>
      </c>
      <c r="F81" s="59">
        <v>9.3670000000000003E-2</v>
      </c>
      <c r="G81" s="72">
        <f>IF(F81=0, 0, B66*B69-B66)</f>
        <v>62.174999999999955</v>
      </c>
      <c r="H81" s="55">
        <f>G81*F81</f>
        <v>5.8239322499999959</v>
      </c>
      <c r="I81" s="56">
        <f>H81-E81</f>
        <v>0</v>
      </c>
      <c r="J81" s="57">
        <f>IF(ISERROR(I81/E81), "", I81/E81)</f>
        <v>0</v>
      </c>
    </row>
    <row r="82" spans="1:11" ht="25.5" x14ac:dyDescent="0.25">
      <c r="A82" s="70" t="s">
        <v>55</v>
      </c>
      <c r="B82" s="49"/>
      <c r="C82" s="181">
        <v>3.0999999999999999E-3</v>
      </c>
      <c r="D82" s="73">
        <v>750</v>
      </c>
      <c r="E82" s="52">
        <f t="shared" si="11"/>
        <v>2.3249999999999997</v>
      </c>
      <c r="F82" s="208">
        <v>3.4742936282703037E-3</v>
      </c>
      <c r="G82" s="74">
        <v>750</v>
      </c>
      <c r="H82" s="55">
        <f t="shared" si="13"/>
        <v>2.6057202212027279</v>
      </c>
      <c r="I82" s="56">
        <f t="shared" si="10"/>
        <v>0.28072022120272822</v>
      </c>
      <c r="J82" s="57">
        <f t="shared" si="12"/>
        <v>0.12073988008719494</v>
      </c>
    </row>
    <row r="83" spans="1:11" x14ac:dyDescent="0.25">
      <c r="A83" s="70" t="s">
        <v>56</v>
      </c>
      <c r="B83" s="49"/>
      <c r="C83" s="181">
        <v>-1E-4</v>
      </c>
      <c r="D83" s="73">
        <v>750</v>
      </c>
      <c r="E83" s="52">
        <f>D83*C83</f>
        <v>-7.4999999999999997E-2</v>
      </c>
      <c r="F83" s="208">
        <v>-2.0000000000000001E-4</v>
      </c>
      <c r="G83" s="74">
        <v>750</v>
      </c>
      <c r="H83" s="55">
        <f>G83*F83</f>
        <v>-0.15</v>
      </c>
      <c r="I83" s="56">
        <f t="shared" si="10"/>
        <v>-7.4999999999999997E-2</v>
      </c>
      <c r="J83" s="57">
        <f t="shared" si="12"/>
        <v>1</v>
      </c>
    </row>
    <row r="84" spans="1:11" x14ac:dyDescent="0.25">
      <c r="A84" s="70" t="s">
        <v>57</v>
      </c>
      <c r="B84" s="49"/>
      <c r="C84" s="58">
        <v>0</v>
      </c>
      <c r="D84" s="73">
        <f>B66</f>
        <v>750</v>
      </c>
      <c r="E84" s="52">
        <f>D84*C84</f>
        <v>0</v>
      </c>
      <c r="F84" s="59">
        <v>0</v>
      </c>
      <c r="G84" s="74">
        <f>B66</f>
        <v>750</v>
      </c>
      <c r="H84" s="55">
        <f t="shared" si="13"/>
        <v>0</v>
      </c>
      <c r="I84" s="56">
        <f t="shared" si="10"/>
        <v>0</v>
      </c>
      <c r="J84" s="57" t="str">
        <f t="shared" si="12"/>
        <v/>
      </c>
    </row>
    <row r="85" spans="1:11" x14ac:dyDescent="0.25">
      <c r="A85" s="48" t="s">
        <v>58</v>
      </c>
      <c r="B85" s="49"/>
      <c r="C85" s="58">
        <v>0</v>
      </c>
      <c r="D85" s="73">
        <f>IF($E67&gt;0, $E67, $E66)</f>
        <v>0</v>
      </c>
      <c r="E85" s="52">
        <f t="shared" si="11"/>
        <v>0</v>
      </c>
      <c r="F85" s="59"/>
      <c r="G85" s="74">
        <f>IF($E67&gt;0, $E67, $E66)</f>
        <v>0</v>
      </c>
      <c r="H85" s="55">
        <f t="shared" si="13"/>
        <v>0</v>
      </c>
      <c r="I85" s="56">
        <f t="shared" si="10"/>
        <v>0</v>
      </c>
      <c r="J85" s="57" t="str">
        <f t="shared" si="12"/>
        <v/>
      </c>
    </row>
    <row r="86" spans="1:11" ht="25.5" x14ac:dyDescent="0.25">
      <c r="A86" s="70" t="s">
        <v>59</v>
      </c>
      <c r="B86" s="49"/>
      <c r="C86" s="179">
        <v>0.42</v>
      </c>
      <c r="D86" s="51">
        <v>1</v>
      </c>
      <c r="E86" s="52">
        <f>D86*C86</f>
        <v>0.42</v>
      </c>
      <c r="F86" s="207">
        <v>0.42</v>
      </c>
      <c r="G86" s="60">
        <v>1</v>
      </c>
      <c r="H86" s="55">
        <f>G86*F86</f>
        <v>0.42</v>
      </c>
      <c r="I86" s="56">
        <f t="shared" si="10"/>
        <v>0</v>
      </c>
      <c r="J86" s="57">
        <f>IF(ISERROR(I86/E86), "", I86/E86)</f>
        <v>0</v>
      </c>
    </row>
    <row r="87" spans="1:11" x14ac:dyDescent="0.25">
      <c r="A87" s="48" t="s">
        <v>60</v>
      </c>
      <c r="B87" s="49"/>
      <c r="C87" s="50">
        <v>0</v>
      </c>
      <c r="D87" s="51">
        <v>1</v>
      </c>
      <c r="E87" s="52">
        <f t="shared" si="11"/>
        <v>0</v>
      </c>
      <c r="F87" s="53">
        <v>0</v>
      </c>
      <c r="G87" s="60">
        <v>1</v>
      </c>
      <c r="H87" s="55">
        <f>G87*F87</f>
        <v>0</v>
      </c>
      <c r="I87" s="56">
        <f>H87-E87</f>
        <v>0</v>
      </c>
      <c r="J87" s="57" t="str">
        <f>IF(ISERROR(I87/E87), "", I87/E87)</f>
        <v/>
      </c>
    </row>
    <row r="88" spans="1:11" x14ac:dyDescent="0.25">
      <c r="A88" s="48" t="s">
        <v>61</v>
      </c>
      <c r="B88" s="49"/>
      <c r="C88" s="58">
        <v>0</v>
      </c>
      <c r="D88" s="73">
        <f>IF($E67&gt;0, $E67, $E66)</f>
        <v>0</v>
      </c>
      <c r="E88" s="52">
        <f>D88*C88</f>
        <v>0</v>
      </c>
      <c r="F88" s="59">
        <v>0</v>
      </c>
      <c r="G88" s="74">
        <f>IF($E67&gt;0, $E67, $E66)</f>
        <v>0</v>
      </c>
      <c r="H88" s="55">
        <f>G88*F88</f>
        <v>0</v>
      </c>
      <c r="I88" s="56">
        <f t="shared" si="10"/>
        <v>0</v>
      </c>
      <c r="J88" s="57" t="str">
        <f>IF(ISERROR(I88/E88), "", I88/E88)</f>
        <v/>
      </c>
    </row>
    <row r="89" spans="1:11" ht="25.5" x14ac:dyDescent="0.25">
      <c r="A89" s="77" t="s">
        <v>62</v>
      </c>
      <c r="B89" s="78"/>
      <c r="C89" s="79"/>
      <c r="D89" s="80"/>
      <c r="E89" s="81">
        <f>SUM(E80:E88)</f>
        <v>48.508932250000001</v>
      </c>
      <c r="F89" s="82"/>
      <c r="G89" s="83"/>
      <c r="H89" s="81">
        <f>SUM(H80:H88)</f>
        <v>48.189652471202734</v>
      </c>
      <c r="I89" s="68">
        <f t="shared" si="10"/>
        <v>-0.31927977879726654</v>
      </c>
      <c r="J89" s="69">
        <f>IF((E89)=0,"",(I89/E89))</f>
        <v>-6.5818760378356204E-3</v>
      </c>
    </row>
    <row r="90" spans="1:11" x14ac:dyDescent="0.25">
      <c r="A90" s="84" t="s">
        <v>63</v>
      </c>
      <c r="B90" s="49"/>
      <c r="C90" s="181">
        <v>1.0500000000000001E-2</v>
      </c>
      <c r="D90" s="71">
        <f>B66*B69</f>
        <v>812.17499999999995</v>
      </c>
      <c r="E90" s="52">
        <f>D90*C90</f>
        <v>8.5278375000000004</v>
      </c>
      <c r="F90" s="209">
        <v>1.0075382593118154E-2</v>
      </c>
      <c r="G90" s="72">
        <f>D90</f>
        <v>812.17499999999995</v>
      </c>
      <c r="H90" s="55">
        <f>G90*F90</f>
        <v>8.1829738575657363</v>
      </c>
      <c r="I90" s="56">
        <f t="shared" si="10"/>
        <v>-0.34486364243426415</v>
      </c>
      <c r="J90" s="57">
        <f>IF(ISERROR(I90/E90), "", I90/E90)</f>
        <v>-4.0439753036366384E-2</v>
      </c>
      <c r="K90" s="85" t="str">
        <f>IF(ISERROR(ABS(J90)), "", IF(ABS(J90)&gt;=4%, "In the manager's summary, discuss the reasoning for the change in RTSR rates", ""))</f>
        <v>In the manager's summary, discuss the reasoning for the change in RTSR rates</v>
      </c>
    </row>
    <row r="91" spans="1:11" ht="25.5" x14ac:dyDescent="0.25">
      <c r="A91" s="86" t="s">
        <v>64</v>
      </c>
      <c r="B91" s="49"/>
      <c r="C91" s="181">
        <v>7.3000000000000001E-3</v>
      </c>
      <c r="D91" s="71">
        <f>B66*B68</f>
        <v>812.17499999999995</v>
      </c>
      <c r="E91" s="52">
        <f>D91*C91</f>
        <v>5.9288774999999996</v>
      </c>
      <c r="F91" s="209">
        <v>7.5402873551610409E-3</v>
      </c>
      <c r="G91" s="72">
        <f>D91</f>
        <v>812.17499999999995</v>
      </c>
      <c r="H91" s="55">
        <f>G91*F91</f>
        <v>6.124032882677918</v>
      </c>
      <c r="I91" s="56">
        <f t="shared" si="10"/>
        <v>0.19515538267791843</v>
      </c>
      <c r="J91" s="57">
        <f>IF(ISERROR(I91/E91), "", I91/E91)</f>
        <v>3.291607604945767E-2</v>
      </c>
      <c r="K91" s="85" t="str">
        <f>IF(ISERROR(ABS(J91)), "", IF(ABS(J91)&gt;=4%, "In the manager's summary, discuss the reasoning for the change in RTSR rates", ""))</f>
        <v/>
      </c>
    </row>
    <row r="92" spans="1:11" ht="25.5" x14ac:dyDescent="0.25">
      <c r="A92" s="77" t="s">
        <v>65</v>
      </c>
      <c r="B92" s="62"/>
      <c r="C92" s="79"/>
      <c r="D92" s="80"/>
      <c r="E92" s="81">
        <f>SUM(E89:E91)</f>
        <v>62.965647250000004</v>
      </c>
      <c r="F92" s="82"/>
      <c r="G92" s="67"/>
      <c r="H92" s="81">
        <f>SUM(H89:H91)</f>
        <v>62.496659211446385</v>
      </c>
      <c r="I92" s="68">
        <f t="shared" si="10"/>
        <v>-0.46898803855361848</v>
      </c>
      <c r="J92" s="69">
        <f>IF((E92)=0,"",(I92/E92))</f>
        <v>-7.4483160109756266E-3</v>
      </c>
    </row>
    <row r="93" spans="1:11" ht="25.5" x14ac:dyDescent="0.25">
      <c r="A93" s="87" t="s">
        <v>66</v>
      </c>
      <c r="B93" s="49"/>
      <c r="C93" s="181">
        <v>4.4999999999999997E-3</v>
      </c>
      <c r="D93" s="71">
        <f>B66*B68</f>
        <v>812.17499999999995</v>
      </c>
      <c r="E93" s="88">
        <f t="shared" ref="E93:E99" si="14">D93*C93</f>
        <v>3.6547874999999994</v>
      </c>
      <c r="F93" s="59">
        <v>4.5000000000000005E-3</v>
      </c>
      <c r="G93" s="72">
        <f>B66*B69</f>
        <v>812.17499999999995</v>
      </c>
      <c r="H93" s="55">
        <f t="shared" ref="H93:H99" si="15">G93*F93</f>
        <v>3.6547875000000003</v>
      </c>
      <c r="I93" s="56">
        <f t="shared" si="10"/>
        <v>0</v>
      </c>
      <c r="J93" s="57">
        <f t="shared" ref="J93:J101" si="16">IF(ISERROR(I93/E93), "", I93/E93)</f>
        <v>0</v>
      </c>
    </row>
    <row r="94" spans="1:11" ht="25.5" x14ac:dyDescent="0.25">
      <c r="A94" s="87" t="s">
        <v>67</v>
      </c>
      <c r="B94" s="49"/>
      <c r="C94" s="181">
        <v>6.9999999999999999E-4</v>
      </c>
      <c r="D94" s="71">
        <f>B66*B68</f>
        <v>812.17499999999995</v>
      </c>
      <c r="E94" s="88">
        <f t="shared" si="14"/>
        <v>0.56852249999999993</v>
      </c>
      <c r="F94" s="59">
        <v>6.9999999999999999E-4</v>
      </c>
      <c r="G94" s="72">
        <f>B66*B69</f>
        <v>812.17499999999995</v>
      </c>
      <c r="H94" s="55">
        <f t="shared" si="15"/>
        <v>0.56852249999999993</v>
      </c>
      <c r="I94" s="56">
        <f t="shared" si="10"/>
        <v>0</v>
      </c>
      <c r="J94" s="57">
        <f t="shared" si="16"/>
        <v>0</v>
      </c>
    </row>
    <row r="95" spans="1:11" x14ac:dyDescent="0.25">
      <c r="A95" s="89" t="s">
        <v>68</v>
      </c>
      <c r="B95" s="49"/>
      <c r="C95" s="182">
        <f>'Current (2023) Tariff'!D41</f>
        <v>0.25</v>
      </c>
      <c r="D95" s="51">
        <v>1</v>
      </c>
      <c r="E95" s="88">
        <f t="shared" si="14"/>
        <v>0.25</v>
      </c>
      <c r="F95" s="76">
        <v>0.25</v>
      </c>
      <c r="G95" s="54">
        <v>1</v>
      </c>
      <c r="H95" s="55">
        <f t="shared" si="15"/>
        <v>0.25</v>
      </c>
      <c r="I95" s="56">
        <f t="shared" si="10"/>
        <v>0</v>
      </c>
      <c r="J95" s="57">
        <f t="shared" si="16"/>
        <v>0</v>
      </c>
    </row>
    <row r="96" spans="1:11" ht="25.5" x14ac:dyDescent="0.25">
      <c r="A96" s="87" t="s">
        <v>69</v>
      </c>
      <c r="B96" s="49"/>
      <c r="C96" s="58"/>
      <c r="D96" s="71"/>
      <c r="E96" s="88"/>
      <c r="F96" s="59"/>
      <c r="G96" s="72"/>
      <c r="H96" s="55"/>
      <c r="I96" s="56"/>
      <c r="J96" s="57"/>
    </row>
    <row r="97" spans="1:10" x14ac:dyDescent="0.25">
      <c r="A97" s="89" t="s">
        <v>70</v>
      </c>
      <c r="B97" s="49"/>
      <c r="C97" s="90">
        <v>7.3999999999999996E-2</v>
      </c>
      <c r="D97" s="91">
        <v>472.5</v>
      </c>
      <c r="E97" s="88">
        <f t="shared" si="14"/>
        <v>34.964999999999996</v>
      </c>
      <c r="F97" s="92">
        <v>7.3999999999999996E-2</v>
      </c>
      <c r="G97" s="93">
        <v>472.5</v>
      </c>
      <c r="H97" s="55">
        <f t="shared" si="15"/>
        <v>34.964999999999996</v>
      </c>
      <c r="I97" s="56">
        <f>H97-E97</f>
        <v>0</v>
      </c>
      <c r="J97" s="57">
        <f t="shared" si="16"/>
        <v>0</v>
      </c>
    </row>
    <row r="98" spans="1:10" x14ac:dyDescent="0.25">
      <c r="A98" s="89" t="s">
        <v>71</v>
      </c>
      <c r="B98" s="49"/>
      <c r="C98" s="90">
        <v>0.10199999999999999</v>
      </c>
      <c r="D98" s="91">
        <v>135</v>
      </c>
      <c r="E98" s="88">
        <f t="shared" si="14"/>
        <v>13.77</v>
      </c>
      <c r="F98" s="92">
        <v>0.10199999999999999</v>
      </c>
      <c r="G98" s="93">
        <v>135</v>
      </c>
      <c r="H98" s="55">
        <f t="shared" si="15"/>
        <v>13.77</v>
      </c>
      <c r="I98" s="56">
        <f>H98-E98</f>
        <v>0</v>
      </c>
      <c r="J98" s="57">
        <f t="shared" si="16"/>
        <v>0</v>
      </c>
    </row>
    <row r="99" spans="1:10" ht="15.75" thickBot="1" x14ac:dyDescent="0.3">
      <c r="A99" s="34" t="s">
        <v>72</v>
      </c>
      <c r="B99" s="49"/>
      <c r="C99" s="90">
        <v>0.151</v>
      </c>
      <c r="D99" s="91">
        <v>142.5</v>
      </c>
      <c r="E99" s="88">
        <f t="shared" si="14"/>
        <v>21.517499999999998</v>
      </c>
      <c r="F99" s="92">
        <v>0.151</v>
      </c>
      <c r="G99" s="93">
        <v>142.5</v>
      </c>
      <c r="H99" s="55">
        <f t="shared" si="15"/>
        <v>21.517499999999998</v>
      </c>
      <c r="I99" s="56">
        <f>H99-E99</f>
        <v>0</v>
      </c>
      <c r="J99" s="57">
        <f t="shared" si="16"/>
        <v>0</v>
      </c>
    </row>
    <row r="100" spans="1:10" hidden="1" x14ac:dyDescent="0.25">
      <c r="A100" s="89" t="s">
        <v>73</v>
      </c>
      <c r="B100" s="49"/>
      <c r="C100" s="94">
        <v>0.1076</v>
      </c>
      <c r="D100" s="91">
        <f>IF(AND(B66*12&gt;=150000),B66*B68,B66)</f>
        <v>750</v>
      </c>
      <c r="E100" s="88">
        <f>D100*C100</f>
        <v>80.7</v>
      </c>
      <c r="F100" s="95">
        <f>C100</f>
        <v>0.1076</v>
      </c>
      <c r="G100" s="93">
        <f>IF(AND(B66*12&gt;=150000),B66*B69,B66)</f>
        <v>750</v>
      </c>
      <c r="H100" s="55">
        <f>G100*F100</f>
        <v>80.7</v>
      </c>
      <c r="I100" s="56">
        <f>H100-E100</f>
        <v>0</v>
      </c>
      <c r="J100" s="57">
        <f t="shared" si="16"/>
        <v>0</v>
      </c>
    </row>
    <row r="101" spans="1:10" ht="15.75" hidden="1" thickBot="1" x14ac:dyDescent="0.3">
      <c r="A101" s="89" t="s">
        <v>74</v>
      </c>
      <c r="B101" s="49"/>
      <c r="C101" s="94">
        <v>0.1076</v>
      </c>
      <c r="D101" s="91">
        <f>IF(AND(B66*12&gt;=150000),B66*B68,B66)</f>
        <v>750</v>
      </c>
      <c r="E101" s="88">
        <f>D101*C101</f>
        <v>80.7</v>
      </c>
      <c r="F101" s="95">
        <f>C101</f>
        <v>0.1076</v>
      </c>
      <c r="G101" s="93">
        <f>IF(AND(B66*12&gt;=150000),B66*B69,B66)</f>
        <v>750</v>
      </c>
      <c r="H101" s="55">
        <f>G101*F101</f>
        <v>80.7</v>
      </c>
      <c r="I101" s="56">
        <f>H101-E101</f>
        <v>0</v>
      </c>
      <c r="J101" s="57">
        <f t="shared" si="16"/>
        <v>0</v>
      </c>
    </row>
    <row r="102" spans="1:10" ht="15.75" thickBot="1" x14ac:dyDescent="0.3">
      <c r="A102" s="96"/>
      <c r="B102" s="97"/>
      <c r="C102" s="98"/>
      <c r="D102" s="99"/>
      <c r="E102" s="100"/>
      <c r="F102" s="98"/>
      <c r="G102" s="101"/>
      <c r="H102" s="100"/>
      <c r="I102" s="102"/>
      <c r="J102" s="103"/>
    </row>
    <row r="103" spans="1:10" x14ac:dyDescent="0.25">
      <c r="A103" s="104" t="s">
        <v>75</v>
      </c>
      <c r="B103" s="89"/>
      <c r="C103" s="105"/>
      <c r="D103" s="106"/>
      <c r="E103" s="107">
        <f>SUM(E93:E99,E92)</f>
        <v>137.69145724999998</v>
      </c>
      <c r="F103" s="108"/>
      <c r="G103" s="108"/>
      <c r="H103" s="107">
        <f>SUM(H93:H99,H92)</f>
        <v>137.22246921144637</v>
      </c>
      <c r="I103" s="109">
        <f>H103-E103</f>
        <v>-0.46898803855361848</v>
      </c>
      <c r="J103" s="110">
        <f>IF((E103)=0,"",(I103/E103))</f>
        <v>-3.4060794178545056E-3</v>
      </c>
    </row>
    <row r="104" spans="1:10" x14ac:dyDescent="0.25">
      <c r="A104" s="111" t="s">
        <v>76</v>
      </c>
      <c r="B104" s="89"/>
      <c r="C104" s="105">
        <v>0.13</v>
      </c>
      <c r="D104" s="112"/>
      <c r="E104" s="113">
        <f>E103*C104</f>
        <v>17.899889442499997</v>
      </c>
      <c r="F104" s="114">
        <v>0.13</v>
      </c>
      <c r="G104" s="51"/>
      <c r="H104" s="113">
        <f>H103*F104</f>
        <v>17.838920997488028</v>
      </c>
      <c r="I104" s="56">
        <f>H104-E104</f>
        <v>-6.0968445011969408E-2</v>
      </c>
      <c r="J104" s="115">
        <f>IF((E104)=0,"",(I104/E104))</f>
        <v>-3.4060794178544501E-3</v>
      </c>
    </row>
    <row r="105" spans="1:10" x14ac:dyDescent="0.25">
      <c r="A105" s="111" t="s">
        <v>77</v>
      </c>
      <c r="B105"/>
      <c r="C105" s="116">
        <v>0.11700000000000001</v>
      </c>
      <c r="D105" s="112"/>
      <c r="E105" s="113">
        <f>IF(OR(ISNUMBER(SEARCH("[DGEN]", B64))=TRUE, ISNUMBER(SEARCH("STREET LIGHT", B64))=TRUE), 0, IF(AND(B66=0, B67=0),0, IF(AND(B67=0, B66*12&gt;250000), 0, IF(AND(B66=0, B67&gt;=50), 0, IF(B66*12&lt;=250000, C105*E103*-1, IF(B67&lt;50, C105*E103*-1, 0))))))</f>
        <v>-16.109900498249999</v>
      </c>
      <c r="F105" s="116">
        <v>0.11700000000000001</v>
      </c>
      <c r="G105" s="51"/>
      <c r="H105" s="113">
        <f>IF(OR(ISNUMBER(SEARCH("[DGEN]", B64))=TRUE, ISNUMBER(SEARCH("STREET LIGHT", B64))=TRUE), 0, IF(AND(B66=0, B67=0),0, IF(AND(B67=0, B66*12&gt;250000), 0, IF(AND(B66=0, B67&gt;=50), 0, IF(B66*12&lt;=250000, F105*H103*-1, IF(B67&lt;50, F105*H103*-1, 0))))))</f>
        <v>-16.055028897739227</v>
      </c>
      <c r="I105" s="56">
        <f>H105-E105</f>
        <v>5.4871600510772112E-2</v>
      </c>
      <c r="J105" s="115"/>
    </row>
    <row r="106" spans="1:10" ht="15.75" thickBot="1" x14ac:dyDescent="0.3">
      <c r="A106" s="265" t="s">
        <v>78</v>
      </c>
      <c r="B106" s="265"/>
      <c r="C106" s="117"/>
      <c r="D106" s="118"/>
      <c r="E106" s="119">
        <f>E103+E104+E105</f>
        <v>139.48144619425</v>
      </c>
      <c r="F106" s="120"/>
      <c r="G106" s="120"/>
      <c r="H106" s="121">
        <f>H103+H104+H105</f>
        <v>139.00636131119518</v>
      </c>
      <c r="I106" s="122">
        <f>H106-E106</f>
        <v>-0.47508488305481933</v>
      </c>
      <c r="J106" s="123">
        <f>IF((E106)=0,"",(I106/E106))</f>
        <v>-3.4060794178545324E-3</v>
      </c>
    </row>
    <row r="107" spans="1:10" ht="15.75" thickBot="1" x14ac:dyDescent="0.3">
      <c r="A107" s="96"/>
      <c r="B107" s="97"/>
      <c r="C107" s="98"/>
      <c r="D107" s="99"/>
      <c r="E107" s="100"/>
      <c r="F107" s="98"/>
      <c r="G107" s="101"/>
      <c r="H107" s="100"/>
      <c r="I107" s="102"/>
      <c r="J107" s="103"/>
    </row>
    <row r="108" spans="1:10" hidden="1" x14ac:dyDescent="0.25">
      <c r="A108" s="104" t="s">
        <v>79</v>
      </c>
      <c r="B108" s="89"/>
      <c r="C108" s="105"/>
      <c r="D108" s="106"/>
      <c r="E108" s="107">
        <f>SUM(E100,E93:E96,E92)</f>
        <v>148.13895725</v>
      </c>
      <c r="F108" s="108"/>
      <c r="G108" s="108"/>
      <c r="H108" s="107">
        <f>SUM(H100,H93:H96,H92)</f>
        <v>147.66996921144639</v>
      </c>
      <c r="I108" s="109">
        <f>H108-E108</f>
        <v>-0.46898803855361848</v>
      </c>
      <c r="J108" s="110">
        <f>IF((E108)=0,"",(I108/E108))</f>
        <v>-3.1658656659919108E-3</v>
      </c>
    </row>
    <row r="109" spans="1:10" hidden="1" x14ac:dyDescent="0.25">
      <c r="A109" s="111" t="s">
        <v>76</v>
      </c>
      <c r="B109" s="89"/>
      <c r="C109" s="105">
        <v>0.13</v>
      </c>
      <c r="D109" s="106"/>
      <c r="E109" s="113">
        <f>E108*C109</f>
        <v>19.2580644425</v>
      </c>
      <c r="F109" s="105">
        <v>0.13</v>
      </c>
      <c r="G109" s="114"/>
      <c r="H109" s="113">
        <f>H108*F109</f>
        <v>19.197095997488031</v>
      </c>
      <c r="I109" s="56">
        <f>H109-E109</f>
        <v>-6.0968445011969408E-2</v>
      </c>
      <c r="J109" s="115">
        <f>IF((E109)=0,"",(I109/E109))</f>
        <v>-3.1658656659918592E-3</v>
      </c>
    </row>
    <row r="110" spans="1:10" hidden="1" x14ac:dyDescent="0.25">
      <c r="A110" s="111" t="s">
        <v>77</v>
      </c>
      <c r="B110"/>
      <c r="C110" s="116">
        <v>0.11700000000000001</v>
      </c>
      <c r="D110" s="106"/>
      <c r="E110" s="113">
        <f>IF(OR(ISNUMBER(SEARCH("[DGEN]", B64))=TRUE, ISNUMBER(SEARCH("STREET LIGHT", B64))=TRUE), 0, IF(AND(B66=0, B67=0),0, IF(AND(B67=0, B66*12&gt;250000), 0, IF(AND(B66=0, B67&gt;=50), 0, IF(B66*12&lt;=250000, C110*E108*-1, IF(B67&lt;50, C110*E108*-1, 0))))))</f>
        <v>-17.33225799825</v>
      </c>
      <c r="F110" s="116">
        <v>0.11700000000000001</v>
      </c>
      <c r="G110" s="114"/>
      <c r="H110" s="113">
        <f>IF(OR(ISNUMBER(SEARCH("[DGEN]", B64))=TRUE, ISNUMBER(SEARCH("STREET LIGHT", B64))=TRUE), 0, IF(AND(B66=0, B67=0),0, IF(AND(B67=0, B66*12&gt;250000), 0, IF(AND(B66=0, B67&gt;=50), 0, IF(B66*12&lt;=250000, F110*H108*-1, IF(B67&lt;50, F110*H108*-1, 0))))))</f>
        <v>-17.277386397739228</v>
      </c>
      <c r="I110" s="56"/>
      <c r="J110" s="115"/>
    </row>
    <row r="111" spans="1:10" ht="15.75" hidden="1" thickBot="1" x14ac:dyDescent="0.3">
      <c r="A111" s="265" t="s">
        <v>79</v>
      </c>
      <c r="B111" s="265"/>
      <c r="C111" s="124"/>
      <c r="D111" s="125"/>
      <c r="E111" s="119">
        <f>SUM(E108,E109)</f>
        <v>167.3970216925</v>
      </c>
      <c r="F111" s="126"/>
      <c r="G111" s="126"/>
      <c r="H111" s="119">
        <f>SUM(H108,H109)</f>
        <v>166.86706520893441</v>
      </c>
      <c r="I111" s="127">
        <f>H111-E111</f>
        <v>-0.52995648356559855</v>
      </c>
      <c r="J111" s="128">
        <f>IF((E111)=0,"",(I111/E111))</f>
        <v>-3.1658656659919685E-3</v>
      </c>
    </row>
    <row r="112" spans="1:10" ht="15.75" hidden="1" thickBot="1" x14ac:dyDescent="0.3">
      <c r="A112" s="96"/>
      <c r="B112" s="97"/>
      <c r="C112" s="129"/>
      <c r="D112" s="130"/>
      <c r="E112" s="131"/>
      <c r="F112" s="129"/>
      <c r="G112" s="99"/>
      <c r="H112" s="131"/>
      <c r="I112" s="132"/>
      <c r="J112" s="103"/>
    </row>
    <row r="113" spans="1:11" hidden="1" x14ac:dyDescent="0.25">
      <c r="A113" s="104" t="s">
        <v>80</v>
      </c>
      <c r="B113" s="89"/>
      <c r="C113" s="105"/>
      <c r="D113" s="106"/>
      <c r="E113" s="107">
        <f>SUM(E101,E93:E96,E92)</f>
        <v>148.13895725</v>
      </c>
      <c r="F113" s="108"/>
      <c r="G113" s="108"/>
      <c r="H113" s="107">
        <f>SUM(H101,H93:H96,H92)</f>
        <v>147.66996921144639</v>
      </c>
      <c r="I113" s="109">
        <f>H113-E113</f>
        <v>-0.46898803855361848</v>
      </c>
      <c r="J113" s="110">
        <f>IF((E113)=0,"",(I113/E113))</f>
        <v>-3.1658656659919108E-3</v>
      </c>
    </row>
    <row r="114" spans="1:11" hidden="1" x14ac:dyDescent="0.25">
      <c r="A114" s="111" t="s">
        <v>76</v>
      </c>
      <c r="B114" s="89"/>
      <c r="C114" s="105">
        <v>0.13</v>
      </c>
      <c r="D114" s="106"/>
      <c r="E114" s="113">
        <f>E113*C114</f>
        <v>19.2580644425</v>
      </c>
      <c r="F114" s="105">
        <v>0.13</v>
      </c>
      <c r="G114" s="114"/>
      <c r="H114" s="113">
        <f>H113*F114</f>
        <v>19.197095997488031</v>
      </c>
      <c r="I114" s="56">
        <f>H114-E114</f>
        <v>-6.0968445011969408E-2</v>
      </c>
      <c r="J114" s="115">
        <f>IF((E114)=0,"",(I114/E114))</f>
        <v>-3.1658656659918592E-3</v>
      </c>
    </row>
    <row r="115" spans="1:11" hidden="1" x14ac:dyDescent="0.25">
      <c r="A115" s="111" t="s">
        <v>77</v>
      </c>
      <c r="B115"/>
      <c r="C115" s="116">
        <v>0.11700000000000001</v>
      </c>
      <c r="D115" s="106"/>
      <c r="E115" s="113">
        <f>IF(OR(ISNUMBER(SEARCH("[DGEN]", B64))=TRUE, ISNUMBER(SEARCH("STREET LIGHT", B64))=TRUE), 0, IF(AND(B66=0, B67=0),0, IF(AND(B67=0, B66*12&gt;250000), 0, IF(AND(B66=0, B67&gt;=50), 0, IF(B66*12&lt;=250000, C115*E113*-1, IF(B67&lt;50, C115*E113*-1, 0))))))</f>
        <v>-17.33225799825</v>
      </c>
      <c r="F115" s="116">
        <v>0.11700000000000001</v>
      </c>
      <c r="G115" s="114"/>
      <c r="H115" s="113">
        <f>IF(OR(ISNUMBER(SEARCH("[DGEN]", B64))=TRUE, ISNUMBER(SEARCH("STREET LIGHT", B64))=TRUE), 0, IF(AND(B66=0, B67=0),0, IF(AND(B67=0, B66*12&gt;250000), 0, IF(AND(B66=0, B67&gt;=50), 0, IF(B66*12&lt;=250000, F115*H113*-1, IF(B67&lt;50, F115*H113*-1, 0))))))</f>
        <v>-17.277386397739228</v>
      </c>
      <c r="I115" s="56"/>
      <c r="J115" s="115"/>
    </row>
    <row r="116" spans="1:11" ht="15.75" hidden="1" thickBot="1" x14ac:dyDescent="0.3">
      <c r="A116" s="265" t="s">
        <v>80</v>
      </c>
      <c r="B116" s="265"/>
      <c r="C116" s="124"/>
      <c r="D116" s="125"/>
      <c r="E116" s="119">
        <f>SUM(E113,E114)</f>
        <v>167.3970216925</v>
      </c>
      <c r="F116" s="126"/>
      <c r="G116" s="126"/>
      <c r="H116" s="119">
        <f>SUM(H113,H114)</f>
        <v>166.86706520893441</v>
      </c>
      <c r="I116" s="127">
        <f>H116-E116</f>
        <v>-0.52995648356559855</v>
      </c>
      <c r="J116" s="128">
        <f>IF((E116)=0,"",(I116/E116))</f>
        <v>-3.1658656659919685E-3</v>
      </c>
    </row>
    <row r="117" spans="1:11" ht="15.75" hidden="1" thickBot="1" x14ac:dyDescent="0.3">
      <c r="A117" s="96"/>
      <c r="B117" s="97"/>
      <c r="C117" s="133"/>
      <c r="D117" s="130"/>
      <c r="E117" s="134"/>
      <c r="F117" s="133"/>
      <c r="G117" s="99"/>
      <c r="H117" s="134"/>
      <c r="I117" s="132"/>
      <c r="J117" s="135"/>
    </row>
    <row r="120" spans="1:11" x14ac:dyDescent="0.25">
      <c r="A120" s="33" t="s">
        <v>30</v>
      </c>
      <c r="B120" s="254" t="str">
        <f>A17</f>
        <v>RESIDENTIAL R2 SERVICE CLASSIFICATION</v>
      </c>
      <c r="C120" s="254"/>
      <c r="D120" s="254"/>
      <c r="E120" s="254"/>
      <c r="F120" s="254"/>
      <c r="G120" s="254"/>
      <c r="H120" s="34" t="str">
        <f>IF(K17="DEMAND - INTERVAL","RTSR - INTERVAL METERED","")</f>
        <v/>
      </c>
    </row>
    <row r="121" spans="1:11" x14ac:dyDescent="0.25">
      <c r="A121" s="33" t="s">
        <v>31</v>
      </c>
      <c r="B121" s="255" t="str">
        <f>E17</f>
        <v>Non-RPP (Other)</v>
      </c>
      <c r="C121" s="255"/>
      <c r="D121" s="255"/>
      <c r="E121" s="35"/>
      <c r="F121" s="35"/>
    </row>
    <row r="122" spans="1:11" ht="15.75" x14ac:dyDescent="0.25">
      <c r="A122" s="33" t="s">
        <v>32</v>
      </c>
      <c r="B122" s="36">
        <f>H17</f>
        <v>90000</v>
      </c>
      <c r="C122" s="37" t="s">
        <v>33</v>
      </c>
      <c r="G122" s="38"/>
      <c r="H122" s="38"/>
      <c r="I122" s="38"/>
      <c r="J122" s="38"/>
      <c r="K122" s="38"/>
    </row>
    <row r="123" spans="1:11" ht="15.75" x14ac:dyDescent="0.25">
      <c r="A123" s="33" t="s">
        <v>34</v>
      </c>
      <c r="B123" s="36">
        <f>I17</f>
        <v>225</v>
      </c>
      <c r="C123" s="39" t="s">
        <v>35</v>
      </c>
      <c r="D123" s="40"/>
      <c r="E123" s="41"/>
      <c r="F123" s="41"/>
      <c r="G123" s="41"/>
    </row>
    <row r="124" spans="1:11" x14ac:dyDescent="0.25">
      <c r="A124" s="33" t="s">
        <v>36</v>
      </c>
      <c r="B124" s="42">
        <f>F17</f>
        <v>1.0829</v>
      </c>
    </row>
    <row r="125" spans="1:11" x14ac:dyDescent="0.25">
      <c r="A125" s="33" t="s">
        <v>37</v>
      </c>
      <c r="B125" s="42">
        <f>G17</f>
        <v>1.0829</v>
      </c>
    </row>
    <row r="127" spans="1:11" x14ac:dyDescent="0.25">
      <c r="B127" s="37"/>
      <c r="C127" s="256" t="s">
        <v>38</v>
      </c>
      <c r="D127" s="257"/>
      <c r="E127" s="258"/>
      <c r="F127" s="256" t="s">
        <v>39</v>
      </c>
      <c r="G127" s="257"/>
      <c r="H127" s="258"/>
      <c r="I127" s="256" t="s">
        <v>40</v>
      </c>
      <c r="J127" s="258"/>
    </row>
    <row r="128" spans="1:11" x14ac:dyDescent="0.25">
      <c r="B128" s="259"/>
      <c r="C128" s="43" t="s">
        <v>41</v>
      </c>
      <c r="D128" s="43" t="s">
        <v>42</v>
      </c>
      <c r="E128" s="44" t="s">
        <v>43</v>
      </c>
      <c r="F128" s="43" t="s">
        <v>41</v>
      </c>
      <c r="G128" s="45" t="s">
        <v>42</v>
      </c>
      <c r="H128" s="44" t="s">
        <v>43</v>
      </c>
      <c r="I128" s="261" t="s">
        <v>44</v>
      </c>
      <c r="J128" s="263" t="s">
        <v>45</v>
      </c>
    </row>
    <row r="129" spans="1:10" x14ac:dyDescent="0.25">
      <c r="B129" s="260"/>
      <c r="C129" s="46" t="s">
        <v>46</v>
      </c>
      <c r="D129" s="46"/>
      <c r="E129" s="47" t="s">
        <v>46</v>
      </c>
      <c r="F129" s="46" t="s">
        <v>46</v>
      </c>
      <c r="G129" s="47"/>
      <c r="H129" s="47" t="s">
        <v>46</v>
      </c>
      <c r="I129" s="262"/>
      <c r="J129" s="264"/>
    </row>
    <row r="130" spans="1:10" x14ac:dyDescent="0.25">
      <c r="A130" s="48" t="s">
        <v>47</v>
      </c>
      <c r="B130" s="49"/>
      <c r="C130" s="195">
        <v>716.69</v>
      </c>
      <c r="D130" s="51">
        <v>1</v>
      </c>
      <c r="E130" s="52">
        <f>D130*C130</f>
        <v>716.69</v>
      </c>
      <c r="F130" s="215">
        <v>738.98</v>
      </c>
      <c r="G130" s="54">
        <f>D130</f>
        <v>1</v>
      </c>
      <c r="H130" s="55">
        <f>G130*F130</f>
        <v>738.98</v>
      </c>
      <c r="I130" s="56">
        <f t="shared" ref="I130:I151" si="17">H130-E130</f>
        <v>22.289999999999964</v>
      </c>
      <c r="J130" s="57">
        <f>IF(ISERROR(I130/E130), "", I130/E130)</f>
        <v>3.110131298050756E-2</v>
      </c>
    </row>
    <row r="131" spans="1:10" x14ac:dyDescent="0.25">
      <c r="A131" s="48" t="s">
        <v>48</v>
      </c>
      <c r="B131" s="49"/>
      <c r="C131" s="198">
        <v>3.7134999999999998</v>
      </c>
      <c r="D131" s="231">
        <f>B123</f>
        <v>225</v>
      </c>
      <c r="E131" s="52">
        <f t="shared" ref="E131:E143" si="18">D131*C131</f>
        <v>835.53749999999991</v>
      </c>
      <c r="F131" s="216">
        <v>3.8290000000000002</v>
      </c>
      <c r="G131" s="232">
        <f>D131</f>
        <v>225</v>
      </c>
      <c r="H131" s="55">
        <f>G131*F131</f>
        <v>861.52500000000009</v>
      </c>
      <c r="I131" s="56">
        <f t="shared" si="17"/>
        <v>25.987500000000182</v>
      </c>
      <c r="J131" s="57">
        <f t="shared" ref="J131:J141" si="19">IF(ISERROR(I131/E131), "", I131/E131)</f>
        <v>3.1102733270499752E-2</v>
      </c>
    </row>
    <row r="132" spans="1:10" x14ac:dyDescent="0.25">
      <c r="A132" s="48" t="s">
        <v>49</v>
      </c>
      <c r="B132" s="49"/>
      <c r="C132" s="58"/>
      <c r="D132" s="51">
        <f>IF($E123&gt;0, $E123, $E122)</f>
        <v>0</v>
      </c>
      <c r="E132" s="52">
        <v>0</v>
      </c>
      <c r="F132" s="59"/>
      <c r="G132" s="54">
        <f>IF($E123&gt;0, $E123, $E122)</f>
        <v>0</v>
      </c>
      <c r="H132" s="55">
        <v>0</v>
      </c>
      <c r="I132" s="56"/>
      <c r="J132" s="57"/>
    </row>
    <row r="133" spans="1:10" x14ac:dyDescent="0.25">
      <c r="A133" s="48" t="s">
        <v>50</v>
      </c>
      <c r="B133" s="49"/>
      <c r="C133" s="58"/>
      <c r="D133" s="51">
        <f>IF($E123&gt;0, $E123, $E122)</f>
        <v>0</v>
      </c>
      <c r="E133" s="52">
        <v>0</v>
      </c>
      <c r="F133" s="59"/>
      <c r="G133" s="60">
        <f>IF($E123&gt;0, $E123, $E122)</f>
        <v>0</v>
      </c>
      <c r="H133" s="55">
        <v>0</v>
      </c>
      <c r="I133" s="56">
        <f>H133-E133</f>
        <v>0</v>
      </c>
      <c r="J133" s="57" t="str">
        <f>IF(ISERROR(I133/E133), "", I133/E133)</f>
        <v/>
      </c>
    </row>
    <row r="134" spans="1:10" x14ac:dyDescent="0.25">
      <c r="A134" s="48" t="s">
        <v>51</v>
      </c>
      <c r="B134" s="49"/>
      <c r="C134" s="50">
        <v>0</v>
      </c>
      <c r="D134" s="51">
        <v>1</v>
      </c>
      <c r="E134" s="52">
        <f t="shared" si="18"/>
        <v>0</v>
      </c>
      <c r="F134" s="53">
        <v>0</v>
      </c>
      <c r="G134" s="54">
        <f>D134</f>
        <v>1</v>
      </c>
      <c r="H134" s="55">
        <f t="shared" ref="H134:H141" si="20">G134*F134</f>
        <v>0</v>
      </c>
      <c r="I134" s="56">
        <f t="shared" si="17"/>
        <v>0</v>
      </c>
      <c r="J134" s="57" t="str">
        <f t="shared" si="19"/>
        <v/>
      </c>
    </row>
    <row r="135" spans="1:10" x14ac:dyDescent="0.25">
      <c r="A135" s="48" t="s">
        <v>52</v>
      </c>
      <c r="B135" s="49"/>
      <c r="C135" s="198">
        <v>-0.21410000000000001</v>
      </c>
      <c r="D135" s="231">
        <f>B123</f>
        <v>225</v>
      </c>
      <c r="E135" s="52">
        <f t="shared" si="18"/>
        <v>-48.172499999999999</v>
      </c>
      <c r="F135" s="216">
        <v>-3.95E-2</v>
      </c>
      <c r="G135" s="232">
        <f>B123</f>
        <v>225</v>
      </c>
      <c r="H135" s="55">
        <f t="shared" si="20"/>
        <v>-8.8874999999999993</v>
      </c>
      <c r="I135" s="56">
        <f t="shared" si="17"/>
        <v>39.284999999999997</v>
      </c>
      <c r="J135" s="57">
        <f t="shared" si="19"/>
        <v>-0.81550677253619797</v>
      </c>
    </row>
    <row r="136" spans="1:10" x14ac:dyDescent="0.25">
      <c r="A136" s="61" t="s">
        <v>53</v>
      </c>
      <c r="B136" s="62"/>
      <c r="C136" s="63"/>
      <c r="D136" s="64"/>
      <c r="E136" s="65">
        <f>SUM(E130:E135)</f>
        <v>1504.0550000000001</v>
      </c>
      <c r="F136" s="66"/>
      <c r="G136" s="67"/>
      <c r="H136" s="65">
        <f>SUM(H130:H135)</f>
        <v>1591.6175000000001</v>
      </c>
      <c r="I136" s="68">
        <f t="shared" si="17"/>
        <v>87.5625</v>
      </c>
      <c r="J136" s="69">
        <f>IF((E136)=0,"",(I136/E136))</f>
        <v>5.8217618371668584E-2</v>
      </c>
    </row>
    <row r="137" spans="1:10" x14ac:dyDescent="0.25">
      <c r="A137" s="70" t="s">
        <v>54</v>
      </c>
      <c r="B137" s="49"/>
      <c r="C137" s="58">
        <v>0</v>
      </c>
      <c r="D137" s="71">
        <f>IF(C137=0, 0, $E122*B124-B122)</f>
        <v>0</v>
      </c>
      <c r="E137" s="52">
        <f>D137*C137</f>
        <v>0</v>
      </c>
      <c r="F137" s="59">
        <v>0</v>
      </c>
      <c r="G137" s="72">
        <f>IF(F137=0, 0, B122*B125-B122)</f>
        <v>0</v>
      </c>
      <c r="H137" s="55">
        <f>G137*F137</f>
        <v>0</v>
      </c>
      <c r="I137" s="56">
        <f>H137-E137</f>
        <v>0</v>
      </c>
      <c r="J137" s="57" t="str">
        <f>IF(ISERROR(I137/E137), "", I137/E137)</f>
        <v/>
      </c>
    </row>
    <row r="138" spans="1:10" ht="25.5" x14ac:dyDescent="0.25">
      <c r="A138" s="70" t="s">
        <v>55</v>
      </c>
      <c r="B138" s="49"/>
      <c r="C138" s="198">
        <v>1.5642</v>
      </c>
      <c r="D138" s="73">
        <f>B123</f>
        <v>225</v>
      </c>
      <c r="E138" s="52">
        <f t="shared" si="18"/>
        <v>351.94499999999999</v>
      </c>
      <c r="F138" s="216">
        <v>1.7406952877122543</v>
      </c>
      <c r="G138" s="74">
        <f>B123</f>
        <v>225</v>
      </c>
      <c r="H138" s="55">
        <f t="shared" si="20"/>
        <v>391.65643973525721</v>
      </c>
      <c r="I138" s="56">
        <f t="shared" si="17"/>
        <v>39.711439735257215</v>
      </c>
      <c r="J138" s="57">
        <f t="shared" si="19"/>
        <v>0.11283422050393446</v>
      </c>
    </row>
    <row r="139" spans="1:10" x14ac:dyDescent="0.25">
      <c r="A139" s="70" t="s">
        <v>56</v>
      </c>
      <c r="B139" s="49"/>
      <c r="C139" s="198">
        <v>-2.9700000000000001E-2</v>
      </c>
      <c r="D139" s="73">
        <f>B123</f>
        <v>225</v>
      </c>
      <c r="E139" s="52">
        <f>D139*C139</f>
        <v>-6.6825000000000001</v>
      </c>
      <c r="F139" s="216">
        <v>-7.1300000000000002E-2</v>
      </c>
      <c r="G139" s="74">
        <f>B123</f>
        <v>225</v>
      </c>
      <c r="H139" s="55">
        <f>G139*F139</f>
        <v>-16.0425</v>
      </c>
      <c r="I139" s="56">
        <f t="shared" si="17"/>
        <v>-9.36</v>
      </c>
      <c r="J139" s="57">
        <f t="shared" si="19"/>
        <v>1.4006734006734005</v>
      </c>
    </row>
    <row r="140" spans="1:10" x14ac:dyDescent="0.25">
      <c r="A140" s="70" t="s">
        <v>57</v>
      </c>
      <c r="B140" s="49"/>
      <c r="C140" s="58">
        <v>0</v>
      </c>
      <c r="D140" s="73">
        <f>B122</f>
        <v>90000</v>
      </c>
      <c r="E140" s="52">
        <f>D140*C140</f>
        <v>0</v>
      </c>
      <c r="F140" s="59">
        <v>0</v>
      </c>
      <c r="G140" s="74">
        <f>B122</f>
        <v>90000</v>
      </c>
      <c r="H140" s="55">
        <f t="shared" si="20"/>
        <v>0</v>
      </c>
      <c r="I140" s="56">
        <f t="shared" si="17"/>
        <v>0</v>
      </c>
      <c r="J140" s="57" t="str">
        <f t="shared" si="19"/>
        <v/>
      </c>
    </row>
    <row r="141" spans="1:10" x14ac:dyDescent="0.25">
      <c r="A141" s="48" t="s">
        <v>58</v>
      </c>
      <c r="B141" s="49"/>
      <c r="C141" s="58">
        <v>0</v>
      </c>
      <c r="D141" s="73">
        <f>IF($E123&gt;0, $E123, $E122)</f>
        <v>0</v>
      </c>
      <c r="E141" s="52">
        <f t="shared" si="18"/>
        <v>0</v>
      </c>
      <c r="F141" s="59"/>
      <c r="G141" s="74">
        <f>IF($E123&gt;0, $E123, $E122)</f>
        <v>0</v>
      </c>
      <c r="H141" s="55">
        <f t="shared" si="20"/>
        <v>0</v>
      </c>
      <c r="I141" s="56">
        <f t="shared" si="17"/>
        <v>0</v>
      </c>
      <c r="J141" s="57" t="str">
        <f t="shared" si="19"/>
        <v/>
      </c>
    </row>
    <row r="142" spans="1:10" ht="25.5" x14ac:dyDescent="0.25">
      <c r="A142" s="70" t="s">
        <v>59</v>
      </c>
      <c r="B142" s="49"/>
      <c r="C142" s="75">
        <v>0</v>
      </c>
      <c r="D142" s="51">
        <v>1</v>
      </c>
      <c r="E142" s="52">
        <f>D142*C142</f>
        <v>0</v>
      </c>
      <c r="F142" s="76">
        <v>0</v>
      </c>
      <c r="G142" s="60">
        <v>1</v>
      </c>
      <c r="H142" s="55">
        <f>G142*F142</f>
        <v>0</v>
      </c>
      <c r="I142" s="56">
        <f t="shared" si="17"/>
        <v>0</v>
      </c>
      <c r="J142" s="57" t="str">
        <f>IF(ISERROR(I142/E142), "", I142/E142)</f>
        <v/>
      </c>
    </row>
    <row r="143" spans="1:10" x14ac:dyDescent="0.25">
      <c r="A143" s="48" t="s">
        <v>60</v>
      </c>
      <c r="B143" s="49"/>
      <c r="C143" s="50">
        <v>0</v>
      </c>
      <c r="D143" s="51">
        <v>1</v>
      </c>
      <c r="E143" s="52">
        <f t="shared" si="18"/>
        <v>0</v>
      </c>
      <c r="F143" s="53">
        <v>0</v>
      </c>
      <c r="G143" s="60">
        <v>1</v>
      </c>
      <c r="H143" s="55">
        <f>G143*F143</f>
        <v>0</v>
      </c>
      <c r="I143" s="56">
        <f>H143-E143</f>
        <v>0</v>
      </c>
      <c r="J143" s="57" t="str">
        <f>IF(ISERROR(I143/E143), "", I143/E143)</f>
        <v/>
      </c>
    </row>
    <row r="144" spans="1:10" x14ac:dyDescent="0.25">
      <c r="A144" s="48" t="s">
        <v>61</v>
      </c>
      <c r="B144" s="49"/>
      <c r="C144" s="58">
        <v>0</v>
      </c>
      <c r="D144" s="73">
        <f>IF($E123&gt;0, $E123, $E122)</f>
        <v>0</v>
      </c>
      <c r="E144" s="52">
        <f>D144*C144</f>
        <v>0</v>
      </c>
      <c r="F144" s="59">
        <v>0</v>
      </c>
      <c r="G144" s="74">
        <f>IF($E123&gt;0, $E123, $E122)</f>
        <v>0</v>
      </c>
      <c r="H144" s="55">
        <f>G144*F144</f>
        <v>0</v>
      </c>
      <c r="I144" s="56">
        <f t="shared" si="17"/>
        <v>0</v>
      </c>
      <c r="J144" s="57" t="str">
        <f>IF(ISERROR(I144/E144), "", I144/E144)</f>
        <v/>
      </c>
    </row>
    <row r="145" spans="1:11" ht="25.5" x14ac:dyDescent="0.25">
      <c r="A145" s="77" t="s">
        <v>62</v>
      </c>
      <c r="B145" s="78"/>
      <c r="C145" s="79"/>
      <c r="D145" s="80"/>
      <c r="E145" s="81">
        <f>SUM(E136:E144)</f>
        <v>1849.3175000000001</v>
      </c>
      <c r="F145" s="82"/>
      <c r="G145" s="83"/>
      <c r="H145" s="81">
        <f>SUM(H136:H144)</f>
        <v>1967.2314397352573</v>
      </c>
      <c r="I145" s="68">
        <f t="shared" si="17"/>
        <v>117.91393973525715</v>
      </c>
      <c r="J145" s="69">
        <f>IF((E145)=0,"",(I145/E145))</f>
        <v>6.3760787282474279E-2</v>
      </c>
    </row>
    <row r="146" spans="1:11" x14ac:dyDescent="0.25">
      <c r="A146" s="84" t="s">
        <v>63</v>
      </c>
      <c r="B146" s="49"/>
      <c r="C146" s="198">
        <v>3.9977999999999998</v>
      </c>
      <c r="D146" s="71">
        <f>B123</f>
        <v>225</v>
      </c>
      <c r="E146" s="52">
        <f>D146*C146</f>
        <v>899.505</v>
      </c>
      <c r="F146" s="217">
        <v>3.8361299484222902</v>
      </c>
      <c r="G146" s="72">
        <f>D146</f>
        <v>225</v>
      </c>
      <c r="H146" s="55">
        <f>G146*F146</f>
        <v>863.12923839501525</v>
      </c>
      <c r="I146" s="56">
        <f t="shared" si="17"/>
        <v>-36.375761604984746</v>
      </c>
      <c r="J146" s="57">
        <f>IF(ISERROR(I146/E146), "", I146/E146)</f>
        <v>-4.0439754759545248E-2</v>
      </c>
      <c r="K146" s="85" t="str">
        <f>IF(ISERROR(ABS(J146)), "", IF(ABS(J146)&gt;=4%, "In the manager's summary, discuss the reasoning for the change in RTSR rates", ""))</f>
        <v>In the manager's summary, discuss the reasoning for the change in RTSR rates</v>
      </c>
    </row>
    <row r="147" spans="1:11" ht="25.5" x14ac:dyDescent="0.25">
      <c r="A147" s="86" t="s">
        <v>64</v>
      </c>
      <c r="B147" s="49"/>
      <c r="C147" s="198">
        <v>2.7667999999999999</v>
      </c>
      <c r="D147" s="71">
        <f>B123</f>
        <v>225</v>
      </c>
      <c r="E147" s="52">
        <f>D147*C147</f>
        <v>622.53</v>
      </c>
      <c r="F147" s="217">
        <v>2.8578721886006102</v>
      </c>
      <c r="G147" s="72">
        <f>D147</f>
        <v>225</v>
      </c>
      <c r="H147" s="55">
        <f>G147*F147</f>
        <v>643.02124243513731</v>
      </c>
      <c r="I147" s="56">
        <f t="shared" si="17"/>
        <v>20.491242435137337</v>
      </c>
      <c r="J147" s="57">
        <f>IF(ISERROR(I147/E147), "", I147/E147)</f>
        <v>3.2916072213607921E-2</v>
      </c>
      <c r="K147" s="85" t="str">
        <f>IF(ISERROR(ABS(J147)), "", IF(ABS(J147)&gt;=4%, "In the manager's summary, discuss the reasoning for the change in RTSR rates", ""))</f>
        <v/>
      </c>
    </row>
    <row r="148" spans="1:11" ht="25.5" x14ac:dyDescent="0.25">
      <c r="A148" s="77" t="s">
        <v>65</v>
      </c>
      <c r="B148" s="62"/>
      <c r="C148" s="79"/>
      <c r="D148" s="80"/>
      <c r="E148" s="81">
        <f>SUM(E145:E147)</f>
        <v>3371.3525</v>
      </c>
      <c r="F148" s="82"/>
      <c r="G148" s="67"/>
      <c r="H148" s="81">
        <f>SUM(H145:H147)</f>
        <v>3473.3819205654099</v>
      </c>
      <c r="I148" s="68">
        <f t="shared" si="17"/>
        <v>102.02942056540996</v>
      </c>
      <c r="J148" s="69">
        <f>IF((E148)=0,"",(I148/E148))</f>
        <v>3.0263646582613348E-2</v>
      </c>
    </row>
    <row r="149" spans="1:11" ht="25.5" x14ac:dyDescent="0.25">
      <c r="A149" s="87" t="s">
        <v>66</v>
      </c>
      <c r="B149" s="49"/>
      <c r="C149" s="198">
        <f>C93</f>
        <v>4.4999999999999997E-3</v>
      </c>
      <c r="D149" s="71">
        <f>B122*B124</f>
        <v>97461</v>
      </c>
      <c r="E149" s="88">
        <f t="shared" ref="E149:E155" si="21">D149*C149</f>
        <v>438.57449999999994</v>
      </c>
      <c r="F149" s="216">
        <v>4.5000000000000005E-3</v>
      </c>
      <c r="G149" s="72">
        <f>B122*B125</f>
        <v>97461</v>
      </c>
      <c r="H149" s="55">
        <f t="shared" ref="H149:H155" si="22">G149*F149</f>
        <v>438.57450000000006</v>
      </c>
      <c r="I149" s="56">
        <f t="shared" si="17"/>
        <v>0</v>
      </c>
      <c r="J149" s="57">
        <f t="shared" ref="J149:J157" si="23">IF(ISERROR(I149/E149), "", I149/E149)</f>
        <v>0</v>
      </c>
    </row>
    <row r="150" spans="1:11" ht="25.5" x14ac:dyDescent="0.25">
      <c r="A150" s="87" t="s">
        <v>67</v>
      </c>
      <c r="B150" s="49"/>
      <c r="C150" s="198">
        <f t="shared" ref="C150:C151" si="24">C94</f>
        <v>6.9999999999999999E-4</v>
      </c>
      <c r="D150" s="71">
        <f>B122*B124</f>
        <v>97461</v>
      </c>
      <c r="E150" s="88">
        <f t="shared" si="21"/>
        <v>68.222700000000003</v>
      </c>
      <c r="F150" s="216">
        <v>6.9999999999999999E-4</v>
      </c>
      <c r="G150" s="72">
        <f>B122*B125</f>
        <v>97461</v>
      </c>
      <c r="H150" s="55">
        <f t="shared" si="22"/>
        <v>68.222700000000003</v>
      </c>
      <c r="I150" s="56">
        <f t="shared" si="17"/>
        <v>0</v>
      </c>
      <c r="J150" s="57">
        <f t="shared" si="23"/>
        <v>0</v>
      </c>
    </row>
    <row r="151" spans="1:11" x14ac:dyDescent="0.25">
      <c r="A151" s="89" t="s">
        <v>68</v>
      </c>
      <c r="B151" s="49"/>
      <c r="C151" s="198">
        <f t="shared" si="24"/>
        <v>0.25</v>
      </c>
      <c r="D151" s="51">
        <v>1</v>
      </c>
      <c r="E151" s="88">
        <f t="shared" si="21"/>
        <v>0.25</v>
      </c>
      <c r="F151" s="218">
        <v>0.25</v>
      </c>
      <c r="G151" s="54">
        <v>1</v>
      </c>
      <c r="H151" s="55">
        <f t="shared" si="22"/>
        <v>0.25</v>
      </c>
      <c r="I151" s="56">
        <f t="shared" si="17"/>
        <v>0</v>
      </c>
      <c r="J151" s="57">
        <f t="shared" si="23"/>
        <v>0</v>
      </c>
    </row>
    <row r="152" spans="1:11" ht="25.5" x14ac:dyDescent="0.25">
      <c r="A152" s="87" t="s">
        <v>69</v>
      </c>
      <c r="B152" s="49"/>
      <c r="C152" s="58"/>
      <c r="D152" s="71"/>
      <c r="E152" s="88"/>
      <c r="F152" s="59"/>
      <c r="G152" s="72"/>
      <c r="H152" s="55"/>
      <c r="I152" s="56"/>
      <c r="J152" s="57"/>
    </row>
    <row r="153" spans="1:11" x14ac:dyDescent="0.25">
      <c r="A153" s="89" t="s">
        <v>70</v>
      </c>
      <c r="B153" s="49"/>
      <c r="C153" s="90">
        <v>7.3999999999999996E-2</v>
      </c>
      <c r="D153" s="91">
        <v>61400.43</v>
      </c>
      <c r="E153" s="88">
        <f t="shared" si="21"/>
        <v>4543.6318199999996</v>
      </c>
      <c r="F153" s="92">
        <v>7.3999999999999996E-2</v>
      </c>
      <c r="G153" s="93">
        <v>61400.43</v>
      </c>
      <c r="H153" s="55">
        <f t="shared" si="22"/>
        <v>4543.6318199999996</v>
      </c>
      <c r="I153" s="56">
        <f>H153-E153</f>
        <v>0</v>
      </c>
      <c r="J153" s="57">
        <f t="shared" si="23"/>
        <v>0</v>
      </c>
    </row>
    <row r="154" spans="1:11" x14ac:dyDescent="0.25">
      <c r="A154" s="89" t="s">
        <v>71</v>
      </c>
      <c r="B154" s="49"/>
      <c r="C154" s="90">
        <v>0.10199999999999999</v>
      </c>
      <c r="D154" s="91">
        <v>17542.98</v>
      </c>
      <c r="E154" s="88">
        <f t="shared" si="21"/>
        <v>1789.3839599999999</v>
      </c>
      <c r="F154" s="92">
        <v>0.10199999999999999</v>
      </c>
      <c r="G154" s="93">
        <v>17542.98</v>
      </c>
      <c r="H154" s="55">
        <f t="shared" si="22"/>
        <v>1789.3839599999999</v>
      </c>
      <c r="I154" s="56">
        <f>H154-E154</f>
        <v>0</v>
      </c>
      <c r="J154" s="57">
        <f t="shared" si="23"/>
        <v>0</v>
      </c>
    </row>
    <row r="155" spans="1:11" x14ac:dyDescent="0.25">
      <c r="A155" s="34" t="s">
        <v>72</v>
      </c>
      <c r="B155" s="49"/>
      <c r="C155" s="90">
        <v>0.151</v>
      </c>
      <c r="D155" s="91">
        <v>18517.59</v>
      </c>
      <c r="E155" s="88">
        <f t="shared" si="21"/>
        <v>2796.1560899999999</v>
      </c>
      <c r="F155" s="92">
        <v>0.151</v>
      </c>
      <c r="G155" s="93">
        <v>18517.59</v>
      </c>
      <c r="H155" s="55">
        <f t="shared" si="22"/>
        <v>2796.1560899999999</v>
      </c>
      <c r="I155" s="56">
        <f>H155-E155</f>
        <v>0</v>
      </c>
      <c r="J155" s="57">
        <f t="shared" si="23"/>
        <v>0</v>
      </c>
    </row>
    <row r="156" spans="1:11" x14ac:dyDescent="0.25">
      <c r="A156" s="89" t="s">
        <v>73</v>
      </c>
      <c r="B156" s="49"/>
      <c r="C156" s="94">
        <v>0.1076</v>
      </c>
      <c r="D156" s="91">
        <f>IF(AND(B122*12&gt;=150000),B122*B124,B122)</f>
        <v>97461</v>
      </c>
      <c r="E156" s="88">
        <f>D156*C156</f>
        <v>10486.803599999999</v>
      </c>
      <c r="F156" s="95">
        <f>C156</f>
        <v>0.1076</v>
      </c>
      <c r="G156" s="93">
        <f>IF(AND(B122*12&gt;=150000),B122*B125,B122)</f>
        <v>97461</v>
      </c>
      <c r="H156" s="55">
        <f>G156*F156</f>
        <v>10486.803599999999</v>
      </c>
      <c r="I156" s="56">
        <f>H156-E156</f>
        <v>0</v>
      </c>
      <c r="J156" s="57">
        <f t="shared" si="23"/>
        <v>0</v>
      </c>
    </row>
    <row r="157" spans="1:11" ht="15.75" thickBot="1" x14ac:dyDescent="0.3">
      <c r="A157" s="89" t="s">
        <v>74</v>
      </c>
      <c r="B157" s="49"/>
      <c r="C157" s="94">
        <v>0.1076</v>
      </c>
      <c r="D157" s="91">
        <f>IF(AND(B122*12&gt;=150000),B122*B124,B122)</f>
        <v>97461</v>
      </c>
      <c r="E157" s="88">
        <f>D157*C157</f>
        <v>10486.803599999999</v>
      </c>
      <c r="F157" s="95">
        <f>C157</f>
        <v>0.1076</v>
      </c>
      <c r="G157" s="93">
        <f>IF(AND(B122*12&gt;=150000),B122*B125,B122)</f>
        <v>97461</v>
      </c>
      <c r="H157" s="55">
        <f>G157*F157</f>
        <v>10486.803599999999</v>
      </c>
      <c r="I157" s="56">
        <f>H157-E157</f>
        <v>0</v>
      </c>
      <c r="J157" s="57">
        <f t="shared" si="23"/>
        <v>0</v>
      </c>
    </row>
    <row r="158" spans="1:11" ht="15.75" hidden="1" thickBot="1" x14ac:dyDescent="0.3">
      <c r="A158" s="96"/>
      <c r="B158" s="97"/>
      <c r="C158" s="98"/>
      <c r="D158" s="99"/>
      <c r="E158" s="100"/>
      <c r="F158" s="98"/>
      <c r="G158" s="101"/>
      <c r="H158" s="100"/>
      <c r="I158" s="102"/>
      <c r="J158" s="103"/>
    </row>
    <row r="159" spans="1:11" hidden="1" x14ac:dyDescent="0.25">
      <c r="A159" s="104" t="s">
        <v>75</v>
      </c>
      <c r="B159" s="89"/>
      <c r="C159" s="105"/>
      <c r="D159" s="106"/>
      <c r="E159" s="107">
        <f>SUM(E149:E155,E148)</f>
        <v>13007.57157</v>
      </c>
      <c r="F159" s="108"/>
      <c r="G159" s="108"/>
      <c r="H159" s="107">
        <f>SUM(H149:H155,H148)</f>
        <v>13109.60099056541</v>
      </c>
      <c r="I159" s="109">
        <f>H159-E159</f>
        <v>102.02942056540996</v>
      </c>
      <c r="J159" s="110">
        <f>IF((E159)=0,"",(I159/E159))</f>
        <v>7.8438484859637767E-3</v>
      </c>
    </row>
    <row r="160" spans="1:11" hidden="1" x14ac:dyDescent="0.25">
      <c r="A160" s="111" t="s">
        <v>76</v>
      </c>
      <c r="B160" s="89"/>
      <c r="C160" s="105">
        <v>0.13</v>
      </c>
      <c r="D160" s="112"/>
      <c r="E160" s="113">
        <f>E159*C160</f>
        <v>1690.9843041000001</v>
      </c>
      <c r="F160" s="114">
        <v>0.13</v>
      </c>
      <c r="G160" s="51"/>
      <c r="H160" s="113">
        <f>H159*F160</f>
        <v>1704.2481287735034</v>
      </c>
      <c r="I160" s="56">
        <f>H160-E160</f>
        <v>13.263824673503223</v>
      </c>
      <c r="J160" s="115">
        <f>IF((E160)=0,"",(I160/E160))</f>
        <v>7.8438484859637333E-3</v>
      </c>
    </row>
    <row r="161" spans="1:10" hidden="1" x14ac:dyDescent="0.25">
      <c r="A161" s="111" t="s">
        <v>77</v>
      </c>
      <c r="B161"/>
      <c r="C161" s="116">
        <v>0.11700000000000001</v>
      </c>
      <c r="D161" s="112"/>
      <c r="E161" s="113">
        <f>IF(OR(ISNUMBER(SEARCH("[DGEN]", B120))=TRUE, ISNUMBER(SEARCH("STREET LIGHT", B120))=TRUE), 0, IF(AND(B122=0, B123=0),0, IF(AND(B123=0, B122*12&gt;250000), 0, IF(AND(B122=0, B123&gt;=50), 0, IF(B122*12&lt;=250000, C161*E159*-1, IF(B123&lt;50, C161*E159*-1, 0))))))</f>
        <v>0</v>
      </c>
      <c r="F161" s="116">
        <v>0.11700000000000001</v>
      </c>
      <c r="G161" s="51"/>
      <c r="H161" s="113">
        <f>IF(OR(ISNUMBER(SEARCH("[DGEN]", B120))=TRUE, ISNUMBER(SEARCH("STREET LIGHT", B120))=TRUE), 0, IF(AND(B122=0, B123=0),0, IF(AND(B123=0, B122*12&gt;250000), 0, IF(AND(B122=0, B123&gt;=50), 0, IF(B122*12&lt;=250000, F161*H159*-1, IF(B123&lt;50, F161*H159*-1, 0))))))</f>
        <v>0</v>
      </c>
      <c r="I161" s="56">
        <f>H161-E161</f>
        <v>0</v>
      </c>
      <c r="J161" s="115"/>
    </row>
    <row r="162" spans="1:10" ht="15.75" hidden="1" thickBot="1" x14ac:dyDescent="0.3">
      <c r="A162" s="265" t="s">
        <v>78</v>
      </c>
      <c r="B162" s="265"/>
      <c r="C162" s="117"/>
      <c r="D162" s="118"/>
      <c r="E162" s="119">
        <f>E159+E160+E161</f>
        <v>14698.5558741</v>
      </c>
      <c r="F162" s="120"/>
      <c r="G162" s="120"/>
      <c r="H162" s="121">
        <f>H159+H160+H161</f>
        <v>14813.849119338913</v>
      </c>
      <c r="I162" s="122">
        <f>H162-E162</f>
        <v>115.29324523891228</v>
      </c>
      <c r="J162" s="123">
        <f>IF((E162)=0,"",(I162/E162))</f>
        <v>7.843848485963709E-3</v>
      </c>
    </row>
    <row r="163" spans="1:10" ht="15.75" hidden="1" thickBot="1" x14ac:dyDescent="0.3">
      <c r="A163" s="96"/>
      <c r="B163" s="97"/>
      <c r="C163" s="98"/>
      <c r="D163" s="99"/>
      <c r="E163" s="100"/>
      <c r="F163" s="98"/>
      <c r="G163" s="101"/>
      <c r="H163" s="100"/>
      <c r="I163" s="102"/>
      <c r="J163" s="103"/>
    </row>
    <row r="164" spans="1:10" hidden="1" x14ac:dyDescent="0.25">
      <c r="A164" s="104" t="s">
        <v>79</v>
      </c>
      <c r="B164" s="89"/>
      <c r="C164" s="105"/>
      <c r="D164" s="106"/>
      <c r="E164" s="107">
        <f>SUM(E156,E149:E152,E148)</f>
        <v>14365.203300000001</v>
      </c>
      <c r="F164" s="108"/>
      <c r="G164" s="108"/>
      <c r="H164" s="107">
        <f>SUM(H156,H149:H152,H148)</f>
        <v>14467.232720565411</v>
      </c>
      <c r="I164" s="109">
        <f>H164-E164</f>
        <v>102.02942056540996</v>
      </c>
      <c r="J164" s="110">
        <f>IF((E164)=0,"",(I164/E164))</f>
        <v>7.1025392703916662E-3</v>
      </c>
    </row>
    <row r="165" spans="1:10" hidden="1" x14ac:dyDescent="0.25">
      <c r="A165" s="111" t="s">
        <v>76</v>
      </c>
      <c r="B165" s="89"/>
      <c r="C165" s="105">
        <v>0.13</v>
      </c>
      <c r="D165" s="106"/>
      <c r="E165" s="113">
        <f>E164*C165</f>
        <v>1867.4764290000003</v>
      </c>
      <c r="F165" s="105">
        <v>0.13</v>
      </c>
      <c r="G165" s="114"/>
      <c r="H165" s="113">
        <f>H164*F165</f>
        <v>1880.7402536735035</v>
      </c>
      <c r="I165" s="56">
        <f>H165-E165</f>
        <v>13.263824673503223</v>
      </c>
      <c r="J165" s="115">
        <f>IF((E165)=0,"",(I165/E165))</f>
        <v>7.1025392703916264E-3</v>
      </c>
    </row>
    <row r="166" spans="1:10" hidden="1" x14ac:dyDescent="0.25">
      <c r="A166" s="111" t="s">
        <v>77</v>
      </c>
      <c r="B166"/>
      <c r="C166" s="116">
        <v>0.11700000000000001</v>
      </c>
      <c r="D166" s="106"/>
      <c r="E166" s="113">
        <f>IF(OR(ISNUMBER(SEARCH("[DGEN]", B120))=TRUE, ISNUMBER(SEARCH("STREET LIGHT", B120))=TRUE), 0, IF(AND(B122=0, B123=0),0, IF(AND(B123=0, B122*12&gt;250000), 0, IF(AND(B122=0, B123&gt;=50), 0, IF(B122*12&lt;=250000, C166*E164*-1, IF(B123&lt;50, C166*E164*-1, 0))))))</f>
        <v>0</v>
      </c>
      <c r="F166" s="116">
        <v>0.11700000000000001</v>
      </c>
      <c r="G166" s="114"/>
      <c r="H166" s="113">
        <f>IF(OR(ISNUMBER(SEARCH("[DGEN]", B120))=TRUE, ISNUMBER(SEARCH("STREET LIGHT", B120))=TRUE), 0, IF(AND(B122=0, B123=0),0, IF(AND(B123=0, B122*12&gt;250000), 0, IF(AND(B122=0, B123&gt;=50), 0, IF(B122*12&lt;=250000, F166*H164*-1, IF(B123&lt;50, F166*H164*-1, 0))))))</f>
        <v>0</v>
      </c>
      <c r="I166" s="56"/>
      <c r="J166" s="115"/>
    </row>
    <row r="167" spans="1:10" ht="15.75" hidden="1" thickBot="1" x14ac:dyDescent="0.3">
      <c r="A167" s="265" t="s">
        <v>79</v>
      </c>
      <c r="B167" s="265"/>
      <c r="C167" s="124"/>
      <c r="D167" s="125"/>
      <c r="E167" s="119">
        <f>SUM(E164,E165)</f>
        <v>16232.679729000001</v>
      </c>
      <c r="F167" s="126"/>
      <c r="G167" s="126"/>
      <c r="H167" s="119">
        <f>SUM(H164,H165)</f>
        <v>16347.972974238914</v>
      </c>
      <c r="I167" s="127">
        <f>H167-E167</f>
        <v>115.29324523891228</v>
      </c>
      <c r="J167" s="128">
        <f>IF((E167)=0,"",(I167/E167))</f>
        <v>7.1025392703916055E-3</v>
      </c>
    </row>
    <row r="168" spans="1:10" ht="15.75" thickBot="1" x14ac:dyDescent="0.3">
      <c r="A168" s="96"/>
      <c r="B168" s="97"/>
      <c r="C168" s="129"/>
      <c r="D168" s="130"/>
      <c r="E168" s="131"/>
      <c r="F168" s="129"/>
      <c r="G168" s="99"/>
      <c r="H168" s="131"/>
      <c r="I168" s="132"/>
      <c r="J168" s="103"/>
    </row>
    <row r="169" spans="1:10" x14ac:dyDescent="0.25">
      <c r="A169" s="104" t="s">
        <v>80</v>
      </c>
      <c r="B169" s="89"/>
      <c r="C169" s="105"/>
      <c r="D169" s="106"/>
      <c r="E169" s="107">
        <f>SUM(E157,E149:E152,E148)</f>
        <v>14365.203300000001</v>
      </c>
      <c r="F169" s="108"/>
      <c r="G169" s="108"/>
      <c r="H169" s="107">
        <f>SUM(H157,H149:H152,H148)</f>
        <v>14467.232720565411</v>
      </c>
      <c r="I169" s="109">
        <f>H169-E169</f>
        <v>102.02942056540996</v>
      </c>
      <c r="J169" s="110">
        <f>IF((E169)=0,"",(I169/E169))</f>
        <v>7.1025392703916662E-3</v>
      </c>
    </row>
    <row r="170" spans="1:10" x14ac:dyDescent="0.25">
      <c r="A170" s="111" t="s">
        <v>76</v>
      </c>
      <c r="B170" s="89"/>
      <c r="C170" s="105">
        <v>0.13</v>
      </c>
      <c r="D170" s="106"/>
      <c r="E170" s="113">
        <f>E169*C170</f>
        <v>1867.4764290000003</v>
      </c>
      <c r="F170" s="105">
        <v>0.13</v>
      </c>
      <c r="G170" s="114"/>
      <c r="H170" s="113">
        <f>H169*F170</f>
        <v>1880.7402536735035</v>
      </c>
      <c r="I170" s="56">
        <f>H170-E170</f>
        <v>13.263824673503223</v>
      </c>
      <c r="J170" s="115">
        <f>IF((E170)=0,"",(I170/E170))</f>
        <v>7.1025392703916264E-3</v>
      </c>
    </row>
    <row r="171" spans="1:10" x14ac:dyDescent="0.25">
      <c r="A171" s="111" t="s">
        <v>77</v>
      </c>
      <c r="B171"/>
      <c r="C171" s="116">
        <v>0.11700000000000001</v>
      </c>
      <c r="D171" s="106"/>
      <c r="E171" s="113">
        <f>IF(OR(ISNUMBER(SEARCH("[DGEN]", B120))=TRUE, ISNUMBER(SEARCH("STREET LIGHT", B120))=TRUE), 0, IF(AND(B122=0, B123=0),0, IF(AND(B123=0, B122*12&gt;250000), 0, IF(AND(B122=0, B123&gt;=50), 0, IF(B122*12&lt;=250000, C171*E169*-1, IF(B123&lt;50, C171*E169*-1, 0))))))</f>
        <v>0</v>
      </c>
      <c r="F171" s="116">
        <v>0.11700000000000001</v>
      </c>
      <c r="G171" s="114"/>
      <c r="H171" s="113">
        <f>IF(OR(ISNUMBER(SEARCH("[DGEN]", B120))=TRUE, ISNUMBER(SEARCH("STREET LIGHT", B120))=TRUE), 0, IF(AND(B122=0, B123=0),0, IF(AND(B123=0, B122*12&gt;250000), 0, IF(AND(B122=0, B123&gt;=50), 0, IF(B122*12&lt;=250000, F171*H169*-1, IF(B123&lt;50, F171*H169*-1, 0))))))</f>
        <v>0</v>
      </c>
      <c r="I171" s="56"/>
      <c r="J171" s="115"/>
    </row>
    <row r="172" spans="1:10" ht="15.75" thickBot="1" x14ac:dyDescent="0.3">
      <c r="A172" s="265" t="s">
        <v>80</v>
      </c>
      <c r="B172" s="265"/>
      <c r="C172" s="124"/>
      <c r="D172" s="125"/>
      <c r="E172" s="119">
        <f>SUM(E169,E170)</f>
        <v>16232.679729000001</v>
      </c>
      <c r="F172" s="126"/>
      <c r="G172" s="126"/>
      <c r="H172" s="119">
        <f>SUM(H169,H170)</f>
        <v>16347.972974238914</v>
      </c>
      <c r="I172" s="127">
        <f>H172-E172</f>
        <v>115.29324523891228</v>
      </c>
      <c r="J172" s="128">
        <f>IF((E172)=0,"",(I172/E172))</f>
        <v>7.1025392703916055E-3</v>
      </c>
    </row>
    <row r="173" spans="1:10" ht="15.75" thickBot="1" x14ac:dyDescent="0.3">
      <c r="A173" s="96"/>
      <c r="B173" s="97"/>
      <c r="C173" s="133"/>
      <c r="D173" s="130"/>
      <c r="E173" s="134"/>
      <c r="F173" s="133"/>
      <c r="G173" s="99"/>
      <c r="H173" s="134"/>
      <c r="I173" s="132"/>
      <c r="J173" s="135"/>
    </row>
    <row r="176" spans="1:10" x14ac:dyDescent="0.25">
      <c r="A176" s="33" t="s">
        <v>30</v>
      </c>
      <c r="B176" s="254" t="str">
        <f>A18</f>
        <v>SEASONAL CUSTOMERS SERVICE CLASSIFICATION</v>
      </c>
      <c r="C176" s="254"/>
      <c r="D176" s="254"/>
      <c r="E176" s="254"/>
      <c r="F176" s="254"/>
      <c r="G176" s="254"/>
      <c r="H176" s="34" t="str">
        <f>IF(K18="DEMAND - INTERVAL","RTSR - INTERVAL METERED","")</f>
        <v/>
      </c>
    </row>
    <row r="177" spans="1:11" x14ac:dyDescent="0.25">
      <c r="A177" s="33" t="s">
        <v>31</v>
      </c>
      <c r="B177" s="255" t="str">
        <f>E18</f>
        <v>RPP</v>
      </c>
      <c r="C177" s="255"/>
      <c r="D177" s="255"/>
      <c r="E177" s="35"/>
      <c r="F177" s="35"/>
    </row>
    <row r="178" spans="1:11" ht="15.75" x14ac:dyDescent="0.25">
      <c r="A178" s="33" t="s">
        <v>32</v>
      </c>
      <c r="B178" s="36">
        <f>H18</f>
        <v>750</v>
      </c>
      <c r="C178" s="37" t="s">
        <v>33</v>
      </c>
      <c r="G178" s="38"/>
      <c r="H178" s="38"/>
      <c r="I178" s="38"/>
      <c r="J178" s="38"/>
      <c r="K178" s="38"/>
    </row>
    <row r="179" spans="1:11" ht="15.75" x14ac:dyDescent="0.25">
      <c r="A179" s="33" t="s">
        <v>34</v>
      </c>
      <c r="B179" s="36">
        <f>I18</f>
        <v>0</v>
      </c>
      <c r="C179" s="39" t="s">
        <v>35</v>
      </c>
      <c r="D179" s="40"/>
      <c r="E179" s="41"/>
      <c r="F179" s="41"/>
      <c r="G179" s="41"/>
    </row>
    <row r="180" spans="1:11" x14ac:dyDescent="0.25">
      <c r="A180" s="33" t="s">
        <v>36</v>
      </c>
      <c r="B180" s="42">
        <f>F18</f>
        <v>1.0829</v>
      </c>
    </row>
    <row r="181" spans="1:11" x14ac:dyDescent="0.25">
      <c r="A181" s="33" t="s">
        <v>37</v>
      </c>
      <c r="B181" s="42">
        <f>G18</f>
        <v>1.0829</v>
      </c>
    </row>
    <row r="183" spans="1:11" x14ac:dyDescent="0.25">
      <c r="B183" s="37"/>
      <c r="C183" s="256" t="s">
        <v>38</v>
      </c>
      <c r="D183" s="257"/>
      <c r="E183" s="258"/>
      <c r="F183" s="256" t="s">
        <v>39</v>
      </c>
      <c r="G183" s="257"/>
      <c r="H183" s="258"/>
      <c r="I183" s="256" t="s">
        <v>40</v>
      </c>
      <c r="J183" s="258"/>
    </row>
    <row r="184" spans="1:11" x14ac:dyDescent="0.25">
      <c r="B184" s="259"/>
      <c r="C184" s="43" t="s">
        <v>41</v>
      </c>
      <c r="D184" s="43" t="s">
        <v>42</v>
      </c>
      <c r="E184" s="44" t="s">
        <v>43</v>
      </c>
      <c r="F184" s="43" t="s">
        <v>41</v>
      </c>
      <c r="G184" s="45" t="s">
        <v>42</v>
      </c>
      <c r="H184" s="44" t="s">
        <v>43</v>
      </c>
      <c r="I184" s="261" t="s">
        <v>44</v>
      </c>
      <c r="J184" s="263" t="s">
        <v>45</v>
      </c>
    </row>
    <row r="185" spans="1:11" x14ac:dyDescent="0.25">
      <c r="B185" s="260"/>
      <c r="C185" s="46" t="s">
        <v>46</v>
      </c>
      <c r="D185" s="46"/>
      <c r="E185" s="47" t="s">
        <v>46</v>
      </c>
      <c r="F185" s="46" t="s">
        <v>46</v>
      </c>
      <c r="G185" s="47"/>
      <c r="H185" s="47" t="s">
        <v>46</v>
      </c>
      <c r="I185" s="262"/>
      <c r="J185" s="264"/>
    </row>
    <row r="186" spans="1:11" x14ac:dyDescent="0.25">
      <c r="A186" s="48" t="s">
        <v>47</v>
      </c>
      <c r="B186" s="49"/>
      <c r="C186" s="189">
        <v>75.61</v>
      </c>
      <c r="D186" s="51">
        <v>1</v>
      </c>
      <c r="E186" s="52">
        <f>D186*C186</f>
        <v>75.61</v>
      </c>
      <c r="F186" s="227">
        <v>82.79</v>
      </c>
      <c r="G186" s="54">
        <f>D186</f>
        <v>1</v>
      </c>
      <c r="H186" s="55">
        <f>G186*F186</f>
        <v>82.79</v>
      </c>
      <c r="I186" s="56">
        <f t="shared" ref="I186:I207" si="25">H186-E186</f>
        <v>7.1800000000000068</v>
      </c>
      <c r="J186" s="57">
        <f>IF(ISERROR(I186/E186), "", I186/E186)</f>
        <v>9.4960983996825912E-2</v>
      </c>
    </row>
    <row r="187" spans="1:11" x14ac:dyDescent="0.25">
      <c r="A187" s="48" t="s">
        <v>48</v>
      </c>
      <c r="B187" s="49"/>
      <c r="C187" s="191">
        <v>6.0100000000000001E-2</v>
      </c>
      <c r="D187" s="231">
        <f>B178</f>
        <v>750</v>
      </c>
      <c r="E187" s="52">
        <f t="shared" ref="E187:E199" si="26">D187*C187</f>
        <v>45.075000000000003</v>
      </c>
      <c r="F187" s="228">
        <v>3.8399999999999997E-2</v>
      </c>
      <c r="G187" s="232">
        <f>D187</f>
        <v>750</v>
      </c>
      <c r="H187" s="55">
        <f>G187*F187</f>
        <v>28.799999999999997</v>
      </c>
      <c r="I187" s="56">
        <f t="shared" si="25"/>
        <v>-16.275000000000006</v>
      </c>
      <c r="J187" s="57">
        <f t="shared" ref="J187:J197" si="27">IF(ISERROR(I187/E187), "", I187/E187)</f>
        <v>-0.36106489184692192</v>
      </c>
    </row>
    <row r="188" spans="1:11" x14ac:dyDescent="0.25">
      <c r="A188" s="48" t="s">
        <v>49</v>
      </c>
      <c r="B188" s="49"/>
      <c r="C188" s="58"/>
      <c r="D188" s="51">
        <f>IF($E179&gt;0, $E179, $E178)</f>
        <v>0</v>
      </c>
      <c r="E188" s="52">
        <v>0</v>
      </c>
      <c r="F188" s="59"/>
      <c r="G188" s="54">
        <f>IF($E179&gt;0, $E179, $E178)</f>
        <v>0</v>
      </c>
      <c r="H188" s="55">
        <v>0</v>
      </c>
      <c r="I188" s="56"/>
      <c r="J188" s="57"/>
    </row>
    <row r="189" spans="1:11" x14ac:dyDescent="0.25">
      <c r="A189" s="48" t="s">
        <v>50</v>
      </c>
      <c r="B189" s="49"/>
      <c r="C189" s="58"/>
      <c r="D189" s="51">
        <f>IF($E179&gt;0, $E179, $E178)</f>
        <v>0</v>
      </c>
      <c r="E189" s="52">
        <v>0</v>
      </c>
      <c r="F189" s="59"/>
      <c r="G189" s="60">
        <f>IF($E179&gt;0, $E179, $E178)</f>
        <v>0</v>
      </c>
      <c r="H189" s="55">
        <v>0</v>
      </c>
      <c r="I189" s="56">
        <f>H189-E189</f>
        <v>0</v>
      </c>
      <c r="J189" s="57" t="str">
        <f>IF(ISERROR(I189/E189), "", I189/E189)</f>
        <v/>
      </c>
    </row>
    <row r="190" spans="1:11" x14ac:dyDescent="0.25">
      <c r="A190" s="48" t="s">
        <v>51</v>
      </c>
      <c r="B190" s="49"/>
      <c r="C190" s="189">
        <v>5.28</v>
      </c>
      <c r="D190" s="51">
        <v>1</v>
      </c>
      <c r="E190" s="52">
        <f t="shared" si="26"/>
        <v>5.28</v>
      </c>
      <c r="F190" s="227">
        <v>5.28</v>
      </c>
      <c r="G190" s="54">
        <f>D190</f>
        <v>1</v>
      </c>
      <c r="H190" s="55">
        <f t="shared" ref="H190:H197" si="28">G190*F190</f>
        <v>5.28</v>
      </c>
      <c r="I190" s="56">
        <f t="shared" si="25"/>
        <v>0</v>
      </c>
      <c r="J190" s="57">
        <f t="shared" si="27"/>
        <v>0</v>
      </c>
    </row>
    <row r="191" spans="1:11" x14ac:dyDescent="0.25">
      <c r="A191" s="48" t="s">
        <v>52</v>
      </c>
      <c r="B191" s="49"/>
      <c r="C191" s="191">
        <v>3.3300000000000003E-2</v>
      </c>
      <c r="D191" s="231">
        <f>B178</f>
        <v>750</v>
      </c>
      <c r="E191" s="52">
        <f t="shared" si="26"/>
        <v>24.975000000000001</v>
      </c>
      <c r="F191" s="59">
        <v>0</v>
      </c>
      <c r="G191" s="232">
        <f>B178</f>
        <v>750</v>
      </c>
      <c r="H191" s="55">
        <f t="shared" si="28"/>
        <v>0</v>
      </c>
      <c r="I191" s="56">
        <f t="shared" si="25"/>
        <v>-24.975000000000001</v>
      </c>
      <c r="J191" s="57">
        <f t="shared" si="27"/>
        <v>-1</v>
      </c>
    </row>
    <row r="192" spans="1:11" x14ac:dyDescent="0.25">
      <c r="A192" s="61" t="s">
        <v>53</v>
      </c>
      <c r="B192" s="62"/>
      <c r="C192" s="63"/>
      <c r="D192" s="64"/>
      <c r="E192" s="65">
        <f>SUM(E186:E191)</f>
        <v>150.94</v>
      </c>
      <c r="F192" s="66"/>
      <c r="G192" s="67"/>
      <c r="H192" s="65">
        <f>SUM(H186:H191)</f>
        <v>116.87</v>
      </c>
      <c r="I192" s="68">
        <f t="shared" si="25"/>
        <v>-34.069999999999993</v>
      </c>
      <c r="J192" s="69">
        <f>IF((E192)=0,"",(I192/E192))</f>
        <v>-0.22571882867364512</v>
      </c>
    </row>
    <row r="193" spans="1:11" x14ac:dyDescent="0.25">
      <c r="A193" s="70" t="s">
        <v>54</v>
      </c>
      <c r="B193" s="49"/>
      <c r="C193" s="58">
        <v>9.3670000000000003E-2</v>
      </c>
      <c r="D193" s="71">
        <f>B178*(B180-1)</f>
        <v>62.174999999999983</v>
      </c>
      <c r="E193" s="52">
        <f>D193*C193</f>
        <v>5.8239322499999986</v>
      </c>
      <c r="F193" s="59">
        <v>9.3670000000000003E-2</v>
      </c>
      <c r="G193" s="72">
        <f>IF(F193=0, 0, B178*B181-B178)</f>
        <v>62.174999999999955</v>
      </c>
      <c r="H193" s="55">
        <f>G193*F193</f>
        <v>5.8239322499999959</v>
      </c>
      <c r="I193" s="56">
        <f>H193-E193</f>
        <v>0</v>
      </c>
      <c r="J193" s="57">
        <f>IF(ISERROR(I193/E193), "", I193/E193)</f>
        <v>0</v>
      </c>
    </row>
    <row r="194" spans="1:11" ht="25.5" x14ac:dyDescent="0.25">
      <c r="A194" s="70" t="s">
        <v>55</v>
      </c>
      <c r="B194" s="49"/>
      <c r="C194" s="191">
        <v>2.8E-3</v>
      </c>
      <c r="D194" s="73">
        <f>B178</f>
        <v>750</v>
      </c>
      <c r="E194" s="52">
        <f t="shared" si="26"/>
        <v>2.1</v>
      </c>
      <c r="F194" s="228">
        <v>3.7309222871942014E-3</v>
      </c>
      <c r="G194" s="74">
        <f>B178</f>
        <v>750</v>
      </c>
      <c r="H194" s="55">
        <f t="shared" si="28"/>
        <v>2.7981917153956508</v>
      </c>
      <c r="I194" s="56">
        <f t="shared" si="25"/>
        <v>0.69819171539565072</v>
      </c>
      <c r="J194" s="57">
        <f t="shared" si="27"/>
        <v>0.33247224542650033</v>
      </c>
    </row>
    <row r="195" spans="1:11" x14ac:dyDescent="0.25">
      <c r="A195" s="70" t="s">
        <v>56</v>
      </c>
      <c r="B195" s="49"/>
      <c r="C195" s="191">
        <v>-1E-4</v>
      </c>
      <c r="D195" s="73">
        <f>B178</f>
        <v>750</v>
      </c>
      <c r="E195" s="52">
        <f>D195*C195</f>
        <v>-7.4999999999999997E-2</v>
      </c>
      <c r="F195" s="228">
        <v>-2.0000000000000001E-4</v>
      </c>
      <c r="G195" s="74">
        <f>B178</f>
        <v>750</v>
      </c>
      <c r="H195" s="55">
        <f>G195*F195</f>
        <v>-0.15</v>
      </c>
      <c r="I195" s="56">
        <f t="shared" si="25"/>
        <v>-7.4999999999999997E-2</v>
      </c>
      <c r="J195" s="57">
        <f t="shared" si="27"/>
        <v>1</v>
      </c>
    </row>
    <row r="196" spans="1:11" x14ac:dyDescent="0.25">
      <c r="A196" s="70" t="s">
        <v>57</v>
      </c>
      <c r="B196" s="49"/>
      <c r="C196" s="58">
        <v>0</v>
      </c>
      <c r="D196" s="73">
        <f>B178</f>
        <v>750</v>
      </c>
      <c r="E196" s="52">
        <f>D196*C196</f>
        <v>0</v>
      </c>
      <c r="F196" s="59">
        <v>0</v>
      </c>
      <c r="G196" s="74">
        <f>B178</f>
        <v>750</v>
      </c>
      <c r="H196" s="55">
        <f t="shared" si="28"/>
        <v>0</v>
      </c>
      <c r="I196" s="56">
        <f t="shared" si="25"/>
        <v>0</v>
      </c>
      <c r="J196" s="57" t="str">
        <f t="shared" si="27"/>
        <v/>
      </c>
    </row>
    <row r="197" spans="1:11" x14ac:dyDescent="0.25">
      <c r="A197" s="48" t="s">
        <v>58</v>
      </c>
      <c r="B197" s="49"/>
      <c r="C197" s="58">
        <v>0</v>
      </c>
      <c r="D197" s="73">
        <f>IF($E179&gt;0, $E179, $E178)</f>
        <v>0</v>
      </c>
      <c r="E197" s="52">
        <f t="shared" si="26"/>
        <v>0</v>
      </c>
      <c r="F197" s="59"/>
      <c r="G197" s="74">
        <f>IF($E179&gt;0, $E179, $E178)</f>
        <v>0</v>
      </c>
      <c r="H197" s="55">
        <f t="shared" si="28"/>
        <v>0</v>
      </c>
      <c r="I197" s="56">
        <f t="shared" si="25"/>
        <v>0</v>
      </c>
      <c r="J197" s="57" t="str">
        <f t="shared" si="27"/>
        <v/>
      </c>
    </row>
    <row r="198" spans="1:11" ht="25.5" x14ac:dyDescent="0.25">
      <c r="A198" s="70" t="s">
        <v>59</v>
      </c>
      <c r="B198" s="49"/>
      <c r="C198" s="192">
        <f>'Current (2023) Tariff'!D96</f>
        <v>0.42</v>
      </c>
      <c r="D198" s="51">
        <v>1</v>
      </c>
      <c r="E198" s="52">
        <f>D198*C198</f>
        <v>0.42</v>
      </c>
      <c r="F198" s="229">
        <v>0.42</v>
      </c>
      <c r="G198" s="60">
        <v>1</v>
      </c>
      <c r="H198" s="55">
        <f>G198*F198</f>
        <v>0.42</v>
      </c>
      <c r="I198" s="56">
        <f t="shared" si="25"/>
        <v>0</v>
      </c>
      <c r="J198" s="57">
        <f>IF(ISERROR(I198/E198), "", I198/E198)</f>
        <v>0</v>
      </c>
    </row>
    <row r="199" spans="1:11" x14ac:dyDescent="0.25">
      <c r="A199" s="48" t="s">
        <v>60</v>
      </c>
      <c r="B199" s="49"/>
      <c r="C199" s="50">
        <v>0</v>
      </c>
      <c r="D199" s="51">
        <v>1</v>
      </c>
      <c r="E199" s="52">
        <f t="shared" si="26"/>
        <v>0</v>
      </c>
      <c r="F199" s="53">
        <v>0</v>
      </c>
      <c r="G199" s="60">
        <v>1</v>
      </c>
      <c r="H199" s="55">
        <f>G199*F199</f>
        <v>0</v>
      </c>
      <c r="I199" s="56">
        <f>H199-E199</f>
        <v>0</v>
      </c>
      <c r="J199" s="57" t="str">
        <f>IF(ISERROR(I199/E199), "", I199/E199)</f>
        <v/>
      </c>
    </row>
    <row r="200" spans="1:11" x14ac:dyDescent="0.25">
      <c r="A200" s="48" t="s">
        <v>61</v>
      </c>
      <c r="B200" s="49"/>
      <c r="C200" s="58">
        <v>0</v>
      </c>
      <c r="D200" s="73">
        <f>IF($E179&gt;0, $E179, $E178)</f>
        <v>0</v>
      </c>
      <c r="E200" s="52">
        <f>D200*C200</f>
        <v>0</v>
      </c>
      <c r="F200" s="59">
        <v>0</v>
      </c>
      <c r="G200" s="74">
        <f>IF($E179&gt;0, $E179, $E178)</f>
        <v>0</v>
      </c>
      <c r="H200" s="55">
        <f>G200*F200</f>
        <v>0</v>
      </c>
      <c r="I200" s="56">
        <f t="shared" si="25"/>
        <v>0</v>
      </c>
      <c r="J200" s="57" t="str">
        <f>IF(ISERROR(I200/E200), "", I200/E200)</f>
        <v/>
      </c>
    </row>
    <row r="201" spans="1:11" ht="25.5" x14ac:dyDescent="0.25">
      <c r="A201" s="77" t="s">
        <v>62</v>
      </c>
      <c r="B201" s="78"/>
      <c r="C201" s="79"/>
      <c r="D201" s="80"/>
      <c r="E201" s="81">
        <f>SUM(E192:E200)</f>
        <v>159.20893224999998</v>
      </c>
      <c r="F201" s="82"/>
      <c r="G201" s="83"/>
      <c r="H201" s="81">
        <f>SUM(H192:H200)</f>
        <v>125.76212396539565</v>
      </c>
      <c r="I201" s="68">
        <f t="shared" si="25"/>
        <v>-33.44680828460433</v>
      </c>
      <c r="J201" s="69">
        <f>IF((E201)=0,"",(I201/E201))</f>
        <v>-0.21008122981494548</v>
      </c>
    </row>
    <row r="202" spans="1:11" x14ac:dyDescent="0.25">
      <c r="A202" s="84" t="s">
        <v>63</v>
      </c>
      <c r="B202" s="49"/>
      <c r="C202" s="191">
        <v>1.0500000000000001E-2</v>
      </c>
      <c r="D202" s="71">
        <f>B178*B180</f>
        <v>812.17499999999995</v>
      </c>
      <c r="E202" s="52">
        <f>D202*C202</f>
        <v>8.5278375000000004</v>
      </c>
      <c r="F202" s="230">
        <v>1.0075382459283159E-2</v>
      </c>
      <c r="G202" s="72">
        <f>D202</f>
        <v>812.17499999999995</v>
      </c>
      <c r="H202" s="55">
        <f>G202*F202</f>
        <v>8.1829737488682994</v>
      </c>
      <c r="I202" s="56">
        <f t="shared" si="25"/>
        <v>-0.34486375113170098</v>
      </c>
      <c r="J202" s="57">
        <f>IF(ISERROR(I202/E202), "", I202/E202)</f>
        <v>-4.0439765782556356E-2</v>
      </c>
      <c r="K202" s="85" t="str">
        <f>IF(ISERROR(ABS(J202)), "", IF(ABS(J202)&gt;=4%, "In the manager's summary, discuss the reasoning for the change in RTSR rates", ""))</f>
        <v>In the manager's summary, discuss the reasoning for the change in RTSR rates</v>
      </c>
    </row>
    <row r="203" spans="1:11" ht="25.5" x14ac:dyDescent="0.25">
      <c r="A203" s="86" t="s">
        <v>64</v>
      </c>
      <c r="B203" s="49"/>
      <c r="C203" s="191">
        <v>7.3000000000000001E-3</v>
      </c>
      <c r="D203" s="71">
        <f>D202</f>
        <v>812.17499999999995</v>
      </c>
      <c r="E203" s="52">
        <f>D203*C203</f>
        <v>5.9288774999999996</v>
      </c>
      <c r="F203" s="230">
        <v>7.5402879954109651E-3</v>
      </c>
      <c r="G203" s="72">
        <f>D203</f>
        <v>812.17499999999995</v>
      </c>
      <c r="H203" s="55">
        <f>G203*F203</f>
        <v>6.1240334026729002</v>
      </c>
      <c r="I203" s="56">
        <f t="shared" si="25"/>
        <v>0.19515590267290062</v>
      </c>
      <c r="J203" s="57">
        <f>IF(ISERROR(I203/E203), "", I203/E203)</f>
        <v>3.2916163754926737E-2</v>
      </c>
      <c r="K203" s="85" t="str">
        <f>IF(ISERROR(ABS(J203)), "", IF(ABS(J203)&gt;=4%, "In the manager's summary, discuss the reasoning for the change in RTSR rates", ""))</f>
        <v/>
      </c>
    </row>
    <row r="204" spans="1:11" ht="25.5" x14ac:dyDescent="0.25">
      <c r="A204" s="77" t="s">
        <v>65</v>
      </c>
      <c r="B204" s="62"/>
      <c r="C204" s="79"/>
      <c r="D204" s="80"/>
      <c r="E204" s="81">
        <f>SUM(E201:E203)</f>
        <v>173.66564724999998</v>
      </c>
      <c r="F204" s="82"/>
      <c r="G204" s="67"/>
      <c r="H204" s="81">
        <f>SUM(H201:H203)</f>
        <v>140.06913111693683</v>
      </c>
      <c r="I204" s="68">
        <f t="shared" si="25"/>
        <v>-33.596516133063147</v>
      </c>
      <c r="J204" s="69">
        <f>IF((E204)=0,"",(I204/E204))</f>
        <v>-0.19345516321198147</v>
      </c>
    </row>
    <row r="205" spans="1:11" ht="25.5" x14ac:dyDescent="0.25">
      <c r="A205" s="87" t="s">
        <v>66</v>
      </c>
      <c r="B205" s="49"/>
      <c r="C205" s="191">
        <f>C93</f>
        <v>4.4999999999999997E-3</v>
      </c>
      <c r="D205" s="71">
        <f>B178*B180</f>
        <v>812.17499999999995</v>
      </c>
      <c r="E205" s="88">
        <f t="shared" ref="E205:E211" si="29">D205*C205</f>
        <v>3.6547874999999994</v>
      </c>
      <c r="F205" s="228">
        <v>4.5000000000000005E-3</v>
      </c>
      <c r="G205" s="72">
        <f>B178*B181</f>
        <v>812.17499999999995</v>
      </c>
      <c r="H205" s="55">
        <f t="shared" ref="H205:H211" si="30">G205*F205</f>
        <v>3.6547875000000003</v>
      </c>
      <c r="I205" s="56">
        <f t="shared" si="25"/>
        <v>0</v>
      </c>
      <c r="J205" s="57">
        <f t="shared" ref="J205:J213" si="31">IF(ISERROR(I205/E205), "", I205/E205)</f>
        <v>0</v>
      </c>
    </row>
    <row r="206" spans="1:11" ht="25.5" x14ac:dyDescent="0.25">
      <c r="A206" s="87" t="s">
        <v>67</v>
      </c>
      <c r="B206" s="49"/>
      <c r="C206" s="191">
        <f t="shared" ref="C206:C207" si="32">C94</f>
        <v>6.9999999999999999E-4</v>
      </c>
      <c r="D206" s="71">
        <f>B178*B180</f>
        <v>812.17499999999995</v>
      </c>
      <c r="E206" s="88">
        <f t="shared" si="29"/>
        <v>0.56852249999999993</v>
      </c>
      <c r="F206" s="228">
        <v>6.9999999999999999E-4</v>
      </c>
      <c r="G206" s="72">
        <f>B178*B181</f>
        <v>812.17499999999995</v>
      </c>
      <c r="H206" s="55">
        <f t="shared" si="30"/>
        <v>0.56852249999999993</v>
      </c>
      <c r="I206" s="56">
        <f t="shared" si="25"/>
        <v>0</v>
      </c>
      <c r="J206" s="57">
        <f t="shared" si="31"/>
        <v>0</v>
      </c>
    </row>
    <row r="207" spans="1:11" x14ac:dyDescent="0.25">
      <c r="A207" s="89" t="s">
        <v>68</v>
      </c>
      <c r="B207" s="49"/>
      <c r="C207" s="191">
        <f t="shared" si="32"/>
        <v>0.25</v>
      </c>
      <c r="D207" s="51">
        <v>1</v>
      </c>
      <c r="E207" s="88">
        <f t="shared" si="29"/>
        <v>0.25</v>
      </c>
      <c r="F207" s="229">
        <v>0.25</v>
      </c>
      <c r="G207" s="54">
        <v>1</v>
      </c>
      <c r="H207" s="55">
        <f t="shared" si="30"/>
        <v>0.25</v>
      </c>
      <c r="I207" s="56">
        <f t="shared" si="25"/>
        <v>0</v>
      </c>
      <c r="J207" s="57">
        <f t="shared" si="31"/>
        <v>0</v>
      </c>
    </row>
    <row r="208" spans="1:11" ht="25.5" x14ac:dyDescent="0.25">
      <c r="A208" s="87" t="s">
        <v>69</v>
      </c>
      <c r="B208" s="49"/>
      <c r="C208" s="58"/>
      <c r="D208" s="71"/>
      <c r="E208" s="88"/>
      <c r="F208" s="59"/>
      <c r="G208" s="72"/>
      <c r="H208" s="55"/>
      <c r="I208" s="56"/>
      <c r="J208" s="57"/>
    </row>
    <row r="209" spans="1:10" x14ac:dyDescent="0.25">
      <c r="A209" s="89" t="s">
        <v>70</v>
      </c>
      <c r="B209" s="49"/>
      <c r="C209" s="90">
        <v>7.3999999999999996E-2</v>
      </c>
      <c r="D209" s="91">
        <v>472.5</v>
      </c>
      <c r="E209" s="88">
        <f t="shared" si="29"/>
        <v>34.964999999999996</v>
      </c>
      <c r="F209" s="92">
        <v>7.3999999999999996E-2</v>
      </c>
      <c r="G209" s="93">
        <v>472.5</v>
      </c>
      <c r="H209" s="55">
        <f t="shared" si="30"/>
        <v>34.964999999999996</v>
      </c>
      <c r="I209" s="56">
        <f>H209-E209</f>
        <v>0</v>
      </c>
      <c r="J209" s="57">
        <f t="shared" si="31"/>
        <v>0</v>
      </c>
    </row>
    <row r="210" spans="1:10" x14ac:dyDescent="0.25">
      <c r="A210" s="89" t="s">
        <v>71</v>
      </c>
      <c r="B210" s="49"/>
      <c r="C210" s="90">
        <v>0.10199999999999999</v>
      </c>
      <c r="D210" s="91">
        <v>135</v>
      </c>
      <c r="E210" s="88">
        <f t="shared" si="29"/>
        <v>13.77</v>
      </c>
      <c r="F210" s="92">
        <v>0.10199999999999999</v>
      </c>
      <c r="G210" s="93">
        <v>135</v>
      </c>
      <c r="H210" s="55">
        <f t="shared" si="30"/>
        <v>13.77</v>
      </c>
      <c r="I210" s="56">
        <f>H210-E210</f>
        <v>0</v>
      </c>
      <c r="J210" s="57">
        <f t="shared" si="31"/>
        <v>0</v>
      </c>
    </row>
    <row r="211" spans="1:10" x14ac:dyDescent="0.25">
      <c r="A211" s="34" t="s">
        <v>72</v>
      </c>
      <c r="B211" s="49"/>
      <c r="C211" s="90">
        <v>0.151</v>
      </c>
      <c r="D211" s="91">
        <v>142.5</v>
      </c>
      <c r="E211" s="88">
        <f t="shared" si="29"/>
        <v>21.517499999999998</v>
      </c>
      <c r="F211" s="92">
        <v>0.151</v>
      </c>
      <c r="G211" s="93">
        <v>142.5</v>
      </c>
      <c r="H211" s="55">
        <f t="shared" si="30"/>
        <v>21.517499999999998</v>
      </c>
      <c r="I211" s="56">
        <f>H211-E211</f>
        <v>0</v>
      </c>
      <c r="J211" s="57">
        <f t="shared" si="31"/>
        <v>0</v>
      </c>
    </row>
    <row r="212" spans="1:10" x14ac:dyDescent="0.25">
      <c r="A212" s="89" t="s">
        <v>73</v>
      </c>
      <c r="B212" s="49"/>
      <c r="C212" s="94">
        <v>0.1076</v>
      </c>
      <c r="D212" s="91">
        <f>IF(AND(B178*12&gt;=150000),B178*B180,B178)</f>
        <v>750</v>
      </c>
      <c r="E212" s="88">
        <f>D212*C212</f>
        <v>80.7</v>
      </c>
      <c r="F212" s="95">
        <f>C212</f>
        <v>0.1076</v>
      </c>
      <c r="G212" s="93">
        <f>IF(AND(B178*12&gt;=150000),B178*B181,B178)</f>
        <v>750</v>
      </c>
      <c r="H212" s="55">
        <f>G212*F212</f>
        <v>80.7</v>
      </c>
      <c r="I212" s="56">
        <f>H212-E212</f>
        <v>0</v>
      </c>
      <c r="J212" s="57">
        <f t="shared" si="31"/>
        <v>0</v>
      </c>
    </row>
    <row r="213" spans="1:10" ht="15.75" thickBot="1" x14ac:dyDescent="0.3">
      <c r="A213" s="89" t="s">
        <v>74</v>
      </c>
      <c r="B213" s="49"/>
      <c r="C213" s="94">
        <v>0.1076</v>
      </c>
      <c r="D213" s="91">
        <f>IF(AND(B178*12&gt;=150000),B178*B180,B178)</f>
        <v>750</v>
      </c>
      <c r="E213" s="88">
        <f>D213*C213</f>
        <v>80.7</v>
      </c>
      <c r="F213" s="95">
        <f>C213</f>
        <v>0.1076</v>
      </c>
      <c r="G213" s="93">
        <f>IF(AND(B178*12&gt;=150000),B178*B181,B178)</f>
        <v>750</v>
      </c>
      <c r="H213" s="55">
        <f>G213*F213</f>
        <v>80.7</v>
      </c>
      <c r="I213" s="56">
        <f>H213-E213</f>
        <v>0</v>
      </c>
      <c r="J213" s="57">
        <f t="shared" si="31"/>
        <v>0</v>
      </c>
    </row>
    <row r="214" spans="1:10" ht="15.75" thickBot="1" x14ac:dyDescent="0.3">
      <c r="A214" s="96"/>
      <c r="B214" s="97"/>
      <c r="C214" s="98"/>
      <c r="D214" s="99"/>
      <c r="E214" s="100"/>
      <c r="F214" s="98"/>
      <c r="G214" s="101"/>
      <c r="H214" s="100"/>
      <c r="I214" s="102"/>
      <c r="J214" s="103"/>
    </row>
    <row r="215" spans="1:10" x14ac:dyDescent="0.25">
      <c r="A215" s="104" t="s">
        <v>75</v>
      </c>
      <c r="B215" s="89"/>
      <c r="C215" s="105"/>
      <c r="D215" s="106"/>
      <c r="E215" s="107">
        <f>SUM(E205:E211,E204)</f>
        <v>248.39145724999997</v>
      </c>
      <c r="F215" s="108"/>
      <c r="G215" s="108"/>
      <c r="H215" s="107">
        <f>SUM(H205:H211,H204)</f>
        <v>214.79494111693683</v>
      </c>
      <c r="I215" s="109">
        <f>H215-E215</f>
        <v>-33.596516133063147</v>
      </c>
      <c r="J215" s="110">
        <f>IF((E215)=0,"",(I215/E215))</f>
        <v>-0.1352563268681542</v>
      </c>
    </row>
    <row r="216" spans="1:10" x14ac:dyDescent="0.25">
      <c r="A216" s="111" t="s">
        <v>76</v>
      </c>
      <c r="B216" s="89"/>
      <c r="C216" s="105">
        <v>0.13</v>
      </c>
      <c r="D216" s="112"/>
      <c r="E216" s="113">
        <f>E215*C216</f>
        <v>32.290889442499996</v>
      </c>
      <c r="F216" s="114">
        <v>0.13</v>
      </c>
      <c r="G216" s="51"/>
      <c r="H216" s="113">
        <f>H215*F216</f>
        <v>27.923342345201789</v>
      </c>
      <c r="I216" s="56">
        <f>H216-E216</f>
        <v>-4.3675470972982069</v>
      </c>
      <c r="J216" s="115">
        <f>IF((E216)=0,"",(I216/E216))</f>
        <v>-0.13525632686815414</v>
      </c>
    </row>
    <row r="217" spans="1:10" x14ac:dyDescent="0.25">
      <c r="A217" s="111" t="s">
        <v>77</v>
      </c>
      <c r="B217"/>
      <c r="C217" s="116">
        <v>0.11700000000000001</v>
      </c>
      <c r="D217" s="112"/>
      <c r="E217" s="113">
        <f>IF(OR(ISNUMBER(SEARCH("[DGEN]", B176))=TRUE, ISNUMBER(SEARCH("STREET LIGHT", B176))=TRUE), 0, IF(AND(B178=0, B179=0),0, IF(AND(B179=0, B178*12&gt;250000), 0, IF(AND(B178=0, B179&gt;=50), 0, IF(B178*12&lt;=250000, C217*E215*-1, IF(B179&lt;50, C217*E215*-1, 0))))))</f>
        <v>-29.061800498249998</v>
      </c>
      <c r="F217" s="116">
        <v>0.11700000000000001</v>
      </c>
      <c r="G217" s="51"/>
      <c r="H217" s="113">
        <f>IF(OR(ISNUMBER(SEARCH("[DGEN]", B176))=TRUE, ISNUMBER(SEARCH("STREET LIGHT", B176))=TRUE), 0, IF(AND(B178=0, B179=0),0, IF(AND(B179=0, B178*12&gt;250000), 0, IF(AND(B178=0, B179&gt;=50), 0, IF(B178*12&lt;=250000, F217*H215*-1, IF(B179&lt;50, F217*H215*-1, 0))))))</f>
        <v>-25.131008110681609</v>
      </c>
      <c r="I217" s="56">
        <f>H217-E217</f>
        <v>3.9307923875683883</v>
      </c>
      <c r="J217" s="115"/>
    </row>
    <row r="218" spans="1:10" x14ac:dyDescent="0.25">
      <c r="A218" s="265" t="s">
        <v>78</v>
      </c>
      <c r="B218" s="265"/>
      <c r="C218" s="117"/>
      <c r="D218" s="118"/>
      <c r="E218" s="119">
        <f>E215+E216+E217</f>
        <v>251.62054619424995</v>
      </c>
      <c r="F218" s="120"/>
      <c r="G218" s="120"/>
      <c r="H218" s="121">
        <f>H215+H216+H217</f>
        <v>217.58727535145701</v>
      </c>
      <c r="I218" s="122">
        <f>H218-E218</f>
        <v>-34.033270842792945</v>
      </c>
      <c r="J218" s="123">
        <f>IF((E218)=0,"",(I218/E218))</f>
        <v>-0.13525632686815411</v>
      </c>
    </row>
    <row r="219" spans="1:10" ht="15.75" hidden="1" thickBot="1" x14ac:dyDescent="0.3">
      <c r="A219" s="96"/>
      <c r="B219" s="97"/>
      <c r="C219" s="98"/>
      <c r="D219" s="99"/>
      <c r="E219" s="100"/>
      <c r="F219" s="98"/>
      <c r="G219" s="101"/>
      <c r="H219" s="100"/>
      <c r="I219" s="102"/>
      <c r="J219" s="103"/>
    </row>
    <row r="220" spans="1:10" hidden="1" x14ac:dyDescent="0.25">
      <c r="A220" s="104" t="s">
        <v>79</v>
      </c>
      <c r="B220" s="89"/>
      <c r="C220" s="105"/>
      <c r="D220" s="106"/>
      <c r="E220" s="107">
        <f>SUM(E212,E205:E208,E204)</f>
        <v>258.83895724999996</v>
      </c>
      <c r="F220" s="108"/>
      <c r="G220" s="108"/>
      <c r="H220" s="107">
        <f>SUM(H212,H205:H208,H204)</f>
        <v>225.24244111693685</v>
      </c>
      <c r="I220" s="109">
        <f>H220-E220</f>
        <v>-33.596516133063119</v>
      </c>
      <c r="J220" s="110">
        <f>IF((E220)=0,"",(I220/E220))</f>
        <v>-0.12979698454206751</v>
      </c>
    </row>
    <row r="221" spans="1:10" hidden="1" x14ac:dyDescent="0.25">
      <c r="A221" s="111" t="s">
        <v>76</v>
      </c>
      <c r="B221" s="89"/>
      <c r="C221" s="105">
        <v>0.13</v>
      </c>
      <c r="D221" s="106"/>
      <c r="E221" s="113">
        <f>E220*C221</f>
        <v>33.649064442499999</v>
      </c>
      <c r="F221" s="105">
        <v>0.13</v>
      </c>
      <c r="G221" s="114"/>
      <c r="H221" s="113">
        <f>H220*F221</f>
        <v>29.281517345201792</v>
      </c>
      <c r="I221" s="56">
        <f>H221-E221</f>
        <v>-4.3675470972982069</v>
      </c>
      <c r="J221" s="115">
        <f>IF((E221)=0,"",(I221/E221))</f>
        <v>-0.12979698454206753</v>
      </c>
    </row>
    <row r="222" spans="1:10" hidden="1" x14ac:dyDescent="0.25">
      <c r="A222" s="111" t="s">
        <v>77</v>
      </c>
      <c r="B222"/>
      <c r="C222" s="116">
        <v>0.11700000000000001</v>
      </c>
      <c r="D222" s="106"/>
      <c r="E222" s="113">
        <f>IF(OR(ISNUMBER(SEARCH("[DGEN]", B176))=TRUE, ISNUMBER(SEARCH("STREET LIGHT", B176))=TRUE), 0, IF(AND(B178=0, B179=0),0, IF(AND(B179=0, B178*12&gt;250000), 0, IF(AND(B178=0, B179&gt;=50), 0, IF(B178*12&lt;=250000, C222*E220*-1, IF(B179&lt;50, C222*E220*-1, 0))))))</f>
        <v>-30.284157998249999</v>
      </c>
      <c r="F222" s="116">
        <v>0.11700000000000001</v>
      </c>
      <c r="G222" s="114"/>
      <c r="H222" s="113">
        <f>IF(OR(ISNUMBER(SEARCH("[DGEN]", B176))=TRUE, ISNUMBER(SEARCH("STREET LIGHT", B176))=TRUE), 0, IF(AND(B178=0, B179=0),0, IF(AND(B179=0, B178*12&gt;250000), 0, IF(AND(B178=0, B179&gt;=50), 0, IF(B178*12&lt;=250000, F222*H220*-1, IF(B179&lt;50, F222*H220*-1, 0))))))</f>
        <v>-26.353365610681614</v>
      </c>
      <c r="I222" s="56"/>
      <c r="J222" s="115"/>
    </row>
    <row r="223" spans="1:10" ht="15.75" hidden="1" thickBot="1" x14ac:dyDescent="0.3">
      <c r="A223" s="265" t="s">
        <v>79</v>
      </c>
      <c r="B223" s="265"/>
      <c r="C223" s="124"/>
      <c r="D223" s="125"/>
      <c r="E223" s="119">
        <f>SUM(E220,E221)</f>
        <v>292.48802169249996</v>
      </c>
      <c r="F223" s="126"/>
      <c r="G223" s="126"/>
      <c r="H223" s="119">
        <f>SUM(H220,H221)</f>
        <v>254.52395846213864</v>
      </c>
      <c r="I223" s="127">
        <f>H223-E223</f>
        <v>-37.964063230361319</v>
      </c>
      <c r="J223" s="128">
        <f>IF((E223)=0,"",(I223/E223))</f>
        <v>-0.12979698454206751</v>
      </c>
    </row>
    <row r="224" spans="1:10" ht="15.75" hidden="1" thickBot="1" x14ac:dyDescent="0.3">
      <c r="A224" s="96"/>
      <c r="B224" s="97"/>
      <c r="C224" s="129"/>
      <c r="D224" s="130"/>
      <c r="E224" s="131"/>
      <c r="F224" s="129"/>
      <c r="G224" s="99"/>
      <c r="H224" s="131"/>
      <c r="I224" s="132"/>
      <c r="J224" s="103"/>
    </row>
    <row r="225" spans="1:11" hidden="1" x14ac:dyDescent="0.25">
      <c r="A225" s="104" t="s">
        <v>80</v>
      </c>
      <c r="B225" s="89"/>
      <c r="C225" s="105"/>
      <c r="D225" s="106"/>
      <c r="E225" s="107">
        <f>SUM(E213,E205:E208,E204)</f>
        <v>258.83895724999996</v>
      </c>
      <c r="F225" s="108"/>
      <c r="G225" s="108"/>
      <c r="H225" s="107">
        <f>SUM(H213,H205:H208,H204)</f>
        <v>225.24244111693685</v>
      </c>
      <c r="I225" s="109">
        <f>H225-E225</f>
        <v>-33.596516133063119</v>
      </c>
      <c r="J225" s="110">
        <f>IF((E225)=0,"",(I225/E225))</f>
        <v>-0.12979698454206751</v>
      </c>
    </row>
    <row r="226" spans="1:11" hidden="1" x14ac:dyDescent="0.25">
      <c r="A226" s="111" t="s">
        <v>76</v>
      </c>
      <c r="B226" s="89"/>
      <c r="C226" s="105">
        <v>0.13</v>
      </c>
      <c r="D226" s="106"/>
      <c r="E226" s="113">
        <f>E225*C226</f>
        <v>33.649064442499999</v>
      </c>
      <c r="F226" s="105">
        <v>0.13</v>
      </c>
      <c r="G226" s="114"/>
      <c r="H226" s="113">
        <f>H225*F226</f>
        <v>29.281517345201792</v>
      </c>
      <c r="I226" s="56">
        <f>H226-E226</f>
        <v>-4.3675470972982069</v>
      </c>
      <c r="J226" s="115">
        <f>IF((E226)=0,"",(I226/E226))</f>
        <v>-0.12979698454206753</v>
      </c>
    </row>
    <row r="227" spans="1:11" hidden="1" x14ac:dyDescent="0.25">
      <c r="A227" s="111" t="s">
        <v>77</v>
      </c>
      <c r="B227"/>
      <c r="C227" s="116">
        <v>0.11700000000000001</v>
      </c>
      <c r="D227" s="106"/>
      <c r="E227" s="113">
        <f>IF(OR(ISNUMBER(SEARCH("[DGEN]", B176))=TRUE, ISNUMBER(SEARCH("STREET LIGHT", B176))=TRUE), 0, IF(AND(B178=0, B179=0),0, IF(AND(B179=0, B178*12&gt;250000), 0, IF(AND(B178=0, B179&gt;=50), 0, IF(B178*12&lt;=250000, C227*E225*-1, IF(B179&lt;50, C227*E225*-1, 0))))))</f>
        <v>-30.284157998249999</v>
      </c>
      <c r="F227" s="116">
        <v>0.11700000000000001</v>
      </c>
      <c r="G227" s="114"/>
      <c r="H227" s="113">
        <f>IF(OR(ISNUMBER(SEARCH("[DGEN]", B176))=TRUE, ISNUMBER(SEARCH("STREET LIGHT", B176))=TRUE), 0, IF(AND(B178=0, B179=0),0, IF(AND(B179=0, B178*12&gt;250000), 0, IF(AND(B178=0, B179&gt;=50), 0, IF(B178*12&lt;=250000, F227*H225*-1, IF(B179&lt;50, F227*H225*-1, 0))))))</f>
        <v>-26.353365610681614</v>
      </c>
      <c r="I227" s="56"/>
      <c r="J227" s="115"/>
    </row>
    <row r="228" spans="1:11" ht="15.75" hidden="1" thickBot="1" x14ac:dyDescent="0.3">
      <c r="A228" s="265" t="s">
        <v>80</v>
      </c>
      <c r="B228" s="265"/>
      <c r="C228" s="124"/>
      <c r="D228" s="125"/>
      <c r="E228" s="119">
        <f>SUM(E225,E226)</f>
        <v>292.48802169249996</v>
      </c>
      <c r="F228" s="126"/>
      <c r="G228" s="126"/>
      <c r="H228" s="119">
        <f>SUM(H225,H226)</f>
        <v>254.52395846213864</v>
      </c>
      <c r="I228" s="127">
        <f>H228-E228</f>
        <v>-37.964063230361319</v>
      </c>
      <c r="J228" s="128">
        <f>IF((E228)=0,"",(I228/E228))</f>
        <v>-0.12979698454206751</v>
      </c>
    </row>
    <row r="229" spans="1:11" ht="15.75" hidden="1" thickBot="1" x14ac:dyDescent="0.3">
      <c r="A229" s="96"/>
      <c r="B229" s="97"/>
      <c r="C229" s="133"/>
      <c r="D229" s="130"/>
      <c r="E229" s="134"/>
      <c r="F229" s="133"/>
      <c r="G229" s="99"/>
      <c r="H229" s="134"/>
      <c r="I229" s="132"/>
      <c r="J229" s="135"/>
    </row>
    <row r="232" spans="1:11" x14ac:dyDescent="0.25">
      <c r="A232" s="33" t="s">
        <v>30</v>
      </c>
      <c r="B232" s="254" t="str">
        <f>A19</f>
        <v>STREET LIGHTING SERVICE CLASSIFICATION</v>
      </c>
      <c r="C232" s="254"/>
      <c r="D232" s="254"/>
      <c r="E232" s="254"/>
      <c r="F232" s="254"/>
      <c r="G232" s="254"/>
      <c r="H232" s="34" t="str">
        <f>IF(K19="DEMAND - INTERVAL","RTSR - INTERVAL METERED","")</f>
        <v/>
      </c>
    </row>
    <row r="233" spans="1:11" x14ac:dyDescent="0.25">
      <c r="A233" s="33" t="s">
        <v>31</v>
      </c>
      <c r="B233" s="255" t="str">
        <f>E19</f>
        <v>Non-RPP (Other)</v>
      </c>
      <c r="C233" s="255"/>
      <c r="D233" s="255"/>
      <c r="E233" s="35"/>
      <c r="F233" s="35"/>
    </row>
    <row r="234" spans="1:11" ht="15.75" x14ac:dyDescent="0.25">
      <c r="A234" s="33" t="s">
        <v>32</v>
      </c>
      <c r="B234" s="36">
        <f>H19</f>
        <v>3228</v>
      </c>
      <c r="C234" s="37" t="s">
        <v>33</v>
      </c>
      <c r="G234" s="38"/>
      <c r="H234" s="38"/>
      <c r="I234" s="38"/>
      <c r="J234" s="38"/>
      <c r="K234" s="38"/>
    </row>
    <row r="235" spans="1:11" ht="15.75" x14ac:dyDescent="0.25">
      <c r="A235" s="33" t="s">
        <v>34</v>
      </c>
      <c r="B235" s="36">
        <f>I19</f>
        <v>9</v>
      </c>
      <c r="C235" s="39" t="s">
        <v>35</v>
      </c>
      <c r="D235" s="40"/>
      <c r="E235" s="41"/>
      <c r="F235" s="41"/>
      <c r="G235" s="41"/>
    </row>
    <row r="236" spans="1:11" x14ac:dyDescent="0.25">
      <c r="A236" s="33" t="s">
        <v>36</v>
      </c>
      <c r="B236" s="42">
        <f>F19</f>
        <v>1.0829</v>
      </c>
    </row>
    <row r="237" spans="1:11" x14ac:dyDescent="0.25">
      <c r="A237" s="33" t="s">
        <v>37</v>
      </c>
      <c r="B237" s="42">
        <f>G19</f>
        <v>1.0829</v>
      </c>
    </row>
    <row r="239" spans="1:11" x14ac:dyDescent="0.25">
      <c r="B239" s="37"/>
      <c r="C239" s="256" t="s">
        <v>38</v>
      </c>
      <c r="D239" s="257"/>
      <c r="E239" s="258"/>
      <c r="F239" s="256" t="s">
        <v>39</v>
      </c>
      <c r="G239" s="257"/>
      <c r="H239" s="258"/>
      <c r="I239" s="256" t="s">
        <v>40</v>
      </c>
      <c r="J239" s="258"/>
    </row>
    <row r="240" spans="1:11" x14ac:dyDescent="0.25">
      <c r="B240" s="259"/>
      <c r="C240" s="43" t="s">
        <v>41</v>
      </c>
      <c r="D240" s="43" t="s">
        <v>42</v>
      </c>
      <c r="E240" s="44" t="s">
        <v>43</v>
      </c>
      <c r="F240" s="43" t="s">
        <v>41</v>
      </c>
      <c r="G240" s="45" t="s">
        <v>42</v>
      </c>
      <c r="H240" s="44" t="s">
        <v>43</v>
      </c>
      <c r="I240" s="261" t="s">
        <v>44</v>
      </c>
      <c r="J240" s="263" t="s">
        <v>45</v>
      </c>
    </row>
    <row r="241" spans="1:10" x14ac:dyDescent="0.25">
      <c r="B241" s="260"/>
      <c r="C241" s="46" t="s">
        <v>46</v>
      </c>
      <c r="D241" s="46"/>
      <c r="E241" s="47" t="s">
        <v>46</v>
      </c>
      <c r="F241" s="46" t="s">
        <v>46</v>
      </c>
      <c r="G241" s="47"/>
      <c r="H241" s="47" t="s">
        <v>46</v>
      </c>
      <c r="I241" s="262"/>
      <c r="J241" s="264"/>
    </row>
    <row r="242" spans="1:10" x14ac:dyDescent="0.25">
      <c r="A242" s="48" t="s">
        <v>47</v>
      </c>
      <c r="B242" s="49"/>
      <c r="C242" s="201">
        <v>2</v>
      </c>
      <c r="D242" s="51">
        <v>1</v>
      </c>
      <c r="E242" s="52">
        <f>D242*C242</f>
        <v>2</v>
      </c>
      <c r="F242" s="223">
        <v>2.08</v>
      </c>
      <c r="G242" s="54">
        <v>1</v>
      </c>
      <c r="H242" s="55">
        <f>G242*F242</f>
        <v>2.08</v>
      </c>
      <c r="I242" s="56">
        <f t="shared" ref="I242:I263" si="33">H242-E242</f>
        <v>8.0000000000000071E-2</v>
      </c>
      <c r="J242" s="57">
        <f>IF(ISERROR(I242/E242), "", I242/E242)</f>
        <v>4.0000000000000036E-2</v>
      </c>
    </row>
    <row r="243" spans="1:10" x14ac:dyDescent="0.25">
      <c r="A243" s="48" t="s">
        <v>48</v>
      </c>
      <c r="B243" s="49"/>
      <c r="C243" s="204">
        <v>0.3226</v>
      </c>
      <c r="D243" s="231">
        <f>B235</f>
        <v>9</v>
      </c>
      <c r="E243" s="52">
        <f t="shared" ref="E243:E255" si="34">D243*C243</f>
        <v>2.9034</v>
      </c>
      <c r="F243" s="224">
        <v>0.33610000000000001</v>
      </c>
      <c r="G243" s="232">
        <f>B235</f>
        <v>9</v>
      </c>
      <c r="H243" s="55">
        <f>G243*F243</f>
        <v>3.0249000000000001</v>
      </c>
      <c r="I243" s="56">
        <f t="shared" si="33"/>
        <v>0.12150000000000016</v>
      </c>
      <c r="J243" s="57">
        <f t="shared" ref="J243:J253" si="35">IF(ISERROR(I243/E243), "", I243/E243)</f>
        <v>4.1847489150651014E-2</v>
      </c>
    </row>
    <row r="244" spans="1:10" x14ac:dyDescent="0.25">
      <c r="A244" s="48" t="s">
        <v>49</v>
      </c>
      <c r="B244" s="49"/>
      <c r="C244" s="58"/>
      <c r="D244" s="51">
        <f>IF($E235&gt;0, $E235, $E234)</f>
        <v>0</v>
      </c>
      <c r="E244" s="52">
        <v>0</v>
      </c>
      <c r="F244" s="59"/>
      <c r="G244" s="54">
        <f>IF($E235&gt;0, $E235, $E234)</f>
        <v>0</v>
      </c>
      <c r="H244" s="55">
        <v>0</v>
      </c>
      <c r="I244" s="56"/>
      <c r="J244" s="57"/>
    </row>
    <row r="245" spans="1:10" x14ac:dyDescent="0.25">
      <c r="A245" s="48" t="s">
        <v>50</v>
      </c>
      <c r="B245" s="49"/>
      <c r="C245" s="58"/>
      <c r="D245" s="51">
        <f>IF($E235&gt;0, $E235, $E234)</f>
        <v>0</v>
      </c>
      <c r="E245" s="52">
        <v>0</v>
      </c>
      <c r="F245" s="59"/>
      <c r="G245" s="60">
        <f>IF($E235&gt;0, $E235, $E234)</f>
        <v>0</v>
      </c>
      <c r="H245" s="55">
        <v>0</v>
      </c>
      <c r="I245" s="56">
        <f>H245-E245</f>
        <v>0</v>
      </c>
      <c r="J245" s="57" t="str">
        <f>IF(ISERROR(I245/E245), "", I245/E245)</f>
        <v/>
      </c>
    </row>
    <row r="246" spans="1:10" x14ac:dyDescent="0.25">
      <c r="A246" s="48" t="s">
        <v>51</v>
      </c>
      <c r="B246" s="49"/>
      <c r="C246" s="201">
        <v>0.96</v>
      </c>
      <c r="D246" s="51">
        <v>1</v>
      </c>
      <c r="E246" s="52">
        <f t="shared" si="34"/>
        <v>0.96</v>
      </c>
      <c r="F246" s="223">
        <v>0.96</v>
      </c>
      <c r="G246" s="54">
        <v>1</v>
      </c>
      <c r="H246" s="55">
        <f t="shared" ref="H246:H253" si="36">G246*F246</f>
        <v>0.96</v>
      </c>
      <c r="I246" s="56">
        <f t="shared" si="33"/>
        <v>0</v>
      </c>
      <c r="J246" s="57">
        <f t="shared" si="35"/>
        <v>0</v>
      </c>
    </row>
    <row r="247" spans="1:10" x14ac:dyDescent="0.25">
      <c r="A247" s="48" t="s">
        <v>52</v>
      </c>
      <c r="B247" s="49"/>
      <c r="C247" s="204">
        <v>0.1633</v>
      </c>
      <c r="D247" s="231">
        <f>B234</f>
        <v>3228</v>
      </c>
      <c r="E247" s="52">
        <f t="shared" si="34"/>
        <v>527.13239999999996</v>
      </c>
      <c r="F247" s="224">
        <v>1.29E-2</v>
      </c>
      <c r="G247" s="232">
        <f>B234</f>
        <v>3228</v>
      </c>
      <c r="H247" s="55">
        <f t="shared" si="36"/>
        <v>41.641199999999998</v>
      </c>
      <c r="I247" s="56">
        <f t="shared" si="33"/>
        <v>-485.49119999999994</v>
      </c>
      <c r="J247" s="57">
        <f t="shared" si="35"/>
        <v>-0.92100428658909972</v>
      </c>
    </row>
    <row r="248" spans="1:10" x14ac:dyDescent="0.25">
      <c r="A248" s="61" t="s">
        <v>53</v>
      </c>
      <c r="B248" s="62"/>
      <c r="C248" s="63"/>
      <c r="D248" s="64"/>
      <c r="E248" s="65">
        <f>SUM(E242:E247)</f>
        <v>532.99579999999992</v>
      </c>
      <c r="F248" s="66"/>
      <c r="G248" s="67"/>
      <c r="H248" s="65">
        <f>SUM(H242:H247)</f>
        <v>47.706099999999999</v>
      </c>
      <c r="I248" s="68">
        <f t="shared" si="33"/>
        <v>-485.28969999999993</v>
      </c>
      <c r="J248" s="69">
        <f>IF((E248)=0,"",(I248/E248))</f>
        <v>-0.91049441665393982</v>
      </c>
    </row>
    <row r="249" spans="1:10" x14ac:dyDescent="0.25">
      <c r="A249" s="70" t="s">
        <v>54</v>
      </c>
      <c r="B249" s="49"/>
      <c r="C249" s="58">
        <v>0.1076</v>
      </c>
      <c r="D249" s="71">
        <f>B234*(B236-1)</f>
        <v>267.60119999999989</v>
      </c>
      <c r="E249" s="52">
        <f>D249*C249</f>
        <v>28.793889119999989</v>
      </c>
      <c r="F249" s="59">
        <v>0.1076</v>
      </c>
      <c r="G249" s="72">
        <f>IF(F249=0, 0, B234*B237-B234)</f>
        <v>267.60120000000006</v>
      </c>
      <c r="H249" s="55">
        <f>G249*F249</f>
        <v>28.793889120000006</v>
      </c>
      <c r="I249" s="56">
        <f>H249-E249</f>
        <v>0</v>
      </c>
      <c r="J249" s="57">
        <f>IF(ISERROR(I249/E249), "", I249/E249)</f>
        <v>0</v>
      </c>
    </row>
    <row r="250" spans="1:10" ht="25.5" x14ac:dyDescent="0.25">
      <c r="A250" s="70" t="s">
        <v>55</v>
      </c>
      <c r="B250" s="49"/>
      <c r="C250" s="204">
        <v>3.8999999999999998E-3</v>
      </c>
      <c r="D250" s="73">
        <f>B234</f>
        <v>3228</v>
      </c>
      <c r="E250" s="52">
        <f t="shared" si="34"/>
        <v>12.5892</v>
      </c>
      <c r="F250" s="224">
        <v>3.7309222871942009E-3</v>
      </c>
      <c r="G250" s="74">
        <f>B234</f>
        <v>3228</v>
      </c>
      <c r="H250" s="55">
        <f t="shared" si="36"/>
        <v>12.04341714306288</v>
      </c>
      <c r="I250" s="56">
        <f t="shared" si="33"/>
        <v>-0.54578285693711948</v>
      </c>
      <c r="J250" s="57">
        <f t="shared" si="35"/>
        <v>-4.3353259693794638E-2</v>
      </c>
    </row>
    <row r="251" spans="1:10" x14ac:dyDescent="0.25">
      <c r="A251" s="70" t="s">
        <v>56</v>
      </c>
      <c r="B251" s="49"/>
      <c r="C251" s="204">
        <v>-1E-4</v>
      </c>
      <c r="D251" s="73">
        <f>B234</f>
        <v>3228</v>
      </c>
      <c r="E251" s="52">
        <f>D251*C251</f>
        <v>-0.32280000000000003</v>
      </c>
      <c r="F251" s="224">
        <v>-2.0000000000000001E-4</v>
      </c>
      <c r="G251" s="74">
        <f>B234</f>
        <v>3228</v>
      </c>
      <c r="H251" s="55">
        <f>G251*F251</f>
        <v>-0.64560000000000006</v>
      </c>
      <c r="I251" s="56">
        <f t="shared" si="33"/>
        <v>-0.32280000000000003</v>
      </c>
      <c r="J251" s="57">
        <f t="shared" si="35"/>
        <v>1</v>
      </c>
    </row>
    <row r="252" spans="1:10" x14ac:dyDescent="0.25">
      <c r="A252" s="70" t="s">
        <v>57</v>
      </c>
      <c r="B252" s="49"/>
      <c r="C252" s="58">
        <v>0</v>
      </c>
      <c r="D252" s="73">
        <f>B234</f>
        <v>3228</v>
      </c>
      <c r="E252" s="52">
        <f>D252*C252</f>
        <v>0</v>
      </c>
      <c r="F252" s="59">
        <v>0</v>
      </c>
      <c r="G252" s="74">
        <f>B234</f>
        <v>3228</v>
      </c>
      <c r="H252" s="55">
        <f t="shared" si="36"/>
        <v>0</v>
      </c>
      <c r="I252" s="56">
        <f t="shared" si="33"/>
        <v>0</v>
      </c>
      <c r="J252" s="57" t="str">
        <f t="shared" si="35"/>
        <v/>
      </c>
    </row>
    <row r="253" spans="1:10" x14ac:dyDescent="0.25">
      <c r="A253" s="48" t="s">
        <v>58</v>
      </c>
      <c r="B253" s="49"/>
      <c r="C253" s="58">
        <v>0</v>
      </c>
      <c r="D253" s="73">
        <f>IF($E235&gt;0, $E235, $E234)</f>
        <v>0</v>
      </c>
      <c r="E253" s="52">
        <f t="shared" si="34"/>
        <v>0</v>
      </c>
      <c r="F253" s="59"/>
      <c r="G253" s="74">
        <f>IF($E235&gt;0, $E235, $E234)</f>
        <v>0</v>
      </c>
      <c r="H253" s="55">
        <f t="shared" si="36"/>
        <v>0</v>
      </c>
      <c r="I253" s="56">
        <f t="shared" si="33"/>
        <v>0</v>
      </c>
      <c r="J253" s="57" t="str">
        <f t="shared" si="35"/>
        <v/>
      </c>
    </row>
    <row r="254" spans="1:10" ht="25.5" x14ac:dyDescent="0.25">
      <c r="A254" s="70" t="s">
        <v>59</v>
      </c>
      <c r="B254" s="49"/>
      <c r="C254" s="75">
        <v>0</v>
      </c>
      <c r="D254" s="51"/>
      <c r="E254" s="52">
        <f>D254*C254</f>
        <v>0</v>
      </c>
      <c r="F254" s="76">
        <v>0</v>
      </c>
      <c r="G254" s="60"/>
      <c r="H254" s="55">
        <f>G254*F254</f>
        <v>0</v>
      </c>
      <c r="I254" s="56">
        <f t="shared" si="33"/>
        <v>0</v>
      </c>
      <c r="J254" s="57" t="str">
        <f>IF(ISERROR(I254/E254), "", I254/E254)</f>
        <v/>
      </c>
    </row>
    <row r="255" spans="1:10" x14ac:dyDescent="0.25">
      <c r="A255" s="48" t="s">
        <v>60</v>
      </c>
      <c r="B255" s="49"/>
      <c r="C255" s="50">
        <v>0</v>
      </c>
      <c r="D255" s="51"/>
      <c r="E255" s="52">
        <f t="shared" si="34"/>
        <v>0</v>
      </c>
      <c r="F255" s="53">
        <v>0</v>
      </c>
      <c r="G255" s="60"/>
      <c r="H255" s="55">
        <f>G255*F255</f>
        <v>0</v>
      </c>
      <c r="I255" s="56">
        <f>H255-E255</f>
        <v>0</v>
      </c>
      <c r="J255" s="57" t="str">
        <f>IF(ISERROR(I255/E255), "", I255/E255)</f>
        <v/>
      </c>
    </row>
    <row r="256" spans="1:10" x14ac:dyDescent="0.25">
      <c r="A256" s="48" t="s">
        <v>61</v>
      </c>
      <c r="B256" s="49"/>
      <c r="C256" s="58">
        <v>0</v>
      </c>
      <c r="D256" s="73">
        <f>IF($E235&gt;0, $E235, $E234)</f>
        <v>0</v>
      </c>
      <c r="E256" s="52">
        <f>D256*C256</f>
        <v>0</v>
      </c>
      <c r="F256" s="59">
        <v>0</v>
      </c>
      <c r="G256" s="74">
        <f>IF($E235&gt;0, $E235, $E234)</f>
        <v>0</v>
      </c>
      <c r="H256" s="55">
        <f>G256*F256</f>
        <v>0</v>
      </c>
      <c r="I256" s="56">
        <f t="shared" si="33"/>
        <v>0</v>
      </c>
      <c r="J256" s="57" t="str">
        <f>IF(ISERROR(I256/E256), "", I256/E256)</f>
        <v/>
      </c>
    </row>
    <row r="257" spans="1:11" ht="25.5" x14ac:dyDescent="0.25">
      <c r="A257" s="77" t="s">
        <v>62</v>
      </c>
      <c r="B257" s="78"/>
      <c r="C257" s="79"/>
      <c r="D257" s="80"/>
      <c r="E257" s="81">
        <f>SUM(E248:E256)</f>
        <v>574.05608911999991</v>
      </c>
      <c r="F257" s="82"/>
      <c r="G257" s="83"/>
      <c r="H257" s="81">
        <f>SUM(H248:H256)</f>
        <v>87.89780626306289</v>
      </c>
      <c r="I257" s="68">
        <f t="shared" si="33"/>
        <v>-486.15828285693703</v>
      </c>
      <c r="J257" s="69">
        <f>IF((E257)=0,"",(I257/E257))</f>
        <v>-0.84688289536688666</v>
      </c>
    </row>
    <row r="258" spans="1:11" x14ac:dyDescent="0.25">
      <c r="A258" s="84" t="s">
        <v>63</v>
      </c>
      <c r="B258" s="49"/>
      <c r="C258" s="204">
        <v>2.8948</v>
      </c>
      <c r="D258" s="71">
        <f>B235</f>
        <v>9</v>
      </c>
      <c r="E258" s="52">
        <f>D258*C258</f>
        <v>26.0532</v>
      </c>
      <c r="F258" s="225">
        <v>2.7777357307627222</v>
      </c>
      <c r="G258" s="72">
        <f>B235</f>
        <v>9</v>
      </c>
      <c r="H258" s="55">
        <f>G258*F258</f>
        <v>24.999621576864499</v>
      </c>
      <c r="I258" s="56">
        <f t="shared" si="33"/>
        <v>-1.0535784231355017</v>
      </c>
      <c r="J258" s="57">
        <f>IF(ISERROR(I258/E258), "", I258/E258)</f>
        <v>-4.0439501601933797E-2</v>
      </c>
      <c r="K258" s="85" t="str">
        <f>IF(ISERROR(ABS(J258)), "", IF(ABS(J258)&gt;=4%, "In the manager's summary, discuss the reasoning for the change in RTSR rates", ""))</f>
        <v>In the manager's summary, discuss the reasoning for the change in RTSR rates</v>
      </c>
    </row>
    <row r="259" spans="1:11" ht="25.5" x14ac:dyDescent="0.25">
      <c r="A259" s="86" t="s">
        <v>64</v>
      </c>
      <c r="B259" s="49"/>
      <c r="C259" s="204">
        <v>1.9959</v>
      </c>
      <c r="D259" s="71">
        <f>B235</f>
        <v>9</v>
      </c>
      <c r="E259" s="52">
        <f>D259*C259</f>
        <v>17.963100000000001</v>
      </c>
      <c r="F259" s="225">
        <v>2.0615983234453097</v>
      </c>
      <c r="G259" s="72">
        <f>B235</f>
        <v>9</v>
      </c>
      <c r="H259" s="55">
        <f>G259*F259</f>
        <v>18.554384911007787</v>
      </c>
      <c r="I259" s="56">
        <f t="shared" si="33"/>
        <v>0.59128491100778646</v>
      </c>
      <c r="J259" s="57">
        <f>IF(ISERROR(I259/E259), "", I259/E259)</f>
        <v>3.291664083636936E-2</v>
      </c>
      <c r="K259" s="85" t="str">
        <f>IF(ISERROR(ABS(J259)), "", IF(ABS(J259)&gt;=4%, "In the manager's summary, discuss the reasoning for the change in RTSR rates", ""))</f>
        <v/>
      </c>
    </row>
    <row r="260" spans="1:11" ht="25.5" x14ac:dyDescent="0.25">
      <c r="A260" s="77" t="s">
        <v>65</v>
      </c>
      <c r="B260" s="62"/>
      <c r="C260" s="79"/>
      <c r="D260" s="80"/>
      <c r="E260" s="81">
        <f>SUM(E257:E259)</f>
        <v>618.07238911999991</v>
      </c>
      <c r="F260" s="82"/>
      <c r="G260" s="67"/>
      <c r="H260" s="81">
        <f>SUM(H257:H259)</f>
        <v>131.45181275093518</v>
      </c>
      <c r="I260" s="68">
        <f t="shared" si="33"/>
        <v>-486.62057636906474</v>
      </c>
      <c r="J260" s="69">
        <f>IF((E260)=0,"",(I260/E260))</f>
        <v>-0.7873197135725577</v>
      </c>
    </row>
    <row r="261" spans="1:11" ht="25.5" x14ac:dyDescent="0.25">
      <c r="A261" s="87" t="s">
        <v>66</v>
      </c>
      <c r="B261" s="49"/>
      <c r="C261" s="204">
        <f>C93</f>
        <v>4.4999999999999997E-3</v>
      </c>
      <c r="D261" s="71">
        <f>B234*B236</f>
        <v>3495.6012000000001</v>
      </c>
      <c r="E261" s="88">
        <f t="shared" ref="E261:E267" si="37">D261*C261</f>
        <v>15.730205399999999</v>
      </c>
      <c r="F261" s="224">
        <v>4.5000000000000005E-3</v>
      </c>
      <c r="G261" s="72">
        <f>B234*B237</f>
        <v>3495.6012000000001</v>
      </c>
      <c r="H261" s="55">
        <f t="shared" ref="H261:H267" si="38">G261*F261</f>
        <v>15.730205400000003</v>
      </c>
      <c r="I261" s="56">
        <f t="shared" si="33"/>
        <v>0</v>
      </c>
      <c r="J261" s="57">
        <f t="shared" ref="J261:J269" si="39">IF(ISERROR(I261/E261), "", I261/E261)</f>
        <v>0</v>
      </c>
    </row>
    <row r="262" spans="1:11" ht="25.5" x14ac:dyDescent="0.25">
      <c r="A262" s="87" t="s">
        <v>67</v>
      </c>
      <c r="B262" s="49"/>
      <c r="C262" s="204">
        <f t="shared" ref="C262:C263" si="40">C94</f>
        <v>6.9999999999999999E-4</v>
      </c>
      <c r="D262" s="71">
        <f>B234*B236</f>
        <v>3495.6012000000001</v>
      </c>
      <c r="E262" s="88">
        <f t="shared" si="37"/>
        <v>2.4469208400000002</v>
      </c>
      <c r="F262" s="224">
        <v>6.9999999999999999E-4</v>
      </c>
      <c r="G262" s="72">
        <f>B234*B237</f>
        <v>3495.6012000000001</v>
      </c>
      <c r="H262" s="55">
        <f t="shared" si="38"/>
        <v>2.4469208400000002</v>
      </c>
      <c r="I262" s="56">
        <f t="shared" si="33"/>
        <v>0</v>
      </c>
      <c r="J262" s="57">
        <f t="shared" si="39"/>
        <v>0</v>
      </c>
    </row>
    <row r="263" spans="1:11" x14ac:dyDescent="0.25">
      <c r="A263" s="89" t="s">
        <v>68</v>
      </c>
      <c r="B263" s="49"/>
      <c r="C263" s="204">
        <f t="shared" si="40"/>
        <v>0.25</v>
      </c>
      <c r="D263" s="51"/>
      <c r="E263" s="88">
        <f t="shared" si="37"/>
        <v>0</v>
      </c>
      <c r="F263" s="226">
        <v>0.25</v>
      </c>
      <c r="G263" s="54"/>
      <c r="H263" s="55">
        <f t="shared" si="38"/>
        <v>0</v>
      </c>
      <c r="I263" s="56">
        <f t="shared" si="33"/>
        <v>0</v>
      </c>
      <c r="J263" s="57" t="str">
        <f t="shared" si="39"/>
        <v/>
      </c>
    </row>
    <row r="264" spans="1:11" ht="25.5" x14ac:dyDescent="0.25">
      <c r="A264" s="87" t="s">
        <v>69</v>
      </c>
      <c r="B264" s="49"/>
      <c r="C264" s="204"/>
      <c r="D264" s="71"/>
      <c r="E264" s="88"/>
      <c r="F264" s="59"/>
      <c r="G264" s="72"/>
      <c r="H264" s="55"/>
      <c r="I264" s="56"/>
      <c r="J264" s="57"/>
    </row>
    <row r="265" spans="1:11" x14ac:dyDescent="0.25">
      <c r="A265" s="89" t="s">
        <v>70</v>
      </c>
      <c r="B265" s="49"/>
      <c r="C265" s="90">
        <v>7.3999999999999996E-2</v>
      </c>
      <c r="D265" s="91">
        <v>2033.64</v>
      </c>
      <c r="E265" s="88">
        <f t="shared" si="37"/>
        <v>150.48936</v>
      </c>
      <c r="F265" s="92">
        <v>7.3999999999999996E-2</v>
      </c>
      <c r="G265" s="93">
        <v>2033.64</v>
      </c>
      <c r="H265" s="55">
        <f t="shared" si="38"/>
        <v>150.48936</v>
      </c>
      <c r="I265" s="56">
        <f>H265-E265</f>
        <v>0</v>
      </c>
      <c r="J265" s="57">
        <f t="shared" si="39"/>
        <v>0</v>
      </c>
    </row>
    <row r="266" spans="1:11" x14ac:dyDescent="0.25">
      <c r="A266" s="89" t="s">
        <v>71</v>
      </c>
      <c r="B266" s="49"/>
      <c r="C266" s="90">
        <v>0.10199999999999999</v>
      </c>
      <c r="D266" s="91">
        <v>581.04</v>
      </c>
      <c r="E266" s="88">
        <f t="shared" si="37"/>
        <v>59.266079999999995</v>
      </c>
      <c r="F266" s="92">
        <v>0.10199999999999999</v>
      </c>
      <c r="G266" s="93">
        <v>581.04</v>
      </c>
      <c r="H266" s="55">
        <f t="shared" si="38"/>
        <v>59.266079999999995</v>
      </c>
      <c r="I266" s="56">
        <f>H266-E266</f>
        <v>0</v>
      </c>
      <c r="J266" s="57">
        <f t="shared" si="39"/>
        <v>0</v>
      </c>
    </row>
    <row r="267" spans="1:11" x14ac:dyDescent="0.25">
      <c r="A267" s="34" t="s">
        <v>72</v>
      </c>
      <c r="B267" s="49"/>
      <c r="C267" s="90">
        <v>0.151</v>
      </c>
      <c r="D267" s="91">
        <v>613.32000000000005</v>
      </c>
      <c r="E267" s="88">
        <f t="shared" si="37"/>
        <v>92.611320000000006</v>
      </c>
      <c r="F267" s="92">
        <v>0.151</v>
      </c>
      <c r="G267" s="93">
        <v>613.32000000000005</v>
      </c>
      <c r="H267" s="55">
        <f t="shared" si="38"/>
        <v>92.611320000000006</v>
      </c>
      <c r="I267" s="56">
        <f>H267-E267</f>
        <v>0</v>
      </c>
      <c r="J267" s="57">
        <f t="shared" si="39"/>
        <v>0</v>
      </c>
    </row>
    <row r="268" spans="1:11" x14ac:dyDescent="0.25">
      <c r="A268" s="89" t="s">
        <v>73</v>
      </c>
      <c r="B268" s="49"/>
      <c r="C268" s="94">
        <v>0.1076</v>
      </c>
      <c r="D268" s="91">
        <f>IF(AND(B234*12&gt;=150000),B234*B236,B234)</f>
        <v>3228</v>
      </c>
      <c r="E268" s="88">
        <f>D268*C268</f>
        <v>347.33280000000002</v>
      </c>
      <c r="F268" s="95">
        <f>C268</f>
        <v>0.1076</v>
      </c>
      <c r="G268" s="93">
        <f>IF(AND(B234*12&gt;=150000),B234*B237,B234)</f>
        <v>3228</v>
      </c>
      <c r="H268" s="55">
        <f>G268*F268</f>
        <v>347.33280000000002</v>
      </c>
      <c r="I268" s="56">
        <f>H268-E268</f>
        <v>0</v>
      </c>
      <c r="J268" s="57">
        <f t="shared" si="39"/>
        <v>0</v>
      </c>
    </row>
    <row r="269" spans="1:11" ht="15.75" thickBot="1" x14ac:dyDescent="0.3">
      <c r="A269" s="89" t="s">
        <v>74</v>
      </c>
      <c r="B269" s="49"/>
      <c r="C269" s="94">
        <v>0.1076</v>
      </c>
      <c r="D269" s="91">
        <f>IF(AND(B234*12&gt;=150000),B234*B236,B234)</f>
        <v>3228</v>
      </c>
      <c r="E269" s="88">
        <f>D269*C269</f>
        <v>347.33280000000002</v>
      </c>
      <c r="F269" s="95">
        <f>C269</f>
        <v>0.1076</v>
      </c>
      <c r="G269" s="93">
        <f>IF(AND(B234*12&gt;=150000),B234*B237,B234)</f>
        <v>3228</v>
      </c>
      <c r="H269" s="55">
        <f>G269*F269</f>
        <v>347.33280000000002</v>
      </c>
      <c r="I269" s="56">
        <f>H269-E269</f>
        <v>0</v>
      </c>
      <c r="J269" s="57">
        <f t="shared" si="39"/>
        <v>0</v>
      </c>
    </row>
    <row r="270" spans="1:11" ht="15.75" hidden="1" thickBot="1" x14ac:dyDescent="0.3">
      <c r="A270" s="96"/>
      <c r="B270" s="97"/>
      <c r="C270" s="98"/>
      <c r="D270" s="99"/>
      <c r="E270" s="100"/>
      <c r="F270" s="98"/>
      <c r="G270" s="101"/>
      <c r="H270" s="100"/>
      <c r="I270" s="102"/>
      <c r="J270" s="103"/>
    </row>
    <row r="271" spans="1:11" hidden="1" x14ac:dyDescent="0.25">
      <c r="A271" s="104" t="s">
        <v>75</v>
      </c>
      <c r="B271" s="89"/>
      <c r="C271" s="105"/>
      <c r="D271" s="106"/>
      <c r="E271" s="107">
        <f>SUM(E261:E267,E260)</f>
        <v>938.61627535999992</v>
      </c>
      <c r="F271" s="108"/>
      <c r="G271" s="108"/>
      <c r="H271" s="107">
        <f>SUM(H261:H267,H260)</f>
        <v>451.99569899093518</v>
      </c>
      <c r="I271" s="109">
        <f>H271-E271</f>
        <v>-486.62057636906474</v>
      </c>
      <c r="J271" s="110">
        <f>IF((E271)=0,"",(I271/E271))</f>
        <v>-0.51844463935214069</v>
      </c>
    </row>
    <row r="272" spans="1:11" hidden="1" x14ac:dyDescent="0.25">
      <c r="A272" s="111" t="s">
        <v>76</v>
      </c>
      <c r="B272" s="89"/>
      <c r="C272" s="105">
        <v>0.13</v>
      </c>
      <c r="D272" s="112"/>
      <c r="E272" s="113">
        <f>E271*C272</f>
        <v>122.0201157968</v>
      </c>
      <c r="F272" s="114">
        <v>0.13</v>
      </c>
      <c r="G272" s="51"/>
      <c r="H272" s="113">
        <f>H271*F272</f>
        <v>58.759440868821578</v>
      </c>
      <c r="I272" s="56">
        <f>H272-E272</f>
        <v>-63.260674927978421</v>
      </c>
      <c r="J272" s="115">
        <f>IF((E272)=0,"",(I272/E272))</f>
        <v>-0.51844463935214069</v>
      </c>
    </row>
    <row r="273" spans="1:10" hidden="1" x14ac:dyDescent="0.25">
      <c r="A273" s="111" t="s">
        <v>77</v>
      </c>
      <c r="B273"/>
      <c r="C273" s="116">
        <v>0.11700000000000001</v>
      </c>
      <c r="D273" s="112"/>
      <c r="E273" s="113">
        <f>IF(OR(ISNUMBER(SEARCH("[DGEN]", B232))=TRUE, ISNUMBER(SEARCH("STREET LIGHT", B232))=TRUE), 0, IF(AND(B234=0, B235=0),0, IF(AND(B235=0, B234*12&gt;250000), 0, IF(AND(B234=0, B235&gt;=50), 0, IF(B234*12&lt;=250000, C273*E271*-1, IF(B235&lt;50, C273*E271*-1, 0))))))</f>
        <v>0</v>
      </c>
      <c r="F273" s="116">
        <v>0.11700000000000001</v>
      </c>
      <c r="G273" s="51"/>
      <c r="H273" s="113">
        <f>IF(OR(ISNUMBER(SEARCH("[DGEN]", B232))=TRUE, ISNUMBER(SEARCH("STREET LIGHT", B232))=TRUE), 0, IF(AND(B234=0, B235=0),0, IF(AND(B235=0, B234*12&gt;250000), 0, IF(AND(B234=0, B235&gt;=50), 0, IF(B234*12&lt;=250000, F273*H271*-1, IF(B235&lt;50, F273*H271*-1, 0))))))</f>
        <v>0</v>
      </c>
      <c r="I273" s="56">
        <f>H273-E273</f>
        <v>0</v>
      </c>
      <c r="J273" s="115"/>
    </row>
    <row r="274" spans="1:10" ht="15.75" hidden="1" thickBot="1" x14ac:dyDescent="0.3">
      <c r="A274" s="265" t="s">
        <v>78</v>
      </c>
      <c r="B274" s="265"/>
      <c r="C274" s="117"/>
      <c r="D274" s="118"/>
      <c r="E274" s="119">
        <f>E271+E272+E273</f>
        <v>1060.6363911567998</v>
      </c>
      <c r="F274" s="120"/>
      <c r="G274" s="120"/>
      <c r="H274" s="121">
        <f>H271+H272+H273</f>
        <v>510.75513985975675</v>
      </c>
      <c r="I274" s="122">
        <f>H274-E274</f>
        <v>-549.88125129704304</v>
      </c>
      <c r="J274" s="123">
        <f>IF((E274)=0,"",(I274/E274))</f>
        <v>-0.51844463935214058</v>
      </c>
    </row>
    <row r="275" spans="1:10" ht="15.75" hidden="1" thickBot="1" x14ac:dyDescent="0.3">
      <c r="A275" s="96"/>
      <c r="B275" s="97"/>
      <c r="C275" s="98"/>
      <c r="D275" s="99"/>
      <c r="E275" s="100"/>
      <c r="F275" s="98"/>
      <c r="G275" s="101"/>
      <c r="H275" s="100"/>
      <c r="I275" s="102"/>
      <c r="J275" s="103"/>
    </row>
    <row r="276" spans="1:10" hidden="1" x14ac:dyDescent="0.25">
      <c r="A276" s="104" t="s">
        <v>79</v>
      </c>
      <c r="B276" s="89"/>
      <c r="C276" s="105"/>
      <c r="D276" s="106"/>
      <c r="E276" s="107">
        <f>SUM(E268,E261:E264,E260)</f>
        <v>983.58231535999994</v>
      </c>
      <c r="F276" s="108"/>
      <c r="G276" s="108"/>
      <c r="H276" s="107">
        <f>SUM(H268,H261:H264,H260)</f>
        <v>496.9617389909352</v>
      </c>
      <c r="I276" s="109">
        <f>H276-E276</f>
        <v>-486.62057636906474</v>
      </c>
      <c r="J276" s="110">
        <f>IF((E276)=0,"",(I276/E276))</f>
        <v>-0.49474311277237354</v>
      </c>
    </row>
    <row r="277" spans="1:10" hidden="1" x14ac:dyDescent="0.25">
      <c r="A277" s="111" t="s">
        <v>76</v>
      </c>
      <c r="B277" s="89"/>
      <c r="C277" s="105">
        <v>0.13</v>
      </c>
      <c r="D277" s="106"/>
      <c r="E277" s="113">
        <f>E276*C277</f>
        <v>127.8657009968</v>
      </c>
      <c r="F277" s="105">
        <v>0.13</v>
      </c>
      <c r="G277" s="114"/>
      <c r="H277" s="113">
        <f>H276*F277</f>
        <v>64.605026068821573</v>
      </c>
      <c r="I277" s="56">
        <f>H277-E277</f>
        <v>-63.260674927978428</v>
      </c>
      <c r="J277" s="115">
        <f>IF((E277)=0,"",(I277/E277))</f>
        <v>-0.49474311277237359</v>
      </c>
    </row>
    <row r="278" spans="1:10" hidden="1" x14ac:dyDescent="0.25">
      <c r="A278" s="111" t="s">
        <v>77</v>
      </c>
      <c r="B278"/>
      <c r="C278" s="116">
        <v>0.11700000000000001</v>
      </c>
      <c r="D278" s="106"/>
      <c r="E278" s="113">
        <f>IF(OR(ISNUMBER(SEARCH("[DGEN]", B232))=TRUE, ISNUMBER(SEARCH("STREET LIGHT", B232))=TRUE), 0, IF(AND(B234=0, B235=0),0, IF(AND(B235=0, B234*12&gt;250000), 0, IF(AND(B234=0, B235&gt;=50), 0, IF(B234*12&lt;=250000, C278*E276*-1, IF(B235&lt;50, C278*E276*-1, 0))))))</f>
        <v>0</v>
      </c>
      <c r="F278" s="116">
        <v>0.11700000000000001</v>
      </c>
      <c r="G278" s="114"/>
      <c r="H278" s="113">
        <f>IF(OR(ISNUMBER(SEARCH("[DGEN]", B232))=TRUE, ISNUMBER(SEARCH("STREET LIGHT", B232))=TRUE), 0, IF(AND(B234=0, B235=0),0, IF(AND(B235=0, B234*12&gt;250000), 0, IF(AND(B234=0, B235&gt;=50), 0, IF(B234*12&lt;=250000, F278*H276*-1, IF(B235&lt;50, F278*H276*-1, 0))))))</f>
        <v>0</v>
      </c>
      <c r="I278" s="56"/>
      <c r="J278" s="115"/>
    </row>
    <row r="279" spans="1:10" ht="15.75" hidden="1" thickBot="1" x14ac:dyDescent="0.3">
      <c r="A279" s="265" t="s">
        <v>79</v>
      </c>
      <c r="B279" s="265"/>
      <c r="C279" s="124"/>
      <c r="D279" s="125"/>
      <c r="E279" s="119">
        <f>SUM(E276,E277)</f>
        <v>1111.4480163568001</v>
      </c>
      <c r="F279" s="126"/>
      <c r="G279" s="126"/>
      <c r="H279" s="119">
        <f>SUM(H276,H277)</f>
        <v>561.56676505975679</v>
      </c>
      <c r="I279" s="127">
        <f>H279-E279</f>
        <v>-549.88125129704326</v>
      </c>
      <c r="J279" s="128">
        <f>IF((E279)=0,"",(I279/E279))</f>
        <v>-0.49474311277237359</v>
      </c>
    </row>
    <row r="280" spans="1:10" ht="15.75" thickBot="1" x14ac:dyDescent="0.3">
      <c r="A280" s="96"/>
      <c r="B280" s="97"/>
      <c r="C280" s="129"/>
      <c r="D280" s="130"/>
      <c r="E280" s="131"/>
      <c r="F280" s="129"/>
      <c r="G280" s="99"/>
      <c r="H280" s="131"/>
      <c r="I280" s="132"/>
      <c r="J280" s="103"/>
    </row>
    <row r="281" spans="1:10" x14ac:dyDescent="0.25">
      <c r="A281" s="104" t="s">
        <v>80</v>
      </c>
      <c r="B281" s="89"/>
      <c r="C281" s="105"/>
      <c r="D281" s="106"/>
      <c r="E281" s="107">
        <f>SUM(E269,E261:E264,E260)</f>
        <v>983.58231535999994</v>
      </c>
      <c r="F281" s="108"/>
      <c r="G281" s="108"/>
      <c r="H281" s="107">
        <f>SUM(H269,H261:H264,H260)</f>
        <v>496.9617389909352</v>
      </c>
      <c r="I281" s="109">
        <f>H281-E281</f>
        <v>-486.62057636906474</v>
      </c>
      <c r="J281" s="110">
        <f>IF((E281)=0,"",(I281/E281))</f>
        <v>-0.49474311277237354</v>
      </c>
    </row>
    <row r="282" spans="1:10" x14ac:dyDescent="0.25">
      <c r="A282" s="111" t="s">
        <v>76</v>
      </c>
      <c r="B282" s="89"/>
      <c r="C282" s="105">
        <v>0.13</v>
      </c>
      <c r="D282" s="106"/>
      <c r="E282" s="113">
        <f>E281*C282</f>
        <v>127.8657009968</v>
      </c>
      <c r="F282" s="105">
        <v>0.13</v>
      </c>
      <c r="G282" s="114"/>
      <c r="H282" s="113">
        <f>H281*F282</f>
        <v>64.605026068821573</v>
      </c>
      <c r="I282" s="56">
        <f>H282-E282</f>
        <v>-63.260674927978428</v>
      </c>
      <c r="J282" s="115">
        <f>IF((E282)=0,"",(I282/E282))</f>
        <v>-0.49474311277237359</v>
      </c>
    </row>
    <row r="283" spans="1:10" x14ac:dyDescent="0.25">
      <c r="A283" s="111" t="s">
        <v>77</v>
      </c>
      <c r="B283"/>
      <c r="C283" s="116">
        <v>0.11700000000000001</v>
      </c>
      <c r="D283" s="106"/>
      <c r="E283" s="113">
        <f>IF(OR(ISNUMBER(SEARCH("[DGEN]", B232))=TRUE, ISNUMBER(SEARCH("STREET LIGHT", B232))=TRUE), 0, IF(AND(B234=0, B235=0),0, IF(AND(B235=0, B234*12&gt;250000), 0, IF(AND(B234=0, B235&gt;=50), 0, IF(B234*12&lt;=250000, C283*E281*-1, IF(B235&lt;50, C283*E281*-1, 0))))))</f>
        <v>0</v>
      </c>
      <c r="F283" s="116">
        <v>0.11700000000000001</v>
      </c>
      <c r="G283" s="114"/>
      <c r="H283" s="113">
        <f>IF(OR(ISNUMBER(SEARCH("[DGEN]", B232))=TRUE, ISNUMBER(SEARCH("STREET LIGHT", B232))=TRUE), 0, IF(AND(B234=0, B235=0),0, IF(AND(B235=0, B234*12&gt;250000), 0, IF(AND(B234=0, B235&gt;=50), 0, IF(B234*12&lt;=250000, F283*H281*-1, IF(B235&lt;50, F283*H281*-1, 0))))))</f>
        <v>0</v>
      </c>
      <c r="I283" s="56"/>
      <c r="J283" s="115"/>
    </row>
    <row r="284" spans="1:10" ht="15.75" thickBot="1" x14ac:dyDescent="0.3">
      <c r="A284" s="265" t="s">
        <v>80</v>
      </c>
      <c r="B284" s="265"/>
      <c r="C284" s="124"/>
      <c r="D284" s="125"/>
      <c r="E284" s="119">
        <f>SUM(E281,E282)</f>
        <v>1111.4480163568001</v>
      </c>
      <c r="F284" s="126"/>
      <c r="G284" s="126"/>
      <c r="H284" s="119">
        <f>SUM(H281,H282)</f>
        <v>561.56676505975679</v>
      </c>
      <c r="I284" s="127">
        <f>H284-E284</f>
        <v>-549.88125129704326</v>
      </c>
      <c r="J284" s="128">
        <f>IF((E284)=0,"",(I284/E284))</f>
        <v>-0.49474311277237359</v>
      </c>
    </row>
    <row r="285" spans="1:10" ht="15.75" thickBot="1" x14ac:dyDescent="0.3">
      <c r="A285" s="96"/>
      <c r="B285" s="97"/>
      <c r="C285" s="133"/>
      <c r="D285" s="130"/>
      <c r="E285" s="134"/>
      <c r="F285" s="133"/>
      <c r="G285" s="99"/>
      <c r="H285" s="134"/>
      <c r="I285" s="132"/>
      <c r="J285" s="135"/>
    </row>
    <row r="288" spans="1:10" x14ac:dyDescent="0.25">
      <c r="A288" s="33" t="s">
        <v>30</v>
      </c>
      <c r="B288" s="254" t="str">
        <f>A20</f>
        <v>RESIDENTIAL R1(ii) SERVICE CLASSIFICATION</v>
      </c>
      <c r="C288" s="254"/>
      <c r="D288" s="254"/>
      <c r="E288" s="254"/>
      <c r="F288" s="254"/>
      <c r="G288" s="254"/>
      <c r="H288" s="34" t="str">
        <f>IF(K20="DEMAND - INTERVAL","RTSR - INTERVAL METERED","")</f>
        <v/>
      </c>
    </row>
    <row r="289" spans="1:11" x14ac:dyDescent="0.25">
      <c r="A289" s="33" t="s">
        <v>31</v>
      </c>
      <c r="B289" s="255" t="str">
        <f>E20</f>
        <v>RPP</v>
      </c>
      <c r="C289" s="255"/>
      <c r="D289" s="255"/>
      <c r="E289" s="35"/>
      <c r="F289" s="35"/>
    </row>
    <row r="290" spans="1:11" ht="15.75" x14ac:dyDescent="0.25">
      <c r="A290" s="33" t="s">
        <v>32</v>
      </c>
      <c r="B290" s="36">
        <f>H20</f>
        <v>2000</v>
      </c>
      <c r="C290" s="37" t="s">
        <v>33</v>
      </c>
      <c r="G290" s="38"/>
      <c r="H290" s="38"/>
      <c r="I290" s="38"/>
      <c r="J290" s="38"/>
      <c r="K290" s="38"/>
    </row>
    <row r="291" spans="1:11" ht="15.75" x14ac:dyDescent="0.25">
      <c r="A291" s="33" t="s">
        <v>34</v>
      </c>
      <c r="B291" s="36">
        <f>I20</f>
        <v>0</v>
      </c>
      <c r="C291" s="39" t="s">
        <v>35</v>
      </c>
      <c r="D291" s="40"/>
      <c r="E291" s="41"/>
      <c r="F291" s="41"/>
      <c r="G291" s="41"/>
    </row>
    <row r="292" spans="1:11" x14ac:dyDescent="0.25">
      <c r="A292" s="33" t="s">
        <v>36</v>
      </c>
      <c r="B292" s="42">
        <f>F20</f>
        <v>1.0829</v>
      </c>
    </row>
    <row r="293" spans="1:11" x14ac:dyDescent="0.25">
      <c r="A293" s="33" t="s">
        <v>37</v>
      </c>
      <c r="B293" s="42">
        <f>G20</f>
        <v>1.0829</v>
      </c>
    </row>
    <row r="295" spans="1:11" x14ac:dyDescent="0.25">
      <c r="B295" s="37"/>
      <c r="C295" s="256" t="s">
        <v>38</v>
      </c>
      <c r="D295" s="257"/>
      <c r="E295" s="258"/>
      <c r="F295" s="256" t="s">
        <v>39</v>
      </c>
      <c r="G295" s="257"/>
      <c r="H295" s="258"/>
      <c r="I295" s="256" t="s">
        <v>40</v>
      </c>
      <c r="J295" s="258"/>
    </row>
    <row r="296" spans="1:11" x14ac:dyDescent="0.25">
      <c r="B296" s="259"/>
      <c r="C296" s="43" t="s">
        <v>41</v>
      </c>
      <c r="D296" s="43" t="s">
        <v>42</v>
      </c>
      <c r="E296" s="44" t="s">
        <v>43</v>
      </c>
      <c r="F296" s="43" t="s">
        <v>41</v>
      </c>
      <c r="G296" s="45" t="s">
        <v>42</v>
      </c>
      <c r="H296" s="44" t="s">
        <v>43</v>
      </c>
      <c r="I296" s="261" t="s">
        <v>44</v>
      </c>
      <c r="J296" s="263" t="s">
        <v>45</v>
      </c>
    </row>
    <row r="297" spans="1:11" x14ac:dyDescent="0.25">
      <c r="B297" s="260"/>
      <c r="C297" s="46" t="s">
        <v>46</v>
      </c>
      <c r="D297" s="46"/>
      <c r="E297" s="47" t="s">
        <v>46</v>
      </c>
      <c r="F297" s="46" t="s">
        <v>46</v>
      </c>
      <c r="G297" s="47"/>
      <c r="H297" s="47" t="s">
        <v>46</v>
      </c>
      <c r="I297" s="262"/>
      <c r="J297" s="264"/>
    </row>
    <row r="298" spans="1:11" x14ac:dyDescent="0.25">
      <c r="A298" s="48" t="s">
        <v>47</v>
      </c>
      <c r="B298" s="49"/>
      <c r="C298" s="183">
        <f>'Current (2023) Tariff'!D25</f>
        <v>27.85</v>
      </c>
      <c r="D298" s="51">
        <v>1</v>
      </c>
      <c r="E298" s="52">
        <f>D298*C298</f>
        <v>27.85</v>
      </c>
      <c r="F298" s="212">
        <v>28.72</v>
      </c>
      <c r="G298" s="54">
        <f>D298</f>
        <v>1</v>
      </c>
      <c r="H298" s="55">
        <f>G298*F298</f>
        <v>28.72</v>
      </c>
      <c r="I298" s="56">
        <f t="shared" ref="I298:I319" si="41">H298-E298</f>
        <v>0.86999999999999744</v>
      </c>
      <c r="J298" s="57">
        <f>IF(ISERROR(I298/E298), "", I298/E298)</f>
        <v>3.1238779174147125E-2</v>
      </c>
    </row>
    <row r="299" spans="1:11" x14ac:dyDescent="0.25">
      <c r="A299" s="48" t="s">
        <v>48</v>
      </c>
      <c r="B299" s="49"/>
      <c r="C299" s="186">
        <v>3.9199999999999999E-2</v>
      </c>
      <c r="D299" s="231">
        <f>B290</f>
        <v>2000</v>
      </c>
      <c r="E299" s="52">
        <f t="shared" ref="E299:E311" si="42">D299*C299</f>
        <v>78.399999999999991</v>
      </c>
      <c r="F299" s="213">
        <v>4.0399999999999998E-2</v>
      </c>
      <c r="G299" s="232">
        <f>B290</f>
        <v>2000</v>
      </c>
      <c r="H299" s="55">
        <f>G299*F299</f>
        <v>80.8</v>
      </c>
      <c r="I299" s="56">
        <f t="shared" si="41"/>
        <v>2.4000000000000057</v>
      </c>
      <c r="J299" s="57">
        <f t="shared" ref="J299:J309" si="43">IF(ISERROR(I299/E299), "", I299/E299)</f>
        <v>3.0612244897959259E-2</v>
      </c>
    </row>
    <row r="300" spans="1:11" x14ac:dyDescent="0.25">
      <c r="A300" s="48" t="s">
        <v>49</v>
      </c>
      <c r="B300" s="49"/>
      <c r="C300" s="58"/>
      <c r="D300" s="51">
        <f>IF($E291&gt;0, $E291, $E290)</f>
        <v>0</v>
      </c>
      <c r="E300" s="52">
        <v>0</v>
      </c>
      <c r="F300" s="59"/>
      <c r="G300" s="54">
        <f>IF($E291&gt;0, $E291, $E290)</f>
        <v>0</v>
      </c>
      <c r="H300" s="55">
        <v>0</v>
      </c>
      <c r="I300" s="56"/>
      <c r="J300" s="57"/>
    </row>
    <row r="301" spans="1:11" x14ac:dyDescent="0.25">
      <c r="A301" s="48" t="s">
        <v>50</v>
      </c>
      <c r="B301" s="49"/>
      <c r="C301" s="58"/>
      <c r="D301" s="51">
        <f>IF($E291&gt;0, $E291, $E290)</f>
        <v>0</v>
      </c>
      <c r="E301" s="52"/>
      <c r="F301" s="59"/>
      <c r="G301" s="60">
        <f>IF($E291&gt;0, $E291, $E290)</f>
        <v>0</v>
      </c>
      <c r="H301" s="55"/>
      <c r="I301" s="56">
        <f>H301-E301</f>
        <v>0</v>
      </c>
      <c r="J301" s="57" t="str">
        <f>IF(ISERROR(I301/E301), "", I301/E301)</f>
        <v/>
      </c>
    </row>
    <row r="302" spans="1:11" x14ac:dyDescent="0.25">
      <c r="A302" s="48" t="s">
        <v>51</v>
      </c>
      <c r="B302" s="49"/>
      <c r="C302" s="50">
        <v>0</v>
      </c>
      <c r="D302" s="51">
        <v>1</v>
      </c>
      <c r="E302" s="52">
        <f t="shared" si="42"/>
        <v>0</v>
      </c>
      <c r="F302" s="53">
        <v>0</v>
      </c>
      <c r="G302" s="54">
        <f>D302</f>
        <v>1</v>
      </c>
      <c r="H302" s="55">
        <f t="shared" ref="H302:H309" si="44">G302*F302</f>
        <v>0</v>
      </c>
      <c r="I302" s="56">
        <f t="shared" si="41"/>
        <v>0</v>
      </c>
      <c r="J302" s="57" t="str">
        <f t="shared" si="43"/>
        <v/>
      </c>
    </row>
    <row r="303" spans="1:11" x14ac:dyDescent="0.25">
      <c r="A303" s="48" t="s">
        <v>52</v>
      </c>
      <c r="B303" s="49"/>
      <c r="C303" s="186">
        <v>6.9999999999999999E-4</v>
      </c>
      <c r="D303" s="231">
        <f>B290</f>
        <v>2000</v>
      </c>
      <c r="E303" s="52">
        <f t="shared" si="42"/>
        <v>1.4</v>
      </c>
      <c r="F303" s="59">
        <v>0</v>
      </c>
      <c r="G303" s="232">
        <f>B290</f>
        <v>2000</v>
      </c>
      <c r="H303" s="55">
        <f t="shared" si="44"/>
        <v>0</v>
      </c>
      <c r="I303" s="56">
        <f t="shared" si="41"/>
        <v>-1.4</v>
      </c>
      <c r="J303" s="57">
        <f t="shared" si="43"/>
        <v>-1</v>
      </c>
    </row>
    <row r="304" spans="1:11" x14ac:dyDescent="0.25">
      <c r="A304" s="61" t="s">
        <v>53</v>
      </c>
      <c r="B304" s="62"/>
      <c r="C304" s="63"/>
      <c r="D304" s="64"/>
      <c r="E304" s="65">
        <f>SUM(E298:E303)</f>
        <v>107.65</v>
      </c>
      <c r="F304" s="66"/>
      <c r="G304" s="67"/>
      <c r="H304" s="65">
        <f>SUM(H298:H303)</f>
        <v>109.52</v>
      </c>
      <c r="I304" s="68">
        <f t="shared" si="41"/>
        <v>1.8699999999999903</v>
      </c>
      <c r="J304" s="69">
        <f>IF((E304)=0,"",(I304/E304))</f>
        <v>1.7371110078959501E-2</v>
      </c>
    </row>
    <row r="305" spans="1:11" x14ac:dyDescent="0.25">
      <c r="A305" s="70" t="s">
        <v>54</v>
      </c>
      <c r="B305" s="49"/>
      <c r="C305" s="58">
        <v>9.3670000000000003E-2</v>
      </c>
      <c r="D305" s="71">
        <f>B290*(B292-1)</f>
        <v>165.79999999999995</v>
      </c>
      <c r="E305" s="52">
        <f>D305*C305</f>
        <v>15.530485999999996</v>
      </c>
      <c r="F305" s="59">
        <v>9.3670000000000003E-2</v>
      </c>
      <c r="G305" s="72">
        <f>IF(F305=0, 0, B290*B293-B290)</f>
        <v>165.79999999999973</v>
      </c>
      <c r="H305" s="55">
        <f>G305*F305</f>
        <v>15.530485999999975</v>
      </c>
      <c r="I305" s="56">
        <f>H305-E305</f>
        <v>-2.1316282072803006E-14</v>
      </c>
      <c r="J305" s="57">
        <f>IF(ISERROR(I305/E305), "", I305/E305)</f>
        <v>-1.3725444311789735E-15</v>
      </c>
    </row>
    <row r="306" spans="1:11" ht="25.5" x14ac:dyDescent="0.25">
      <c r="A306" s="70" t="s">
        <v>55</v>
      </c>
      <c r="B306" s="49"/>
      <c r="C306" s="186">
        <v>3.0999999999999999E-3</v>
      </c>
      <c r="D306" s="73">
        <f>B290</f>
        <v>2000</v>
      </c>
      <c r="E306" s="52">
        <f t="shared" si="42"/>
        <v>6.2</v>
      </c>
      <c r="F306" s="213">
        <v>3.4742936282703037E-3</v>
      </c>
      <c r="G306" s="74">
        <f>B290</f>
        <v>2000</v>
      </c>
      <c r="H306" s="55">
        <f t="shared" si="44"/>
        <v>6.9485872565406073</v>
      </c>
      <c r="I306" s="56">
        <f t="shared" si="41"/>
        <v>0.74858725654060709</v>
      </c>
      <c r="J306" s="57">
        <f t="shared" si="43"/>
        <v>0.12073988008719469</v>
      </c>
    </row>
    <row r="307" spans="1:11" x14ac:dyDescent="0.25">
      <c r="A307" s="70" t="s">
        <v>56</v>
      </c>
      <c r="B307" s="49"/>
      <c r="C307" s="186">
        <v>-1E-4</v>
      </c>
      <c r="D307" s="73">
        <f>B290</f>
        <v>2000</v>
      </c>
      <c r="E307" s="52">
        <f>D307*C307</f>
        <v>-0.2</v>
      </c>
      <c r="F307" s="213">
        <v>-2.0000000000000001E-4</v>
      </c>
      <c r="G307" s="74">
        <f>B290</f>
        <v>2000</v>
      </c>
      <c r="H307" s="55">
        <f>G307*F307</f>
        <v>-0.4</v>
      </c>
      <c r="I307" s="56">
        <f t="shared" si="41"/>
        <v>-0.2</v>
      </c>
      <c r="J307" s="57">
        <f t="shared" si="43"/>
        <v>1</v>
      </c>
    </row>
    <row r="308" spans="1:11" x14ac:dyDescent="0.25">
      <c r="A308" s="70" t="s">
        <v>57</v>
      </c>
      <c r="B308" s="49"/>
      <c r="C308" s="58">
        <v>0</v>
      </c>
      <c r="D308" s="73">
        <f>B290</f>
        <v>2000</v>
      </c>
      <c r="E308" s="52">
        <f>D308*C308</f>
        <v>0</v>
      </c>
      <c r="F308" s="59">
        <v>0</v>
      </c>
      <c r="G308" s="74">
        <f>B290</f>
        <v>2000</v>
      </c>
      <c r="H308" s="55">
        <f t="shared" si="44"/>
        <v>0</v>
      </c>
      <c r="I308" s="56">
        <f t="shared" si="41"/>
        <v>0</v>
      </c>
      <c r="J308" s="57" t="str">
        <f t="shared" si="43"/>
        <v/>
      </c>
    </row>
    <row r="309" spans="1:11" x14ac:dyDescent="0.25">
      <c r="A309" s="48" t="s">
        <v>58</v>
      </c>
      <c r="B309" s="49"/>
      <c r="C309" s="58">
        <v>0</v>
      </c>
      <c r="D309" s="73">
        <f>IF($E291&gt;0, $E291, $E290)</f>
        <v>0</v>
      </c>
      <c r="E309" s="52">
        <f t="shared" si="42"/>
        <v>0</v>
      </c>
      <c r="F309" s="59"/>
      <c r="G309" s="74">
        <f>IF($E291&gt;0, $E291, $E290)</f>
        <v>0</v>
      </c>
      <c r="H309" s="55">
        <f t="shared" si="44"/>
        <v>0</v>
      </c>
      <c r="I309" s="56">
        <f t="shared" si="41"/>
        <v>0</v>
      </c>
      <c r="J309" s="57" t="str">
        <f t="shared" si="43"/>
        <v/>
      </c>
    </row>
    <row r="310" spans="1:11" ht="25.5" x14ac:dyDescent="0.25">
      <c r="A310" s="70" t="s">
        <v>59</v>
      </c>
      <c r="B310" s="49"/>
      <c r="C310" s="185">
        <v>0.42</v>
      </c>
      <c r="D310" s="51">
        <v>1</v>
      </c>
      <c r="E310" s="52">
        <f>D310*C310</f>
        <v>0.42</v>
      </c>
      <c r="F310" s="211">
        <v>0.42</v>
      </c>
      <c r="G310" s="60">
        <v>1</v>
      </c>
      <c r="H310" s="55">
        <f>G310*F310</f>
        <v>0.42</v>
      </c>
      <c r="I310" s="56">
        <f t="shared" si="41"/>
        <v>0</v>
      </c>
      <c r="J310" s="57">
        <f>IF(ISERROR(I310/E310), "", I310/E310)</f>
        <v>0</v>
      </c>
    </row>
    <row r="311" spans="1:11" x14ac:dyDescent="0.25">
      <c r="A311" s="48" t="s">
        <v>60</v>
      </c>
      <c r="B311" s="49"/>
      <c r="C311" s="50">
        <v>0</v>
      </c>
      <c r="D311" s="51">
        <v>1</v>
      </c>
      <c r="E311" s="52">
        <f t="shared" si="42"/>
        <v>0</v>
      </c>
      <c r="F311" s="53">
        <v>0</v>
      </c>
      <c r="G311" s="60">
        <v>1</v>
      </c>
      <c r="H311" s="55">
        <f>G311*F311</f>
        <v>0</v>
      </c>
      <c r="I311" s="56">
        <f>H311-E311</f>
        <v>0</v>
      </c>
      <c r="J311" s="57" t="str">
        <f>IF(ISERROR(I311/E311), "", I311/E311)</f>
        <v/>
      </c>
    </row>
    <row r="312" spans="1:11" x14ac:dyDescent="0.25">
      <c r="A312" s="48" t="s">
        <v>61</v>
      </c>
      <c r="B312" s="49"/>
      <c r="C312" s="58">
        <v>0</v>
      </c>
      <c r="D312" s="73">
        <f>IF($E291&gt;0, $E291, $E290)</f>
        <v>0</v>
      </c>
      <c r="E312" s="52">
        <f>D312*C312</f>
        <v>0</v>
      </c>
      <c r="F312" s="59">
        <v>0</v>
      </c>
      <c r="G312" s="74">
        <f>IF($E291&gt;0, $E291, $E290)</f>
        <v>0</v>
      </c>
      <c r="H312" s="55">
        <f>G312*F312</f>
        <v>0</v>
      </c>
      <c r="I312" s="56">
        <f t="shared" si="41"/>
        <v>0</v>
      </c>
      <c r="J312" s="57" t="str">
        <f>IF(ISERROR(I312/E312), "", I312/E312)</f>
        <v/>
      </c>
    </row>
    <row r="313" spans="1:11" ht="25.5" x14ac:dyDescent="0.25">
      <c r="A313" s="77" t="s">
        <v>62</v>
      </c>
      <c r="B313" s="78"/>
      <c r="C313" s="79"/>
      <c r="D313" s="80"/>
      <c r="E313" s="81">
        <f>SUM(E304:E312)</f>
        <v>129.60048599999999</v>
      </c>
      <c r="F313" s="82"/>
      <c r="G313" s="83"/>
      <c r="H313" s="81">
        <f>SUM(H304:H312)</f>
        <v>132.01907325654057</v>
      </c>
      <c r="I313" s="68">
        <f t="shared" si="41"/>
        <v>2.4185872565405759</v>
      </c>
      <c r="J313" s="69">
        <f>IF((E313)=0,"",(I313/E313))</f>
        <v>1.8661868725867094E-2</v>
      </c>
    </row>
    <row r="314" spans="1:11" x14ac:dyDescent="0.25">
      <c r="A314" s="84" t="s">
        <v>63</v>
      </c>
      <c r="B314" s="49"/>
      <c r="C314" s="186">
        <v>1.0500000000000001E-2</v>
      </c>
      <c r="D314" s="71">
        <f>B290*B292</f>
        <v>2165.7999999999997</v>
      </c>
      <c r="E314" s="52">
        <f>D314*C314</f>
        <v>22.7409</v>
      </c>
      <c r="F314" s="214">
        <v>1.0075382593118154E-2</v>
      </c>
      <c r="G314" s="72">
        <f>D314</f>
        <v>2165.7999999999997</v>
      </c>
      <c r="H314" s="55">
        <f>G314*F314</f>
        <v>21.821263620175294</v>
      </c>
      <c r="I314" s="56">
        <f t="shared" si="41"/>
        <v>-0.91963637982470559</v>
      </c>
      <c r="J314" s="57">
        <f>IF(ISERROR(I314/E314), "", I314/E314)</f>
        <v>-4.043975303636644E-2</v>
      </c>
      <c r="K314" s="85" t="str">
        <f>IF(ISERROR(ABS(J314)), "", IF(ABS(J314)&gt;=4%, "In the manager's summary, discuss the reasoning for the change in RTSR rates", ""))</f>
        <v>In the manager's summary, discuss the reasoning for the change in RTSR rates</v>
      </c>
    </row>
    <row r="315" spans="1:11" ht="25.5" x14ac:dyDescent="0.25">
      <c r="A315" s="86" t="s">
        <v>64</v>
      </c>
      <c r="B315" s="49"/>
      <c r="C315" s="186">
        <v>7.3000000000000001E-3</v>
      </c>
      <c r="D315" s="71">
        <f>B290*B292</f>
        <v>2165.7999999999997</v>
      </c>
      <c r="E315" s="52">
        <f>D315*C315</f>
        <v>15.810339999999998</v>
      </c>
      <c r="F315" s="214">
        <v>7.5402873551610409E-3</v>
      </c>
      <c r="G315" s="72">
        <f>D315</f>
        <v>2165.7999999999997</v>
      </c>
      <c r="H315" s="55">
        <f>G315*F315</f>
        <v>16.33075435380778</v>
      </c>
      <c r="I315" s="56">
        <f t="shared" si="41"/>
        <v>0.52041435380778189</v>
      </c>
      <c r="J315" s="57">
        <f>IF(ISERROR(I315/E315), "", I315/E315)</f>
        <v>3.2916076049457628E-2</v>
      </c>
      <c r="K315" s="85" t="str">
        <f>IF(ISERROR(ABS(J315)), "", IF(ABS(J315)&gt;=4%, "In the manager's summary, discuss the reasoning for the change in RTSR rates", ""))</f>
        <v/>
      </c>
    </row>
    <row r="316" spans="1:11" ht="25.5" x14ac:dyDescent="0.25">
      <c r="A316" s="77" t="s">
        <v>65</v>
      </c>
      <c r="B316" s="62"/>
      <c r="C316" s="79"/>
      <c r="D316" s="80"/>
      <c r="E316" s="81">
        <f>SUM(E313:E315)</f>
        <v>168.151726</v>
      </c>
      <c r="F316" s="82"/>
      <c r="G316" s="67"/>
      <c r="H316" s="81">
        <f>SUM(H313:H315)</f>
        <v>170.17109123052364</v>
      </c>
      <c r="I316" s="68">
        <f t="shared" si="41"/>
        <v>2.0193652305236469</v>
      </c>
      <c r="J316" s="69">
        <f>IF((E316)=0,"",(I316/E316))</f>
        <v>1.2009185267141695E-2</v>
      </c>
    </row>
    <row r="317" spans="1:11" ht="25.5" x14ac:dyDescent="0.25">
      <c r="A317" s="87" t="s">
        <v>66</v>
      </c>
      <c r="B317" s="49"/>
      <c r="C317" s="186">
        <f>C93</f>
        <v>4.4999999999999997E-3</v>
      </c>
      <c r="D317" s="71">
        <f>B290*B292</f>
        <v>2165.7999999999997</v>
      </c>
      <c r="E317" s="88">
        <f t="shared" ref="E317:E323" si="45">D317*C317</f>
        <v>9.7460999999999984</v>
      </c>
      <c r="F317" s="213">
        <v>4.5000000000000005E-3</v>
      </c>
      <c r="G317" s="72">
        <f>B290*B293</f>
        <v>2165.7999999999997</v>
      </c>
      <c r="H317" s="55">
        <f t="shared" ref="H317:H323" si="46">G317*F317</f>
        <v>9.7461000000000002</v>
      </c>
      <c r="I317" s="56">
        <f t="shared" si="41"/>
        <v>0</v>
      </c>
      <c r="J317" s="57">
        <f t="shared" ref="J317:J325" si="47">IF(ISERROR(I317/E317), "", I317/E317)</f>
        <v>0</v>
      </c>
    </row>
    <row r="318" spans="1:11" ht="25.5" x14ac:dyDescent="0.25">
      <c r="A318" s="87" t="s">
        <v>67</v>
      </c>
      <c r="B318" s="49"/>
      <c r="C318" s="186">
        <f>C94</f>
        <v>6.9999999999999999E-4</v>
      </c>
      <c r="D318" s="71">
        <f>B290*B292</f>
        <v>2165.7999999999997</v>
      </c>
      <c r="E318" s="88">
        <f t="shared" si="45"/>
        <v>1.5160599999999997</v>
      </c>
      <c r="F318" s="213">
        <v>6.9999999999999999E-4</v>
      </c>
      <c r="G318" s="72">
        <f>B290*B293</f>
        <v>2165.7999999999997</v>
      </c>
      <c r="H318" s="55">
        <f t="shared" si="46"/>
        <v>1.5160599999999997</v>
      </c>
      <c r="I318" s="56">
        <f t="shared" si="41"/>
        <v>0</v>
      </c>
      <c r="J318" s="57">
        <f t="shared" si="47"/>
        <v>0</v>
      </c>
    </row>
    <row r="319" spans="1:11" x14ac:dyDescent="0.25">
      <c r="A319" s="89" t="s">
        <v>68</v>
      </c>
      <c r="B319" s="49"/>
      <c r="C319" s="186">
        <f>C95</f>
        <v>0.25</v>
      </c>
      <c r="D319" s="51">
        <v>1</v>
      </c>
      <c r="E319" s="88">
        <f t="shared" si="45"/>
        <v>0.25</v>
      </c>
      <c r="F319" s="211">
        <v>0.25</v>
      </c>
      <c r="G319" s="54">
        <v>1</v>
      </c>
      <c r="H319" s="55">
        <f t="shared" si="46"/>
        <v>0.25</v>
      </c>
      <c r="I319" s="56">
        <f t="shared" si="41"/>
        <v>0</v>
      </c>
      <c r="J319" s="57">
        <f t="shared" si="47"/>
        <v>0</v>
      </c>
    </row>
    <row r="320" spans="1:11" ht="25.5" x14ac:dyDescent="0.25">
      <c r="A320" s="87" t="s">
        <v>69</v>
      </c>
      <c r="B320" s="49"/>
      <c r="C320" s="58"/>
      <c r="D320" s="71"/>
      <c r="E320" s="88"/>
      <c r="F320" s="59"/>
      <c r="G320" s="72"/>
      <c r="H320" s="55"/>
      <c r="I320" s="56"/>
      <c r="J320" s="57"/>
    </row>
    <row r="321" spans="1:10" x14ac:dyDescent="0.25">
      <c r="A321" s="89" t="s">
        <v>70</v>
      </c>
      <c r="B321" s="49"/>
      <c r="C321" s="90">
        <v>7.3999999999999996E-2</v>
      </c>
      <c r="D321" s="91">
        <v>1260</v>
      </c>
      <c r="E321" s="88">
        <f t="shared" si="45"/>
        <v>93.24</v>
      </c>
      <c r="F321" s="92">
        <v>7.3999999999999996E-2</v>
      </c>
      <c r="G321" s="93">
        <v>1260</v>
      </c>
      <c r="H321" s="55">
        <f t="shared" si="46"/>
        <v>93.24</v>
      </c>
      <c r="I321" s="56">
        <f>H321-E321</f>
        <v>0</v>
      </c>
      <c r="J321" s="57">
        <f t="shared" si="47"/>
        <v>0</v>
      </c>
    </row>
    <row r="322" spans="1:10" x14ac:dyDescent="0.25">
      <c r="A322" s="89" t="s">
        <v>71</v>
      </c>
      <c r="B322" s="49"/>
      <c r="C322" s="90">
        <v>0.10199999999999999</v>
      </c>
      <c r="D322" s="91">
        <v>360</v>
      </c>
      <c r="E322" s="88">
        <f t="shared" si="45"/>
        <v>36.72</v>
      </c>
      <c r="F322" s="92">
        <v>0.10199999999999999</v>
      </c>
      <c r="G322" s="93">
        <v>360</v>
      </c>
      <c r="H322" s="55">
        <f t="shared" si="46"/>
        <v>36.72</v>
      </c>
      <c r="I322" s="56">
        <f>H322-E322</f>
        <v>0</v>
      </c>
      <c r="J322" s="57">
        <f t="shared" si="47"/>
        <v>0</v>
      </c>
    </row>
    <row r="323" spans="1:10" x14ac:dyDescent="0.25">
      <c r="A323" s="34" t="s">
        <v>72</v>
      </c>
      <c r="B323" s="49"/>
      <c r="C323" s="90">
        <v>0.151</v>
      </c>
      <c r="D323" s="91">
        <v>380</v>
      </c>
      <c r="E323" s="88">
        <f t="shared" si="45"/>
        <v>57.379999999999995</v>
      </c>
      <c r="F323" s="92">
        <v>0.151</v>
      </c>
      <c r="G323" s="93">
        <v>380</v>
      </c>
      <c r="H323" s="55">
        <f t="shared" si="46"/>
        <v>57.379999999999995</v>
      </c>
      <c r="I323" s="56">
        <f>H323-E323</f>
        <v>0</v>
      </c>
      <c r="J323" s="57">
        <f t="shared" si="47"/>
        <v>0</v>
      </c>
    </row>
    <row r="324" spans="1:10" x14ac:dyDescent="0.25">
      <c r="A324" s="89" t="s">
        <v>73</v>
      </c>
      <c r="B324" s="49"/>
      <c r="C324" s="94">
        <v>0.1076</v>
      </c>
      <c r="D324" s="91">
        <f>IF(AND(B290*12&gt;=150000),B290*B292,B290)</f>
        <v>2000</v>
      </c>
      <c r="E324" s="88">
        <f>D324*C324</f>
        <v>215.2</v>
      </c>
      <c r="F324" s="95">
        <f>C324</f>
        <v>0.1076</v>
      </c>
      <c r="G324" s="93">
        <f>IF(AND(B290*12&gt;=150000),B290*B293,B290)</f>
        <v>2000</v>
      </c>
      <c r="H324" s="55">
        <f>G324*F324</f>
        <v>215.2</v>
      </c>
      <c r="I324" s="56">
        <f>H324-E324</f>
        <v>0</v>
      </c>
      <c r="J324" s="57">
        <f t="shared" si="47"/>
        <v>0</v>
      </c>
    </row>
    <row r="325" spans="1:10" ht="15.75" thickBot="1" x14ac:dyDescent="0.3">
      <c r="A325" s="89" t="s">
        <v>74</v>
      </c>
      <c r="B325" s="49"/>
      <c r="C325" s="94">
        <v>0.1076</v>
      </c>
      <c r="D325" s="91">
        <f>IF(AND(B290*12&gt;=150000),B290*B292,B290)</f>
        <v>2000</v>
      </c>
      <c r="E325" s="88">
        <f>D325*C325</f>
        <v>215.2</v>
      </c>
      <c r="F325" s="95">
        <f>C325</f>
        <v>0.1076</v>
      </c>
      <c r="G325" s="93">
        <f>IF(AND(B290*12&gt;=150000),B290*B293,B290)</f>
        <v>2000</v>
      </c>
      <c r="H325" s="55">
        <f>G325*F325</f>
        <v>215.2</v>
      </c>
      <c r="I325" s="56">
        <f>H325-E325</f>
        <v>0</v>
      </c>
      <c r="J325" s="57">
        <f t="shared" si="47"/>
        <v>0</v>
      </c>
    </row>
    <row r="326" spans="1:10" ht="15.75" thickBot="1" x14ac:dyDescent="0.3">
      <c r="A326" s="96"/>
      <c r="B326" s="97"/>
      <c r="C326" s="98"/>
      <c r="D326" s="99"/>
      <c r="E326" s="100"/>
      <c r="F326" s="98"/>
      <c r="G326" s="101"/>
      <c r="H326" s="100"/>
      <c r="I326" s="102"/>
      <c r="J326" s="103"/>
    </row>
    <row r="327" spans="1:10" x14ac:dyDescent="0.25">
      <c r="A327" s="104" t="s">
        <v>75</v>
      </c>
      <c r="B327" s="89"/>
      <c r="C327" s="105"/>
      <c r="D327" s="106"/>
      <c r="E327" s="107">
        <f>SUM(E317:E323,E316)</f>
        <v>367.00388599999997</v>
      </c>
      <c r="F327" s="108"/>
      <c r="G327" s="108"/>
      <c r="H327" s="107">
        <f>SUM(H317:H323,H316)</f>
        <v>369.02325123052361</v>
      </c>
      <c r="I327" s="109">
        <f>H327-E327</f>
        <v>2.0193652305236469</v>
      </c>
      <c r="J327" s="110">
        <f>IF((E327)=0,"",(I327/E327))</f>
        <v>5.5022993149550659E-3</v>
      </c>
    </row>
    <row r="328" spans="1:10" x14ac:dyDescent="0.25">
      <c r="A328" s="111" t="s">
        <v>76</v>
      </c>
      <c r="B328" s="89"/>
      <c r="C328" s="105">
        <v>0.13</v>
      </c>
      <c r="D328" s="112"/>
      <c r="E328" s="113">
        <f>E327*C328</f>
        <v>47.710505179999998</v>
      </c>
      <c r="F328" s="114">
        <v>0.13</v>
      </c>
      <c r="G328" s="51"/>
      <c r="H328" s="113">
        <f>H327*F328</f>
        <v>47.973022659968073</v>
      </c>
      <c r="I328" s="56">
        <f>H328-E328</f>
        <v>0.26251747996807495</v>
      </c>
      <c r="J328" s="115">
        <f>IF((E328)=0,"",(I328/E328))</f>
        <v>5.5022993149550833E-3</v>
      </c>
    </row>
    <row r="329" spans="1:10" x14ac:dyDescent="0.25">
      <c r="A329" s="111" t="s">
        <v>77</v>
      </c>
      <c r="B329"/>
      <c r="C329" s="116">
        <v>0.11700000000000001</v>
      </c>
      <c r="D329" s="112"/>
      <c r="E329" s="113">
        <f>IF(OR(ISNUMBER(SEARCH("[DGEN]", B288))=TRUE, ISNUMBER(SEARCH("STREET LIGHT", B288))=TRUE), 0, IF(AND(B290=0, B291=0),0, IF(AND(B291=0, B290*12&gt;250000), 0, IF(AND(B290=0, B291&gt;=50), 0, IF(B290*12&lt;=250000, C329*E327*-1, IF(B291&lt;50, C329*E327*-1, 0))))))</f>
        <v>-42.939454661999996</v>
      </c>
      <c r="F329" s="116">
        <v>0.11700000000000001</v>
      </c>
      <c r="G329" s="51"/>
      <c r="H329" s="113">
        <f>IF(OR(ISNUMBER(SEARCH("[DGEN]", B288))=TRUE, ISNUMBER(SEARCH("STREET LIGHT", B288))=TRUE), 0, IF(AND(B290=0, B291=0),0, IF(AND(B291=0, B290*12&gt;250000), 0, IF(AND(B290=0, B291&gt;=50), 0, IF(B290*12&lt;=250000, F329*H327*-1, IF(B291&lt;50, F329*H327*-1, 0))))))</f>
        <v>-43.175720393971268</v>
      </c>
      <c r="I329" s="56">
        <f>H329-E329</f>
        <v>-0.23626573197127243</v>
      </c>
      <c r="J329" s="115"/>
    </row>
    <row r="330" spans="1:10" ht="15.75" thickBot="1" x14ac:dyDescent="0.3">
      <c r="A330" s="265" t="s">
        <v>78</v>
      </c>
      <c r="B330" s="265"/>
      <c r="C330" s="117"/>
      <c r="D330" s="118"/>
      <c r="E330" s="119">
        <f>E327+E328+E329</f>
        <v>371.77493651799995</v>
      </c>
      <c r="F330" s="120"/>
      <c r="G330" s="120"/>
      <c r="H330" s="121">
        <f>H327+H328+H329</f>
        <v>373.8205534965204</v>
      </c>
      <c r="I330" s="122">
        <f>H330-E330</f>
        <v>2.0456169785204565</v>
      </c>
      <c r="J330" s="123">
        <f>IF((E330)=0,"",(I330/E330))</f>
        <v>5.502299314955072E-3</v>
      </c>
    </row>
    <row r="331" spans="1:10" ht="15.75" thickBot="1" x14ac:dyDescent="0.3">
      <c r="A331" s="96"/>
      <c r="B331" s="97"/>
      <c r="C331" s="98"/>
      <c r="D331" s="99"/>
      <c r="E331" s="100"/>
      <c r="F331" s="98"/>
      <c r="G331" s="101"/>
      <c r="H331" s="100"/>
      <c r="I331" s="102"/>
      <c r="J331" s="103"/>
    </row>
    <row r="332" spans="1:10" hidden="1" x14ac:dyDescent="0.25">
      <c r="A332" s="104" t="s">
        <v>79</v>
      </c>
      <c r="B332" s="89"/>
      <c r="C332" s="105"/>
      <c r="D332" s="106"/>
      <c r="E332" s="107">
        <f>SUM(E324,E317:E320,E316)</f>
        <v>394.86388599999998</v>
      </c>
      <c r="F332" s="108"/>
      <c r="G332" s="108"/>
      <c r="H332" s="107">
        <f>SUM(H324,H317:H320,H316)</f>
        <v>396.88325123052368</v>
      </c>
      <c r="I332" s="109">
        <f>H332-E332</f>
        <v>2.0193652305237038</v>
      </c>
      <c r="J332" s="110">
        <f>IF((E332)=0,"",(I332/E332))</f>
        <v>5.1140793121903878E-3</v>
      </c>
    </row>
    <row r="333" spans="1:10" hidden="1" x14ac:dyDescent="0.25">
      <c r="A333" s="111" t="s">
        <v>76</v>
      </c>
      <c r="B333" s="89"/>
      <c r="C333" s="105">
        <v>0.13</v>
      </c>
      <c r="D333" s="106"/>
      <c r="E333" s="113">
        <f>E332*C333</f>
        <v>51.332305179999999</v>
      </c>
      <c r="F333" s="105">
        <v>0.13</v>
      </c>
      <c r="G333" s="114"/>
      <c r="H333" s="113">
        <f>H332*F333</f>
        <v>51.594822659968081</v>
      </c>
      <c r="I333" s="56">
        <f>H333-E333</f>
        <v>0.26251747996808206</v>
      </c>
      <c r="J333" s="115">
        <f>IF((E333)=0,"",(I333/E333))</f>
        <v>5.1140793121903991E-3</v>
      </c>
    </row>
    <row r="334" spans="1:10" hidden="1" x14ac:dyDescent="0.25">
      <c r="A334" s="111" t="s">
        <v>77</v>
      </c>
      <c r="B334"/>
      <c r="C334" s="116">
        <v>0.11700000000000001</v>
      </c>
      <c r="D334" s="106"/>
      <c r="E334" s="113">
        <f>IF(OR(ISNUMBER(SEARCH("[DGEN]", B288))=TRUE, ISNUMBER(SEARCH("STREET LIGHT", B288))=TRUE), 0, IF(AND(B290=0, B291=0),0, IF(AND(B291=0, B290*12&gt;250000), 0, IF(AND(B290=0, B291&gt;=50), 0, IF(B290*12&lt;=250000, C334*E332*-1, IF(B291&lt;50, C334*E332*-1, 0))))))</f>
        <v>-46.199074662000001</v>
      </c>
      <c r="F334" s="116">
        <v>0.11700000000000001</v>
      </c>
      <c r="G334" s="114"/>
      <c r="H334" s="113">
        <f>IF(OR(ISNUMBER(SEARCH("[DGEN]", B288))=TRUE, ISNUMBER(SEARCH("STREET LIGHT", B288))=TRUE), 0, IF(AND(B290=0, B291=0),0, IF(AND(B291=0, B290*12&gt;250000), 0, IF(AND(B290=0, B291&gt;=50), 0, IF(B290*12&lt;=250000, F334*H332*-1, IF(B291&lt;50, F334*H332*-1, 0))))))</f>
        <v>-46.435340393971273</v>
      </c>
      <c r="I334" s="56"/>
      <c r="J334" s="115"/>
    </row>
    <row r="335" spans="1:10" ht="15.75" hidden="1" thickBot="1" x14ac:dyDescent="0.3">
      <c r="A335" s="265" t="s">
        <v>79</v>
      </c>
      <c r="B335" s="265"/>
      <c r="C335" s="124"/>
      <c r="D335" s="125"/>
      <c r="E335" s="119">
        <f>SUM(E332,E333)</f>
        <v>446.19619117999997</v>
      </c>
      <c r="F335" s="126"/>
      <c r="G335" s="126"/>
      <c r="H335" s="119">
        <f>SUM(H332,H333)</f>
        <v>448.47807389049177</v>
      </c>
      <c r="I335" s="127">
        <f>H335-E335</f>
        <v>2.2818827104918</v>
      </c>
      <c r="J335" s="128">
        <f>IF((E335)=0,"",(I335/E335))</f>
        <v>5.1140793121904216E-3</v>
      </c>
    </row>
    <row r="336" spans="1:10" ht="15.75" hidden="1" thickBot="1" x14ac:dyDescent="0.3">
      <c r="A336" s="96"/>
      <c r="B336" s="97"/>
      <c r="C336" s="129"/>
      <c r="D336" s="130"/>
      <c r="E336" s="131"/>
      <c r="F336" s="129"/>
      <c r="G336" s="99"/>
      <c r="H336" s="131"/>
      <c r="I336" s="132"/>
      <c r="J336" s="103"/>
    </row>
    <row r="337" spans="1:11" hidden="1" x14ac:dyDescent="0.25">
      <c r="A337" s="104" t="s">
        <v>80</v>
      </c>
      <c r="B337" s="89"/>
      <c r="C337" s="105"/>
      <c r="D337" s="106"/>
      <c r="E337" s="107">
        <f>SUM(E325,E317:E320,E316)</f>
        <v>394.86388599999998</v>
      </c>
      <c r="F337" s="108"/>
      <c r="G337" s="108"/>
      <c r="H337" s="107">
        <f>SUM(H325,H317:H320,H316)</f>
        <v>396.88325123052368</v>
      </c>
      <c r="I337" s="109">
        <f>H337-E337</f>
        <v>2.0193652305237038</v>
      </c>
      <c r="J337" s="110">
        <f>IF((E337)=0,"",(I337/E337))</f>
        <v>5.1140793121903878E-3</v>
      </c>
    </row>
    <row r="338" spans="1:11" hidden="1" x14ac:dyDescent="0.25">
      <c r="A338" s="111" t="s">
        <v>76</v>
      </c>
      <c r="B338" s="89"/>
      <c r="C338" s="105">
        <v>0.13</v>
      </c>
      <c r="D338" s="106"/>
      <c r="E338" s="113">
        <f>E337*C338</f>
        <v>51.332305179999999</v>
      </c>
      <c r="F338" s="105">
        <v>0.13</v>
      </c>
      <c r="G338" s="114"/>
      <c r="H338" s="113">
        <f>H337*F338</f>
        <v>51.594822659968081</v>
      </c>
      <c r="I338" s="56">
        <f>H338-E338</f>
        <v>0.26251747996808206</v>
      </c>
      <c r="J338" s="115">
        <f>IF((E338)=0,"",(I338/E338))</f>
        <v>5.1140793121903991E-3</v>
      </c>
    </row>
    <row r="339" spans="1:11" hidden="1" x14ac:dyDescent="0.25">
      <c r="A339" s="111" t="s">
        <v>77</v>
      </c>
      <c r="B339"/>
      <c r="C339" s="116">
        <v>0.11700000000000001</v>
      </c>
      <c r="D339" s="106"/>
      <c r="E339" s="113">
        <f>IF(OR(ISNUMBER(SEARCH("[DGEN]", B288))=TRUE, ISNUMBER(SEARCH("STREET LIGHT", B288))=TRUE), 0, IF(AND(B290=0, B291=0),0, IF(AND(B291=0, B290*12&gt;250000), 0, IF(AND(B290=0, B291&gt;=50), 0, IF(B290*12&lt;=250000, C339*E337*-1, IF(B291&lt;50, C339*E337*-1, 0))))))</f>
        <v>-46.199074662000001</v>
      </c>
      <c r="F339" s="116">
        <v>0.11700000000000001</v>
      </c>
      <c r="G339" s="114"/>
      <c r="H339" s="113">
        <f>IF(OR(ISNUMBER(SEARCH("[DGEN]", B288))=TRUE, ISNUMBER(SEARCH("STREET LIGHT", B288))=TRUE), 0, IF(AND(B290=0, B291=0),0, IF(AND(B291=0, B290*12&gt;250000), 0, IF(AND(B290=0, B291&gt;=50), 0, IF(B290*12&lt;=250000, F339*H337*-1, IF(B291&lt;50, F339*H337*-1, 0))))))</f>
        <v>-46.435340393971273</v>
      </c>
      <c r="I339" s="56"/>
      <c r="J339" s="115"/>
    </row>
    <row r="340" spans="1:11" ht="15.75" hidden="1" thickBot="1" x14ac:dyDescent="0.3">
      <c r="A340" s="265" t="s">
        <v>80</v>
      </c>
      <c r="B340" s="265"/>
      <c r="C340" s="124"/>
      <c r="D340" s="125"/>
      <c r="E340" s="119">
        <f>SUM(E337,E338)</f>
        <v>446.19619117999997</v>
      </c>
      <c r="F340" s="126"/>
      <c r="G340" s="126"/>
      <c r="H340" s="119">
        <f>SUM(H337,H338)</f>
        <v>448.47807389049177</v>
      </c>
      <c r="I340" s="127">
        <f>H340-E340</f>
        <v>2.2818827104918</v>
      </c>
      <c r="J340" s="128">
        <f>IF((E340)=0,"",(I340/E340))</f>
        <v>5.1140793121904216E-3</v>
      </c>
    </row>
    <row r="341" spans="1:11" ht="15.75" hidden="1" thickBot="1" x14ac:dyDescent="0.3">
      <c r="A341" s="96"/>
      <c r="B341" s="97"/>
      <c r="C341" s="133"/>
      <c r="D341" s="130"/>
      <c r="E341" s="134"/>
      <c r="F341" s="133"/>
      <c r="G341" s="99"/>
      <c r="H341" s="134"/>
      <c r="I341" s="132"/>
      <c r="J341" s="135"/>
    </row>
    <row r="344" spans="1:11" x14ac:dyDescent="0.25">
      <c r="A344" s="33" t="s">
        <v>30</v>
      </c>
      <c r="B344" s="254" t="str">
        <f>A21</f>
        <v>SEASONAL CUSTOMERS SERVICE CLASSIFICATION</v>
      </c>
      <c r="C344" s="254"/>
      <c r="D344" s="254"/>
      <c r="E344" s="254"/>
      <c r="F344" s="254"/>
      <c r="G344" s="254"/>
      <c r="H344" s="34" t="str">
        <f>IF(K21="DEMAND - INTERVAL","RTSR - INTERVAL METERED","")</f>
        <v/>
      </c>
    </row>
    <row r="345" spans="1:11" x14ac:dyDescent="0.25">
      <c r="A345" s="33" t="s">
        <v>31</v>
      </c>
      <c r="B345" s="255" t="str">
        <f>E21</f>
        <v>RPP</v>
      </c>
      <c r="C345" s="255"/>
      <c r="D345" s="255"/>
      <c r="E345" s="35"/>
      <c r="F345" s="35"/>
    </row>
    <row r="346" spans="1:11" ht="15.75" x14ac:dyDescent="0.25">
      <c r="A346" s="33" t="s">
        <v>32</v>
      </c>
      <c r="B346" s="36">
        <f>H21</f>
        <v>15</v>
      </c>
      <c r="C346" s="37" t="s">
        <v>33</v>
      </c>
      <c r="G346" s="38"/>
      <c r="H346" s="38"/>
      <c r="I346" s="38"/>
      <c r="J346" s="38"/>
      <c r="K346" s="38"/>
    </row>
    <row r="347" spans="1:11" ht="15.75" x14ac:dyDescent="0.25">
      <c r="A347" s="33" t="s">
        <v>34</v>
      </c>
      <c r="B347" s="36">
        <f>I21</f>
        <v>0</v>
      </c>
      <c r="C347" s="39" t="s">
        <v>35</v>
      </c>
      <c r="D347" s="40"/>
      <c r="E347" s="41"/>
      <c r="F347" s="41"/>
      <c r="G347" s="41"/>
    </row>
    <row r="348" spans="1:11" x14ac:dyDescent="0.25">
      <c r="A348" s="33" t="s">
        <v>36</v>
      </c>
      <c r="B348" s="42">
        <f>F21</f>
        <v>1.0829</v>
      </c>
    </row>
    <row r="349" spans="1:11" x14ac:dyDescent="0.25">
      <c r="A349" s="33" t="s">
        <v>37</v>
      </c>
      <c r="B349" s="42">
        <f>G21</f>
        <v>1.0829</v>
      </c>
    </row>
    <row r="351" spans="1:11" x14ac:dyDescent="0.25">
      <c r="B351" s="37"/>
      <c r="C351" s="256" t="s">
        <v>38</v>
      </c>
      <c r="D351" s="257"/>
      <c r="E351" s="258"/>
      <c r="F351" s="256" t="s">
        <v>39</v>
      </c>
      <c r="G351" s="257"/>
      <c r="H351" s="258"/>
      <c r="I351" s="256" t="s">
        <v>40</v>
      </c>
      <c r="J351" s="258"/>
    </row>
    <row r="352" spans="1:11" x14ac:dyDescent="0.25">
      <c r="B352" s="259"/>
      <c r="C352" s="43" t="s">
        <v>41</v>
      </c>
      <c r="D352" s="43" t="s">
        <v>42</v>
      </c>
      <c r="E352" s="44" t="s">
        <v>43</v>
      </c>
      <c r="F352" s="43" t="s">
        <v>41</v>
      </c>
      <c r="G352" s="45" t="s">
        <v>42</v>
      </c>
      <c r="H352" s="44" t="s">
        <v>43</v>
      </c>
      <c r="I352" s="261" t="s">
        <v>44</v>
      </c>
      <c r="J352" s="263" t="s">
        <v>45</v>
      </c>
    </row>
    <row r="353" spans="1:10" x14ac:dyDescent="0.25">
      <c r="B353" s="260"/>
      <c r="C353" s="46" t="s">
        <v>46</v>
      </c>
      <c r="D353" s="46"/>
      <c r="E353" s="47" t="s">
        <v>46</v>
      </c>
      <c r="F353" s="46" t="s">
        <v>46</v>
      </c>
      <c r="G353" s="47"/>
      <c r="H353" s="47" t="s">
        <v>46</v>
      </c>
      <c r="I353" s="262"/>
      <c r="J353" s="264"/>
    </row>
    <row r="354" spans="1:10" x14ac:dyDescent="0.25">
      <c r="A354" s="48" t="s">
        <v>47</v>
      </c>
      <c r="B354" s="49"/>
      <c r="C354" s="189">
        <v>75.61</v>
      </c>
      <c r="D354" s="51">
        <v>1</v>
      </c>
      <c r="E354" s="52">
        <f>D354*C354</f>
        <v>75.61</v>
      </c>
      <c r="F354" s="219">
        <v>82.79</v>
      </c>
      <c r="G354" s="54">
        <f>D354</f>
        <v>1</v>
      </c>
      <c r="H354" s="55">
        <f>G354*F354</f>
        <v>82.79</v>
      </c>
      <c r="I354" s="56">
        <f t="shared" ref="I354:I375" si="48">H354-E354</f>
        <v>7.1800000000000068</v>
      </c>
      <c r="J354" s="57">
        <f>IF(ISERROR(I354/E354), "", I354/E354)</f>
        <v>9.4960983996825912E-2</v>
      </c>
    </row>
    <row r="355" spans="1:10" x14ac:dyDescent="0.25">
      <c r="A355" s="48" t="s">
        <v>48</v>
      </c>
      <c r="B355" s="49"/>
      <c r="C355" s="191">
        <v>6.0100000000000001E-2</v>
      </c>
      <c r="D355" s="231">
        <f>B346</f>
        <v>15</v>
      </c>
      <c r="E355" s="52">
        <f t="shared" ref="E355:E367" si="49">D355*C355</f>
        <v>0.90149999999999997</v>
      </c>
      <c r="F355" s="221">
        <v>3.8399999999999997E-2</v>
      </c>
      <c r="G355" s="232">
        <f>B346</f>
        <v>15</v>
      </c>
      <c r="H355" s="55">
        <f>G355*F355</f>
        <v>0.57599999999999996</v>
      </c>
      <c r="I355" s="56">
        <f t="shared" si="48"/>
        <v>-0.32550000000000001</v>
      </c>
      <c r="J355" s="57">
        <f t="shared" ref="J355:J365" si="50">IF(ISERROR(I355/E355), "", I355/E355)</f>
        <v>-0.36106489184692181</v>
      </c>
    </row>
    <row r="356" spans="1:10" x14ac:dyDescent="0.25">
      <c r="A356" s="48" t="s">
        <v>49</v>
      </c>
      <c r="B356" s="49"/>
      <c r="C356" s="58"/>
      <c r="D356" s="51">
        <f>IF($E347&gt;0, $E347, $E346)</f>
        <v>0</v>
      </c>
      <c r="E356" s="52">
        <v>0</v>
      </c>
      <c r="F356" s="59"/>
      <c r="G356" s="54">
        <f>IF($E347&gt;0, $E347, $E346)</f>
        <v>0</v>
      </c>
      <c r="H356" s="55">
        <v>0</v>
      </c>
      <c r="I356" s="56"/>
      <c r="J356" s="57"/>
    </row>
    <row r="357" spans="1:10" x14ac:dyDescent="0.25">
      <c r="A357" s="48" t="s">
        <v>50</v>
      </c>
      <c r="B357" s="49"/>
      <c r="C357" s="58"/>
      <c r="D357" s="51">
        <f>IF($E347&gt;0, $E347, $E346)</f>
        <v>0</v>
      </c>
      <c r="E357" s="52">
        <v>0</v>
      </c>
      <c r="F357" s="59"/>
      <c r="G357" s="60">
        <f>IF($E347&gt;0, $E347, $E346)</f>
        <v>0</v>
      </c>
      <c r="H357" s="55">
        <v>0</v>
      </c>
      <c r="I357" s="56">
        <f>H357-E357</f>
        <v>0</v>
      </c>
      <c r="J357" s="57" t="str">
        <f>IF(ISERROR(I357/E357), "", I357/E357)</f>
        <v/>
      </c>
    </row>
    <row r="358" spans="1:10" x14ac:dyDescent="0.25">
      <c r="A358" s="48" t="s">
        <v>51</v>
      </c>
      <c r="B358" s="49"/>
      <c r="C358" s="189">
        <v>5.28</v>
      </c>
      <c r="D358" s="51">
        <v>1</v>
      </c>
      <c r="E358" s="52">
        <f t="shared" si="49"/>
        <v>5.28</v>
      </c>
      <c r="F358" s="219">
        <v>5.28</v>
      </c>
      <c r="G358" s="54">
        <f>D358</f>
        <v>1</v>
      </c>
      <c r="H358" s="55">
        <f t="shared" ref="H358:H365" si="51">G358*F358</f>
        <v>5.28</v>
      </c>
      <c r="I358" s="56">
        <f t="shared" si="48"/>
        <v>0</v>
      </c>
      <c r="J358" s="57">
        <f t="shared" si="50"/>
        <v>0</v>
      </c>
    </row>
    <row r="359" spans="1:10" x14ac:dyDescent="0.25">
      <c r="A359" s="48" t="s">
        <v>52</v>
      </c>
      <c r="B359" s="49"/>
      <c r="C359" s="191">
        <v>3.3300000000000003E-2</v>
      </c>
      <c r="D359" s="231">
        <f>B346</f>
        <v>15</v>
      </c>
      <c r="E359" s="52">
        <f t="shared" si="49"/>
        <v>0.49950000000000006</v>
      </c>
      <c r="F359" s="59">
        <v>0</v>
      </c>
      <c r="G359" s="232">
        <f>B346</f>
        <v>15</v>
      </c>
      <c r="H359" s="55">
        <f t="shared" si="51"/>
        <v>0</v>
      </c>
      <c r="I359" s="56">
        <f t="shared" si="48"/>
        <v>-0.49950000000000006</v>
      </c>
      <c r="J359" s="57">
        <f t="shared" si="50"/>
        <v>-1</v>
      </c>
    </row>
    <row r="360" spans="1:10" x14ac:dyDescent="0.25">
      <c r="A360" s="61" t="s">
        <v>53</v>
      </c>
      <c r="B360" s="62"/>
      <c r="C360" s="63"/>
      <c r="D360" s="64"/>
      <c r="E360" s="65">
        <f>SUM(E354:E359)</f>
        <v>82.290999999999997</v>
      </c>
      <c r="F360" s="66"/>
      <c r="G360" s="67"/>
      <c r="H360" s="65">
        <f>SUM(H354:H359)</f>
        <v>88.646000000000001</v>
      </c>
      <c r="I360" s="68">
        <f t="shared" si="48"/>
        <v>6.355000000000004</v>
      </c>
      <c r="J360" s="69">
        <f>IF((E360)=0,"",(I360/E360))</f>
        <v>7.7225942083581495E-2</v>
      </c>
    </row>
    <row r="361" spans="1:10" x14ac:dyDescent="0.25">
      <c r="A361" s="70" t="s">
        <v>54</v>
      </c>
      <c r="B361" s="49"/>
      <c r="C361" s="58">
        <v>9.3670000000000003E-2</v>
      </c>
      <c r="D361" s="71">
        <f>B346*(B348-1)</f>
        <v>1.2434999999999996</v>
      </c>
      <c r="E361" s="52">
        <f>D361*C361</f>
        <v>0.11647864499999996</v>
      </c>
      <c r="F361" s="59">
        <v>9.3670000000000003E-2</v>
      </c>
      <c r="G361" s="72">
        <f>IF(F361=0, 0, B346*B349-B346)</f>
        <v>1.2435000000000009</v>
      </c>
      <c r="H361" s="55">
        <f>G361*F361</f>
        <v>0.11647864500000009</v>
      </c>
      <c r="I361" s="56">
        <f>H361-E361</f>
        <v>1.2490009027033011E-16</v>
      </c>
      <c r="J361" s="57">
        <f>IF(ISERROR(I361/E361), "", I361/E361)</f>
        <v>1.0723003368585731E-15</v>
      </c>
    </row>
    <row r="362" spans="1:10" ht="25.5" x14ac:dyDescent="0.25">
      <c r="A362" s="70" t="s">
        <v>55</v>
      </c>
      <c r="B362" s="49"/>
      <c r="C362" s="191">
        <v>2.8E-3</v>
      </c>
      <c r="D362" s="73">
        <f>B346</f>
        <v>15</v>
      </c>
      <c r="E362" s="52">
        <f t="shared" si="49"/>
        <v>4.2000000000000003E-2</v>
      </c>
      <c r="F362" s="221">
        <v>3.7309222871942014E-3</v>
      </c>
      <c r="G362" s="74">
        <f>B346</f>
        <v>15</v>
      </c>
      <c r="H362" s="55">
        <f t="shared" si="51"/>
        <v>5.5963834307913018E-2</v>
      </c>
      <c r="I362" s="56">
        <f t="shared" si="48"/>
        <v>1.3963834307913016E-2</v>
      </c>
      <c r="J362" s="57">
        <f t="shared" si="50"/>
        <v>0.33247224542650033</v>
      </c>
    </row>
    <row r="363" spans="1:10" x14ac:dyDescent="0.25">
      <c r="A363" s="70" t="s">
        <v>56</v>
      </c>
      <c r="B363" s="49"/>
      <c r="C363" s="191">
        <v>-1E-4</v>
      </c>
      <c r="D363" s="73">
        <f>B346</f>
        <v>15</v>
      </c>
      <c r="E363" s="52">
        <f>D363*C363</f>
        <v>-1.5E-3</v>
      </c>
      <c r="F363" s="221">
        <v>-1E-4</v>
      </c>
      <c r="G363" s="74">
        <f>B346</f>
        <v>15</v>
      </c>
      <c r="H363" s="55">
        <f>G363*F363</f>
        <v>-1.5E-3</v>
      </c>
      <c r="I363" s="56">
        <f t="shared" si="48"/>
        <v>0</v>
      </c>
      <c r="J363" s="57">
        <f t="shared" si="50"/>
        <v>0</v>
      </c>
    </row>
    <row r="364" spans="1:10" x14ac:dyDescent="0.25">
      <c r="A364" s="70" t="s">
        <v>57</v>
      </c>
      <c r="B364" s="49"/>
      <c r="C364" s="58">
        <v>0</v>
      </c>
      <c r="D364" s="73">
        <f>B346</f>
        <v>15</v>
      </c>
      <c r="E364" s="52">
        <f>D364*C364</f>
        <v>0</v>
      </c>
      <c r="F364" s="59">
        <v>0</v>
      </c>
      <c r="G364" s="74">
        <f>B346</f>
        <v>15</v>
      </c>
      <c r="H364" s="55">
        <f t="shared" si="51"/>
        <v>0</v>
      </c>
      <c r="I364" s="56">
        <f t="shared" si="48"/>
        <v>0</v>
      </c>
      <c r="J364" s="57" t="str">
        <f t="shared" si="50"/>
        <v/>
      </c>
    </row>
    <row r="365" spans="1:10" x14ac:dyDescent="0.25">
      <c r="A365" s="48" t="s">
        <v>58</v>
      </c>
      <c r="B365" s="49"/>
      <c r="C365" s="58">
        <v>0</v>
      </c>
      <c r="D365" s="73">
        <f>IF($E347&gt;0, $E347, $E346)</f>
        <v>0</v>
      </c>
      <c r="E365" s="52">
        <f t="shared" si="49"/>
        <v>0</v>
      </c>
      <c r="F365" s="59"/>
      <c r="G365" s="74">
        <f>IF($E347&gt;0, $E347, $E346)</f>
        <v>0</v>
      </c>
      <c r="H365" s="55">
        <f t="shared" si="51"/>
        <v>0</v>
      </c>
      <c r="I365" s="56">
        <f t="shared" si="48"/>
        <v>0</v>
      </c>
      <c r="J365" s="57" t="str">
        <f t="shared" si="50"/>
        <v/>
      </c>
    </row>
    <row r="366" spans="1:10" ht="25.5" x14ac:dyDescent="0.25">
      <c r="A366" s="70" t="s">
        <v>59</v>
      </c>
      <c r="B366" s="49"/>
      <c r="C366" s="192">
        <f>'Current (2023) Tariff'!D96</f>
        <v>0.42</v>
      </c>
      <c r="D366" s="51">
        <v>1</v>
      </c>
      <c r="E366" s="52">
        <f>D366*C366</f>
        <v>0.42</v>
      </c>
      <c r="F366" s="220">
        <v>0.42</v>
      </c>
      <c r="G366" s="60">
        <v>1</v>
      </c>
      <c r="H366" s="55">
        <f>G366*F366</f>
        <v>0.42</v>
      </c>
      <c r="I366" s="56">
        <f t="shared" si="48"/>
        <v>0</v>
      </c>
      <c r="J366" s="57">
        <f>IF(ISERROR(I366/E366), "", I366/E366)</f>
        <v>0</v>
      </c>
    </row>
    <row r="367" spans="1:10" x14ac:dyDescent="0.25">
      <c r="A367" s="48" t="s">
        <v>60</v>
      </c>
      <c r="B367" s="49"/>
      <c r="C367" s="50">
        <v>0</v>
      </c>
      <c r="D367" s="51">
        <v>1</v>
      </c>
      <c r="E367" s="52">
        <f t="shared" si="49"/>
        <v>0</v>
      </c>
      <c r="F367" s="53">
        <v>0</v>
      </c>
      <c r="G367" s="60">
        <v>1</v>
      </c>
      <c r="H367" s="55">
        <f>G367*F367</f>
        <v>0</v>
      </c>
      <c r="I367" s="56">
        <f>H367-E367</f>
        <v>0</v>
      </c>
      <c r="J367" s="57" t="str">
        <f>IF(ISERROR(I367/E367), "", I367/E367)</f>
        <v/>
      </c>
    </row>
    <row r="368" spans="1:10" x14ac:dyDescent="0.25">
      <c r="A368" s="48" t="s">
        <v>61</v>
      </c>
      <c r="B368" s="49"/>
      <c r="C368" s="58">
        <v>0</v>
      </c>
      <c r="D368" s="73">
        <f>IF($E347&gt;0, $E347, $E346)</f>
        <v>0</v>
      </c>
      <c r="E368" s="52">
        <f>D368*C368</f>
        <v>0</v>
      </c>
      <c r="F368" s="59">
        <v>0</v>
      </c>
      <c r="G368" s="74">
        <f>IF($E347&gt;0, $E347, $E346)</f>
        <v>0</v>
      </c>
      <c r="H368" s="55">
        <f>G368*F368</f>
        <v>0</v>
      </c>
      <c r="I368" s="56">
        <f t="shared" si="48"/>
        <v>0</v>
      </c>
      <c r="J368" s="57" t="str">
        <f>IF(ISERROR(I368/E368), "", I368/E368)</f>
        <v/>
      </c>
    </row>
    <row r="369" spans="1:11" ht="25.5" x14ac:dyDescent="0.25">
      <c r="A369" s="77" t="s">
        <v>62</v>
      </c>
      <c r="B369" s="78"/>
      <c r="C369" s="79"/>
      <c r="D369" s="80"/>
      <c r="E369" s="81">
        <f>SUM(E360:E368)</f>
        <v>82.867978645000008</v>
      </c>
      <c r="F369" s="82"/>
      <c r="G369" s="83"/>
      <c r="H369" s="81">
        <f>SUM(H360:H368)</f>
        <v>89.236942479307928</v>
      </c>
      <c r="I369" s="68">
        <f t="shared" si="48"/>
        <v>6.3689638343079196</v>
      </c>
      <c r="J369" s="69">
        <f>IF((E369)=0,"",(I369/E369))</f>
        <v>7.6856753820339532E-2</v>
      </c>
    </row>
    <row r="370" spans="1:11" x14ac:dyDescent="0.25">
      <c r="A370" s="84" t="s">
        <v>63</v>
      </c>
      <c r="B370" s="49"/>
      <c r="C370" s="191">
        <v>1.0500000000000001E-2</v>
      </c>
      <c r="D370" s="71">
        <f>B346*B348</f>
        <v>16.243500000000001</v>
      </c>
      <c r="E370" s="52">
        <f>D370*C370</f>
        <v>0.17055675000000001</v>
      </c>
      <c r="F370" s="222">
        <v>1.0075382459283159E-2</v>
      </c>
      <c r="G370" s="72">
        <f>D370</f>
        <v>16.243500000000001</v>
      </c>
      <c r="H370" s="55">
        <f>G370*F370</f>
        <v>0.16365947497736599</v>
      </c>
      <c r="I370" s="56">
        <f t="shared" si="48"/>
        <v>-6.897275022634014E-3</v>
      </c>
      <c r="J370" s="57">
        <f>IF(ISERROR(I370/E370), "", I370/E370)</f>
        <v>-4.0439765782556328E-2</v>
      </c>
      <c r="K370" s="85" t="str">
        <f>IF(ISERROR(ABS(J370)), "", IF(ABS(J370)&gt;=4%, "In the manager's summary, discuss the reasoning for the change in RTSR rates", ""))</f>
        <v>In the manager's summary, discuss the reasoning for the change in RTSR rates</v>
      </c>
    </row>
    <row r="371" spans="1:11" ht="25.5" x14ac:dyDescent="0.25">
      <c r="A371" s="86" t="s">
        <v>64</v>
      </c>
      <c r="B371" s="49"/>
      <c r="C371" s="191">
        <v>7.3000000000000001E-3</v>
      </c>
      <c r="D371" s="71">
        <f>D370</f>
        <v>16.243500000000001</v>
      </c>
      <c r="E371" s="52">
        <f>D371*C371</f>
        <v>0.11857755</v>
      </c>
      <c r="F371" s="222">
        <v>7.5402879954109651E-3</v>
      </c>
      <c r="G371" s="72">
        <f>D371</f>
        <v>16.243500000000001</v>
      </c>
      <c r="H371" s="55">
        <f>G371*F371</f>
        <v>0.12248066805345802</v>
      </c>
      <c r="I371" s="56">
        <f t="shared" si="48"/>
        <v>3.9031180534580129E-3</v>
      </c>
      <c r="J371" s="57">
        <f>IF(ISERROR(I371/E371), "", I371/E371)</f>
        <v>3.2916163754926737E-2</v>
      </c>
      <c r="K371" s="85" t="str">
        <f>IF(ISERROR(ABS(J371)), "", IF(ABS(J371)&gt;=4%, "In the manager's summary, discuss the reasoning for the change in RTSR rates", ""))</f>
        <v/>
      </c>
    </row>
    <row r="372" spans="1:11" ht="25.5" x14ac:dyDescent="0.25">
      <c r="A372" s="77" t="s">
        <v>65</v>
      </c>
      <c r="B372" s="62"/>
      <c r="C372" s="79"/>
      <c r="D372" s="80"/>
      <c r="E372" s="81">
        <f>SUM(E369:E371)</f>
        <v>83.157112945000009</v>
      </c>
      <c r="F372" s="82"/>
      <c r="G372" s="67"/>
      <c r="H372" s="81">
        <f>SUM(H369:H371)</f>
        <v>89.523082622338748</v>
      </c>
      <c r="I372" s="68">
        <f t="shared" si="48"/>
        <v>6.3659696773387395</v>
      </c>
      <c r="J372" s="69">
        <f>IF((E372)=0,"",(I372/E372))</f>
        <v>7.6553519619532523E-2</v>
      </c>
    </row>
    <row r="373" spans="1:11" ht="25.5" x14ac:dyDescent="0.25">
      <c r="A373" s="87" t="s">
        <v>66</v>
      </c>
      <c r="B373" s="49"/>
      <c r="C373" s="191">
        <f>C93</f>
        <v>4.4999999999999997E-3</v>
      </c>
      <c r="D373" s="71">
        <f>B346*B348</f>
        <v>16.243500000000001</v>
      </c>
      <c r="E373" s="88">
        <f t="shared" ref="E373:E379" si="52">D373*C373</f>
        <v>7.3095750000000001E-2</v>
      </c>
      <c r="F373" s="221">
        <v>4.5000000000000005E-3</v>
      </c>
      <c r="G373" s="72">
        <f>B346*B349</f>
        <v>16.243500000000001</v>
      </c>
      <c r="H373" s="55">
        <f t="shared" ref="H373:H379" si="53">G373*F373</f>
        <v>7.3095750000000015E-2</v>
      </c>
      <c r="I373" s="56">
        <f t="shared" si="48"/>
        <v>0</v>
      </c>
      <c r="J373" s="57">
        <f t="shared" ref="J373:J381" si="54">IF(ISERROR(I373/E373), "", I373/E373)</f>
        <v>0</v>
      </c>
    </row>
    <row r="374" spans="1:11" ht="25.5" x14ac:dyDescent="0.25">
      <c r="A374" s="87" t="s">
        <v>67</v>
      </c>
      <c r="B374" s="49"/>
      <c r="C374" s="191">
        <f>C94</f>
        <v>6.9999999999999999E-4</v>
      </c>
      <c r="D374" s="71">
        <f>B346*B348</f>
        <v>16.243500000000001</v>
      </c>
      <c r="E374" s="88">
        <f t="shared" si="52"/>
        <v>1.1370450000000001E-2</v>
      </c>
      <c r="F374" s="221">
        <v>6.9999999999999999E-4</v>
      </c>
      <c r="G374" s="72">
        <f>B346*B349</f>
        <v>16.243500000000001</v>
      </c>
      <c r="H374" s="55">
        <f t="shared" si="53"/>
        <v>1.1370450000000001E-2</v>
      </c>
      <c r="I374" s="56">
        <f t="shared" si="48"/>
        <v>0</v>
      </c>
      <c r="J374" s="57">
        <f t="shared" si="54"/>
        <v>0</v>
      </c>
    </row>
    <row r="375" spans="1:11" x14ac:dyDescent="0.25">
      <c r="A375" s="89" t="s">
        <v>68</v>
      </c>
      <c r="B375" s="49"/>
      <c r="C375" s="191">
        <f>C95</f>
        <v>0.25</v>
      </c>
      <c r="D375" s="51">
        <v>1</v>
      </c>
      <c r="E375" s="88">
        <f t="shared" si="52"/>
        <v>0.25</v>
      </c>
      <c r="F375" s="220">
        <v>0.25</v>
      </c>
      <c r="G375" s="54">
        <v>1</v>
      </c>
      <c r="H375" s="55">
        <f t="shared" si="53"/>
        <v>0.25</v>
      </c>
      <c r="I375" s="56">
        <f t="shared" si="48"/>
        <v>0</v>
      </c>
      <c r="J375" s="57">
        <f t="shared" si="54"/>
        <v>0</v>
      </c>
    </row>
    <row r="376" spans="1:11" ht="25.5" x14ac:dyDescent="0.25">
      <c r="A376" s="87" t="s">
        <v>69</v>
      </c>
      <c r="B376" s="49"/>
      <c r="C376" s="58"/>
      <c r="D376" s="71"/>
      <c r="E376" s="88"/>
      <c r="F376" s="59"/>
      <c r="G376" s="72"/>
      <c r="H376" s="55"/>
      <c r="I376" s="56"/>
      <c r="J376" s="57"/>
    </row>
    <row r="377" spans="1:11" x14ac:dyDescent="0.25">
      <c r="A377" s="89" t="s">
        <v>70</v>
      </c>
      <c r="B377" s="49"/>
      <c r="C377" s="90">
        <v>7.3999999999999996E-2</v>
      </c>
      <c r="D377" s="91">
        <v>9.4499999999999993</v>
      </c>
      <c r="E377" s="88">
        <f t="shared" si="52"/>
        <v>0.69929999999999992</v>
      </c>
      <c r="F377" s="92">
        <v>7.3999999999999996E-2</v>
      </c>
      <c r="G377" s="93">
        <v>9.4499999999999993</v>
      </c>
      <c r="H377" s="55">
        <f t="shared" si="53"/>
        <v>0.69929999999999992</v>
      </c>
      <c r="I377" s="56">
        <f>H377-E377</f>
        <v>0</v>
      </c>
      <c r="J377" s="57">
        <f t="shared" si="54"/>
        <v>0</v>
      </c>
    </row>
    <row r="378" spans="1:11" x14ac:dyDescent="0.25">
      <c r="A378" s="89" t="s">
        <v>71</v>
      </c>
      <c r="B378" s="49"/>
      <c r="C378" s="90">
        <v>0.10199999999999999</v>
      </c>
      <c r="D378" s="91">
        <v>2.6999999999999997</v>
      </c>
      <c r="E378" s="88">
        <f t="shared" si="52"/>
        <v>0.27539999999999998</v>
      </c>
      <c r="F378" s="92">
        <v>0.10199999999999999</v>
      </c>
      <c r="G378" s="93">
        <v>2.6999999999999997</v>
      </c>
      <c r="H378" s="55">
        <f t="shared" si="53"/>
        <v>0.27539999999999998</v>
      </c>
      <c r="I378" s="56">
        <f>H378-E378</f>
        <v>0</v>
      </c>
      <c r="J378" s="57">
        <f t="shared" si="54"/>
        <v>0</v>
      </c>
    </row>
    <row r="379" spans="1:11" x14ac:dyDescent="0.25">
      <c r="A379" s="34" t="s">
        <v>72</v>
      </c>
      <c r="B379" s="49"/>
      <c r="C379" s="90">
        <v>0.151</v>
      </c>
      <c r="D379" s="91">
        <v>2.85</v>
      </c>
      <c r="E379" s="88">
        <f t="shared" si="52"/>
        <v>0.43035000000000001</v>
      </c>
      <c r="F379" s="92">
        <v>0.151</v>
      </c>
      <c r="G379" s="93">
        <v>2.85</v>
      </c>
      <c r="H379" s="55">
        <f t="shared" si="53"/>
        <v>0.43035000000000001</v>
      </c>
      <c r="I379" s="56">
        <f>H379-E379</f>
        <v>0</v>
      </c>
      <c r="J379" s="57">
        <f t="shared" si="54"/>
        <v>0</v>
      </c>
    </row>
    <row r="380" spans="1:11" x14ac:dyDescent="0.25">
      <c r="A380" s="89" t="s">
        <v>73</v>
      </c>
      <c r="B380" s="49"/>
      <c r="C380" s="94">
        <v>0.1076</v>
      </c>
      <c r="D380" s="91">
        <f>IF(AND(B346*12&gt;=150000),B346*B348,B346)</f>
        <v>15</v>
      </c>
      <c r="E380" s="88">
        <f>D380*C380</f>
        <v>1.6140000000000001</v>
      </c>
      <c r="F380" s="95">
        <f>C380</f>
        <v>0.1076</v>
      </c>
      <c r="G380" s="93">
        <f>IF(AND(B346*12&gt;=150000),B346*B349,B346)</f>
        <v>15</v>
      </c>
      <c r="H380" s="55">
        <f>G380*F380</f>
        <v>1.6140000000000001</v>
      </c>
      <c r="I380" s="56">
        <f>H380-E380</f>
        <v>0</v>
      </c>
      <c r="J380" s="57">
        <f t="shared" si="54"/>
        <v>0</v>
      </c>
    </row>
    <row r="381" spans="1:11" ht="15.75" thickBot="1" x14ac:dyDescent="0.3">
      <c r="A381" s="89" t="s">
        <v>74</v>
      </c>
      <c r="B381" s="49"/>
      <c r="C381" s="94">
        <v>0.1076</v>
      </c>
      <c r="D381" s="91">
        <f>IF(AND(B346*12&gt;=150000),B346*B348,B346)</f>
        <v>15</v>
      </c>
      <c r="E381" s="88">
        <f>D381*C381</f>
        <v>1.6140000000000001</v>
      </c>
      <c r="F381" s="95">
        <f>C381</f>
        <v>0.1076</v>
      </c>
      <c r="G381" s="93">
        <f>IF(AND(B346*12&gt;=150000),B346*B349,B346)</f>
        <v>15</v>
      </c>
      <c r="H381" s="55">
        <f>G381*F381</f>
        <v>1.6140000000000001</v>
      </c>
      <c r="I381" s="56">
        <f>H381-E381</f>
        <v>0</v>
      </c>
      <c r="J381" s="57">
        <f t="shared" si="54"/>
        <v>0</v>
      </c>
    </row>
    <row r="382" spans="1:11" ht="15.75" thickBot="1" x14ac:dyDescent="0.3">
      <c r="A382" s="96"/>
      <c r="B382" s="97"/>
      <c r="C382" s="98"/>
      <c r="D382" s="99"/>
      <c r="E382" s="100"/>
      <c r="F382" s="98"/>
      <c r="G382" s="101"/>
      <c r="H382" s="100"/>
      <c r="I382" s="102"/>
      <c r="J382" s="103"/>
    </row>
    <row r="383" spans="1:11" x14ac:dyDescent="0.25">
      <c r="A383" s="104" t="s">
        <v>75</v>
      </c>
      <c r="B383" s="89"/>
      <c r="C383" s="105"/>
      <c r="D383" s="106"/>
      <c r="E383" s="107">
        <f>SUM(E373:E379,E372)</f>
        <v>84.896629145000006</v>
      </c>
      <c r="F383" s="108"/>
      <c r="G383" s="108"/>
      <c r="H383" s="107">
        <f>SUM(H373:H379,H372)</f>
        <v>91.262598822338745</v>
      </c>
      <c r="I383" s="109">
        <f>H383-E383</f>
        <v>6.3659696773387395</v>
      </c>
      <c r="J383" s="110">
        <f>IF((E383)=0,"",(I383/E383))</f>
        <v>7.4984952187747297E-2</v>
      </c>
    </row>
    <row r="384" spans="1:11" x14ac:dyDescent="0.25">
      <c r="A384" s="111" t="s">
        <v>76</v>
      </c>
      <c r="B384" s="89"/>
      <c r="C384" s="105">
        <v>0.13</v>
      </c>
      <c r="D384" s="112"/>
      <c r="E384" s="113">
        <f>E383*C384</f>
        <v>11.036561788850001</v>
      </c>
      <c r="F384" s="114">
        <v>0.13</v>
      </c>
      <c r="G384" s="51"/>
      <c r="H384" s="113">
        <f>H383*F384</f>
        <v>11.864137846904038</v>
      </c>
      <c r="I384" s="56">
        <f>H384-E384</f>
        <v>0.82757605805403678</v>
      </c>
      <c r="J384" s="115">
        <f>IF((E384)=0,"",(I384/E384))</f>
        <v>7.4984952187747353E-2</v>
      </c>
    </row>
    <row r="385" spans="1:10" x14ac:dyDescent="0.25">
      <c r="A385" s="111" t="s">
        <v>77</v>
      </c>
      <c r="B385"/>
      <c r="C385" s="116">
        <v>0.11700000000000001</v>
      </c>
      <c r="D385" s="112"/>
      <c r="E385" s="113">
        <f>IF(OR(ISNUMBER(SEARCH("[DGEN]", B344))=TRUE, ISNUMBER(SEARCH("STREET LIGHT", B344))=TRUE), 0, IF(AND(B346=0, B347=0),0, IF(AND(B347=0, B346*12&gt;250000), 0, IF(AND(B346=0, B347&gt;=50), 0, IF(B346*12&lt;=250000, C385*E383*-1, IF(B347&lt;50, C385*E383*-1, 0))))))</f>
        <v>-9.932905609965001</v>
      </c>
      <c r="F385" s="116">
        <v>0.11700000000000001</v>
      </c>
      <c r="G385" s="51"/>
      <c r="H385" s="113">
        <f>IF(OR(ISNUMBER(SEARCH("[DGEN]", B344))=TRUE, ISNUMBER(SEARCH("STREET LIGHT", B344))=TRUE), 0, IF(AND(B346=0, B347=0),0, IF(AND(B347=0, B346*12&gt;250000), 0, IF(AND(B346=0, B347&gt;=50), 0, IF(B346*12&lt;=250000, F385*H383*-1, IF(B347&lt;50, F385*H383*-1, 0))))))</f>
        <v>-10.677724062213635</v>
      </c>
      <c r="I385" s="56">
        <f>H385-E385</f>
        <v>-0.74481845224863363</v>
      </c>
      <c r="J385" s="115"/>
    </row>
    <row r="386" spans="1:10" ht="15.75" thickBot="1" x14ac:dyDescent="0.3">
      <c r="A386" s="265" t="s">
        <v>78</v>
      </c>
      <c r="B386" s="265"/>
      <c r="C386" s="117"/>
      <c r="D386" s="118"/>
      <c r="E386" s="119">
        <f>E383+E384+E385</f>
        <v>86.000285323884995</v>
      </c>
      <c r="F386" s="120"/>
      <c r="G386" s="120"/>
      <c r="H386" s="121">
        <f>H383+H384+H385</f>
        <v>92.449012607029147</v>
      </c>
      <c r="I386" s="122">
        <f>H386-E386</f>
        <v>6.4487272831441516</v>
      </c>
      <c r="J386" s="123">
        <f>IF((E386)=0,"",(I386/E386))</f>
        <v>7.4984952187747408E-2</v>
      </c>
    </row>
    <row r="387" spans="1:10" ht="15.75" thickBot="1" x14ac:dyDescent="0.3">
      <c r="A387" s="96"/>
      <c r="B387" s="97"/>
      <c r="C387" s="98"/>
      <c r="D387" s="99"/>
      <c r="E387" s="100"/>
      <c r="F387" s="98"/>
      <c r="G387" s="101"/>
      <c r="H387" s="100"/>
      <c r="I387" s="102"/>
      <c r="J387" s="103"/>
    </row>
    <row r="388" spans="1:10" hidden="1" x14ac:dyDescent="0.25">
      <c r="A388" s="104" t="s">
        <v>79</v>
      </c>
      <c r="B388" s="89"/>
      <c r="C388" s="105"/>
      <c r="D388" s="106"/>
      <c r="E388" s="107">
        <f>SUM(E380,E373:E376,E372)</f>
        <v>85.105579145000007</v>
      </c>
      <c r="F388" s="108"/>
      <c r="G388" s="108"/>
      <c r="H388" s="107">
        <f>SUM(H380,H373:H376,H372)</f>
        <v>91.471548822338747</v>
      </c>
      <c r="I388" s="109">
        <f>H388-E388</f>
        <v>6.3659696773387395</v>
      </c>
      <c r="J388" s="110">
        <f>IF((E388)=0,"",(I388/E388))</f>
        <v>7.4800850206219918E-2</v>
      </c>
    </row>
    <row r="389" spans="1:10" hidden="1" x14ac:dyDescent="0.25">
      <c r="A389" s="111" t="s">
        <v>76</v>
      </c>
      <c r="B389" s="89"/>
      <c r="C389" s="105">
        <v>0.13</v>
      </c>
      <c r="D389" s="106"/>
      <c r="E389" s="113">
        <f>E388*C389</f>
        <v>11.063725288850002</v>
      </c>
      <c r="F389" s="105">
        <v>0.13</v>
      </c>
      <c r="G389" s="114"/>
      <c r="H389" s="113">
        <f>H388*F389</f>
        <v>11.891301346904038</v>
      </c>
      <c r="I389" s="56">
        <f>H389-E389</f>
        <v>0.82757605805403678</v>
      </c>
      <c r="J389" s="115">
        <f>IF((E389)=0,"",(I389/E389))</f>
        <v>7.4800850206219974E-2</v>
      </c>
    </row>
    <row r="390" spans="1:10" hidden="1" x14ac:dyDescent="0.25">
      <c r="A390" s="111" t="s">
        <v>77</v>
      </c>
      <c r="B390"/>
      <c r="C390" s="116">
        <v>0.11700000000000001</v>
      </c>
      <c r="D390" s="106"/>
      <c r="E390" s="113">
        <f>IF(OR(ISNUMBER(SEARCH("[DGEN]", B344))=TRUE, ISNUMBER(SEARCH("STREET LIGHT", B344))=TRUE), 0, IF(AND(B346=0, B347=0),0, IF(AND(B347=0, B346*12&gt;250000), 0, IF(AND(B346=0, B347&gt;=50), 0, IF(B346*12&lt;=250000, C390*E388*-1, IF(B347&lt;50, C390*E388*-1, 0))))))</f>
        <v>-9.9573527599650014</v>
      </c>
      <c r="F390" s="116">
        <v>0.11700000000000001</v>
      </c>
      <c r="G390" s="114"/>
      <c r="H390" s="113">
        <f>IF(OR(ISNUMBER(SEARCH("[DGEN]", B344))=TRUE, ISNUMBER(SEARCH("STREET LIGHT", B344))=TRUE), 0, IF(AND(B346=0, B347=0),0, IF(AND(B347=0, B346*12&gt;250000), 0, IF(AND(B346=0, B347&gt;=50), 0, IF(B346*12&lt;=250000, F390*H388*-1, IF(B347&lt;50, F390*H388*-1, 0))))))</f>
        <v>-10.702171212213633</v>
      </c>
      <c r="I390" s="56"/>
      <c r="J390" s="115"/>
    </row>
    <row r="391" spans="1:10" ht="15.75" hidden="1" thickBot="1" x14ac:dyDescent="0.3">
      <c r="A391" s="265" t="s">
        <v>79</v>
      </c>
      <c r="B391" s="265"/>
      <c r="C391" s="124"/>
      <c r="D391" s="125"/>
      <c r="E391" s="119">
        <f>SUM(E388,E389)</f>
        <v>96.169304433850016</v>
      </c>
      <c r="F391" s="126"/>
      <c r="G391" s="126"/>
      <c r="H391" s="119">
        <f>SUM(H388,H389)</f>
        <v>103.36285016924279</v>
      </c>
      <c r="I391" s="127">
        <f>H391-E391</f>
        <v>7.1935457353927745</v>
      </c>
      <c r="J391" s="128">
        <f>IF((E391)=0,"",(I391/E391))</f>
        <v>7.4800850206219904E-2</v>
      </c>
    </row>
    <row r="392" spans="1:10" ht="15.75" hidden="1" thickBot="1" x14ac:dyDescent="0.3">
      <c r="A392" s="96"/>
      <c r="B392" s="97"/>
      <c r="C392" s="129"/>
      <c r="D392" s="130"/>
      <c r="E392" s="131"/>
      <c r="F392" s="129"/>
      <c r="G392" s="99"/>
      <c r="H392" s="131"/>
      <c r="I392" s="132"/>
      <c r="J392" s="103"/>
    </row>
    <row r="393" spans="1:10" hidden="1" x14ac:dyDescent="0.25">
      <c r="A393" s="104" t="s">
        <v>80</v>
      </c>
      <c r="B393" s="89"/>
      <c r="C393" s="105"/>
      <c r="D393" s="106"/>
      <c r="E393" s="107">
        <f>SUM(E381,E373:E376,E372)</f>
        <v>85.105579145000007</v>
      </c>
      <c r="F393" s="108"/>
      <c r="G393" s="108"/>
      <c r="H393" s="107">
        <f>SUM(H381,H373:H376,H372)</f>
        <v>91.471548822338747</v>
      </c>
      <c r="I393" s="109">
        <f>H393-E393</f>
        <v>6.3659696773387395</v>
      </c>
      <c r="J393" s="110">
        <f>IF((E393)=0,"",(I393/E393))</f>
        <v>7.4800850206219918E-2</v>
      </c>
    </row>
    <row r="394" spans="1:10" hidden="1" x14ac:dyDescent="0.25">
      <c r="A394" s="111" t="s">
        <v>76</v>
      </c>
      <c r="B394" s="89"/>
      <c r="C394" s="105">
        <v>0.13</v>
      </c>
      <c r="D394" s="106"/>
      <c r="E394" s="113">
        <f>E393*C394</f>
        <v>11.063725288850002</v>
      </c>
      <c r="F394" s="105">
        <v>0.13</v>
      </c>
      <c r="G394" s="114"/>
      <c r="H394" s="113">
        <f>H393*F394</f>
        <v>11.891301346904038</v>
      </c>
      <c r="I394" s="56">
        <f>H394-E394</f>
        <v>0.82757605805403678</v>
      </c>
      <c r="J394" s="115">
        <f>IF((E394)=0,"",(I394/E394))</f>
        <v>7.4800850206219974E-2</v>
      </c>
    </row>
    <row r="395" spans="1:10" hidden="1" x14ac:dyDescent="0.25">
      <c r="A395" s="111" t="s">
        <v>77</v>
      </c>
      <c r="B395"/>
      <c r="C395" s="116">
        <v>0.11700000000000001</v>
      </c>
      <c r="D395" s="106"/>
      <c r="E395" s="113">
        <f>IF(OR(ISNUMBER(SEARCH("[DGEN]", B344))=TRUE, ISNUMBER(SEARCH("STREET LIGHT", B344))=TRUE), 0, IF(AND(B346=0, B347=0),0, IF(AND(B347=0, B346*12&gt;250000), 0, IF(AND(B346=0, B347&gt;=50), 0, IF(B346*12&lt;=250000, C395*E393*-1, IF(B347&lt;50, C395*E393*-1, 0))))))</f>
        <v>-9.9573527599650014</v>
      </c>
      <c r="F395" s="116">
        <v>0.11700000000000001</v>
      </c>
      <c r="G395" s="114"/>
      <c r="H395" s="113">
        <f>IF(OR(ISNUMBER(SEARCH("[DGEN]", B344))=TRUE, ISNUMBER(SEARCH("STREET LIGHT", B344))=TRUE), 0, IF(AND(B346=0, B347=0),0, IF(AND(B347=0, B346*12&gt;250000), 0, IF(AND(B346=0, B347&gt;=50), 0, IF(B346*12&lt;=250000, F395*H393*-1, IF(B347&lt;50, F395*H393*-1, 0))))))</f>
        <v>-10.702171212213633</v>
      </c>
      <c r="I395" s="56"/>
      <c r="J395" s="115"/>
    </row>
    <row r="396" spans="1:10" ht="15.75" hidden="1" thickBot="1" x14ac:dyDescent="0.3">
      <c r="A396" s="265" t="s">
        <v>80</v>
      </c>
      <c r="B396" s="265"/>
      <c r="C396" s="124"/>
      <c r="D396" s="125"/>
      <c r="E396" s="119">
        <f>SUM(E393,E394)</f>
        <v>96.169304433850016</v>
      </c>
      <c r="F396" s="126"/>
      <c r="G396" s="126"/>
      <c r="H396" s="119">
        <f>SUM(H393,H394)</f>
        <v>103.36285016924279</v>
      </c>
      <c r="I396" s="127">
        <f>H396-E396</f>
        <v>7.1935457353927745</v>
      </c>
      <c r="J396" s="128">
        <f>IF((E396)=0,"",(I396/E396))</f>
        <v>7.4800850206219904E-2</v>
      </c>
    </row>
    <row r="397" spans="1:10" ht="15.75" hidden="1" thickBot="1" x14ac:dyDescent="0.3">
      <c r="A397" s="96"/>
      <c r="B397" s="97"/>
      <c r="C397" s="133"/>
      <c r="D397" s="130"/>
      <c r="E397" s="134"/>
      <c r="F397" s="133"/>
      <c r="G397" s="99"/>
      <c r="H397" s="134"/>
      <c r="I397" s="132"/>
      <c r="J397" s="135"/>
    </row>
  </sheetData>
  <mergeCells count="99">
    <mergeCell ref="I352:I353"/>
    <mergeCell ref="J352:J353"/>
    <mergeCell ref="A386:B386"/>
    <mergeCell ref="A391:B391"/>
    <mergeCell ref="A396:B396"/>
    <mergeCell ref="B352:B353"/>
    <mergeCell ref="I351:J351"/>
    <mergeCell ref="I295:J295"/>
    <mergeCell ref="B296:B297"/>
    <mergeCell ref="I296:I297"/>
    <mergeCell ref="J296:J297"/>
    <mergeCell ref="A330:B330"/>
    <mergeCell ref="A335:B335"/>
    <mergeCell ref="C295:E295"/>
    <mergeCell ref="F295:H295"/>
    <mergeCell ref="A340:B340"/>
    <mergeCell ref="B344:G344"/>
    <mergeCell ref="B345:D345"/>
    <mergeCell ref="C351:E351"/>
    <mergeCell ref="F351:H351"/>
    <mergeCell ref="A274:B274"/>
    <mergeCell ref="A279:B279"/>
    <mergeCell ref="A284:B284"/>
    <mergeCell ref="B288:G288"/>
    <mergeCell ref="B289:D289"/>
    <mergeCell ref="B240:B241"/>
    <mergeCell ref="I240:I241"/>
    <mergeCell ref="J240:J241"/>
    <mergeCell ref="B184:B185"/>
    <mergeCell ref="I184:I185"/>
    <mergeCell ref="J184:J185"/>
    <mergeCell ref="A218:B218"/>
    <mergeCell ref="A223:B223"/>
    <mergeCell ref="A228:B228"/>
    <mergeCell ref="B232:G232"/>
    <mergeCell ref="B233:D233"/>
    <mergeCell ref="C239:E239"/>
    <mergeCell ref="F239:H239"/>
    <mergeCell ref="I239:J239"/>
    <mergeCell ref="I183:J183"/>
    <mergeCell ref="I127:J127"/>
    <mergeCell ref="B128:B129"/>
    <mergeCell ref="I128:I129"/>
    <mergeCell ref="J128:J129"/>
    <mergeCell ref="A162:B162"/>
    <mergeCell ref="A167:B167"/>
    <mergeCell ref="C127:E127"/>
    <mergeCell ref="F127:H127"/>
    <mergeCell ref="A172:B172"/>
    <mergeCell ref="B176:G176"/>
    <mergeCell ref="B177:D177"/>
    <mergeCell ref="C183:E183"/>
    <mergeCell ref="F183:H183"/>
    <mergeCell ref="A106:B106"/>
    <mergeCell ref="A111:B111"/>
    <mergeCell ref="A116:B116"/>
    <mergeCell ref="B120:G120"/>
    <mergeCell ref="B121:D121"/>
    <mergeCell ref="B65:D65"/>
    <mergeCell ref="C71:E71"/>
    <mergeCell ref="F71:H71"/>
    <mergeCell ref="I71:J71"/>
    <mergeCell ref="B72:B73"/>
    <mergeCell ref="I72:I73"/>
    <mergeCell ref="J72:J73"/>
    <mergeCell ref="A48:C48"/>
    <mergeCell ref="B64:G64"/>
    <mergeCell ref="A50:C50"/>
    <mergeCell ref="A51:C51"/>
    <mergeCell ref="A52:C52"/>
    <mergeCell ref="A53:C53"/>
    <mergeCell ref="A54:C54"/>
    <mergeCell ref="A55:C55"/>
    <mergeCell ref="A56:C56"/>
    <mergeCell ref="A57:C57"/>
    <mergeCell ref="A58:C58"/>
    <mergeCell ref="A59:C59"/>
    <mergeCell ref="A60:C60"/>
    <mergeCell ref="A49:C49"/>
    <mergeCell ref="A46:C46"/>
    <mergeCell ref="A47:C47"/>
    <mergeCell ref="A10:J10"/>
    <mergeCell ref="A11:J11"/>
    <mergeCell ref="A43:C43"/>
    <mergeCell ref="A38:C40"/>
    <mergeCell ref="D38:D40"/>
    <mergeCell ref="E38:J38"/>
    <mergeCell ref="E39:F39"/>
    <mergeCell ref="G39:H39"/>
    <mergeCell ref="I39:J39"/>
    <mergeCell ref="A41:C41"/>
    <mergeCell ref="A42:C42"/>
    <mergeCell ref="K11:L11"/>
    <mergeCell ref="A12:K12"/>
    <mergeCell ref="A15:C15"/>
    <mergeCell ref="A44:C44"/>
    <mergeCell ref="A45:C45"/>
    <mergeCell ref="K38:L38"/>
    <mergeCell ref="K39:L39"/>
  </mergeCells>
  <conditionalFormatting sqref="H16:H35">
    <cfRule type="expression" dxfId="2" priority="2">
      <formula>$G16="kVa"</formula>
    </cfRule>
    <cfRule type="expression" dxfId="1" priority="3">
      <formula>$G16="kWh"</formula>
    </cfRule>
  </conditionalFormatting>
  <conditionalFormatting sqref="H16:I35">
    <cfRule type="expression" dxfId="0" priority="1">
      <formula>$G16="kW"</formula>
    </cfRule>
  </conditionalFormatting>
  <dataValidations count="4">
    <dataValidation type="list" allowBlank="1" showInputMessage="1" showErrorMessage="1" prompt="Select Charge Unit - monthly, per kWh, per kW" sqref="B107 B112 B117 B102 B163 B168 B173 B158 B219 B224 B229 B214 B275 B280 B285 B270 B331 B336 B341 B326 B387 B392 B397 B382" xr:uid="{350BFEC5-18FF-4E7B-882A-4A595415CFB3}">
      <formula1>"Monthly, per kWh, per kW"</formula1>
    </dataValidation>
    <dataValidation allowBlank="1" showInputMessage="1" showErrorMessage="1" sqref="A16:A19" xr:uid="{D9303199-921E-4D68-8855-BE737E63CA6F}"/>
    <dataValidation type="list" allowBlank="1" showInputMessage="1" showErrorMessage="1" sqref="J16:J35" xr:uid="{4E55E2E6-B08D-4053-AE24-F46B0E40017A}">
      <formula1>"CONSUMPTION, DEMAND, DEMAND - INTERVAL"</formula1>
    </dataValidation>
    <dataValidation type="list" allowBlank="1" showInputMessage="1" showErrorMessage="1" sqref="E16:E35" xr:uid="{EC967CA7-9082-4C89-BB3A-7219F5076E1E}">
      <formula1>"RPP, Non-RPP (Retailer), Non-RPP (Other)"</formula1>
    </dataValidation>
  </dataValidations>
  <pageMargins left="0.7" right="0.7" top="0.75" bottom="0.75" header="0.3" footer="0.3"/>
  <pageSetup scale="50" fitToHeight="0" orientation="landscape" verticalDpi="1200" r:id="rId1"/>
  <rowBreaks count="6" manualBreakCount="6">
    <brk id="62" max="16383" man="1"/>
    <brk id="118" max="16383" man="1"/>
    <brk id="174" max="16383" man="1"/>
    <brk id="230" max="16383" man="1"/>
    <brk id="286" max="16383" man="1"/>
    <brk id="342"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BAB-91BD-4955-8054-74685312EC36}">
  <dimension ref="A2:I236"/>
  <sheetViews>
    <sheetView topLeftCell="A256" workbookViewId="0">
      <selection activeCell="D29" sqref="D29"/>
    </sheetView>
  </sheetViews>
  <sheetFormatPr defaultRowHeight="15" x14ac:dyDescent="0.25"/>
  <cols>
    <col min="1" max="1" width="58.28515625" customWidth="1"/>
    <col min="2" max="2" width="16.42578125" customWidth="1"/>
    <col min="3" max="3" width="6.28515625" customWidth="1"/>
    <col min="4" max="4" width="17" customWidth="1"/>
    <col min="5" max="5" width="19.42578125" customWidth="1"/>
    <col min="6" max="6" width="23.85546875" customWidth="1"/>
  </cols>
  <sheetData>
    <row r="2" spans="1:9" ht="23.25" x14ac:dyDescent="0.25">
      <c r="A2" s="272" t="s">
        <v>83</v>
      </c>
      <c r="B2" s="272"/>
      <c r="C2" s="272"/>
      <c r="D2" s="272"/>
    </row>
    <row r="3" spans="1:9" ht="18" x14ac:dyDescent="0.25">
      <c r="A3" s="273" t="s">
        <v>84</v>
      </c>
      <c r="B3" s="273"/>
      <c r="C3" s="273"/>
      <c r="D3" s="273"/>
    </row>
    <row r="4" spans="1:9" ht="15.75" x14ac:dyDescent="0.25">
      <c r="A4" s="274" t="s">
        <v>85</v>
      </c>
      <c r="B4" s="274"/>
      <c r="C4" s="274"/>
      <c r="D4" s="274"/>
      <c r="E4" t="s">
        <v>200</v>
      </c>
      <c r="I4" s="180">
        <v>39.49</v>
      </c>
    </row>
    <row r="5" spans="1:9" x14ac:dyDescent="0.25">
      <c r="A5" s="275" t="s">
        <v>86</v>
      </c>
      <c r="B5" s="275"/>
      <c r="C5" s="275"/>
      <c r="D5" s="275"/>
    </row>
    <row r="6" spans="1:9" x14ac:dyDescent="0.25">
      <c r="A6" s="275" t="s">
        <v>87</v>
      </c>
      <c r="B6" s="275"/>
      <c r="C6" s="275"/>
      <c r="D6" s="275"/>
    </row>
    <row r="7" spans="1:9" x14ac:dyDescent="0.25">
      <c r="A7" s="276" t="s">
        <v>88</v>
      </c>
      <c r="B7" s="276"/>
      <c r="C7" s="276"/>
      <c r="D7" s="276"/>
    </row>
    <row r="8" spans="1:9" x14ac:dyDescent="0.25">
      <c r="A8" s="266" t="s">
        <v>12</v>
      </c>
      <c r="B8" s="267"/>
      <c r="C8" s="267"/>
      <c r="D8" s="267"/>
    </row>
    <row r="9" spans="1:9" x14ac:dyDescent="0.25">
      <c r="A9" s="268" t="s">
        <v>89</v>
      </c>
      <c r="B9" s="268"/>
      <c r="C9" s="268"/>
      <c r="D9" s="268"/>
    </row>
    <row r="10" spans="1:9" x14ac:dyDescent="0.25">
      <c r="A10" s="268" t="s">
        <v>90</v>
      </c>
      <c r="B10" s="269"/>
      <c r="C10" s="269"/>
      <c r="D10" s="269"/>
    </row>
    <row r="11" spans="1:9" x14ac:dyDescent="0.25">
      <c r="A11" s="136"/>
      <c r="B11" s="137"/>
      <c r="C11" s="137"/>
      <c r="D11" s="137"/>
    </row>
    <row r="12" spans="1:9" x14ac:dyDescent="0.25">
      <c r="A12" s="270" t="s">
        <v>91</v>
      </c>
      <c r="B12" s="271"/>
      <c r="C12" s="271"/>
      <c r="D12" s="271"/>
    </row>
    <row r="13" spans="1:9" x14ac:dyDescent="0.25">
      <c r="A13" s="138"/>
      <c r="B13" s="139"/>
      <c r="C13" s="139"/>
      <c r="D13" s="139"/>
    </row>
    <row r="14" spans="1:9" x14ac:dyDescent="0.25">
      <c r="A14" s="268" t="s">
        <v>92</v>
      </c>
      <c r="B14" s="268"/>
      <c r="C14" s="268"/>
      <c r="D14" s="268"/>
    </row>
    <row r="15" spans="1:9" x14ac:dyDescent="0.25">
      <c r="A15" s="136"/>
      <c r="B15" s="136"/>
      <c r="C15" s="136"/>
      <c r="D15" s="136"/>
    </row>
    <row r="16" spans="1:9" x14ac:dyDescent="0.25">
      <c r="A16" s="268" t="s">
        <v>93</v>
      </c>
      <c r="B16" s="268"/>
      <c r="C16" s="268"/>
      <c r="D16" s="268"/>
    </row>
    <row r="17" spans="1:6" x14ac:dyDescent="0.25">
      <c r="A17" s="136"/>
      <c r="B17" s="136"/>
      <c r="C17" s="136"/>
      <c r="D17" s="136"/>
    </row>
    <row r="18" spans="1:6" x14ac:dyDescent="0.25">
      <c r="A18" s="268" t="s">
        <v>94</v>
      </c>
      <c r="B18" s="268"/>
      <c r="C18" s="268"/>
      <c r="D18" s="268"/>
    </row>
    <row r="19" spans="1:6" x14ac:dyDescent="0.25">
      <c r="A19" s="136"/>
      <c r="B19" s="136"/>
      <c r="C19" s="136"/>
      <c r="D19" s="136"/>
    </row>
    <row r="20" spans="1:6" x14ac:dyDescent="0.25">
      <c r="A20" s="268" t="s">
        <v>95</v>
      </c>
      <c r="B20" s="268"/>
      <c r="C20" s="268"/>
      <c r="D20" s="268"/>
    </row>
    <row r="21" spans="1:6" x14ac:dyDescent="0.25">
      <c r="A21" s="136"/>
      <c r="B21" s="136"/>
      <c r="C21" s="136"/>
      <c r="D21" s="136"/>
    </row>
    <row r="22" spans="1:6" x14ac:dyDescent="0.25">
      <c r="A22" s="279" t="s">
        <v>96</v>
      </c>
      <c r="B22" s="280"/>
      <c r="C22" s="280"/>
      <c r="D22" s="280"/>
    </row>
    <row r="23" spans="1:6" x14ac:dyDescent="0.25">
      <c r="A23" s="140"/>
      <c r="B23" s="141"/>
      <c r="C23" s="141"/>
      <c r="D23" s="141"/>
      <c r="E23" s="187" t="s">
        <v>194</v>
      </c>
      <c r="F23" s="187" t="s">
        <v>195</v>
      </c>
    </row>
    <row r="24" spans="1:6" x14ac:dyDescent="0.25">
      <c r="A24" s="277" t="s">
        <v>97</v>
      </c>
      <c r="B24" s="277"/>
      <c r="C24" s="143" t="s">
        <v>28</v>
      </c>
      <c r="D24" s="144">
        <v>62.11</v>
      </c>
      <c r="E24" s="180" t="s">
        <v>197</v>
      </c>
      <c r="F24" t="s">
        <v>198</v>
      </c>
    </row>
    <row r="25" spans="1:6" x14ac:dyDescent="0.25">
      <c r="A25" s="277" t="s">
        <v>98</v>
      </c>
      <c r="B25" s="277"/>
      <c r="C25" s="143" t="s">
        <v>28</v>
      </c>
      <c r="D25" s="144">
        <v>27.85</v>
      </c>
      <c r="E25" t="s">
        <v>198</v>
      </c>
      <c r="F25" s="184" t="s">
        <v>199</v>
      </c>
    </row>
    <row r="26" spans="1:6" x14ac:dyDescent="0.25">
      <c r="A26" s="277" t="s">
        <v>99</v>
      </c>
      <c r="B26" s="277"/>
      <c r="C26" s="143" t="s">
        <v>28</v>
      </c>
      <c r="D26" s="144">
        <v>0.42</v>
      </c>
      <c r="E26" s="180" t="s">
        <v>199</v>
      </c>
      <c r="F26" s="184" t="s">
        <v>199</v>
      </c>
    </row>
    <row r="27" spans="1:6" x14ac:dyDescent="0.25">
      <c r="A27" s="277" t="s">
        <v>100</v>
      </c>
      <c r="B27" s="278"/>
      <c r="C27" s="143" t="s">
        <v>28</v>
      </c>
      <c r="D27" s="144">
        <v>11.16</v>
      </c>
      <c r="E27" t="s">
        <v>196</v>
      </c>
      <c r="F27" t="s">
        <v>196</v>
      </c>
    </row>
    <row r="28" spans="1:6" x14ac:dyDescent="0.25">
      <c r="A28" s="277" t="s">
        <v>101</v>
      </c>
      <c r="B28" s="277"/>
      <c r="C28" s="143" t="s">
        <v>102</v>
      </c>
      <c r="D28" s="146">
        <v>3.9199999999999999E-2</v>
      </c>
      <c r="E28" t="s">
        <v>198</v>
      </c>
      <c r="F28" s="184" t="s">
        <v>199</v>
      </c>
    </row>
    <row r="29" spans="1:6" ht="42" customHeight="1" x14ac:dyDescent="0.25">
      <c r="A29" s="277" t="s">
        <v>103</v>
      </c>
      <c r="B29" s="278"/>
      <c r="C29" s="143" t="s">
        <v>102</v>
      </c>
      <c r="D29" s="146">
        <v>-1E-4</v>
      </c>
      <c r="E29" s="180" t="s">
        <v>197</v>
      </c>
      <c r="F29" s="184" t="s">
        <v>199</v>
      </c>
    </row>
    <row r="30" spans="1:6" x14ac:dyDescent="0.25">
      <c r="A30" s="277" t="s">
        <v>104</v>
      </c>
      <c r="B30" s="278"/>
      <c r="C30" s="143" t="s">
        <v>102</v>
      </c>
      <c r="D30" s="146">
        <v>3.0999999999999999E-3</v>
      </c>
      <c r="E30" s="180" t="s">
        <v>197</v>
      </c>
      <c r="F30" s="184" t="s">
        <v>199</v>
      </c>
    </row>
    <row r="31" spans="1:6" ht="41.25" customHeight="1" x14ac:dyDescent="0.25">
      <c r="A31" s="277" t="s">
        <v>105</v>
      </c>
      <c r="B31" s="278"/>
      <c r="C31" s="143" t="s">
        <v>102</v>
      </c>
      <c r="D31" s="146">
        <v>1E-4</v>
      </c>
      <c r="E31" s="180" t="s">
        <v>197</v>
      </c>
      <c r="F31" s="184" t="s">
        <v>199</v>
      </c>
    </row>
    <row r="32" spans="1:6" ht="34.5" customHeight="1" x14ac:dyDescent="0.25">
      <c r="A32" s="277" t="s">
        <v>202</v>
      </c>
      <c r="B32" s="277"/>
      <c r="C32" s="143" t="s">
        <v>102</v>
      </c>
      <c r="D32" s="146">
        <v>5.9999999999999995E-4</v>
      </c>
      <c r="E32" s="180" t="s">
        <v>197</v>
      </c>
      <c r="F32" s="184" t="s">
        <v>199</v>
      </c>
    </row>
    <row r="33" spans="1:6" x14ac:dyDescent="0.25">
      <c r="A33" s="277" t="s">
        <v>107</v>
      </c>
      <c r="B33" s="277"/>
      <c r="C33" s="143" t="s">
        <v>102</v>
      </c>
      <c r="D33" s="146">
        <v>1.0500000000000001E-2</v>
      </c>
      <c r="E33" s="180" t="s">
        <v>197</v>
      </c>
      <c r="F33" s="184" t="s">
        <v>199</v>
      </c>
    </row>
    <row r="34" spans="1:6" x14ac:dyDescent="0.25">
      <c r="A34" s="277" t="s">
        <v>108</v>
      </c>
      <c r="B34" s="277"/>
      <c r="C34" s="143" t="s">
        <v>102</v>
      </c>
      <c r="D34" s="146">
        <v>7.3000000000000001E-3</v>
      </c>
      <c r="E34" s="180" t="s">
        <v>197</v>
      </c>
      <c r="F34" s="184" t="s">
        <v>199</v>
      </c>
    </row>
    <row r="35" spans="1:6" x14ac:dyDescent="0.25">
      <c r="A35" s="142"/>
      <c r="B35" s="142"/>
      <c r="C35" s="143"/>
      <c r="D35" s="146"/>
    </row>
    <row r="36" spans="1:6" x14ac:dyDescent="0.25">
      <c r="A36" s="282" t="s">
        <v>109</v>
      </c>
      <c r="B36" s="278"/>
      <c r="C36" s="148"/>
      <c r="D36" s="148"/>
    </row>
    <row r="37" spans="1:6" x14ac:dyDescent="0.25">
      <c r="A37" s="147"/>
      <c r="B37" s="145"/>
      <c r="C37" s="148"/>
      <c r="D37" s="148"/>
    </row>
    <row r="38" spans="1:6" x14ac:dyDescent="0.25">
      <c r="A38" s="277" t="s">
        <v>110</v>
      </c>
      <c r="B38" s="277"/>
      <c r="C38" s="149" t="s">
        <v>102</v>
      </c>
      <c r="D38" s="150">
        <v>3.0000000000000001E-3</v>
      </c>
      <c r="E38" s="180" t="s">
        <v>197</v>
      </c>
      <c r="F38" s="184" t="s">
        <v>197</v>
      </c>
    </row>
    <row r="39" spans="1:6" x14ac:dyDescent="0.25">
      <c r="A39" s="277" t="s">
        <v>111</v>
      </c>
      <c r="B39" s="277"/>
      <c r="C39" s="149" t="s">
        <v>102</v>
      </c>
      <c r="D39" s="150">
        <v>4.0000000000000002E-4</v>
      </c>
      <c r="E39" s="180" t="s">
        <v>197</v>
      </c>
      <c r="F39" s="184" t="s">
        <v>197</v>
      </c>
    </row>
    <row r="40" spans="1:6" x14ac:dyDescent="0.25">
      <c r="A40" s="277" t="s">
        <v>112</v>
      </c>
      <c r="B40" s="277"/>
      <c r="C40" s="149" t="s">
        <v>102</v>
      </c>
      <c r="D40" s="150">
        <v>5.0000000000000001E-4</v>
      </c>
      <c r="E40" s="180" t="s">
        <v>197</v>
      </c>
      <c r="F40" s="184" t="s">
        <v>197</v>
      </c>
    </row>
    <row r="41" spans="1:6" x14ac:dyDescent="0.25">
      <c r="A41" s="277" t="s">
        <v>113</v>
      </c>
      <c r="B41" s="277"/>
      <c r="C41" s="149" t="s">
        <v>28</v>
      </c>
      <c r="D41" s="151">
        <v>0.25</v>
      </c>
      <c r="E41" s="180" t="s">
        <v>197</v>
      </c>
      <c r="F41" s="184" t="s">
        <v>197</v>
      </c>
    </row>
    <row r="42" spans="1:6" ht="18" x14ac:dyDescent="0.25">
      <c r="A42" s="266" t="s">
        <v>15</v>
      </c>
      <c r="B42" s="266"/>
      <c r="C42" s="266"/>
      <c r="D42" s="266"/>
    </row>
    <row r="43" spans="1:6" x14ac:dyDescent="0.25">
      <c r="A43" s="268" t="s">
        <v>114</v>
      </c>
      <c r="B43" s="268"/>
      <c r="C43" s="268"/>
      <c r="D43" s="281"/>
    </row>
    <row r="44" spans="1:6" x14ac:dyDescent="0.25">
      <c r="A44" s="136"/>
      <c r="B44" s="136"/>
      <c r="C44" s="136"/>
      <c r="D44" s="152"/>
    </row>
    <row r="45" spans="1:6" x14ac:dyDescent="0.25">
      <c r="A45" s="270" t="s">
        <v>91</v>
      </c>
      <c r="B45" s="271"/>
      <c r="C45" s="271"/>
      <c r="D45" s="271"/>
    </row>
    <row r="46" spans="1:6" x14ac:dyDescent="0.25">
      <c r="A46" s="138"/>
      <c r="B46" s="139"/>
      <c r="C46" s="139"/>
      <c r="D46" s="139"/>
    </row>
    <row r="47" spans="1:6" x14ac:dyDescent="0.25">
      <c r="A47" s="268" t="s">
        <v>92</v>
      </c>
      <c r="B47" s="268"/>
      <c r="C47" s="268"/>
      <c r="D47" s="268"/>
    </row>
    <row r="48" spans="1:6" x14ac:dyDescent="0.25">
      <c r="A48" s="136"/>
      <c r="B48" s="136"/>
      <c r="C48" s="136"/>
      <c r="D48" s="136"/>
    </row>
    <row r="49" spans="1:5" x14ac:dyDescent="0.25">
      <c r="A49" s="268" t="s">
        <v>93</v>
      </c>
      <c r="B49" s="268"/>
      <c r="C49" s="268"/>
      <c r="D49" s="268"/>
    </row>
    <row r="50" spans="1:5" x14ac:dyDescent="0.25">
      <c r="A50" s="136"/>
      <c r="B50" s="136"/>
      <c r="C50" s="136"/>
      <c r="D50" s="136"/>
    </row>
    <row r="51" spans="1:5" x14ac:dyDescent="0.25">
      <c r="A51" s="268" t="s">
        <v>94</v>
      </c>
      <c r="B51" s="268"/>
      <c r="C51" s="268"/>
      <c r="D51" s="268"/>
    </row>
    <row r="52" spans="1:5" x14ac:dyDescent="0.25">
      <c r="A52" s="136"/>
      <c r="B52" s="136"/>
      <c r="C52" s="136"/>
      <c r="D52" s="136"/>
    </row>
    <row r="53" spans="1:5" x14ac:dyDescent="0.25">
      <c r="A53" s="268" t="s">
        <v>115</v>
      </c>
      <c r="B53" s="268"/>
      <c r="C53" s="268"/>
      <c r="D53" s="268"/>
    </row>
    <row r="54" spans="1:5" x14ac:dyDescent="0.25">
      <c r="A54" s="136"/>
      <c r="B54" s="136"/>
      <c r="C54" s="136"/>
      <c r="D54" s="136"/>
    </row>
    <row r="55" spans="1:5" x14ac:dyDescent="0.25">
      <c r="A55" s="268" t="s">
        <v>116</v>
      </c>
      <c r="B55" s="268"/>
      <c r="C55" s="268"/>
      <c r="D55" s="268"/>
    </row>
    <row r="56" spans="1:5" x14ac:dyDescent="0.25">
      <c r="A56" s="136"/>
      <c r="B56" s="136"/>
      <c r="C56" s="136"/>
      <c r="D56" s="136"/>
    </row>
    <row r="57" spans="1:5" x14ac:dyDescent="0.25">
      <c r="A57" s="268" t="s">
        <v>95</v>
      </c>
      <c r="B57" s="268"/>
      <c r="C57" s="268"/>
      <c r="D57" s="268"/>
    </row>
    <row r="58" spans="1:5" x14ac:dyDescent="0.25">
      <c r="A58" s="136"/>
      <c r="B58" s="136"/>
      <c r="C58" s="136"/>
      <c r="D58" s="136"/>
    </row>
    <row r="59" spans="1:5" x14ac:dyDescent="0.25">
      <c r="A59" s="279" t="s">
        <v>96</v>
      </c>
      <c r="B59" s="280"/>
      <c r="C59" s="280"/>
      <c r="D59" s="280"/>
    </row>
    <row r="60" spans="1:5" x14ac:dyDescent="0.25">
      <c r="A60" s="140"/>
      <c r="B60" s="141"/>
      <c r="C60" s="141"/>
      <c r="D60" s="141"/>
    </row>
    <row r="61" spans="1:5" x14ac:dyDescent="0.25">
      <c r="A61" s="278" t="s">
        <v>117</v>
      </c>
      <c r="B61" s="278"/>
      <c r="C61" s="153" t="s">
        <v>28</v>
      </c>
      <c r="D61" s="194">
        <v>716.69</v>
      </c>
    </row>
    <row r="62" spans="1:5" ht="29.25" customHeight="1" x14ac:dyDescent="0.25">
      <c r="A62" s="277" t="s">
        <v>118</v>
      </c>
      <c r="B62" s="278"/>
      <c r="C62" s="143" t="s">
        <v>28</v>
      </c>
      <c r="D62" s="144">
        <v>11.16</v>
      </c>
      <c r="E62" s="196" t="s">
        <v>201</v>
      </c>
    </row>
    <row r="63" spans="1:5" x14ac:dyDescent="0.25">
      <c r="A63" s="278" t="s">
        <v>48</v>
      </c>
      <c r="B63" s="278"/>
      <c r="C63" s="153" t="s">
        <v>119</v>
      </c>
      <c r="D63" s="197">
        <v>3.7134999999999998</v>
      </c>
    </row>
    <row r="64" spans="1:5" ht="48.75" customHeight="1" x14ac:dyDescent="0.25">
      <c r="A64" s="278" t="s">
        <v>103</v>
      </c>
      <c r="B64" s="278"/>
      <c r="C64" s="153" t="s">
        <v>119</v>
      </c>
      <c r="D64" s="197">
        <v>-2.9700000000000001E-2</v>
      </c>
    </row>
    <row r="65" spans="1:4" x14ac:dyDescent="0.25">
      <c r="A65" s="278" t="s">
        <v>104</v>
      </c>
      <c r="B65" s="278"/>
      <c r="C65" s="153" t="s">
        <v>119</v>
      </c>
      <c r="D65" s="197">
        <v>1.5642</v>
      </c>
    </row>
    <row r="66" spans="1:4" ht="35.25" customHeight="1" x14ac:dyDescent="0.25">
      <c r="A66" s="278" t="s">
        <v>105</v>
      </c>
      <c r="B66" s="278"/>
      <c r="C66" s="153" t="s">
        <v>119</v>
      </c>
      <c r="D66" s="197">
        <v>-0.17230000000000001</v>
      </c>
    </row>
    <row r="67" spans="1:4" ht="35.25" customHeight="1" x14ac:dyDescent="0.25">
      <c r="A67" s="277" t="s">
        <v>120</v>
      </c>
      <c r="B67" s="277"/>
      <c r="C67" s="153" t="s">
        <v>119</v>
      </c>
      <c r="D67" s="197">
        <v>-3.5000000000000001E-3</v>
      </c>
    </row>
    <row r="68" spans="1:4" ht="32.25" customHeight="1" x14ac:dyDescent="0.25">
      <c r="A68" s="277" t="s">
        <v>106</v>
      </c>
      <c r="B68" s="277"/>
      <c r="C68" s="153" t="s">
        <v>119</v>
      </c>
      <c r="D68" s="197">
        <v>-3.8300000000000001E-2</v>
      </c>
    </row>
    <row r="69" spans="1:4" x14ac:dyDescent="0.25">
      <c r="A69" s="278" t="s">
        <v>107</v>
      </c>
      <c r="B69" s="278"/>
      <c r="C69" s="153" t="s">
        <v>119</v>
      </c>
      <c r="D69" s="197">
        <v>3.9977999999999998</v>
      </c>
    </row>
    <row r="70" spans="1:4" x14ac:dyDescent="0.25">
      <c r="A70" s="278" t="s">
        <v>108</v>
      </c>
      <c r="B70" s="278"/>
      <c r="C70" s="153" t="s">
        <v>119</v>
      </c>
      <c r="D70" s="197">
        <v>2.7667999999999999</v>
      </c>
    </row>
    <row r="71" spans="1:4" x14ac:dyDescent="0.25">
      <c r="A71" s="145"/>
      <c r="B71" s="145"/>
      <c r="C71" s="153"/>
      <c r="D71" s="146"/>
    </row>
    <row r="72" spans="1:4" x14ac:dyDescent="0.25">
      <c r="A72" s="282" t="s">
        <v>109</v>
      </c>
      <c r="B72" s="278"/>
      <c r="C72" s="148"/>
      <c r="D72" s="148"/>
    </row>
    <row r="73" spans="1:4" x14ac:dyDescent="0.25">
      <c r="A73" s="147"/>
      <c r="B73" s="145"/>
      <c r="C73" s="148"/>
      <c r="D73" s="148"/>
    </row>
    <row r="74" spans="1:4" x14ac:dyDescent="0.25">
      <c r="A74" s="277" t="s">
        <v>110</v>
      </c>
      <c r="B74" s="277"/>
      <c r="C74" s="149" t="s">
        <v>102</v>
      </c>
      <c r="D74" s="199">
        <v>3.0000000000000001E-3</v>
      </c>
    </row>
    <row r="75" spans="1:4" x14ac:dyDescent="0.25">
      <c r="A75" s="277" t="s">
        <v>111</v>
      </c>
      <c r="B75" s="277"/>
      <c r="C75" s="149" t="s">
        <v>102</v>
      </c>
      <c r="D75" s="199">
        <v>4.0000000000000002E-4</v>
      </c>
    </row>
    <row r="76" spans="1:4" x14ac:dyDescent="0.25">
      <c r="A76" s="277" t="s">
        <v>112</v>
      </c>
      <c r="B76" s="277"/>
      <c r="C76" s="149" t="s">
        <v>102</v>
      </c>
      <c r="D76" s="199">
        <v>5.0000000000000001E-4</v>
      </c>
    </row>
    <row r="77" spans="1:4" x14ac:dyDescent="0.25">
      <c r="A77" s="277" t="s">
        <v>113</v>
      </c>
      <c r="B77" s="277"/>
      <c r="C77" s="149" t="s">
        <v>28</v>
      </c>
      <c r="D77" s="200">
        <v>0.25</v>
      </c>
    </row>
    <row r="78" spans="1:4" ht="18" x14ac:dyDescent="0.25">
      <c r="A78" s="266" t="s">
        <v>18</v>
      </c>
      <c r="B78" s="266"/>
      <c r="C78" s="266"/>
      <c r="D78" s="283"/>
    </row>
    <row r="79" spans="1:4" x14ac:dyDescent="0.25">
      <c r="A79" s="268" t="s">
        <v>121</v>
      </c>
      <c r="B79" s="268"/>
      <c r="C79" s="268"/>
      <c r="D79" s="281"/>
    </row>
    <row r="80" spans="1:4" x14ac:dyDescent="0.25">
      <c r="A80" s="136"/>
      <c r="B80" s="136"/>
      <c r="C80" s="136"/>
      <c r="D80" s="152"/>
    </row>
    <row r="81" spans="1:4" x14ac:dyDescent="0.25">
      <c r="A81" s="270" t="s">
        <v>91</v>
      </c>
      <c r="B81" s="271"/>
      <c r="C81" s="271"/>
      <c r="D81" s="271"/>
    </row>
    <row r="82" spans="1:4" x14ac:dyDescent="0.25">
      <c r="A82" s="138"/>
      <c r="B82" s="139"/>
      <c r="C82" s="139"/>
      <c r="D82" s="139"/>
    </row>
    <row r="83" spans="1:4" x14ac:dyDescent="0.25">
      <c r="A83" s="268" t="s">
        <v>92</v>
      </c>
      <c r="B83" s="268"/>
      <c r="C83" s="268"/>
      <c r="D83" s="268"/>
    </row>
    <row r="84" spans="1:4" x14ac:dyDescent="0.25">
      <c r="A84" s="136"/>
      <c r="B84" s="136"/>
      <c r="C84" s="136"/>
      <c r="D84" s="136"/>
    </row>
    <row r="85" spans="1:4" x14ac:dyDescent="0.25">
      <c r="A85" s="268" t="s">
        <v>93</v>
      </c>
      <c r="B85" s="268"/>
      <c r="C85" s="268"/>
      <c r="D85" s="268"/>
    </row>
    <row r="86" spans="1:4" x14ac:dyDescent="0.25">
      <c r="A86" s="136"/>
      <c r="B86" s="136"/>
      <c r="C86" s="136"/>
      <c r="D86" s="136"/>
    </row>
    <row r="87" spans="1:4" x14ac:dyDescent="0.25">
      <c r="A87" s="268" t="s">
        <v>94</v>
      </c>
      <c r="B87" s="268"/>
      <c r="C87" s="268"/>
      <c r="D87" s="268"/>
    </row>
    <row r="88" spans="1:4" x14ac:dyDescent="0.25">
      <c r="A88" s="136"/>
      <c r="B88" s="136"/>
      <c r="C88" s="136"/>
      <c r="D88" s="136"/>
    </row>
    <row r="89" spans="1:4" x14ac:dyDescent="0.25">
      <c r="A89" s="268" t="s">
        <v>95</v>
      </c>
      <c r="B89" s="268"/>
      <c r="C89" s="268"/>
      <c r="D89" s="268"/>
    </row>
    <row r="90" spans="1:4" x14ac:dyDescent="0.25">
      <c r="A90" s="136"/>
      <c r="B90" s="136"/>
      <c r="C90" s="136"/>
      <c r="D90" s="136"/>
    </row>
    <row r="91" spans="1:4" x14ac:dyDescent="0.25">
      <c r="A91" s="279" t="s">
        <v>96</v>
      </c>
      <c r="B91" s="280"/>
      <c r="C91" s="280"/>
      <c r="D91" s="280"/>
    </row>
    <row r="92" spans="1:4" x14ac:dyDescent="0.25">
      <c r="A92" s="140"/>
      <c r="B92" s="141"/>
      <c r="C92" s="141"/>
      <c r="D92" s="141"/>
    </row>
    <row r="93" spans="1:4" x14ac:dyDescent="0.25">
      <c r="A93" s="277" t="s">
        <v>117</v>
      </c>
      <c r="B93" s="277"/>
      <c r="C93" s="149" t="s">
        <v>28</v>
      </c>
      <c r="D93" s="188">
        <v>75.61</v>
      </c>
    </row>
    <row r="94" spans="1:4" ht="34.5" customHeight="1" x14ac:dyDescent="0.25">
      <c r="A94" s="277" t="s">
        <v>122</v>
      </c>
      <c r="B94" s="278"/>
      <c r="C94" s="149" t="s">
        <v>28</v>
      </c>
      <c r="D94" s="188">
        <v>1.8</v>
      </c>
    </row>
    <row r="95" spans="1:4" ht="34.5" customHeight="1" x14ac:dyDescent="0.25">
      <c r="A95" s="277" t="s">
        <v>123</v>
      </c>
      <c r="B95" s="278"/>
      <c r="C95" s="149" t="s">
        <v>28</v>
      </c>
      <c r="D95" s="188">
        <v>3.48</v>
      </c>
    </row>
    <row r="96" spans="1:4" ht="34.5" customHeight="1" x14ac:dyDescent="0.25">
      <c r="A96" s="277" t="s">
        <v>99</v>
      </c>
      <c r="B96" s="277"/>
      <c r="C96" s="143" t="s">
        <v>28</v>
      </c>
      <c r="D96" s="188">
        <v>0.42</v>
      </c>
    </row>
    <row r="97" spans="1:4" x14ac:dyDescent="0.25">
      <c r="A97" s="277" t="s">
        <v>124</v>
      </c>
      <c r="B97" s="277"/>
      <c r="C97" s="149" t="s">
        <v>102</v>
      </c>
      <c r="D97" s="190">
        <v>6.0100000000000001E-2</v>
      </c>
    </row>
    <row r="98" spans="1:4" ht="32.25" customHeight="1" x14ac:dyDescent="0.25">
      <c r="A98" s="277" t="s">
        <v>103</v>
      </c>
      <c r="B98" s="278"/>
      <c r="C98" s="149" t="s">
        <v>102</v>
      </c>
      <c r="D98" s="190">
        <v>-1E-4</v>
      </c>
    </row>
    <row r="99" spans="1:4" ht="25.5" customHeight="1" x14ac:dyDescent="0.25">
      <c r="A99" s="277" t="s">
        <v>104</v>
      </c>
      <c r="B99" s="278"/>
      <c r="C99" s="149" t="s">
        <v>102</v>
      </c>
      <c r="D99" s="190">
        <v>2.8E-3</v>
      </c>
    </row>
    <row r="100" spans="1:4" ht="28.5" customHeight="1" x14ac:dyDescent="0.25">
      <c r="A100" s="277" t="s">
        <v>125</v>
      </c>
      <c r="B100" s="278"/>
      <c r="C100" s="149" t="s">
        <v>102</v>
      </c>
      <c r="D100" s="190">
        <v>5.0000000000000001E-4</v>
      </c>
    </row>
    <row r="101" spans="1:4" ht="28.5" customHeight="1" x14ac:dyDescent="0.25">
      <c r="A101" s="277" t="s">
        <v>126</v>
      </c>
      <c r="B101" s="277"/>
      <c r="C101" s="149" t="s">
        <v>102</v>
      </c>
      <c r="D101" s="190">
        <v>2E-3</v>
      </c>
    </row>
    <row r="102" spans="1:4" ht="23.25" customHeight="1" x14ac:dyDescent="0.25">
      <c r="A102" s="277" t="s">
        <v>127</v>
      </c>
      <c r="B102" s="277"/>
      <c r="C102" s="149" t="s">
        <v>102</v>
      </c>
      <c r="D102" s="190">
        <v>3.0700000000000002E-2</v>
      </c>
    </row>
    <row r="103" spans="1:4" ht="33" customHeight="1" x14ac:dyDescent="0.25">
      <c r="A103" s="277" t="s">
        <v>106</v>
      </c>
      <c r="B103" s="277"/>
      <c r="C103" s="149" t="s">
        <v>102</v>
      </c>
      <c r="D103" s="190">
        <v>1E-4</v>
      </c>
    </row>
    <row r="104" spans="1:4" x14ac:dyDescent="0.25">
      <c r="A104" s="277" t="s">
        <v>107</v>
      </c>
      <c r="B104" s="277"/>
      <c r="C104" s="149" t="s">
        <v>102</v>
      </c>
      <c r="D104" s="190">
        <v>1.0500000000000001E-2</v>
      </c>
    </row>
    <row r="105" spans="1:4" x14ac:dyDescent="0.25">
      <c r="A105" s="277" t="s">
        <v>108</v>
      </c>
      <c r="B105" s="277"/>
      <c r="C105" s="149" t="s">
        <v>102</v>
      </c>
      <c r="D105" s="190">
        <v>7.3000000000000001E-3</v>
      </c>
    </row>
    <row r="106" spans="1:4" x14ac:dyDescent="0.25">
      <c r="A106" s="142"/>
      <c r="B106" s="142"/>
      <c r="C106" s="149"/>
      <c r="D106" s="146"/>
    </row>
    <row r="107" spans="1:4" x14ac:dyDescent="0.25">
      <c r="A107" s="282" t="s">
        <v>109</v>
      </c>
      <c r="B107" s="278"/>
      <c r="C107" s="148"/>
      <c r="D107" s="148"/>
    </row>
    <row r="108" spans="1:4" x14ac:dyDescent="0.25">
      <c r="A108" s="147"/>
      <c r="B108" s="145"/>
      <c r="C108" s="148"/>
      <c r="D108" s="148"/>
    </row>
    <row r="109" spans="1:4" x14ac:dyDescent="0.25">
      <c r="A109" s="277" t="s">
        <v>110</v>
      </c>
      <c r="B109" s="277"/>
      <c r="C109" s="149" t="s">
        <v>102</v>
      </c>
      <c r="D109" s="193">
        <v>3.0000000000000001E-3</v>
      </c>
    </row>
    <row r="110" spans="1:4" x14ac:dyDescent="0.25">
      <c r="A110" s="277" t="s">
        <v>111</v>
      </c>
      <c r="B110" s="277"/>
      <c r="C110" s="149" t="s">
        <v>102</v>
      </c>
      <c r="D110" s="193">
        <v>4.0000000000000002E-4</v>
      </c>
    </row>
    <row r="111" spans="1:4" x14ac:dyDescent="0.25">
      <c r="A111" s="277" t="s">
        <v>112</v>
      </c>
      <c r="B111" s="277"/>
      <c r="C111" s="149" t="s">
        <v>102</v>
      </c>
      <c r="D111" s="193">
        <v>5.0000000000000001E-4</v>
      </c>
    </row>
    <row r="112" spans="1:4" x14ac:dyDescent="0.25">
      <c r="A112" s="277" t="s">
        <v>113</v>
      </c>
      <c r="B112" s="277"/>
      <c r="C112" s="149" t="s">
        <v>28</v>
      </c>
      <c r="D112" s="151">
        <v>0.25</v>
      </c>
    </row>
    <row r="113" spans="1:4" ht="18" x14ac:dyDescent="0.25">
      <c r="A113" s="266" t="s">
        <v>19</v>
      </c>
      <c r="B113" s="266"/>
      <c r="C113" s="266"/>
      <c r="D113" s="283"/>
    </row>
    <row r="114" spans="1:4" x14ac:dyDescent="0.25">
      <c r="A114" s="268" t="s">
        <v>128</v>
      </c>
      <c r="B114" s="268"/>
      <c r="C114" s="268"/>
      <c r="D114" s="281"/>
    </row>
    <row r="115" spans="1:4" x14ac:dyDescent="0.25">
      <c r="A115" s="136"/>
      <c r="B115" s="136"/>
      <c r="C115" s="136"/>
      <c r="D115" s="152"/>
    </row>
    <row r="116" spans="1:4" x14ac:dyDescent="0.25">
      <c r="A116" s="270" t="s">
        <v>91</v>
      </c>
      <c r="B116" s="271"/>
      <c r="C116" s="271"/>
      <c r="D116" s="271"/>
    </row>
    <row r="117" spans="1:4" x14ac:dyDescent="0.25">
      <c r="A117" s="138"/>
      <c r="B117" s="139"/>
      <c r="C117" s="139"/>
      <c r="D117" s="139"/>
    </row>
    <row r="118" spans="1:4" x14ac:dyDescent="0.25">
      <c r="A118" s="268" t="s">
        <v>92</v>
      </c>
      <c r="B118" s="268"/>
      <c r="C118" s="268"/>
      <c r="D118" s="268"/>
    </row>
    <row r="119" spans="1:4" x14ac:dyDescent="0.25">
      <c r="A119" s="136"/>
      <c r="B119" s="136"/>
      <c r="C119" s="136"/>
      <c r="D119" s="136"/>
    </row>
    <row r="120" spans="1:4" x14ac:dyDescent="0.25">
      <c r="A120" s="268" t="s">
        <v>93</v>
      </c>
      <c r="B120" s="268"/>
      <c r="C120" s="268"/>
      <c r="D120" s="268"/>
    </row>
    <row r="121" spans="1:4" x14ac:dyDescent="0.25">
      <c r="A121" s="136"/>
      <c r="B121" s="136"/>
      <c r="C121" s="136"/>
      <c r="D121" s="136"/>
    </row>
    <row r="122" spans="1:4" x14ac:dyDescent="0.25">
      <c r="A122" s="268" t="s">
        <v>94</v>
      </c>
      <c r="B122" s="268"/>
      <c r="C122" s="268"/>
      <c r="D122" s="268"/>
    </row>
    <row r="123" spans="1:4" x14ac:dyDescent="0.25">
      <c r="A123" s="136"/>
      <c r="B123" s="136"/>
      <c r="C123" s="136"/>
      <c r="D123" s="136"/>
    </row>
    <row r="124" spans="1:4" x14ac:dyDescent="0.25">
      <c r="A124" s="268" t="s">
        <v>95</v>
      </c>
      <c r="B124" s="268"/>
      <c r="C124" s="268"/>
      <c r="D124" s="268"/>
    </row>
    <row r="125" spans="1:4" x14ac:dyDescent="0.25">
      <c r="A125" s="136"/>
      <c r="B125" s="136"/>
      <c r="C125" s="136"/>
      <c r="D125" s="136"/>
    </row>
    <row r="126" spans="1:4" x14ac:dyDescent="0.25">
      <c r="A126" s="279" t="s">
        <v>96</v>
      </c>
      <c r="B126" s="280"/>
      <c r="C126" s="280"/>
      <c r="D126" s="280"/>
    </row>
    <row r="127" spans="1:4" x14ac:dyDescent="0.25">
      <c r="A127" s="140"/>
      <c r="B127" s="141"/>
      <c r="C127" s="141"/>
      <c r="D127" s="141"/>
    </row>
    <row r="128" spans="1:4" x14ac:dyDescent="0.25">
      <c r="A128" s="277" t="s">
        <v>129</v>
      </c>
      <c r="B128" s="277"/>
      <c r="C128" s="143" t="s">
        <v>28</v>
      </c>
      <c r="D128" s="202">
        <v>2</v>
      </c>
    </row>
    <row r="129" spans="1:4" ht="32.25" customHeight="1" x14ac:dyDescent="0.25">
      <c r="A129" s="277" t="s">
        <v>122</v>
      </c>
      <c r="B129" s="278"/>
      <c r="C129" s="143" t="s">
        <v>28</v>
      </c>
      <c r="D129" s="202">
        <v>0.32</v>
      </c>
    </row>
    <row r="130" spans="1:4" x14ac:dyDescent="0.25">
      <c r="A130" s="277" t="s">
        <v>123</v>
      </c>
      <c r="B130" s="278"/>
      <c r="C130" s="143" t="s">
        <v>28</v>
      </c>
      <c r="D130" s="202">
        <v>0.64</v>
      </c>
    </row>
    <row r="131" spans="1:4" x14ac:dyDescent="0.25">
      <c r="A131" s="277" t="s">
        <v>48</v>
      </c>
      <c r="B131" s="277"/>
      <c r="C131" s="143" t="s">
        <v>102</v>
      </c>
      <c r="D131" s="203">
        <v>0.3226</v>
      </c>
    </row>
    <row r="132" spans="1:4" ht="32.25" customHeight="1" x14ac:dyDescent="0.25">
      <c r="A132" s="277" t="s">
        <v>103</v>
      </c>
      <c r="B132" s="278"/>
      <c r="C132" s="143" t="s">
        <v>102</v>
      </c>
      <c r="D132" s="203">
        <v>-1E-4</v>
      </c>
    </row>
    <row r="133" spans="1:4" x14ac:dyDescent="0.25">
      <c r="A133" s="277" t="s">
        <v>104</v>
      </c>
      <c r="B133" s="278"/>
      <c r="C133" s="143" t="s">
        <v>102</v>
      </c>
      <c r="D133" s="203">
        <v>3.8999999999999998E-3</v>
      </c>
    </row>
    <row r="134" spans="1:4" ht="33" customHeight="1" x14ac:dyDescent="0.25">
      <c r="A134" s="277" t="s">
        <v>105</v>
      </c>
      <c r="B134" s="278"/>
      <c r="C134" s="143" t="s">
        <v>102</v>
      </c>
      <c r="D134" s="203">
        <v>9.64E-2</v>
      </c>
    </row>
    <row r="135" spans="1:4" ht="26.25" customHeight="1" x14ac:dyDescent="0.25">
      <c r="A135" s="277" t="s">
        <v>120</v>
      </c>
      <c r="B135" s="277"/>
      <c r="C135" s="149" t="s">
        <v>102</v>
      </c>
      <c r="D135" s="203">
        <v>5.45E-2</v>
      </c>
    </row>
    <row r="136" spans="1:4" ht="32.25" customHeight="1" x14ac:dyDescent="0.25">
      <c r="A136" s="277" t="s">
        <v>106</v>
      </c>
      <c r="B136" s="277"/>
      <c r="C136" s="149" t="s">
        <v>102</v>
      </c>
      <c r="D136" s="203">
        <v>1.24E-2</v>
      </c>
    </row>
    <row r="137" spans="1:4" x14ac:dyDescent="0.25">
      <c r="A137" s="277" t="s">
        <v>107</v>
      </c>
      <c r="B137" s="278"/>
      <c r="C137" s="143" t="s">
        <v>119</v>
      </c>
      <c r="D137" s="146">
        <v>2.8948</v>
      </c>
    </row>
    <row r="138" spans="1:4" x14ac:dyDescent="0.25">
      <c r="A138" s="277" t="s">
        <v>108</v>
      </c>
      <c r="B138" s="278"/>
      <c r="C138" s="143" t="s">
        <v>119</v>
      </c>
      <c r="D138" s="146">
        <v>1.9959</v>
      </c>
    </row>
    <row r="139" spans="1:4" x14ac:dyDescent="0.25">
      <c r="A139" s="142"/>
      <c r="B139" s="145"/>
      <c r="C139" s="143"/>
      <c r="D139" s="146"/>
    </row>
    <row r="140" spans="1:4" x14ac:dyDescent="0.25">
      <c r="A140" s="282" t="s">
        <v>109</v>
      </c>
      <c r="B140" s="278"/>
      <c r="C140" s="148"/>
      <c r="D140" s="148"/>
    </row>
    <row r="141" spans="1:4" x14ac:dyDescent="0.25">
      <c r="A141" s="147"/>
      <c r="B141" s="145"/>
      <c r="C141" s="148"/>
      <c r="D141" s="148"/>
    </row>
    <row r="142" spans="1:4" x14ac:dyDescent="0.25">
      <c r="A142" s="277" t="s">
        <v>110</v>
      </c>
      <c r="B142" s="277"/>
      <c r="C142" s="149" t="s">
        <v>102</v>
      </c>
      <c r="D142" s="205">
        <v>3.0000000000000001E-3</v>
      </c>
    </row>
    <row r="143" spans="1:4" x14ac:dyDescent="0.25">
      <c r="A143" s="277" t="s">
        <v>111</v>
      </c>
      <c r="B143" s="277"/>
      <c r="C143" s="149" t="s">
        <v>102</v>
      </c>
      <c r="D143" s="205">
        <v>4.0000000000000002E-4</v>
      </c>
    </row>
    <row r="144" spans="1:4" x14ac:dyDescent="0.25">
      <c r="A144" s="277" t="s">
        <v>112</v>
      </c>
      <c r="B144" s="278"/>
      <c r="C144" s="149" t="s">
        <v>102</v>
      </c>
      <c r="D144" s="205">
        <v>5.0000000000000001E-4</v>
      </c>
    </row>
    <row r="145" spans="1:4" x14ac:dyDescent="0.25">
      <c r="A145" s="277" t="s">
        <v>113</v>
      </c>
      <c r="B145" s="277"/>
      <c r="C145" s="149" t="s">
        <v>28</v>
      </c>
      <c r="D145" s="206">
        <v>0.25</v>
      </c>
    </row>
    <row r="146" spans="1:4" ht="18" x14ac:dyDescent="0.25">
      <c r="A146" s="266" t="s">
        <v>130</v>
      </c>
      <c r="B146" s="266"/>
      <c r="C146" s="266"/>
      <c r="D146" s="283"/>
    </row>
    <row r="147" spans="1:4" x14ac:dyDescent="0.25">
      <c r="A147" s="268" t="s">
        <v>131</v>
      </c>
      <c r="B147" s="268"/>
      <c r="C147" s="268"/>
      <c r="D147" s="281"/>
    </row>
    <row r="148" spans="1:4" x14ac:dyDescent="0.25">
      <c r="A148" s="136"/>
      <c r="B148" s="136"/>
      <c r="C148" s="136"/>
      <c r="D148" s="152"/>
    </row>
    <row r="149" spans="1:4" x14ac:dyDescent="0.25">
      <c r="A149" s="270" t="s">
        <v>91</v>
      </c>
      <c r="B149" s="271"/>
      <c r="C149" s="271"/>
      <c r="D149" s="271"/>
    </row>
    <row r="150" spans="1:4" x14ac:dyDescent="0.25">
      <c r="A150" s="138"/>
      <c r="B150" s="139"/>
      <c r="C150" s="139"/>
      <c r="D150" s="139"/>
    </row>
    <row r="151" spans="1:4" x14ac:dyDescent="0.25">
      <c r="A151" s="268" t="s">
        <v>92</v>
      </c>
      <c r="B151" s="268"/>
      <c r="C151" s="268"/>
      <c r="D151" s="268"/>
    </row>
    <row r="152" spans="1:4" x14ac:dyDescent="0.25">
      <c r="A152" s="136"/>
      <c r="B152" s="136"/>
      <c r="C152" s="136"/>
      <c r="D152" s="136"/>
    </row>
    <row r="153" spans="1:4" x14ac:dyDescent="0.25">
      <c r="A153" s="268" t="s">
        <v>93</v>
      </c>
      <c r="B153" s="268"/>
      <c r="C153" s="268"/>
      <c r="D153" s="268"/>
    </row>
    <row r="154" spans="1:4" x14ac:dyDescent="0.25">
      <c r="A154" s="136"/>
      <c r="B154" s="136"/>
      <c r="C154" s="136"/>
      <c r="D154" s="136"/>
    </row>
    <row r="155" spans="1:4" x14ac:dyDescent="0.25">
      <c r="A155" s="268" t="s">
        <v>132</v>
      </c>
      <c r="B155" s="268"/>
      <c r="C155" s="268"/>
      <c r="D155" s="268"/>
    </row>
    <row r="156" spans="1:4" x14ac:dyDescent="0.25">
      <c r="A156" s="136"/>
      <c r="B156" s="136"/>
      <c r="C156" s="136"/>
      <c r="D156" s="136"/>
    </row>
    <row r="157" spans="1:4" x14ac:dyDescent="0.25">
      <c r="A157" s="268" t="s">
        <v>95</v>
      </c>
      <c r="B157" s="268"/>
      <c r="C157" s="268"/>
      <c r="D157" s="268"/>
    </row>
    <row r="158" spans="1:4" x14ac:dyDescent="0.25">
      <c r="A158" s="136"/>
      <c r="B158" s="136"/>
      <c r="C158" s="136"/>
      <c r="D158" s="136"/>
    </row>
    <row r="159" spans="1:4" x14ac:dyDescent="0.25">
      <c r="A159" s="279" t="s">
        <v>96</v>
      </c>
      <c r="B159" s="280"/>
      <c r="C159" s="280"/>
      <c r="D159" s="280"/>
    </row>
    <row r="160" spans="1:4" x14ac:dyDescent="0.25">
      <c r="A160" s="140"/>
      <c r="B160" s="141"/>
      <c r="C160" s="141"/>
      <c r="D160" s="141"/>
    </row>
    <row r="161" spans="1:4" x14ac:dyDescent="0.25">
      <c r="A161" s="277" t="s">
        <v>117</v>
      </c>
      <c r="B161" s="277"/>
      <c r="C161" s="143" t="s">
        <v>28</v>
      </c>
      <c r="D161" s="144">
        <v>4.55</v>
      </c>
    </row>
    <row r="162" spans="1:4" x14ac:dyDescent="0.25">
      <c r="A162" s="154"/>
      <c r="B162" s="142"/>
      <c r="C162" s="143"/>
      <c r="D162" s="144"/>
    </row>
    <row r="163" spans="1:4" ht="18.75" x14ac:dyDescent="0.25">
      <c r="A163" s="155" t="s">
        <v>133</v>
      </c>
      <c r="B163" s="156"/>
      <c r="C163" s="156"/>
      <c r="D163" s="156"/>
    </row>
    <row r="164" spans="1:4" x14ac:dyDescent="0.25">
      <c r="A164" s="277" t="s">
        <v>134</v>
      </c>
      <c r="B164" s="277"/>
      <c r="C164" s="143" t="s">
        <v>119</v>
      </c>
      <c r="D164" s="144">
        <v>-0.6</v>
      </c>
    </row>
    <row r="165" spans="1:4" x14ac:dyDescent="0.25">
      <c r="A165" s="277" t="s">
        <v>135</v>
      </c>
      <c r="B165" s="277"/>
      <c r="C165" s="143" t="s">
        <v>29</v>
      </c>
      <c r="D165" s="144">
        <v>-1</v>
      </c>
    </row>
    <row r="166" spans="1:4" ht="18" x14ac:dyDescent="0.25">
      <c r="A166" s="157" t="s">
        <v>136</v>
      </c>
      <c r="B166" s="158"/>
      <c r="C166" s="158"/>
      <c r="D166" s="159"/>
    </row>
    <row r="167" spans="1:4" x14ac:dyDescent="0.25">
      <c r="A167" s="269" t="s">
        <v>92</v>
      </c>
      <c r="B167" s="269"/>
      <c r="C167" s="269"/>
      <c r="D167" s="284"/>
    </row>
    <row r="168" spans="1:4" x14ac:dyDescent="0.25">
      <c r="A168" s="137"/>
      <c r="B168" s="137"/>
      <c r="C168" s="137"/>
      <c r="D168" s="160"/>
    </row>
    <row r="169" spans="1:4" x14ac:dyDescent="0.25">
      <c r="A169" s="269" t="s">
        <v>137</v>
      </c>
      <c r="B169" s="269"/>
      <c r="C169" s="269"/>
      <c r="D169" s="284"/>
    </row>
    <row r="170" spans="1:4" x14ac:dyDescent="0.25">
      <c r="A170" s="137"/>
      <c r="B170" s="137"/>
      <c r="C170" s="137"/>
      <c r="D170" s="160"/>
    </row>
    <row r="171" spans="1:4" x14ac:dyDescent="0.25">
      <c r="A171" s="269" t="s">
        <v>138</v>
      </c>
      <c r="B171" s="269"/>
      <c r="C171" s="269"/>
      <c r="D171" s="284"/>
    </row>
    <row r="172" spans="1:4" x14ac:dyDescent="0.25">
      <c r="A172" s="137"/>
      <c r="B172" s="137"/>
      <c r="C172" s="137"/>
      <c r="D172" s="160"/>
    </row>
    <row r="173" spans="1:4" x14ac:dyDescent="0.25">
      <c r="A173" s="161" t="s">
        <v>139</v>
      </c>
      <c r="B173" s="162"/>
      <c r="C173" s="162"/>
      <c r="D173" s="163"/>
    </row>
    <row r="174" spans="1:4" x14ac:dyDescent="0.25">
      <c r="A174" s="285" t="s">
        <v>140</v>
      </c>
      <c r="B174" s="285"/>
      <c r="C174" s="143" t="s">
        <v>28</v>
      </c>
      <c r="D174" s="144">
        <v>15</v>
      </c>
    </row>
    <row r="175" spans="1:4" x14ac:dyDescent="0.25">
      <c r="A175" s="285" t="s">
        <v>141</v>
      </c>
      <c r="B175" s="285"/>
      <c r="C175" s="143" t="s">
        <v>28</v>
      </c>
      <c r="D175" s="144">
        <v>15</v>
      </c>
    </row>
    <row r="176" spans="1:4" x14ac:dyDescent="0.25">
      <c r="A176" s="285" t="s">
        <v>142</v>
      </c>
      <c r="B176" s="285"/>
      <c r="C176" s="143" t="s">
        <v>28</v>
      </c>
      <c r="D176" s="144">
        <v>15</v>
      </c>
    </row>
    <row r="177" spans="1:4" x14ac:dyDescent="0.25">
      <c r="A177" s="285" t="s">
        <v>143</v>
      </c>
      <c r="B177" s="285"/>
      <c r="C177" s="143" t="s">
        <v>28</v>
      </c>
      <c r="D177" s="144">
        <v>15</v>
      </c>
    </row>
    <row r="178" spans="1:4" x14ac:dyDescent="0.25">
      <c r="A178" s="285" t="s">
        <v>144</v>
      </c>
      <c r="B178" s="285"/>
      <c r="C178" s="143" t="s">
        <v>28</v>
      </c>
      <c r="D178" s="144">
        <v>15</v>
      </c>
    </row>
    <row r="179" spans="1:4" x14ac:dyDescent="0.25">
      <c r="A179" s="285" t="s">
        <v>145</v>
      </c>
      <c r="B179" s="285"/>
      <c r="C179" s="143" t="s">
        <v>28</v>
      </c>
      <c r="D179" s="144">
        <v>15</v>
      </c>
    </row>
    <row r="180" spans="1:4" x14ac:dyDescent="0.25">
      <c r="A180" s="285" t="s">
        <v>146</v>
      </c>
      <c r="B180" s="285"/>
      <c r="C180" s="143" t="s">
        <v>28</v>
      </c>
      <c r="D180" s="144">
        <v>15</v>
      </c>
    </row>
    <row r="181" spans="1:4" x14ac:dyDescent="0.25">
      <c r="A181" s="285" t="s">
        <v>147</v>
      </c>
      <c r="B181" s="285"/>
      <c r="C181" s="143" t="s">
        <v>28</v>
      </c>
      <c r="D181" s="144">
        <v>15</v>
      </c>
    </row>
    <row r="182" spans="1:4" x14ac:dyDescent="0.25">
      <c r="A182" s="285" t="s">
        <v>148</v>
      </c>
      <c r="B182" s="285"/>
      <c r="C182" s="143" t="s">
        <v>28</v>
      </c>
      <c r="D182" s="144">
        <v>15</v>
      </c>
    </row>
    <row r="183" spans="1:4" x14ac:dyDescent="0.25">
      <c r="A183" s="285" t="s">
        <v>149</v>
      </c>
      <c r="B183" s="285"/>
      <c r="C183" s="143" t="s">
        <v>28</v>
      </c>
      <c r="D183" s="144">
        <v>15</v>
      </c>
    </row>
    <row r="184" spans="1:4" x14ac:dyDescent="0.25">
      <c r="A184" s="285" t="s">
        <v>150</v>
      </c>
      <c r="B184" s="285"/>
      <c r="C184" s="143" t="s">
        <v>28</v>
      </c>
      <c r="D184" s="144">
        <v>30</v>
      </c>
    </row>
    <row r="185" spans="1:4" x14ac:dyDescent="0.25">
      <c r="A185" s="285" t="s">
        <v>151</v>
      </c>
      <c r="B185" s="285"/>
      <c r="C185" s="143" t="s">
        <v>28</v>
      </c>
      <c r="D185" s="144">
        <v>15</v>
      </c>
    </row>
    <row r="186" spans="1:4" x14ac:dyDescent="0.25">
      <c r="A186" s="285" t="s">
        <v>152</v>
      </c>
      <c r="B186" s="285"/>
      <c r="C186" s="143" t="s">
        <v>28</v>
      </c>
      <c r="D186" s="144">
        <v>15</v>
      </c>
    </row>
    <row r="187" spans="1:4" x14ac:dyDescent="0.25">
      <c r="A187" s="285" t="s">
        <v>153</v>
      </c>
      <c r="B187" s="285"/>
      <c r="C187" s="143" t="s">
        <v>28</v>
      </c>
      <c r="D187" s="144">
        <v>15</v>
      </c>
    </row>
    <row r="188" spans="1:4" x14ac:dyDescent="0.25">
      <c r="A188" s="285" t="s">
        <v>154</v>
      </c>
      <c r="B188" s="286"/>
      <c r="C188" s="143" t="s">
        <v>28</v>
      </c>
      <c r="D188" s="144">
        <v>30</v>
      </c>
    </row>
    <row r="189" spans="1:4" x14ac:dyDescent="0.25">
      <c r="A189" s="285" t="s">
        <v>155</v>
      </c>
      <c r="B189" s="285"/>
      <c r="C189" s="143" t="s">
        <v>28</v>
      </c>
      <c r="D189" s="144">
        <v>30</v>
      </c>
    </row>
    <row r="190" spans="1:4" x14ac:dyDescent="0.25">
      <c r="A190" s="164"/>
      <c r="B190" s="164"/>
      <c r="C190" s="143"/>
      <c r="D190" s="144"/>
    </row>
    <row r="191" spans="1:4" x14ac:dyDescent="0.25">
      <c r="A191" s="161" t="s">
        <v>156</v>
      </c>
      <c r="B191" s="165"/>
      <c r="C191" s="165"/>
      <c r="D191" s="166"/>
    </row>
    <row r="192" spans="1:4" x14ac:dyDescent="0.25">
      <c r="A192" s="285" t="s">
        <v>157</v>
      </c>
      <c r="B192" s="285"/>
      <c r="C192" s="143" t="s">
        <v>29</v>
      </c>
      <c r="D192" s="144">
        <v>1.5</v>
      </c>
    </row>
    <row r="193" spans="1:4" x14ac:dyDescent="0.25">
      <c r="A193" s="285" t="s">
        <v>158</v>
      </c>
      <c r="B193" s="285"/>
      <c r="C193" s="143" t="s">
        <v>28</v>
      </c>
      <c r="D193" s="144">
        <v>65</v>
      </c>
    </row>
    <row r="194" spans="1:4" x14ac:dyDescent="0.25">
      <c r="A194" s="285" t="s">
        <v>159</v>
      </c>
      <c r="B194" s="285"/>
      <c r="C194" s="143" t="s">
        <v>28</v>
      </c>
      <c r="D194" s="144">
        <v>185</v>
      </c>
    </row>
    <row r="195" spans="1:4" x14ac:dyDescent="0.25">
      <c r="A195" s="285" t="s">
        <v>160</v>
      </c>
      <c r="B195" s="285"/>
      <c r="C195" s="143" t="s">
        <v>28</v>
      </c>
      <c r="D195" s="144">
        <v>185</v>
      </c>
    </row>
    <row r="196" spans="1:4" x14ac:dyDescent="0.25">
      <c r="A196" s="285" t="s">
        <v>161</v>
      </c>
      <c r="B196" s="285"/>
      <c r="C196" s="143" t="s">
        <v>28</v>
      </c>
      <c r="D196" s="144">
        <v>415</v>
      </c>
    </row>
    <row r="197" spans="1:4" x14ac:dyDescent="0.25">
      <c r="A197" s="164"/>
      <c r="B197" s="164"/>
      <c r="C197" s="143"/>
      <c r="D197" s="144"/>
    </row>
    <row r="198" spans="1:4" x14ac:dyDescent="0.25">
      <c r="A198" s="161" t="s">
        <v>162</v>
      </c>
      <c r="B198" s="167"/>
      <c r="C198" s="168"/>
      <c r="D198" s="168"/>
    </row>
    <row r="199" spans="1:4" x14ac:dyDescent="0.25">
      <c r="A199" s="285" t="s">
        <v>163</v>
      </c>
      <c r="B199" s="285"/>
      <c r="C199" s="143"/>
      <c r="D199" s="169"/>
    </row>
    <row r="200" spans="1:4" x14ac:dyDescent="0.25">
      <c r="A200" s="285" t="s">
        <v>164</v>
      </c>
      <c r="B200" s="286"/>
      <c r="C200" s="143" t="s">
        <v>28</v>
      </c>
      <c r="D200" s="144">
        <v>36.049999999999997</v>
      </c>
    </row>
    <row r="201" spans="1:4" x14ac:dyDescent="0.25">
      <c r="A201" s="285" t="s">
        <v>165</v>
      </c>
      <c r="B201" s="285"/>
      <c r="C201" s="143" t="s">
        <v>28</v>
      </c>
      <c r="D201" s="144">
        <v>30</v>
      </c>
    </row>
    <row r="202" spans="1:4" x14ac:dyDescent="0.25">
      <c r="A202" s="285" t="s">
        <v>166</v>
      </c>
      <c r="B202" s="285"/>
      <c r="C202" s="143" t="s">
        <v>28</v>
      </c>
      <c r="D202" s="144">
        <v>165</v>
      </c>
    </row>
    <row r="203" spans="1:4" x14ac:dyDescent="0.25">
      <c r="A203" s="285" t="s">
        <v>167</v>
      </c>
      <c r="B203" s="285"/>
      <c r="C203" s="143" t="s">
        <v>28</v>
      </c>
      <c r="D203" s="144">
        <v>500</v>
      </c>
    </row>
    <row r="204" spans="1:4" x14ac:dyDescent="0.25">
      <c r="A204" s="285" t="s">
        <v>168</v>
      </c>
      <c r="B204" s="285"/>
      <c r="C204" s="143" t="s">
        <v>28</v>
      </c>
      <c r="D204" s="144">
        <v>300</v>
      </c>
    </row>
    <row r="205" spans="1:4" x14ac:dyDescent="0.25">
      <c r="A205" s="285" t="s">
        <v>169</v>
      </c>
      <c r="B205" s="285"/>
      <c r="C205" s="143" t="s">
        <v>28</v>
      </c>
      <c r="D205" s="144">
        <v>1000</v>
      </c>
    </row>
    <row r="206" spans="1:4" ht="18" x14ac:dyDescent="0.25">
      <c r="A206" s="170" t="s">
        <v>170</v>
      </c>
      <c r="B206" s="171"/>
      <c r="C206" s="171"/>
      <c r="D206" s="172"/>
    </row>
    <row r="207" spans="1:4" ht="18" x14ac:dyDescent="0.25">
      <c r="A207" s="170"/>
      <c r="B207" s="171"/>
      <c r="C207" s="171"/>
      <c r="D207" s="172"/>
    </row>
    <row r="208" spans="1:4" x14ac:dyDescent="0.25">
      <c r="A208" s="269" t="s">
        <v>92</v>
      </c>
      <c r="B208" s="269"/>
      <c r="C208" s="269"/>
      <c r="D208" s="284"/>
    </row>
    <row r="209" spans="1:4" x14ac:dyDescent="0.25">
      <c r="A209" s="137"/>
      <c r="B209" s="137"/>
      <c r="C209" s="137"/>
      <c r="D209" s="160"/>
    </row>
    <row r="210" spans="1:4" x14ac:dyDescent="0.25">
      <c r="A210" s="269" t="s">
        <v>171</v>
      </c>
      <c r="B210" s="269"/>
      <c r="C210" s="269"/>
      <c r="D210" s="284"/>
    </row>
    <row r="211" spans="1:4" x14ac:dyDescent="0.25">
      <c r="A211" s="137"/>
      <c r="B211" s="137"/>
      <c r="C211" s="137"/>
      <c r="D211" s="160"/>
    </row>
    <row r="212" spans="1:4" x14ac:dyDescent="0.25">
      <c r="A212" s="269" t="s">
        <v>132</v>
      </c>
      <c r="B212" s="269"/>
      <c r="C212" s="269"/>
      <c r="D212" s="284"/>
    </row>
    <row r="213" spans="1:4" x14ac:dyDescent="0.25">
      <c r="A213" s="137"/>
      <c r="B213" s="137"/>
      <c r="C213" s="137"/>
      <c r="D213" s="160"/>
    </row>
    <row r="214" spans="1:4" x14ac:dyDescent="0.25">
      <c r="A214" s="269" t="s">
        <v>172</v>
      </c>
      <c r="B214" s="269"/>
      <c r="C214" s="269"/>
      <c r="D214" s="284"/>
    </row>
    <row r="215" spans="1:4" x14ac:dyDescent="0.25">
      <c r="A215" s="137"/>
      <c r="B215" s="137"/>
      <c r="C215" s="137"/>
      <c r="D215" s="160"/>
    </row>
    <row r="216" spans="1:4" x14ac:dyDescent="0.25">
      <c r="A216" s="269" t="s">
        <v>173</v>
      </c>
      <c r="B216" s="269"/>
      <c r="C216" s="269"/>
      <c r="D216" s="284"/>
    </row>
    <row r="217" spans="1:4" x14ac:dyDescent="0.25">
      <c r="A217" s="277" t="s">
        <v>174</v>
      </c>
      <c r="B217" s="277"/>
      <c r="C217" s="173" t="s">
        <v>28</v>
      </c>
      <c r="D217" s="144">
        <v>111.66</v>
      </c>
    </row>
    <row r="218" spans="1:4" x14ac:dyDescent="0.25">
      <c r="A218" s="277" t="s">
        <v>175</v>
      </c>
      <c r="B218" s="277"/>
      <c r="C218" s="174" t="s">
        <v>28</v>
      </c>
      <c r="D218" s="144">
        <v>44.67</v>
      </c>
    </row>
    <row r="219" spans="1:4" x14ac:dyDescent="0.25">
      <c r="A219" s="277" t="s">
        <v>176</v>
      </c>
      <c r="B219" s="277"/>
      <c r="C219" s="174" t="s">
        <v>177</v>
      </c>
      <c r="D219" s="144">
        <v>1.1100000000000001</v>
      </c>
    </row>
    <row r="220" spans="1:4" x14ac:dyDescent="0.25">
      <c r="A220" s="277" t="s">
        <v>178</v>
      </c>
      <c r="B220" s="277"/>
      <c r="C220" s="174" t="s">
        <v>177</v>
      </c>
      <c r="D220" s="144">
        <v>0.66</v>
      </c>
    </row>
    <row r="221" spans="1:4" x14ac:dyDescent="0.25">
      <c r="A221" s="277" t="s">
        <v>179</v>
      </c>
      <c r="B221" s="277"/>
      <c r="C221" s="174" t="s">
        <v>177</v>
      </c>
      <c r="D221" s="144">
        <v>-0.66</v>
      </c>
    </row>
    <row r="222" spans="1:4" x14ac:dyDescent="0.25">
      <c r="A222" s="277" t="s">
        <v>180</v>
      </c>
      <c r="B222" s="277"/>
      <c r="C222" s="175"/>
      <c r="D222" s="169"/>
    </row>
    <row r="223" spans="1:4" x14ac:dyDescent="0.25">
      <c r="A223" s="287" t="s">
        <v>181</v>
      </c>
      <c r="B223" s="287"/>
      <c r="C223" s="174" t="s">
        <v>28</v>
      </c>
      <c r="D223" s="144">
        <v>0.56000000000000005</v>
      </c>
    </row>
    <row r="224" spans="1:4" x14ac:dyDescent="0.25">
      <c r="A224" s="287" t="s">
        <v>182</v>
      </c>
      <c r="B224" s="287"/>
      <c r="C224" s="174" t="s">
        <v>28</v>
      </c>
      <c r="D224" s="144">
        <v>1.1100000000000001</v>
      </c>
    </row>
    <row r="225" spans="1:4" x14ac:dyDescent="0.25">
      <c r="A225" s="277" t="s">
        <v>183</v>
      </c>
      <c r="B225" s="277"/>
      <c r="C225" s="175"/>
      <c r="D225" s="169"/>
    </row>
    <row r="226" spans="1:4" x14ac:dyDescent="0.25">
      <c r="A226" s="277" t="s">
        <v>184</v>
      </c>
      <c r="B226" s="277"/>
      <c r="C226" s="175"/>
      <c r="D226" s="169"/>
    </row>
    <row r="227" spans="1:4" x14ac:dyDescent="0.25">
      <c r="A227" s="277" t="s">
        <v>185</v>
      </c>
      <c r="B227" s="277"/>
      <c r="C227" s="175"/>
      <c r="D227" s="169"/>
    </row>
    <row r="228" spans="1:4" x14ac:dyDescent="0.25">
      <c r="A228" s="287" t="s">
        <v>186</v>
      </c>
      <c r="B228" s="287"/>
      <c r="C228" s="174" t="s">
        <v>28</v>
      </c>
      <c r="D228" s="169" t="s">
        <v>187</v>
      </c>
    </row>
    <row r="229" spans="1:4" x14ac:dyDescent="0.25">
      <c r="A229" s="287" t="s">
        <v>188</v>
      </c>
      <c r="B229" s="287"/>
      <c r="C229" s="174" t="s">
        <v>28</v>
      </c>
      <c r="D229" s="144">
        <v>4.47</v>
      </c>
    </row>
    <row r="230" spans="1:4" x14ac:dyDescent="0.25">
      <c r="A230" s="288" t="s">
        <v>189</v>
      </c>
      <c r="B230" s="288"/>
      <c r="C230" s="173" t="s">
        <v>28</v>
      </c>
      <c r="D230" s="144">
        <v>2.23</v>
      </c>
    </row>
    <row r="231" spans="1:4" x14ac:dyDescent="0.25">
      <c r="A231" s="176"/>
      <c r="B231" s="176"/>
      <c r="C231" s="173"/>
      <c r="D231" s="144"/>
    </row>
    <row r="232" spans="1:4" ht="18" x14ac:dyDescent="0.25">
      <c r="A232" s="170" t="s">
        <v>190</v>
      </c>
      <c r="B232" s="158"/>
      <c r="C232" s="158"/>
      <c r="D232" s="159"/>
    </row>
    <row r="233" spans="1:4" ht="18" x14ac:dyDescent="0.25">
      <c r="A233" s="170"/>
      <c r="B233" s="158"/>
      <c r="C233" s="158"/>
      <c r="D233" s="159"/>
    </row>
    <row r="234" spans="1:4" x14ac:dyDescent="0.25">
      <c r="A234" s="289" t="s">
        <v>191</v>
      </c>
      <c r="B234" s="289"/>
      <c r="C234" s="289"/>
      <c r="D234" s="290"/>
    </row>
    <row r="235" spans="1:4" x14ac:dyDescent="0.25">
      <c r="A235" s="277" t="s">
        <v>192</v>
      </c>
      <c r="B235" s="277"/>
      <c r="C235" s="177"/>
      <c r="D235" s="169">
        <v>1.0829</v>
      </c>
    </row>
    <row r="236" spans="1:4" x14ac:dyDescent="0.25">
      <c r="A236" s="277" t="s">
        <v>193</v>
      </c>
      <c r="B236" s="277"/>
      <c r="C236" s="177"/>
      <c r="D236" s="169">
        <v>1.0721000000000001</v>
      </c>
    </row>
  </sheetData>
  <mergeCells count="170">
    <mergeCell ref="A235:B235"/>
    <mergeCell ref="A236:B236"/>
    <mergeCell ref="A226:B226"/>
    <mergeCell ref="A227:B227"/>
    <mergeCell ref="A228:B228"/>
    <mergeCell ref="A229:B229"/>
    <mergeCell ref="A230:B230"/>
    <mergeCell ref="A234:D234"/>
    <mergeCell ref="A220:B220"/>
    <mergeCell ref="A221:B221"/>
    <mergeCell ref="A222:B222"/>
    <mergeCell ref="A223:B223"/>
    <mergeCell ref="A224:B224"/>
    <mergeCell ref="A225:B225"/>
    <mergeCell ref="A212:D212"/>
    <mergeCell ref="A214:D214"/>
    <mergeCell ref="A216:D216"/>
    <mergeCell ref="A217:B217"/>
    <mergeCell ref="A218:B218"/>
    <mergeCell ref="A219:B219"/>
    <mergeCell ref="A202:B202"/>
    <mergeCell ref="A203:B203"/>
    <mergeCell ref="A204:B204"/>
    <mergeCell ref="A205:B205"/>
    <mergeCell ref="A208:D208"/>
    <mergeCell ref="A210:D210"/>
    <mergeCell ref="A194:B194"/>
    <mergeCell ref="A195:B195"/>
    <mergeCell ref="A196:B196"/>
    <mergeCell ref="A199:B199"/>
    <mergeCell ref="A200:B200"/>
    <mergeCell ref="A201:B201"/>
    <mergeCell ref="A186:B186"/>
    <mergeCell ref="A187:B187"/>
    <mergeCell ref="A188:B188"/>
    <mergeCell ref="A189:B189"/>
    <mergeCell ref="A192:B192"/>
    <mergeCell ref="A193:B193"/>
    <mergeCell ref="A180:B180"/>
    <mergeCell ref="A181:B181"/>
    <mergeCell ref="A182:B182"/>
    <mergeCell ref="A183:B183"/>
    <mergeCell ref="A184:B184"/>
    <mergeCell ref="A185:B185"/>
    <mergeCell ref="A174:B174"/>
    <mergeCell ref="A175:B175"/>
    <mergeCell ref="A176:B176"/>
    <mergeCell ref="A177:B177"/>
    <mergeCell ref="A178:B178"/>
    <mergeCell ref="A179:B179"/>
    <mergeCell ref="A161:B161"/>
    <mergeCell ref="A164:B164"/>
    <mergeCell ref="A165:B165"/>
    <mergeCell ref="A167:D167"/>
    <mergeCell ref="A169:D169"/>
    <mergeCell ref="A171:D171"/>
    <mergeCell ref="A149:D149"/>
    <mergeCell ref="A151:D151"/>
    <mergeCell ref="A153:D153"/>
    <mergeCell ref="A155:D155"/>
    <mergeCell ref="A157:D157"/>
    <mergeCell ref="A159:D159"/>
    <mergeCell ref="A142:B142"/>
    <mergeCell ref="A143:B143"/>
    <mergeCell ref="A144:B144"/>
    <mergeCell ref="A145:B145"/>
    <mergeCell ref="A146:D146"/>
    <mergeCell ref="A147:D147"/>
    <mergeCell ref="A134:B134"/>
    <mergeCell ref="A135:B135"/>
    <mergeCell ref="A136:B136"/>
    <mergeCell ref="A137:B137"/>
    <mergeCell ref="A138:B138"/>
    <mergeCell ref="A140:B140"/>
    <mergeCell ref="A128:B128"/>
    <mergeCell ref="A129:B129"/>
    <mergeCell ref="A130:B130"/>
    <mergeCell ref="A131:B131"/>
    <mergeCell ref="A132:B132"/>
    <mergeCell ref="A133:B133"/>
    <mergeCell ref="A116:D116"/>
    <mergeCell ref="A118:D118"/>
    <mergeCell ref="A120:D120"/>
    <mergeCell ref="A122:D122"/>
    <mergeCell ref="A124:D124"/>
    <mergeCell ref="A126:D126"/>
    <mergeCell ref="A109:B109"/>
    <mergeCell ref="A110:B110"/>
    <mergeCell ref="A111:B111"/>
    <mergeCell ref="A112:B112"/>
    <mergeCell ref="A113:D113"/>
    <mergeCell ref="A114:D114"/>
    <mergeCell ref="A101:B101"/>
    <mergeCell ref="A102:B102"/>
    <mergeCell ref="A103:B103"/>
    <mergeCell ref="A104:B104"/>
    <mergeCell ref="A105:B105"/>
    <mergeCell ref="A107:B107"/>
    <mergeCell ref="A95:B95"/>
    <mergeCell ref="A96:B96"/>
    <mergeCell ref="A97:B97"/>
    <mergeCell ref="A98:B98"/>
    <mergeCell ref="A99:B99"/>
    <mergeCell ref="A100:B100"/>
    <mergeCell ref="A85:D85"/>
    <mergeCell ref="A87:D87"/>
    <mergeCell ref="A89:D89"/>
    <mergeCell ref="A91:D91"/>
    <mergeCell ref="A93:B93"/>
    <mergeCell ref="A94:B94"/>
    <mergeCell ref="A76:B76"/>
    <mergeCell ref="A77:B77"/>
    <mergeCell ref="A78:D78"/>
    <mergeCell ref="A79:D79"/>
    <mergeCell ref="A81:D81"/>
    <mergeCell ref="A83:D83"/>
    <mergeCell ref="A68:B68"/>
    <mergeCell ref="A69:B69"/>
    <mergeCell ref="A70:B70"/>
    <mergeCell ref="A72:B72"/>
    <mergeCell ref="A74:B74"/>
    <mergeCell ref="A75:B75"/>
    <mergeCell ref="A62:B62"/>
    <mergeCell ref="A63:B63"/>
    <mergeCell ref="A64:B64"/>
    <mergeCell ref="A65:B65"/>
    <mergeCell ref="A66:B66"/>
    <mergeCell ref="A67:B67"/>
    <mergeCell ref="A51:D51"/>
    <mergeCell ref="A53:D53"/>
    <mergeCell ref="A55:D55"/>
    <mergeCell ref="A57:D57"/>
    <mergeCell ref="A59:D59"/>
    <mergeCell ref="A61:B61"/>
    <mergeCell ref="A41:B41"/>
    <mergeCell ref="A42:D42"/>
    <mergeCell ref="A43:D43"/>
    <mergeCell ref="A45:D45"/>
    <mergeCell ref="A47:D47"/>
    <mergeCell ref="A49:D49"/>
    <mergeCell ref="A33:B33"/>
    <mergeCell ref="A34:B34"/>
    <mergeCell ref="A36:B36"/>
    <mergeCell ref="A38:B38"/>
    <mergeCell ref="A39:B39"/>
    <mergeCell ref="A40:B40"/>
    <mergeCell ref="A27:B27"/>
    <mergeCell ref="A28:B28"/>
    <mergeCell ref="A29:B29"/>
    <mergeCell ref="A30:B30"/>
    <mergeCell ref="A31:B31"/>
    <mergeCell ref="A32:B32"/>
    <mergeCell ref="A18:D18"/>
    <mergeCell ref="A20:D20"/>
    <mergeCell ref="A22:D22"/>
    <mergeCell ref="A24:B24"/>
    <mergeCell ref="A25:B25"/>
    <mergeCell ref="A26:B26"/>
    <mergeCell ref="A8:D8"/>
    <mergeCell ref="A9:D9"/>
    <mergeCell ref="A10:D10"/>
    <mergeCell ref="A12:D12"/>
    <mergeCell ref="A14:D14"/>
    <mergeCell ref="A16:D16"/>
    <mergeCell ref="A2:D2"/>
    <mergeCell ref="A3:D3"/>
    <mergeCell ref="A4:D4"/>
    <mergeCell ref="A5:D5"/>
    <mergeCell ref="A6:D6"/>
    <mergeCell ref="A7:D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Bill Impact</vt:lpstr>
      <vt:lpstr>Current (2023) Tariff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2023-08-17T15:59:24Z</cp:lastPrinted>
  <dcterms:created xsi:type="dcterms:W3CDTF">2023-08-09T20:19:33Z</dcterms:created>
  <dcterms:modified xsi:type="dcterms:W3CDTF">2023-08-17T16:46:11Z</dcterms:modified>
</cp:coreProperties>
</file>