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hydroone.sharepoint.com/sites/RA/Proceedings Library/2023/EB-2023-0059 - Orillia and Peterborough - Distribution - IRM Application/Working Folder/Application and Evidence/"/>
    </mc:Choice>
  </mc:AlternateContent>
  <xr:revisionPtr revIDLastSave="0" documentId="13_ncr:1_{B4AE82A8-E848-4B98-8BE2-FEB50F5E1A73}" xr6:coauthVersionLast="47" xr6:coauthVersionMax="47" xr10:uidLastSave="{00000000-0000-0000-0000-000000000000}"/>
  <bookViews>
    <workbookView xWindow="-110" yWindow="-110" windowWidth="19420" windowHeight="10420" xr2:uid="{894349A7-7ACA-420B-A153-9AEA8CB31082}"/>
  </bookViews>
  <sheets>
    <sheet name="21. Bill Impacts-PeterboroughRZ" sheetId="1" r:id="rId1"/>
  </sheets>
  <externalReferences>
    <externalReference r:id="rId2"/>
    <externalReference r:id="rId3"/>
  </externalReferences>
  <definedNames>
    <definedName name="_xlnm._FilterDatabase" localSheetId="0" hidden="1">'21. Bill Impacts-PeterboroughRZ'!$A$87:$BV$635</definedName>
    <definedName name="DesRange">'[1]16.1 LV Expense'!$A$17:$A$20</definedName>
    <definedName name="MidPeak">'[2]18. Regulatory Charges'!$D$24</definedName>
    <definedName name="MidPeakPer">'[2]18. Regulatory Charges'!$E$24</definedName>
    <definedName name="OffPeak">'[2]18. Regulatory Charges'!$D$23</definedName>
    <definedName name="OffPeakPer">'[2]18. Regulatory Charges'!$E$23</definedName>
    <definedName name="OnPeak">'[2]18. Regulatory Charges'!$D$25</definedName>
    <definedName name="OnPeakPer">'[2]18. Regulatory Charges'!$E$25</definedName>
    <definedName name="SME">'[2]18. Regulatory Charges'!$D$33</definedName>
    <definedName name="SpRange">'[1]16.1 LV Expense'!$E$17:$E$17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1" l="1"/>
  <c r="D55" i="1"/>
  <c r="B56" i="1"/>
  <c r="D56" i="1"/>
  <c r="B57" i="1"/>
  <c r="D57" i="1"/>
  <c r="B58" i="1"/>
  <c r="D58" i="1"/>
  <c r="B59" i="1"/>
  <c r="D59" i="1"/>
  <c r="B60" i="1"/>
  <c r="D60" i="1"/>
  <c r="B61" i="1"/>
  <c r="D61" i="1"/>
  <c r="B62" i="1"/>
  <c r="D62" i="1"/>
  <c r="B63" i="1"/>
  <c r="D63" i="1"/>
  <c r="B64" i="1"/>
  <c r="D64" i="1"/>
  <c r="B65" i="1"/>
  <c r="D65" i="1"/>
  <c r="B66" i="1"/>
  <c r="D66" i="1"/>
  <c r="B67" i="1"/>
  <c r="D67" i="1"/>
  <c r="B68" i="1"/>
  <c r="D68" i="1"/>
  <c r="B69" i="1"/>
  <c r="D69" i="1"/>
  <c r="B70" i="1"/>
  <c r="D70" i="1"/>
  <c r="B71" i="1"/>
  <c r="D71" i="1"/>
  <c r="B72" i="1"/>
  <c r="D72" i="1"/>
  <c r="B73" i="1"/>
  <c r="D73" i="1"/>
  <c r="B74" i="1"/>
  <c r="D74" i="1"/>
  <c r="C629" i="1"/>
  <c r="I619" i="1"/>
  <c r="I618" i="1"/>
  <c r="I617" i="1"/>
  <c r="F617" i="1"/>
  <c r="I616" i="1"/>
  <c r="F616" i="1"/>
  <c r="I615" i="1"/>
  <c r="F615" i="1"/>
  <c r="I612" i="1"/>
  <c r="F612" i="1"/>
  <c r="I611" i="1"/>
  <c r="F611" i="1"/>
  <c r="C610" i="1"/>
  <c r="C607" i="1"/>
  <c r="K605" i="1"/>
  <c r="H605" i="1"/>
  <c r="C598" i="1"/>
  <c r="J596" i="1"/>
  <c r="K596" i="1" s="1"/>
  <c r="H596" i="1"/>
  <c r="L595" i="1"/>
  <c r="J592" i="1"/>
  <c r="K592" i="1" s="1"/>
  <c r="H592" i="1"/>
  <c r="E586" i="1"/>
  <c r="E585" i="1"/>
  <c r="E584" i="1"/>
  <c r="E583" i="1"/>
  <c r="K582" i="1"/>
  <c r="E582" i="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C573" i="1"/>
  <c r="I563" i="1"/>
  <c r="I562" i="1"/>
  <c r="I561" i="1"/>
  <c r="F561" i="1"/>
  <c r="I560" i="1"/>
  <c r="F560" i="1"/>
  <c r="I559" i="1"/>
  <c r="F559" i="1"/>
  <c r="I556" i="1"/>
  <c r="F556" i="1"/>
  <c r="I555" i="1"/>
  <c r="F555" i="1"/>
  <c r="C554" i="1"/>
  <c r="C551" i="1"/>
  <c r="K549" i="1"/>
  <c r="H549" i="1"/>
  <c r="C542" i="1"/>
  <c r="J540" i="1"/>
  <c r="K540" i="1" s="1"/>
  <c r="H540" i="1"/>
  <c r="L539" i="1"/>
  <c r="J536" i="1"/>
  <c r="K536" i="1" s="1"/>
  <c r="H536" i="1"/>
  <c r="E530" i="1"/>
  <c r="E529" i="1"/>
  <c r="E528" i="1"/>
  <c r="G563" i="1" s="1"/>
  <c r="H563" i="1" s="1"/>
  <c r="E527" i="1"/>
  <c r="K526" i="1"/>
  <c r="E526" i="1"/>
  <c r="C512" i="1"/>
  <c r="I507" i="1"/>
  <c r="I506" i="1"/>
  <c r="I505" i="1"/>
  <c r="F505" i="1"/>
  <c r="I504" i="1"/>
  <c r="F504" i="1"/>
  <c r="I503" i="1"/>
  <c r="F503" i="1"/>
  <c r="I501" i="1"/>
  <c r="K501" i="1" s="1"/>
  <c r="F501" i="1"/>
  <c r="H501" i="1" s="1"/>
  <c r="I500" i="1"/>
  <c r="F500" i="1"/>
  <c r="I499" i="1"/>
  <c r="F499" i="1"/>
  <c r="C498" i="1"/>
  <c r="C495" i="1"/>
  <c r="K493" i="1"/>
  <c r="H493" i="1"/>
  <c r="C486" i="1"/>
  <c r="J484" i="1"/>
  <c r="K484" i="1" s="1"/>
  <c r="H484" i="1"/>
  <c r="L483" i="1"/>
  <c r="M483" i="1" s="1"/>
  <c r="J480" i="1"/>
  <c r="K480" i="1" s="1"/>
  <c r="H480" i="1"/>
  <c r="E474" i="1"/>
  <c r="E473" i="1"/>
  <c r="E472" i="1"/>
  <c r="G507" i="1" s="1"/>
  <c r="H507" i="1" s="1"/>
  <c r="E471" i="1"/>
  <c r="K470" i="1"/>
  <c r="E470" i="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C466" i="1"/>
  <c r="I451" i="1"/>
  <c r="I450" i="1"/>
  <c r="I449" i="1"/>
  <c r="F449" i="1"/>
  <c r="I448" i="1"/>
  <c r="F448" i="1"/>
  <c r="I447" i="1"/>
  <c r="F447" i="1"/>
  <c r="I445" i="1"/>
  <c r="K445" i="1" s="1"/>
  <c r="F445" i="1"/>
  <c r="H445" i="1" s="1"/>
  <c r="I444" i="1"/>
  <c r="F444" i="1"/>
  <c r="I443" i="1"/>
  <c r="F443" i="1"/>
  <c r="C442" i="1"/>
  <c r="C439" i="1"/>
  <c r="K437" i="1"/>
  <c r="H437" i="1"/>
  <c r="C430" i="1"/>
  <c r="K428" i="1"/>
  <c r="H428" i="1"/>
  <c r="L427" i="1"/>
  <c r="M427" i="1" s="1"/>
  <c r="K424" i="1"/>
  <c r="H424" i="1"/>
  <c r="E418" i="1"/>
  <c r="E417" i="1"/>
  <c r="G429" i="1" s="1"/>
  <c r="H429" i="1" s="1"/>
  <c r="E416" i="1"/>
  <c r="F431" i="1" s="1"/>
  <c r="G431" i="1" s="1"/>
  <c r="H431" i="1" s="1"/>
  <c r="E415" i="1"/>
  <c r="K414" i="1"/>
  <c r="E414" i="1"/>
  <c r="K455" i="1" s="1"/>
  <c r="C410" i="1"/>
  <c r="I395" i="1"/>
  <c r="I394" i="1"/>
  <c r="I393" i="1"/>
  <c r="F393" i="1"/>
  <c r="I392" i="1"/>
  <c r="F392" i="1"/>
  <c r="I391" i="1"/>
  <c r="F391" i="1"/>
  <c r="I389" i="1"/>
  <c r="K389" i="1" s="1"/>
  <c r="F389" i="1"/>
  <c r="H389" i="1" s="1"/>
  <c r="I388" i="1"/>
  <c r="F388" i="1"/>
  <c r="I387" i="1"/>
  <c r="F387" i="1"/>
  <c r="C386" i="1"/>
  <c r="C383" i="1"/>
  <c r="K381" i="1"/>
  <c r="H381" i="1"/>
  <c r="C374" i="1"/>
  <c r="K372" i="1"/>
  <c r="H372" i="1"/>
  <c r="L371" i="1"/>
  <c r="M371" i="1" s="1"/>
  <c r="K368" i="1"/>
  <c r="H368" i="1"/>
  <c r="E362" i="1"/>
  <c r="E361" i="1"/>
  <c r="J385" i="1" s="1"/>
  <c r="K385" i="1" s="1"/>
  <c r="E360" i="1"/>
  <c r="G391" i="1" s="1"/>
  <c r="E359" i="1"/>
  <c r="K358" i="1"/>
  <c r="E358" i="1"/>
  <c r="C344" i="1"/>
  <c r="I339" i="1"/>
  <c r="I338" i="1"/>
  <c r="I337" i="1"/>
  <c r="F337" i="1"/>
  <c r="I336" i="1"/>
  <c r="F336" i="1"/>
  <c r="I335" i="1"/>
  <c r="F335" i="1"/>
  <c r="I333" i="1"/>
  <c r="K333" i="1" s="1"/>
  <c r="F333" i="1"/>
  <c r="H333" i="1" s="1"/>
  <c r="I332" i="1"/>
  <c r="F332" i="1"/>
  <c r="I331" i="1"/>
  <c r="F331" i="1"/>
  <c r="C330" i="1"/>
  <c r="C327" i="1"/>
  <c r="K325" i="1"/>
  <c r="H325" i="1"/>
  <c r="C318" i="1"/>
  <c r="K316" i="1"/>
  <c r="H316" i="1"/>
  <c r="L315" i="1"/>
  <c r="K312" i="1"/>
  <c r="H312" i="1"/>
  <c r="E306" i="1"/>
  <c r="E305" i="1"/>
  <c r="E304" i="1"/>
  <c r="E303" i="1"/>
  <c r="K302" i="1"/>
  <c r="E302" i="1"/>
  <c r="I324" i="1" s="1"/>
  <c r="K324" i="1" s="1"/>
  <c r="C298" i="1"/>
  <c r="I283" i="1"/>
  <c r="I282" i="1"/>
  <c r="I281" i="1"/>
  <c r="F281" i="1"/>
  <c r="I280" i="1"/>
  <c r="F280" i="1"/>
  <c r="I279" i="1"/>
  <c r="F279" i="1"/>
  <c r="I277" i="1"/>
  <c r="K277" i="1" s="1"/>
  <c r="F277" i="1"/>
  <c r="H277" i="1" s="1"/>
  <c r="I276" i="1"/>
  <c r="F276" i="1"/>
  <c r="I275" i="1"/>
  <c r="F275" i="1"/>
  <c r="C274" i="1"/>
  <c r="C271" i="1"/>
  <c r="K269" i="1"/>
  <c r="H269" i="1"/>
  <c r="C262" i="1"/>
  <c r="J260" i="1"/>
  <c r="K260" i="1" s="1"/>
  <c r="H260" i="1"/>
  <c r="L259" i="1"/>
  <c r="M259" i="1" s="1"/>
  <c r="J256" i="1"/>
  <c r="K256" i="1" s="1"/>
  <c r="H256" i="1"/>
  <c r="E250" i="1"/>
  <c r="E249" i="1"/>
  <c r="G273" i="1" s="1"/>
  <c r="H273" i="1" s="1"/>
  <c r="E248" i="1"/>
  <c r="E247" i="1"/>
  <c r="K246" i="1"/>
  <c r="E246" i="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C242" i="1"/>
  <c r="I227" i="1"/>
  <c r="I226" i="1"/>
  <c r="I225" i="1"/>
  <c r="F225" i="1"/>
  <c r="I224" i="1"/>
  <c r="F224" i="1"/>
  <c r="I223" i="1"/>
  <c r="F223" i="1"/>
  <c r="I221" i="1"/>
  <c r="K221" i="1" s="1"/>
  <c r="F221" i="1"/>
  <c r="H221" i="1" s="1"/>
  <c r="I220" i="1"/>
  <c r="F220" i="1"/>
  <c r="I219" i="1"/>
  <c r="F219" i="1"/>
  <c r="C218" i="1"/>
  <c r="C215" i="1"/>
  <c r="K213" i="1"/>
  <c r="H213" i="1"/>
  <c r="C206" i="1"/>
  <c r="J204" i="1"/>
  <c r="K204" i="1" s="1"/>
  <c r="H204" i="1"/>
  <c r="L203" i="1"/>
  <c r="M203" i="1" s="1"/>
  <c r="J200" i="1"/>
  <c r="K200" i="1" s="1"/>
  <c r="H200" i="1"/>
  <c r="E194" i="1"/>
  <c r="E193" i="1"/>
  <c r="G216" i="1" s="1"/>
  <c r="H216" i="1" s="1"/>
  <c r="E192" i="1"/>
  <c r="I207" i="1" s="1"/>
  <c r="J207" i="1" s="1"/>
  <c r="K207" i="1" s="1"/>
  <c r="E191" i="1"/>
  <c r="K190" i="1"/>
  <c r="E190" i="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C176" i="1"/>
  <c r="I171" i="1"/>
  <c r="I170" i="1"/>
  <c r="I169" i="1"/>
  <c r="F169" i="1"/>
  <c r="I168" i="1"/>
  <c r="F168" i="1"/>
  <c r="I167" i="1"/>
  <c r="F167" i="1"/>
  <c r="I165" i="1"/>
  <c r="K165" i="1" s="1"/>
  <c r="F165" i="1"/>
  <c r="H165" i="1" s="1"/>
  <c r="I164" i="1"/>
  <c r="F164" i="1"/>
  <c r="I163" i="1"/>
  <c r="F163" i="1"/>
  <c r="C162" i="1"/>
  <c r="C159" i="1"/>
  <c r="K157" i="1"/>
  <c r="H157" i="1"/>
  <c r="C150" i="1"/>
  <c r="J148" i="1"/>
  <c r="K148" i="1" s="1"/>
  <c r="H148" i="1"/>
  <c r="L147" i="1"/>
  <c r="J144" i="1"/>
  <c r="K144" i="1" s="1"/>
  <c r="H144" i="1"/>
  <c r="E138" i="1"/>
  <c r="E137" i="1"/>
  <c r="E136" i="1"/>
  <c r="J171" i="1" s="1"/>
  <c r="E135" i="1"/>
  <c r="K134" i="1"/>
  <c r="E134" i="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C120" i="1"/>
  <c r="I115" i="1"/>
  <c r="I114" i="1"/>
  <c r="I113" i="1"/>
  <c r="F113" i="1"/>
  <c r="I112" i="1"/>
  <c r="F112" i="1"/>
  <c r="I111" i="1"/>
  <c r="F111" i="1"/>
  <c r="I109" i="1"/>
  <c r="K109" i="1" s="1"/>
  <c r="F109" i="1"/>
  <c r="H109" i="1" s="1"/>
  <c r="I108" i="1"/>
  <c r="F108" i="1"/>
  <c r="I107" i="1"/>
  <c r="F107" i="1"/>
  <c r="C106" i="1"/>
  <c r="C103" i="1"/>
  <c r="K101" i="1"/>
  <c r="H101" i="1"/>
  <c r="C94" i="1"/>
  <c r="J92" i="1"/>
  <c r="K92" i="1" s="1"/>
  <c r="H92" i="1"/>
  <c r="L91" i="1"/>
  <c r="J88" i="1"/>
  <c r="K88" i="1" s="1"/>
  <c r="H88" i="1"/>
  <c r="E82" i="1"/>
  <c r="E81" i="1"/>
  <c r="E80" i="1"/>
  <c r="G114" i="1" s="1"/>
  <c r="H114" i="1" s="1"/>
  <c r="E79" i="1"/>
  <c r="K78" i="1"/>
  <c r="E78" i="1"/>
  <c r="F100" i="1" s="1"/>
  <c r="H100" i="1" s="1"/>
  <c r="J49" i="1"/>
  <c r="T49" i="1" s="1"/>
  <c r="G49" i="1"/>
  <c r="G74" i="1" s="1"/>
  <c r="C49" i="1"/>
  <c r="J48" i="1"/>
  <c r="T48" i="1" s="1"/>
  <c r="G48" i="1"/>
  <c r="G73" i="1" s="1"/>
  <c r="C48" i="1"/>
  <c r="J47" i="1"/>
  <c r="T47" i="1" s="1"/>
  <c r="G47" i="1"/>
  <c r="G72" i="1" s="1"/>
  <c r="C47" i="1"/>
  <c r="J46" i="1"/>
  <c r="T46" i="1" s="1"/>
  <c r="G46" i="1"/>
  <c r="G71" i="1" s="1"/>
  <c r="C46" i="1"/>
  <c r="J45" i="1"/>
  <c r="T45" i="1" s="1"/>
  <c r="G45" i="1"/>
  <c r="G70" i="1" s="1"/>
  <c r="C45" i="1"/>
  <c r="J44" i="1"/>
  <c r="T44" i="1" s="1"/>
  <c r="G44" i="1"/>
  <c r="G69" i="1" s="1"/>
  <c r="C44" i="1"/>
  <c r="J43" i="1"/>
  <c r="T43" i="1" s="1"/>
  <c r="G43" i="1"/>
  <c r="G68" i="1" s="1"/>
  <c r="C43" i="1"/>
  <c r="J42" i="1"/>
  <c r="T42" i="1" s="1"/>
  <c r="G42" i="1"/>
  <c r="G67" i="1" s="1"/>
  <c r="C42" i="1"/>
  <c r="J41" i="1"/>
  <c r="T41" i="1" s="1"/>
  <c r="G41" i="1"/>
  <c r="G66" i="1" s="1"/>
  <c r="C41" i="1"/>
  <c r="J40" i="1"/>
  <c r="T40" i="1" s="1"/>
  <c r="G40" i="1"/>
  <c r="G65" i="1" s="1"/>
  <c r="C40" i="1"/>
  <c r="J39" i="1"/>
  <c r="E587" i="1" s="1"/>
  <c r="G39" i="1"/>
  <c r="C39" i="1"/>
  <c r="J38" i="1"/>
  <c r="E531" i="1" s="1"/>
  <c r="G38" i="1"/>
  <c r="C38" i="1"/>
  <c r="J37" i="1"/>
  <c r="E475" i="1" s="1"/>
  <c r="G37" i="1"/>
  <c r="C37" i="1"/>
  <c r="J36" i="1"/>
  <c r="E419" i="1" s="1"/>
  <c r="J447" i="1" s="1"/>
  <c r="G36" i="1"/>
  <c r="J35" i="1"/>
  <c r="E363" i="1" s="1"/>
  <c r="G35" i="1"/>
  <c r="J34" i="1"/>
  <c r="E307" i="1" s="1"/>
  <c r="G34" i="1"/>
  <c r="J33" i="1"/>
  <c r="E251" i="1" s="1"/>
  <c r="G33" i="1"/>
  <c r="J32" i="1"/>
  <c r="E195" i="1" s="1"/>
  <c r="G32" i="1"/>
  <c r="U31" i="1"/>
  <c r="U32" i="1" s="1"/>
  <c r="U33" i="1" s="1"/>
  <c r="U34" i="1" s="1"/>
  <c r="U35" i="1" s="1"/>
  <c r="U36" i="1" s="1"/>
  <c r="U37" i="1" s="1"/>
  <c r="U38" i="1" s="1"/>
  <c r="U39" i="1" s="1"/>
  <c r="U40" i="1" s="1"/>
  <c r="U41" i="1" s="1"/>
  <c r="U42" i="1" s="1"/>
  <c r="U43" i="1" s="1"/>
  <c r="U44" i="1" s="1"/>
  <c r="U45" i="1" s="1"/>
  <c r="U46" i="1" s="1"/>
  <c r="U47" i="1" s="1"/>
  <c r="U48" i="1" s="1"/>
  <c r="U49" i="1" s="1"/>
  <c r="J31" i="1"/>
  <c r="E139" i="1" s="1"/>
  <c r="G31" i="1"/>
  <c r="J30" i="1"/>
  <c r="T30" i="1" s="1"/>
  <c r="G30" i="1"/>
  <c r="J73" i="1" l="1"/>
  <c r="H73" i="1"/>
  <c r="H71" i="1"/>
  <c r="O71" i="1"/>
  <c r="N69" i="1"/>
  <c r="M69" i="1"/>
  <c r="O69" i="1"/>
  <c r="L69" i="1"/>
  <c r="J65" i="1"/>
  <c r="I65" i="1"/>
  <c r="K65" i="1"/>
  <c r="O65" i="1"/>
  <c r="H65" i="1"/>
  <c r="I68" i="1"/>
  <c r="H68" i="1"/>
  <c r="O68" i="1"/>
  <c r="K73" i="1"/>
  <c r="I73" i="1"/>
  <c r="L144" i="1"/>
  <c r="G547" i="1"/>
  <c r="H547" i="1" s="1"/>
  <c r="N66" i="1"/>
  <c r="O66" i="1"/>
  <c r="H66" i="1"/>
  <c r="I66" i="1"/>
  <c r="L66" i="1"/>
  <c r="J66" i="1"/>
  <c r="K66" i="1"/>
  <c r="M66" i="1"/>
  <c r="N74" i="1"/>
  <c r="O74" i="1"/>
  <c r="H74" i="1"/>
  <c r="I74" i="1"/>
  <c r="J74" i="1"/>
  <c r="L74" i="1"/>
  <c r="K74" i="1"/>
  <c r="M74" i="1"/>
  <c r="L72" i="1"/>
  <c r="M72" i="1"/>
  <c r="N72" i="1"/>
  <c r="O72" i="1"/>
  <c r="J72" i="1"/>
  <c r="H72" i="1"/>
  <c r="I72" i="1"/>
  <c r="K72" i="1"/>
  <c r="K67" i="1"/>
  <c r="L67" i="1"/>
  <c r="M67" i="1"/>
  <c r="N67" i="1"/>
  <c r="I67" i="1"/>
  <c r="O67" i="1"/>
  <c r="H67" i="1"/>
  <c r="J67" i="1"/>
  <c r="J70" i="1"/>
  <c r="K70" i="1"/>
  <c r="L70" i="1"/>
  <c r="M70" i="1"/>
  <c r="N70" i="1"/>
  <c r="H70" i="1"/>
  <c r="O70" i="1"/>
  <c r="I70" i="1"/>
  <c r="L260" i="1"/>
  <c r="M260" i="1" s="1"/>
  <c r="N71" i="1"/>
  <c r="L204" i="1"/>
  <c r="M204" i="1" s="1"/>
  <c r="N73" i="1"/>
  <c r="L71" i="1"/>
  <c r="J69" i="1"/>
  <c r="M68" i="1"/>
  <c r="N65" i="1"/>
  <c r="O73" i="1"/>
  <c r="M71" i="1"/>
  <c r="M73" i="1"/>
  <c r="K71" i="1"/>
  <c r="I69" i="1"/>
  <c r="L68" i="1"/>
  <c r="M65" i="1"/>
  <c r="K69" i="1"/>
  <c r="N68" i="1"/>
  <c r="L73" i="1"/>
  <c r="J71" i="1"/>
  <c r="H69" i="1"/>
  <c r="K68" i="1"/>
  <c r="L65" i="1"/>
  <c r="I71" i="1"/>
  <c r="J68" i="1"/>
  <c r="T31" i="1"/>
  <c r="L109" i="1"/>
  <c r="J563" i="1"/>
  <c r="K563" i="1" s="1"/>
  <c r="L563" i="1" s="1"/>
  <c r="F604" i="1"/>
  <c r="H604" i="1" s="1"/>
  <c r="G261" i="1"/>
  <c r="H261" i="1" s="1"/>
  <c r="G560" i="1"/>
  <c r="J97" i="1"/>
  <c r="K97" i="1" s="1"/>
  <c r="G280" i="1"/>
  <c r="H280" i="1" s="1"/>
  <c r="G332" i="1"/>
  <c r="H332" i="1" s="1"/>
  <c r="L389" i="1"/>
  <c r="M539" i="1"/>
  <c r="K447" i="1"/>
  <c r="G167" i="1"/>
  <c r="H167" i="1" s="1"/>
  <c r="L333" i="1"/>
  <c r="M333" i="1" s="1"/>
  <c r="J434" i="1"/>
  <c r="K434" i="1" s="1"/>
  <c r="H560" i="1"/>
  <c r="G115" i="1"/>
  <c r="H115" i="1" s="1"/>
  <c r="L372" i="1"/>
  <c r="M372" i="1" s="1"/>
  <c r="L148" i="1"/>
  <c r="M148" i="1" s="1"/>
  <c r="T38" i="1"/>
  <c r="J149" i="1"/>
  <c r="K149" i="1" s="1"/>
  <c r="L445" i="1"/>
  <c r="L605" i="1"/>
  <c r="L540" i="1"/>
  <c r="M540" i="1" s="1"/>
  <c r="J153" i="1"/>
  <c r="K153" i="1" s="1"/>
  <c r="L277" i="1"/>
  <c r="L428" i="1"/>
  <c r="L549" i="1"/>
  <c r="G104" i="1"/>
  <c r="H104" i="1" s="1"/>
  <c r="J562" i="1"/>
  <c r="L596" i="1"/>
  <c r="G93" i="1"/>
  <c r="H93" i="1" s="1"/>
  <c r="L101" i="1"/>
  <c r="J205" i="1"/>
  <c r="K205" i="1" s="1"/>
  <c r="A424" i="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I431" i="1"/>
  <c r="J431" i="1" s="1"/>
  <c r="K431" i="1" s="1"/>
  <c r="L431" i="1" s="1"/>
  <c r="T39" i="1"/>
  <c r="G145" i="1"/>
  <c r="H145" i="1" s="1"/>
  <c r="J266" i="1"/>
  <c r="K266" i="1" s="1"/>
  <c r="L316" i="1"/>
  <c r="M316" i="1" s="1"/>
  <c r="J482" i="1"/>
  <c r="G537" i="1"/>
  <c r="H537" i="1" s="1"/>
  <c r="G99" i="1"/>
  <c r="H99" i="1" s="1"/>
  <c r="G107" i="1"/>
  <c r="H107" i="1" s="1"/>
  <c r="J114" i="1"/>
  <c r="K114" i="1" s="1"/>
  <c r="L114" i="1" s="1"/>
  <c r="G154" i="1"/>
  <c r="H154" i="1" s="1"/>
  <c r="L200" i="1"/>
  <c r="I212" i="1"/>
  <c r="K212" i="1" s="1"/>
  <c r="J537" i="1"/>
  <c r="K537" i="1" s="1"/>
  <c r="G90" i="1"/>
  <c r="J99" i="1"/>
  <c r="K99" i="1" s="1"/>
  <c r="L99" i="1" s="1"/>
  <c r="M99" i="1" s="1"/>
  <c r="F95" i="1"/>
  <c r="G95" i="1" s="1"/>
  <c r="H95" i="1" s="1"/>
  <c r="G112" i="1"/>
  <c r="H112" i="1" s="1"/>
  <c r="L157" i="1"/>
  <c r="G434" i="1"/>
  <c r="H434" i="1" s="1"/>
  <c r="G448" i="1"/>
  <c r="H448" i="1" s="1"/>
  <c r="H460" i="1"/>
  <c r="I543" i="1"/>
  <c r="J543" i="1" s="1"/>
  <c r="K543" i="1" s="1"/>
  <c r="G538" i="1"/>
  <c r="G223" i="1"/>
  <c r="H223" i="1" s="1"/>
  <c r="G281" i="1"/>
  <c r="H281" i="1" s="1"/>
  <c r="G336" i="1"/>
  <c r="H336" i="1" s="1"/>
  <c r="I95" i="1"/>
  <c r="J507" i="1"/>
  <c r="K507" i="1" s="1"/>
  <c r="J544" i="1"/>
  <c r="K544" i="1" s="1"/>
  <c r="J112" i="1"/>
  <c r="K112" i="1" s="1"/>
  <c r="J169" i="1"/>
  <c r="K169" i="1" s="1"/>
  <c r="G226" i="1"/>
  <c r="H226" i="1" s="1"/>
  <c r="L381" i="1"/>
  <c r="M381" i="1" s="1"/>
  <c r="L437" i="1"/>
  <c r="L484" i="1"/>
  <c r="G504" i="1"/>
  <c r="H504" i="1" s="1"/>
  <c r="G545" i="1"/>
  <c r="H545" i="1" s="1"/>
  <c r="G149" i="1"/>
  <c r="H149" i="1" s="1"/>
  <c r="J545" i="1"/>
  <c r="K545" i="1" s="1"/>
  <c r="F156" i="1"/>
  <c r="H156" i="1" s="1"/>
  <c r="G225" i="1"/>
  <c r="H225" i="1" s="1"/>
  <c r="H391" i="1"/>
  <c r="G371" i="1"/>
  <c r="J376" i="1"/>
  <c r="K376" i="1" s="1"/>
  <c r="G385" i="1"/>
  <c r="H385" i="1" s="1"/>
  <c r="L385" i="1" s="1"/>
  <c r="L501" i="1"/>
  <c r="M501" i="1" s="1"/>
  <c r="J382" i="1"/>
  <c r="K382" i="1" s="1"/>
  <c r="T35" i="1"/>
  <c r="L92" i="1"/>
  <c r="G210" i="1"/>
  <c r="H210" i="1" s="1"/>
  <c r="G219" i="1"/>
  <c r="H219" i="1" s="1"/>
  <c r="L325" i="1"/>
  <c r="J371" i="1"/>
  <c r="G377" i="1"/>
  <c r="H377" i="1" s="1"/>
  <c r="G392" i="1"/>
  <c r="H392" i="1" s="1"/>
  <c r="G440" i="1"/>
  <c r="H440" i="1" s="1"/>
  <c r="I492" i="1"/>
  <c r="K492" i="1" s="1"/>
  <c r="K562" i="1"/>
  <c r="J373" i="1"/>
  <c r="K373" i="1" s="1"/>
  <c r="G96" i="1"/>
  <c r="H96" i="1" s="1"/>
  <c r="J158" i="1"/>
  <c r="K158" i="1" s="1"/>
  <c r="F207" i="1"/>
  <c r="G207" i="1" s="1"/>
  <c r="H207" i="1" s="1"/>
  <c r="L207" i="1" s="1"/>
  <c r="L213" i="1"/>
  <c r="M213" i="1" s="1"/>
  <c r="F268" i="1"/>
  <c r="H268" i="1" s="1"/>
  <c r="G275" i="1"/>
  <c r="H275" i="1" s="1"/>
  <c r="G282" i="1"/>
  <c r="H282" i="1" s="1"/>
  <c r="G379" i="1"/>
  <c r="H379" i="1" s="1"/>
  <c r="F436" i="1"/>
  <c r="H436" i="1" s="1"/>
  <c r="G450" i="1"/>
  <c r="H450" i="1" s="1"/>
  <c r="G483" i="1"/>
  <c r="J494" i="1"/>
  <c r="K494" i="1" s="1"/>
  <c r="G500" i="1"/>
  <c r="H500" i="1" s="1"/>
  <c r="J503" i="1"/>
  <c r="K503" i="1" s="1"/>
  <c r="J538" i="1"/>
  <c r="G546" i="1"/>
  <c r="H546" i="1" s="1"/>
  <c r="J560" i="1"/>
  <c r="K560" i="1" s="1"/>
  <c r="M595" i="1"/>
  <c r="J369" i="1"/>
  <c r="K369" i="1" s="1"/>
  <c r="L493" i="1"/>
  <c r="M493" i="1" s="1"/>
  <c r="T33" i="1"/>
  <c r="G113" i="1"/>
  <c r="H113" i="1" s="1"/>
  <c r="J115" i="1"/>
  <c r="K115" i="1" s="1"/>
  <c r="L165" i="1"/>
  <c r="G224" i="1"/>
  <c r="H224" i="1" s="1"/>
  <c r="I268" i="1"/>
  <c r="K268" i="1" s="1"/>
  <c r="G370" i="1"/>
  <c r="F375" i="1"/>
  <c r="G375" i="1" s="1"/>
  <c r="H375" i="1" s="1"/>
  <c r="J379" i="1"/>
  <c r="K379" i="1" s="1"/>
  <c r="G384" i="1"/>
  <c r="H384" i="1" s="1"/>
  <c r="J391" i="1"/>
  <c r="K391" i="1" s="1"/>
  <c r="G394" i="1"/>
  <c r="H394" i="1" s="1"/>
  <c r="G443" i="1"/>
  <c r="H443" i="1" s="1"/>
  <c r="G425" i="1"/>
  <c r="H425" i="1" s="1"/>
  <c r="H430" i="1" s="1"/>
  <c r="G447" i="1"/>
  <c r="H447" i="1" s="1"/>
  <c r="J483" i="1"/>
  <c r="F487" i="1"/>
  <c r="G487" i="1" s="1"/>
  <c r="H487" i="1" s="1"/>
  <c r="J505" i="1"/>
  <c r="K505" i="1" s="1"/>
  <c r="G91" i="1"/>
  <c r="J98" i="1"/>
  <c r="K98" i="1" s="1"/>
  <c r="G102" i="1"/>
  <c r="H102" i="1" s="1"/>
  <c r="G108" i="1"/>
  <c r="H108" i="1" s="1"/>
  <c r="K231" i="1"/>
  <c r="G283" i="1"/>
  <c r="H283" i="1" s="1"/>
  <c r="A312" i="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J370" i="1"/>
  <c r="J384" i="1"/>
  <c r="K384" i="1" s="1"/>
  <c r="G489" i="1"/>
  <c r="H489" i="1" s="1"/>
  <c r="G497" i="1"/>
  <c r="H497" i="1" s="1"/>
  <c r="G553" i="1"/>
  <c r="H553" i="1" s="1"/>
  <c r="J559" i="1"/>
  <c r="K559" i="1" s="1"/>
  <c r="G561" i="1"/>
  <c r="H561" i="1" s="1"/>
  <c r="J377" i="1"/>
  <c r="K377" i="1" s="1"/>
  <c r="J111" i="1"/>
  <c r="K111" i="1" s="1"/>
  <c r="J113" i="1"/>
  <c r="K113" i="1" s="1"/>
  <c r="K171" i="1"/>
  <c r="J154" i="1"/>
  <c r="K154" i="1" s="1"/>
  <c r="L269" i="1"/>
  <c r="J315" i="1"/>
  <c r="J394" i="1"/>
  <c r="K394" i="1" s="1"/>
  <c r="G490" i="1"/>
  <c r="H490" i="1" s="1"/>
  <c r="J506" i="1"/>
  <c r="K506" i="1" s="1"/>
  <c r="G544" i="1"/>
  <c r="H544" i="1" s="1"/>
  <c r="M109" i="1"/>
  <c r="E83" i="1"/>
  <c r="J95" i="1" s="1"/>
  <c r="K95" i="1" s="1"/>
  <c r="M389" i="1"/>
  <c r="J163" i="1"/>
  <c r="K163" i="1" s="1"/>
  <c r="J164" i="1"/>
  <c r="K164" i="1" s="1"/>
  <c r="M91" i="1"/>
  <c r="J500" i="1"/>
  <c r="K500" i="1" s="1"/>
  <c r="J499" i="1"/>
  <c r="K499" i="1" s="1"/>
  <c r="J496" i="1"/>
  <c r="K496" i="1" s="1"/>
  <c r="T37" i="1"/>
  <c r="M144" i="1"/>
  <c r="J160" i="1"/>
  <c r="K160" i="1" s="1"/>
  <c r="J224" i="1"/>
  <c r="K224" i="1" s="1"/>
  <c r="J226" i="1"/>
  <c r="K226" i="1" s="1"/>
  <c r="T32" i="1"/>
  <c r="T34" i="1"/>
  <c r="T36" i="1"/>
  <c r="J552" i="1"/>
  <c r="K552" i="1" s="1"/>
  <c r="J553" i="1"/>
  <c r="K553" i="1" s="1"/>
  <c r="J555" i="1"/>
  <c r="K555" i="1" s="1"/>
  <c r="I100" i="1"/>
  <c r="K100" i="1" s="1"/>
  <c r="L100" i="1" s="1"/>
  <c r="A88" i="1"/>
  <c r="L88" i="1"/>
  <c r="I156" i="1"/>
  <c r="K156" i="1" s="1"/>
  <c r="J202" i="1"/>
  <c r="G209" i="1"/>
  <c r="H209" i="1" s="1"/>
  <c r="L221" i="1"/>
  <c r="J261" i="1"/>
  <c r="K261" i="1" s="1"/>
  <c r="J152" i="1"/>
  <c r="K152" i="1" s="1"/>
  <c r="G155" i="1"/>
  <c r="H155" i="1" s="1"/>
  <c r="G164" i="1"/>
  <c r="H164" i="1" s="1"/>
  <c r="G170" i="1"/>
  <c r="H170" i="1" s="1"/>
  <c r="J275" i="1"/>
  <c r="K275" i="1" s="1"/>
  <c r="M315" i="1"/>
  <c r="G169" i="1"/>
  <c r="H169" i="1" s="1"/>
  <c r="J168" i="1"/>
  <c r="K168" i="1" s="1"/>
  <c r="G163" i="1"/>
  <c r="H163" i="1" s="1"/>
  <c r="I151" i="1"/>
  <c r="J151" i="1" s="1"/>
  <c r="K151" i="1" s="1"/>
  <c r="J170" i="1"/>
  <c r="K170" i="1" s="1"/>
  <c r="G168" i="1"/>
  <c r="H168" i="1" s="1"/>
  <c r="J167" i="1"/>
  <c r="K167" i="1" s="1"/>
  <c r="F151" i="1"/>
  <c r="G151" i="1" s="1"/>
  <c r="H151" i="1" s="1"/>
  <c r="G171" i="1"/>
  <c r="H171" i="1" s="1"/>
  <c r="G158" i="1"/>
  <c r="H158" i="1" s="1"/>
  <c r="G161" i="1"/>
  <c r="H161" i="1" s="1"/>
  <c r="G203" i="1"/>
  <c r="J211" i="1"/>
  <c r="K211" i="1" s="1"/>
  <c r="J203" i="1"/>
  <c r="J273" i="1"/>
  <c r="K273" i="1" s="1"/>
  <c r="L273" i="1" s="1"/>
  <c r="G264" i="1"/>
  <c r="H264" i="1" s="1"/>
  <c r="G258" i="1"/>
  <c r="J272" i="1"/>
  <c r="K272" i="1" s="1"/>
  <c r="G257" i="1"/>
  <c r="H257" i="1" s="1"/>
  <c r="H262" i="1" s="1"/>
  <c r="G272" i="1"/>
  <c r="H272" i="1" s="1"/>
  <c r="J267" i="1"/>
  <c r="K267" i="1" s="1"/>
  <c r="G259" i="1"/>
  <c r="J264" i="1"/>
  <c r="K264" i="1" s="1"/>
  <c r="J259" i="1"/>
  <c r="J257" i="1"/>
  <c r="K257" i="1" s="1"/>
  <c r="H292" i="1"/>
  <c r="G267" i="1"/>
  <c r="H267" i="1" s="1"/>
  <c r="J265" i="1"/>
  <c r="K265" i="1" s="1"/>
  <c r="J270" i="1"/>
  <c r="K270" i="1" s="1"/>
  <c r="G265" i="1"/>
  <c r="H265" i="1" s="1"/>
  <c r="J258" i="1"/>
  <c r="G270" i="1"/>
  <c r="H270" i="1" s="1"/>
  <c r="J96" i="1"/>
  <c r="K96" i="1" s="1"/>
  <c r="G97" i="1"/>
  <c r="H97" i="1" s="1"/>
  <c r="L97" i="1" s="1"/>
  <c r="J90" i="1"/>
  <c r="J89" i="1"/>
  <c r="K89" i="1" s="1"/>
  <c r="G105" i="1"/>
  <c r="H105" i="1" s="1"/>
  <c r="J102" i="1"/>
  <c r="K102" i="1" s="1"/>
  <c r="J93" i="1"/>
  <c r="K93" i="1" s="1"/>
  <c r="J91" i="1"/>
  <c r="G89" i="1"/>
  <c r="H89" i="1" s="1"/>
  <c r="G153" i="1"/>
  <c r="H153" i="1" s="1"/>
  <c r="L153" i="1" s="1"/>
  <c r="J146" i="1"/>
  <c r="J145" i="1"/>
  <c r="K145" i="1" s="1"/>
  <c r="J161" i="1"/>
  <c r="K161" i="1" s="1"/>
  <c r="G152" i="1"/>
  <c r="H152" i="1" s="1"/>
  <c r="G146" i="1"/>
  <c r="G160" i="1"/>
  <c r="H160" i="1" s="1"/>
  <c r="J155" i="1"/>
  <c r="K155" i="1" s="1"/>
  <c r="G147" i="1"/>
  <c r="J147" i="1"/>
  <c r="J201" i="1"/>
  <c r="K201" i="1" s="1"/>
  <c r="M147" i="1"/>
  <c r="J217" i="1"/>
  <c r="K217" i="1" s="1"/>
  <c r="G208" i="1"/>
  <c r="H208" i="1" s="1"/>
  <c r="G202" i="1"/>
  <c r="J216" i="1"/>
  <c r="K216" i="1" s="1"/>
  <c r="L216" i="1" s="1"/>
  <c r="G201" i="1"/>
  <c r="H201" i="1" s="1"/>
  <c r="H236" i="1"/>
  <c r="G217" i="1"/>
  <c r="H217" i="1" s="1"/>
  <c r="J214" i="1"/>
  <c r="K214" i="1" s="1"/>
  <c r="G214" i="1"/>
  <c r="H214" i="1" s="1"/>
  <c r="G205" i="1"/>
  <c r="H205" i="1" s="1"/>
  <c r="H231" i="1"/>
  <c r="G211" i="1"/>
  <c r="H211" i="1" s="1"/>
  <c r="J209" i="1"/>
  <c r="K209" i="1" s="1"/>
  <c r="J208" i="1"/>
  <c r="K208" i="1" s="1"/>
  <c r="H241" i="1"/>
  <c r="G328" i="1"/>
  <c r="H328" i="1" s="1"/>
  <c r="J323" i="1"/>
  <c r="K323" i="1" s="1"/>
  <c r="G326" i="1"/>
  <c r="H326" i="1" s="1"/>
  <c r="G317" i="1"/>
  <c r="H317" i="1" s="1"/>
  <c r="J320" i="1"/>
  <c r="K320" i="1" s="1"/>
  <c r="J314" i="1"/>
  <c r="G323" i="1"/>
  <c r="H323" i="1" s="1"/>
  <c r="G314" i="1"/>
  <c r="G320" i="1"/>
  <c r="H320" i="1" s="1"/>
  <c r="J328" i="1"/>
  <c r="K328" i="1" s="1"/>
  <c r="G321" i="1"/>
  <c r="H321" i="1" s="1"/>
  <c r="J317" i="1"/>
  <c r="K317" i="1" s="1"/>
  <c r="L317" i="1" s="1"/>
  <c r="G315" i="1"/>
  <c r="H353" i="1"/>
  <c r="J321" i="1"/>
  <c r="K321" i="1" s="1"/>
  <c r="J313" i="1"/>
  <c r="K313" i="1" s="1"/>
  <c r="J329" i="1"/>
  <c r="K329" i="1" s="1"/>
  <c r="G313" i="1"/>
  <c r="H313" i="1" s="1"/>
  <c r="G329" i="1"/>
  <c r="H329" i="1" s="1"/>
  <c r="J326" i="1"/>
  <c r="K326" i="1" s="1"/>
  <c r="L312" i="1"/>
  <c r="L368" i="1"/>
  <c r="K287" i="1"/>
  <c r="A368" i="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F380" i="1"/>
  <c r="H380" i="1" s="1"/>
  <c r="I380" i="1"/>
  <c r="K380" i="1" s="1"/>
  <c r="G227" i="1"/>
  <c r="H227" i="1" s="1"/>
  <c r="J225" i="1"/>
  <c r="K225" i="1" s="1"/>
  <c r="G220" i="1"/>
  <c r="H220" i="1" s="1"/>
  <c r="J219" i="1"/>
  <c r="K219" i="1" s="1"/>
  <c r="J210" i="1"/>
  <c r="K210" i="1" s="1"/>
  <c r="F212" i="1"/>
  <c r="H212" i="1" s="1"/>
  <c r="J227" i="1"/>
  <c r="K227" i="1" s="1"/>
  <c r="L256" i="1"/>
  <c r="J618" i="1"/>
  <c r="K618" i="1" s="1"/>
  <c r="G616" i="1"/>
  <c r="H616" i="1" s="1"/>
  <c r="J615" i="1"/>
  <c r="K615" i="1" s="1"/>
  <c r="G619" i="1"/>
  <c r="H619" i="1" s="1"/>
  <c r="J617" i="1"/>
  <c r="K617" i="1" s="1"/>
  <c r="F599" i="1"/>
  <c r="G599" i="1" s="1"/>
  <c r="H599" i="1" s="1"/>
  <c r="G618" i="1"/>
  <c r="H618" i="1" s="1"/>
  <c r="G612" i="1"/>
  <c r="H612" i="1" s="1"/>
  <c r="J611" i="1"/>
  <c r="K611" i="1" s="1"/>
  <c r="G617" i="1"/>
  <c r="H617" i="1" s="1"/>
  <c r="J616" i="1"/>
  <c r="K616" i="1" s="1"/>
  <c r="G602" i="1"/>
  <c r="H602" i="1" s="1"/>
  <c r="J619" i="1"/>
  <c r="K619" i="1" s="1"/>
  <c r="I599" i="1"/>
  <c r="J599" i="1" s="1"/>
  <c r="K599" i="1" s="1"/>
  <c r="L599" i="1" s="1"/>
  <c r="G611" i="1"/>
  <c r="H611" i="1" s="1"/>
  <c r="G593" i="1"/>
  <c r="H593" i="1" s="1"/>
  <c r="J609" i="1"/>
  <c r="K609" i="1" s="1"/>
  <c r="G615" i="1"/>
  <c r="H615" i="1" s="1"/>
  <c r="G609" i="1"/>
  <c r="H609" i="1" s="1"/>
  <c r="G597" i="1"/>
  <c r="H597" i="1" s="1"/>
  <c r="J595" i="1"/>
  <c r="J612" i="1"/>
  <c r="K612" i="1" s="1"/>
  <c r="J602" i="1"/>
  <c r="K602" i="1" s="1"/>
  <c r="G600" i="1"/>
  <c r="H600" i="1" s="1"/>
  <c r="K241" i="1"/>
  <c r="J220" i="1"/>
  <c r="K220" i="1" s="1"/>
  <c r="J223" i="1"/>
  <c r="K223" i="1" s="1"/>
  <c r="K236" i="1"/>
  <c r="G98" i="1"/>
  <c r="H98" i="1" s="1"/>
  <c r="G111" i="1"/>
  <c r="H111" i="1" s="1"/>
  <c r="J283" i="1"/>
  <c r="K283" i="1" s="1"/>
  <c r="J276" i="1"/>
  <c r="K276" i="1" s="1"/>
  <c r="I263" i="1"/>
  <c r="J263" i="1" s="1"/>
  <c r="K263" i="1" s="1"/>
  <c r="J282" i="1"/>
  <c r="K282" i="1" s="1"/>
  <c r="J281" i="1"/>
  <c r="K281" i="1" s="1"/>
  <c r="G276" i="1"/>
  <c r="H276" i="1" s="1"/>
  <c r="J280" i="1"/>
  <c r="K280" i="1" s="1"/>
  <c r="J279" i="1"/>
  <c r="K279" i="1" s="1"/>
  <c r="F263" i="1"/>
  <c r="G263" i="1" s="1"/>
  <c r="H263" i="1" s="1"/>
  <c r="G279" i="1"/>
  <c r="H279" i="1" s="1"/>
  <c r="G266" i="1"/>
  <c r="H266" i="1" s="1"/>
  <c r="H297" i="1"/>
  <c r="G338" i="1"/>
  <c r="H338" i="1" s="1"/>
  <c r="G335" i="1"/>
  <c r="H335" i="1" s="1"/>
  <c r="F319" i="1"/>
  <c r="G319" i="1" s="1"/>
  <c r="H319" i="1" s="1"/>
  <c r="J322" i="1"/>
  <c r="K322" i="1" s="1"/>
  <c r="J339" i="1"/>
  <c r="K339" i="1" s="1"/>
  <c r="J338" i="1"/>
  <c r="K338" i="1" s="1"/>
  <c r="J337" i="1"/>
  <c r="K337" i="1" s="1"/>
  <c r="G322" i="1"/>
  <c r="H322" i="1" s="1"/>
  <c r="I319" i="1"/>
  <c r="J319" i="1" s="1"/>
  <c r="K319" i="1" s="1"/>
  <c r="G339" i="1"/>
  <c r="H339" i="1" s="1"/>
  <c r="M445" i="1"/>
  <c r="M484" i="1"/>
  <c r="H348" i="1"/>
  <c r="K348" i="1"/>
  <c r="H343" i="1"/>
  <c r="K353" i="1"/>
  <c r="F324" i="1"/>
  <c r="H324" i="1" s="1"/>
  <c r="L324" i="1" s="1"/>
  <c r="G331" i="1"/>
  <c r="H331" i="1" s="1"/>
  <c r="J336" i="1"/>
  <c r="K336" i="1" s="1"/>
  <c r="H287" i="1"/>
  <c r="K292" i="1"/>
  <c r="K297" i="1"/>
  <c r="J331" i="1"/>
  <c r="K331" i="1" s="1"/>
  <c r="J332" i="1"/>
  <c r="K332" i="1" s="1"/>
  <c r="J335" i="1"/>
  <c r="K335" i="1" s="1"/>
  <c r="G337" i="1"/>
  <c r="H337" i="1" s="1"/>
  <c r="K343" i="1"/>
  <c r="L507" i="1"/>
  <c r="G378" i="1"/>
  <c r="H378" i="1" s="1"/>
  <c r="G393" i="1"/>
  <c r="H393" i="1" s="1"/>
  <c r="J392" i="1"/>
  <c r="K392" i="1" s="1"/>
  <c r="L392" i="1" s="1"/>
  <c r="G387" i="1"/>
  <c r="H387" i="1" s="1"/>
  <c r="I375" i="1"/>
  <c r="J375" i="1" s="1"/>
  <c r="K375" i="1" s="1"/>
  <c r="J395" i="1"/>
  <c r="K395" i="1" s="1"/>
  <c r="J388" i="1"/>
  <c r="K388" i="1" s="1"/>
  <c r="G395" i="1"/>
  <c r="H395" i="1" s="1"/>
  <c r="J378" i="1"/>
  <c r="K378" i="1" s="1"/>
  <c r="L378" i="1" s="1"/>
  <c r="J393" i="1"/>
  <c r="K393" i="1" s="1"/>
  <c r="L393" i="1" s="1"/>
  <c r="G388" i="1"/>
  <c r="H388" i="1" s="1"/>
  <c r="J387" i="1"/>
  <c r="K387" i="1" s="1"/>
  <c r="G435" i="1"/>
  <c r="H435" i="1" s="1"/>
  <c r="J433" i="1"/>
  <c r="K433" i="1" s="1"/>
  <c r="G433" i="1"/>
  <c r="H433" i="1" s="1"/>
  <c r="G426" i="1"/>
  <c r="J440" i="1"/>
  <c r="K440" i="1" s="1"/>
  <c r="J427" i="1"/>
  <c r="G441" i="1"/>
  <c r="H441" i="1" s="1"/>
  <c r="J438" i="1"/>
  <c r="K438" i="1" s="1"/>
  <c r="J429" i="1"/>
  <c r="K429" i="1" s="1"/>
  <c r="L429" i="1" s="1"/>
  <c r="G427" i="1"/>
  <c r="G438" i="1"/>
  <c r="H438" i="1" s="1"/>
  <c r="J425" i="1"/>
  <c r="K425" i="1" s="1"/>
  <c r="J441" i="1"/>
  <c r="K441" i="1" s="1"/>
  <c r="J432" i="1"/>
  <c r="K432" i="1" s="1"/>
  <c r="J435" i="1"/>
  <c r="K435" i="1" s="1"/>
  <c r="J426" i="1"/>
  <c r="G432" i="1"/>
  <c r="H432" i="1" s="1"/>
  <c r="G373" i="1"/>
  <c r="H373" i="1" s="1"/>
  <c r="G382" i="1"/>
  <c r="H382" i="1" s="1"/>
  <c r="L424" i="1"/>
  <c r="G369" i="1"/>
  <c r="H369" i="1" s="1"/>
  <c r="G376" i="1"/>
  <c r="H376" i="1" s="1"/>
  <c r="L480" i="1"/>
  <c r="G449" i="1"/>
  <c r="H449" i="1" s="1"/>
  <c r="J448" i="1"/>
  <c r="K448" i="1" s="1"/>
  <c r="G451" i="1"/>
  <c r="H451" i="1" s="1"/>
  <c r="I436" i="1"/>
  <c r="K436" i="1" s="1"/>
  <c r="L436" i="1" s="1"/>
  <c r="J444" i="1"/>
  <c r="K444" i="1" s="1"/>
  <c r="H465" i="1"/>
  <c r="J489" i="1"/>
  <c r="K489" i="1" s="1"/>
  <c r="G496" i="1"/>
  <c r="H496" i="1" s="1"/>
  <c r="G606" i="1"/>
  <c r="H606" i="1" s="1"/>
  <c r="J449" i="1"/>
  <c r="K449" i="1" s="1"/>
  <c r="J450" i="1"/>
  <c r="K450" i="1" s="1"/>
  <c r="J451" i="1"/>
  <c r="K451" i="1" s="1"/>
  <c r="K465" i="1"/>
  <c r="J488" i="1"/>
  <c r="K488" i="1" s="1"/>
  <c r="H455" i="1"/>
  <c r="L455" i="1" s="1"/>
  <c r="K460" i="1"/>
  <c r="G494" i="1"/>
  <c r="H494" i="1" s="1"/>
  <c r="G485" i="1"/>
  <c r="H485" i="1" s="1"/>
  <c r="J497" i="1"/>
  <c r="K497" i="1" s="1"/>
  <c r="G488" i="1"/>
  <c r="H488" i="1" s="1"/>
  <c r="G482" i="1"/>
  <c r="G481" i="1"/>
  <c r="H481" i="1" s="1"/>
  <c r="J485" i="1"/>
  <c r="K485" i="1" s="1"/>
  <c r="G491" i="1"/>
  <c r="H491" i="1" s="1"/>
  <c r="J443" i="1"/>
  <c r="K443" i="1" s="1"/>
  <c r="G444" i="1"/>
  <c r="H444" i="1" s="1"/>
  <c r="F492" i="1"/>
  <c r="H492" i="1" s="1"/>
  <c r="J481" i="1"/>
  <c r="K481" i="1" s="1"/>
  <c r="J491" i="1"/>
  <c r="K491" i="1" s="1"/>
  <c r="G556" i="1"/>
  <c r="H556" i="1" s="1"/>
  <c r="G555" i="1"/>
  <c r="H555" i="1" s="1"/>
  <c r="L536" i="1"/>
  <c r="L544" i="1"/>
  <c r="I487" i="1"/>
  <c r="J487" i="1" s="1"/>
  <c r="K487" i="1" s="1"/>
  <c r="G499" i="1"/>
  <c r="H499" i="1" s="1"/>
  <c r="J504" i="1"/>
  <c r="K504" i="1" s="1"/>
  <c r="G505" i="1"/>
  <c r="H505" i="1" s="1"/>
  <c r="J597" i="1"/>
  <c r="K597" i="1" s="1"/>
  <c r="G503" i="1"/>
  <c r="H503" i="1" s="1"/>
  <c r="G506" i="1"/>
  <c r="H506" i="1" s="1"/>
  <c r="I548" i="1"/>
  <c r="K548" i="1" s="1"/>
  <c r="A536" i="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F548" i="1"/>
  <c r="H548" i="1" s="1"/>
  <c r="J608" i="1"/>
  <c r="K608" i="1" s="1"/>
  <c r="G608" i="1"/>
  <c r="H608" i="1" s="1"/>
  <c r="J603" i="1"/>
  <c r="K603" i="1" s="1"/>
  <c r="G595" i="1"/>
  <c r="G603" i="1"/>
  <c r="H603" i="1" s="1"/>
  <c r="J601" i="1"/>
  <c r="K601" i="1" s="1"/>
  <c r="J600" i="1"/>
  <c r="K600" i="1" s="1"/>
  <c r="L600" i="1" s="1"/>
  <c r="G601" i="1"/>
  <c r="H601" i="1" s="1"/>
  <c r="J594" i="1"/>
  <c r="J593" i="1"/>
  <c r="K593" i="1" s="1"/>
  <c r="J606" i="1"/>
  <c r="K606" i="1" s="1"/>
  <c r="J490" i="1"/>
  <c r="K490" i="1" s="1"/>
  <c r="L592" i="1"/>
  <c r="G594" i="1"/>
  <c r="I604" i="1"/>
  <c r="K604" i="1" s="1"/>
  <c r="G541" i="1"/>
  <c r="H541" i="1" s="1"/>
  <c r="J546" i="1"/>
  <c r="K546" i="1" s="1"/>
  <c r="G550" i="1"/>
  <c r="H550" i="1" s="1"/>
  <c r="G559" i="1"/>
  <c r="H559" i="1" s="1"/>
  <c r="G562" i="1"/>
  <c r="H562" i="1" s="1"/>
  <c r="G539" i="1"/>
  <c r="F543" i="1"/>
  <c r="G543" i="1" s="1"/>
  <c r="H543" i="1" s="1"/>
  <c r="J547" i="1"/>
  <c r="K547" i="1" s="1"/>
  <c r="L547" i="1" s="1"/>
  <c r="G552" i="1"/>
  <c r="H552" i="1" s="1"/>
  <c r="J561" i="1"/>
  <c r="K561" i="1" s="1"/>
  <c r="J539" i="1"/>
  <c r="J541" i="1"/>
  <c r="K541" i="1" s="1"/>
  <c r="J550" i="1"/>
  <c r="K550" i="1" s="1"/>
  <c r="J556" i="1"/>
  <c r="K556" i="1" s="1"/>
  <c r="L261" i="1" l="1"/>
  <c r="M261" i="1" s="1"/>
  <c r="L149" i="1"/>
  <c r="M149" i="1" s="1"/>
  <c r="L448" i="1"/>
  <c r="L167" i="1"/>
  <c r="L111" i="1"/>
  <c r="L447" i="1"/>
  <c r="M447" i="1" s="1"/>
  <c r="L95" i="1"/>
  <c r="L268" i="1"/>
  <c r="L490" i="1"/>
  <c r="M490" i="1" s="1"/>
  <c r="L223" i="1"/>
  <c r="M223" i="1" s="1"/>
  <c r="L604" i="1"/>
  <c r="L394" i="1"/>
  <c r="M394" i="1" s="1"/>
  <c r="M549" i="1"/>
  <c r="L154" i="1"/>
  <c r="L537" i="1"/>
  <c r="L115" i="1"/>
  <c r="L169" i="1"/>
  <c r="M169" i="1" s="1"/>
  <c r="L434" i="1"/>
  <c r="M434" i="1" s="1"/>
  <c r="L560" i="1"/>
  <c r="L503" i="1"/>
  <c r="M101" i="1"/>
  <c r="L559" i="1"/>
  <c r="M277" i="1"/>
  <c r="L145" i="1"/>
  <c r="M200" i="1"/>
  <c r="L156" i="1"/>
  <c r="M156" i="1" s="1"/>
  <c r="L487" i="1"/>
  <c r="M487" i="1" s="1"/>
  <c r="M596" i="1"/>
  <c r="L481" i="1"/>
  <c r="L212" i="1"/>
  <c r="L214" i="1"/>
  <c r="L93" i="1"/>
  <c r="M437" i="1"/>
  <c r="L377" i="1"/>
  <c r="L545" i="1"/>
  <c r="L102" i="1"/>
  <c r="M157" i="1"/>
  <c r="L553" i="1"/>
  <c r="L497" i="1"/>
  <c r="M497" i="1" s="1"/>
  <c r="L375" i="1"/>
  <c r="M375" i="1" s="1"/>
  <c r="M428" i="1"/>
  <c r="L376" i="1"/>
  <c r="M376" i="1" s="1"/>
  <c r="L332" i="1"/>
  <c r="L280" i="1"/>
  <c r="M280" i="1" s="1"/>
  <c r="L98" i="1"/>
  <c r="L205" i="1"/>
  <c r="H94" i="1"/>
  <c r="H103" i="1" s="1"/>
  <c r="L96" i="1"/>
  <c r="K374" i="1"/>
  <c r="K383" i="1" s="1"/>
  <c r="H150" i="1"/>
  <c r="H159" i="1" s="1"/>
  <c r="H162" i="1" s="1"/>
  <c r="L168" i="1"/>
  <c r="M605" i="1"/>
  <c r="L266" i="1"/>
  <c r="M431" i="1"/>
  <c r="L276" i="1"/>
  <c r="M276" i="1" s="1"/>
  <c r="L321" i="1"/>
  <c r="M321" i="1" s="1"/>
  <c r="L208" i="1"/>
  <c r="M208" i="1" s="1"/>
  <c r="L161" i="1"/>
  <c r="M161" i="1" s="1"/>
  <c r="L225" i="1"/>
  <c r="M225" i="1" s="1"/>
  <c r="L209" i="1"/>
  <c r="L335" i="1"/>
  <c r="L336" i="1"/>
  <c r="L322" i="1"/>
  <c r="M322" i="1" s="1"/>
  <c r="L326" i="1"/>
  <c r="M326" i="1" s="1"/>
  <c r="L562" i="1"/>
  <c r="M562" i="1" s="1"/>
  <c r="L494" i="1"/>
  <c r="M494" i="1" s="1"/>
  <c r="L435" i="1"/>
  <c r="M435" i="1" s="1"/>
  <c r="L112" i="1"/>
  <c r="M112" i="1" s="1"/>
  <c r="L606" i="1"/>
  <c r="J108" i="1"/>
  <c r="K108" i="1" s="1"/>
  <c r="L108" i="1" s="1"/>
  <c r="L382" i="1"/>
  <c r="L440" i="1"/>
  <c r="M440" i="1" s="1"/>
  <c r="L369" i="1"/>
  <c r="M369" i="1" s="1"/>
  <c r="L561" i="1"/>
  <c r="M561" i="1" s="1"/>
  <c r="L504" i="1"/>
  <c r="L489" i="1"/>
  <c r="L425" i="1"/>
  <c r="L281" i="1"/>
  <c r="M281" i="1" s="1"/>
  <c r="L155" i="1"/>
  <c r="L384" i="1"/>
  <c r="L391" i="1"/>
  <c r="M391" i="1" s="1"/>
  <c r="L505" i="1"/>
  <c r="M505" i="1" s="1"/>
  <c r="L231" i="1"/>
  <c r="H542" i="1"/>
  <c r="H551" i="1" s="1"/>
  <c r="L210" i="1"/>
  <c r="L224" i="1"/>
  <c r="M92" i="1"/>
  <c r="L500" i="1"/>
  <c r="L220" i="1"/>
  <c r="M220" i="1" s="1"/>
  <c r="L492" i="1"/>
  <c r="L546" i="1"/>
  <c r="L432" i="1"/>
  <c r="M432" i="1" s="1"/>
  <c r="L616" i="1"/>
  <c r="M616" i="1" s="1"/>
  <c r="L615" i="1"/>
  <c r="L160" i="1"/>
  <c r="L441" i="1"/>
  <c r="H318" i="1"/>
  <c r="H327" i="1" s="1"/>
  <c r="L272" i="1"/>
  <c r="M272" i="1" s="1"/>
  <c r="H374" i="1"/>
  <c r="H383" i="1" s="1"/>
  <c r="L329" i="1"/>
  <c r="M329" i="1" s="1"/>
  <c r="L257" i="1"/>
  <c r="M257" i="1" s="1"/>
  <c r="L164" i="1"/>
  <c r="M164" i="1" s="1"/>
  <c r="M269" i="1"/>
  <c r="L548" i="1"/>
  <c r="M548" i="1" s="1"/>
  <c r="L444" i="1"/>
  <c r="M444" i="1" s="1"/>
  <c r="L543" i="1"/>
  <c r="M543" i="1" s="1"/>
  <c r="L388" i="1"/>
  <c r="M388" i="1" s="1"/>
  <c r="L287" i="1"/>
  <c r="M325" i="1"/>
  <c r="L556" i="1"/>
  <c r="L379" i="1"/>
  <c r="L550" i="1"/>
  <c r="L449" i="1"/>
  <c r="M449" i="1" s="1"/>
  <c r="H206" i="1"/>
  <c r="H215" i="1" s="1"/>
  <c r="L201" i="1"/>
  <c r="L158" i="1"/>
  <c r="M158" i="1" s="1"/>
  <c r="L113" i="1"/>
  <c r="M165" i="1"/>
  <c r="L541" i="1"/>
  <c r="M541" i="1" s="1"/>
  <c r="L603" i="1"/>
  <c r="L267" i="1"/>
  <c r="M267" i="1" s="1"/>
  <c r="M503" i="1"/>
  <c r="M95" i="1"/>
  <c r="M153" i="1"/>
  <c r="M324" i="1"/>
  <c r="M111" i="1"/>
  <c r="L275" i="1"/>
  <c r="M207" i="1"/>
  <c r="A89" i="1"/>
  <c r="K542" i="1"/>
  <c r="L485" i="1"/>
  <c r="M385" i="1"/>
  <c r="L171" i="1"/>
  <c r="L163" i="1"/>
  <c r="M88" i="1"/>
  <c r="L499" i="1"/>
  <c r="M97" i="1"/>
  <c r="H439" i="1"/>
  <c r="M114" i="1"/>
  <c r="L555" i="1"/>
  <c r="L226" i="1"/>
  <c r="M115" i="1"/>
  <c r="L593" i="1"/>
  <c r="K598" i="1"/>
  <c r="L450" i="1"/>
  <c r="M480" i="1"/>
  <c r="L283" i="1"/>
  <c r="M368" i="1"/>
  <c r="L313" i="1"/>
  <c r="K318" i="1"/>
  <c r="L608" i="1"/>
  <c r="M436" i="1"/>
  <c r="K486" i="1"/>
  <c r="L373" i="1"/>
  <c r="L279" i="1"/>
  <c r="K262" i="1"/>
  <c r="M108" i="1"/>
  <c r="J107" i="1"/>
  <c r="K107" i="1" s="1"/>
  <c r="J104" i="1"/>
  <c r="K104" i="1" s="1"/>
  <c r="L104" i="1" s="1"/>
  <c r="M332" i="1"/>
  <c r="M221" i="1"/>
  <c r="M100" i="1"/>
  <c r="K150" i="1"/>
  <c r="M600" i="1"/>
  <c r="L597" i="1"/>
  <c r="M536" i="1"/>
  <c r="H486" i="1"/>
  <c r="M448" i="1"/>
  <c r="L433" i="1"/>
  <c r="L395" i="1"/>
  <c r="L331" i="1"/>
  <c r="L319" i="1"/>
  <c r="H598" i="1"/>
  <c r="L320" i="1"/>
  <c r="M216" i="1"/>
  <c r="M167" i="1"/>
  <c r="L601" i="1"/>
  <c r="M429" i="1"/>
  <c r="M507" i="1"/>
  <c r="M563" i="1"/>
  <c r="L602" i="1"/>
  <c r="M317" i="1"/>
  <c r="M155" i="1"/>
  <c r="J105" i="1"/>
  <c r="K105" i="1" s="1"/>
  <c r="L105" i="1" s="1"/>
  <c r="L270" i="1"/>
  <c r="M547" i="1"/>
  <c r="L488" i="1"/>
  <c r="K430" i="1"/>
  <c r="L438" i="1"/>
  <c r="L387" i="1"/>
  <c r="L337" i="1"/>
  <c r="L282" i="1"/>
  <c r="L612" i="1"/>
  <c r="M599" i="1"/>
  <c r="L219" i="1"/>
  <c r="M268" i="1"/>
  <c r="L265" i="1"/>
  <c r="L211" i="1"/>
  <c r="L170" i="1"/>
  <c r="K206" i="1"/>
  <c r="M256" i="1"/>
  <c r="M102" i="1"/>
  <c r="M544" i="1"/>
  <c r="L609" i="1"/>
  <c r="L611" i="1"/>
  <c r="L618" i="1"/>
  <c r="L227" i="1"/>
  <c r="L380" i="1"/>
  <c r="M312" i="1"/>
  <c r="K94" i="1"/>
  <c r="L89" i="1"/>
  <c r="L264" i="1"/>
  <c r="M273" i="1"/>
  <c r="L491" i="1"/>
  <c r="L443" i="1"/>
  <c r="M489" i="1"/>
  <c r="L506" i="1"/>
  <c r="M424" i="1"/>
  <c r="M392" i="1"/>
  <c r="L338" i="1"/>
  <c r="L263" i="1"/>
  <c r="L619" i="1"/>
  <c r="L617" i="1"/>
  <c r="L328" i="1"/>
  <c r="L323" i="1"/>
  <c r="L217" i="1"/>
  <c r="H271" i="1"/>
  <c r="L151" i="1"/>
  <c r="L552" i="1"/>
  <c r="M559" i="1"/>
  <c r="M378" i="1"/>
  <c r="M592" i="1"/>
  <c r="M481" i="1"/>
  <c r="L451" i="1"/>
  <c r="M393" i="1"/>
  <c r="L343" i="1"/>
  <c r="L339" i="1"/>
  <c r="L152" i="1"/>
  <c r="L496" i="1"/>
  <c r="M214" i="1" l="1"/>
  <c r="M500" i="1"/>
  <c r="M553" i="1"/>
  <c r="M212" i="1"/>
  <c r="M560" i="1"/>
  <c r="M604" i="1"/>
  <c r="M145" i="1"/>
  <c r="M336" i="1"/>
  <c r="M154" i="1"/>
  <c r="M537" i="1"/>
  <c r="M606" i="1"/>
  <c r="M209" i="1"/>
  <c r="M492" i="1"/>
  <c r="L374" i="1"/>
  <c r="M615" i="1"/>
  <c r="M96" i="1"/>
  <c r="M545" i="1"/>
  <c r="M335" i="1"/>
  <c r="M210" i="1"/>
  <c r="M93" i="1"/>
  <c r="M266" i="1"/>
  <c r="M205" i="1"/>
  <c r="M441" i="1"/>
  <c r="M201" i="1"/>
  <c r="M377" i="1"/>
  <c r="M550" i="1"/>
  <c r="M98" i="1"/>
  <c r="M382" i="1"/>
  <c r="M556" i="1"/>
  <c r="M224" i="1"/>
  <c r="M504" i="1"/>
  <c r="M425" i="1"/>
  <c r="M168" i="1"/>
  <c r="M384" i="1"/>
  <c r="M546" i="1"/>
  <c r="M160" i="1"/>
  <c r="M374" i="1"/>
  <c r="H173" i="1"/>
  <c r="H174" i="1" s="1"/>
  <c r="H183" i="1"/>
  <c r="H184" i="1" s="1"/>
  <c r="H178" i="1"/>
  <c r="H179" i="1" s="1"/>
  <c r="H181" i="1" s="1"/>
  <c r="M603" i="1"/>
  <c r="M379" i="1"/>
  <c r="M113" i="1"/>
  <c r="M617" i="1"/>
  <c r="M611" i="1"/>
  <c r="H386" i="1"/>
  <c r="M89" i="1"/>
  <c r="M380" i="1"/>
  <c r="M211" i="1"/>
  <c r="L383" i="1"/>
  <c r="K386" i="1"/>
  <c r="M104" i="1"/>
  <c r="M279" i="1"/>
  <c r="K607" i="1"/>
  <c r="L598" i="1"/>
  <c r="H442" i="1"/>
  <c r="H106" i="1"/>
  <c r="M275" i="1"/>
  <c r="M450" i="1"/>
  <c r="M339" i="1"/>
  <c r="M263" i="1"/>
  <c r="M491" i="1"/>
  <c r="K103" i="1"/>
  <c r="L94" i="1"/>
  <c r="M265" i="1"/>
  <c r="M270" i="1"/>
  <c r="L107" i="1"/>
  <c r="M373" i="1"/>
  <c r="L486" i="1"/>
  <c r="K495" i="1"/>
  <c r="M608" i="1"/>
  <c r="M593" i="1"/>
  <c r="M226" i="1"/>
  <c r="M499" i="1"/>
  <c r="M506" i="1"/>
  <c r="A90" i="1"/>
  <c r="H274" i="1"/>
  <c r="M619" i="1"/>
  <c r="M443" i="1"/>
  <c r="M264" i="1"/>
  <c r="M609" i="1"/>
  <c r="M488" i="1"/>
  <c r="M601" i="1"/>
  <c r="M319" i="1"/>
  <c r="L262" i="1"/>
  <c r="K271" i="1"/>
  <c r="H554" i="1"/>
  <c r="M283" i="1"/>
  <c r="K327" i="1"/>
  <c r="L318" i="1"/>
  <c r="M217" i="1"/>
  <c r="M338" i="1"/>
  <c r="H218" i="1"/>
  <c r="M618" i="1"/>
  <c r="M387" i="1"/>
  <c r="H495" i="1"/>
  <c r="M313" i="1"/>
  <c r="L542" i="1"/>
  <c r="K551" i="1"/>
  <c r="H330" i="1"/>
  <c r="M612" i="1"/>
  <c r="M105" i="1"/>
  <c r="M331" i="1"/>
  <c r="M171" i="1"/>
  <c r="M485" i="1"/>
  <c r="M496" i="1"/>
  <c r="M451" i="1"/>
  <c r="M552" i="1"/>
  <c r="M323" i="1"/>
  <c r="M282" i="1"/>
  <c r="M320" i="1"/>
  <c r="M163" i="1"/>
  <c r="M170" i="1"/>
  <c r="M219" i="1"/>
  <c r="K439" i="1"/>
  <c r="L430" i="1"/>
  <c r="M433" i="1"/>
  <c r="M597" i="1"/>
  <c r="M227" i="1"/>
  <c r="M152" i="1"/>
  <c r="M151" i="1"/>
  <c r="M328" i="1"/>
  <c r="L206" i="1"/>
  <c r="K215" i="1"/>
  <c r="M337" i="1"/>
  <c r="M438" i="1"/>
  <c r="M602" i="1"/>
  <c r="H607" i="1"/>
  <c r="M395" i="1"/>
  <c r="L150" i="1"/>
  <c r="K159" i="1"/>
  <c r="M555" i="1"/>
  <c r="M598" i="1" l="1"/>
  <c r="H185" i="1"/>
  <c r="H175" i="1"/>
  <c r="H176" i="1" s="1"/>
  <c r="H180" i="1"/>
  <c r="H186" i="1"/>
  <c r="A91" i="1"/>
  <c r="L495" i="1"/>
  <c r="K498" i="1"/>
  <c r="H453" i="1"/>
  <c r="H458" i="1"/>
  <c r="H463" i="1"/>
  <c r="H346" i="1"/>
  <c r="H341" i="1"/>
  <c r="H351" i="1"/>
  <c r="H575" i="1"/>
  <c r="H570" i="1"/>
  <c r="H565" i="1"/>
  <c r="K218" i="1"/>
  <c r="L215" i="1"/>
  <c r="K442" i="1"/>
  <c r="L439" i="1"/>
  <c r="M206" i="1"/>
  <c r="K274" i="1"/>
  <c r="L271" i="1"/>
  <c r="H610" i="1"/>
  <c r="M430" i="1"/>
  <c r="M262" i="1"/>
  <c r="M94" i="1"/>
  <c r="K610" i="1"/>
  <c r="L607" i="1"/>
  <c r="L386" i="1"/>
  <c r="K402" i="1"/>
  <c r="K407" i="1"/>
  <c r="K397" i="1"/>
  <c r="M542" i="1"/>
  <c r="H239" i="1"/>
  <c r="H229" i="1"/>
  <c r="H234" i="1"/>
  <c r="K162" i="1"/>
  <c r="L159" i="1"/>
  <c r="M318" i="1"/>
  <c r="H295" i="1"/>
  <c r="H285" i="1"/>
  <c r="H290" i="1"/>
  <c r="K106" i="1"/>
  <c r="L103" i="1"/>
  <c r="M383" i="1"/>
  <c r="M150" i="1"/>
  <c r="M486" i="1"/>
  <c r="K330" i="1"/>
  <c r="L327" i="1"/>
  <c r="H402" i="1"/>
  <c r="H407" i="1"/>
  <c r="H397" i="1"/>
  <c r="K554" i="1"/>
  <c r="L551" i="1"/>
  <c r="H498" i="1"/>
  <c r="M107" i="1"/>
  <c r="H127" i="1"/>
  <c r="H122" i="1"/>
  <c r="H117" i="1"/>
  <c r="M495" i="1" l="1"/>
  <c r="H291" i="1"/>
  <c r="H293" i="1" s="1"/>
  <c r="H286" i="1"/>
  <c r="M159" i="1"/>
  <c r="H398" i="1"/>
  <c r="H399" i="1"/>
  <c r="M551" i="1"/>
  <c r="L274" i="1"/>
  <c r="K290" i="1"/>
  <c r="K285" i="1"/>
  <c r="K295" i="1"/>
  <c r="L218" i="1"/>
  <c r="K229" i="1"/>
  <c r="K234" i="1"/>
  <c r="K239" i="1"/>
  <c r="H509" i="1"/>
  <c r="H519" i="1"/>
  <c r="H514" i="1"/>
  <c r="H408" i="1"/>
  <c r="H410" i="1" s="1"/>
  <c r="H409" i="1"/>
  <c r="H571" i="1"/>
  <c r="H572" i="1"/>
  <c r="H464" i="1"/>
  <c r="H466" i="1" s="1"/>
  <c r="L498" i="1"/>
  <c r="K519" i="1"/>
  <c r="K514" i="1"/>
  <c r="K509" i="1"/>
  <c r="H119" i="1"/>
  <c r="H118" i="1"/>
  <c r="M386" i="1"/>
  <c r="H576" i="1"/>
  <c r="H578" i="1" s="1"/>
  <c r="H577" i="1"/>
  <c r="H352" i="1"/>
  <c r="H354" i="1" s="1"/>
  <c r="H459" i="1"/>
  <c r="H461" i="1" s="1"/>
  <c r="H240" i="1"/>
  <c r="H242" i="1" s="1"/>
  <c r="H566" i="1"/>
  <c r="H567" i="1"/>
  <c r="M103" i="1"/>
  <c r="H128" i="1"/>
  <c r="H130" i="1" s="1"/>
  <c r="H129" i="1"/>
  <c r="M327" i="1"/>
  <c r="L106" i="1"/>
  <c r="K122" i="1"/>
  <c r="K127" i="1"/>
  <c r="K117" i="1"/>
  <c r="K398" i="1"/>
  <c r="L397" i="1"/>
  <c r="K399" i="1"/>
  <c r="M439" i="1"/>
  <c r="H342" i="1"/>
  <c r="H344" i="1" s="1"/>
  <c r="H454" i="1"/>
  <c r="H456" i="1" s="1"/>
  <c r="H296" i="1"/>
  <c r="H298" i="1" s="1"/>
  <c r="L162" i="1"/>
  <c r="K183" i="1"/>
  <c r="K173" i="1"/>
  <c r="K178" i="1"/>
  <c r="L610" i="1"/>
  <c r="K621" i="1"/>
  <c r="K626" i="1"/>
  <c r="K631" i="1"/>
  <c r="L554" i="1"/>
  <c r="K565" i="1"/>
  <c r="K570" i="1"/>
  <c r="K575" i="1"/>
  <c r="H403" i="1"/>
  <c r="H404" i="1"/>
  <c r="H123" i="1"/>
  <c r="H124" i="1"/>
  <c r="L330" i="1"/>
  <c r="K341" i="1"/>
  <c r="K351" i="1"/>
  <c r="K346" i="1"/>
  <c r="H235" i="1"/>
  <c r="K408" i="1"/>
  <c r="L407" i="1"/>
  <c r="K409" i="1"/>
  <c r="H621" i="1"/>
  <c r="H631" i="1"/>
  <c r="H626" i="1"/>
  <c r="L442" i="1"/>
  <c r="K463" i="1"/>
  <c r="K458" i="1"/>
  <c r="K453" i="1"/>
  <c r="H347" i="1"/>
  <c r="A92" i="1"/>
  <c r="H230" i="1"/>
  <c r="H232" i="1" s="1"/>
  <c r="K403" i="1"/>
  <c r="L402" i="1"/>
  <c r="K404" i="1"/>
  <c r="M607" i="1"/>
  <c r="M271" i="1"/>
  <c r="M215" i="1"/>
  <c r="H120" i="1" l="1"/>
  <c r="L398" i="1"/>
  <c r="L399" i="1"/>
  <c r="L403" i="1"/>
  <c r="L408" i="1"/>
  <c r="M498" i="1"/>
  <c r="K405" i="1"/>
  <c r="H400" i="1"/>
  <c r="A93" i="1"/>
  <c r="H627" i="1"/>
  <c r="H629" i="1" s="1"/>
  <c r="H628" i="1"/>
  <c r="K576" i="1"/>
  <c r="L576" i="1" s="1"/>
  <c r="L575" i="1"/>
  <c r="K577" i="1"/>
  <c r="L178" i="1"/>
  <c r="K179" i="1"/>
  <c r="L179" i="1" s="1"/>
  <c r="K180" i="1"/>
  <c r="K240" i="1"/>
  <c r="L240" i="1" s="1"/>
  <c r="L239" i="1"/>
  <c r="H632" i="1"/>
  <c r="H634" i="1" s="1"/>
  <c r="H633" i="1"/>
  <c r="H237" i="1"/>
  <c r="K571" i="1"/>
  <c r="L571" i="1" s="1"/>
  <c r="L570" i="1"/>
  <c r="K572" i="1"/>
  <c r="K174" i="1"/>
  <c r="L174" i="1" s="1"/>
  <c r="L173" i="1"/>
  <c r="K175" i="1"/>
  <c r="L175" i="1" s="1"/>
  <c r="L234" i="1"/>
  <c r="K235" i="1"/>
  <c r="L235" i="1" s="1"/>
  <c r="M442" i="1"/>
  <c r="M330" i="1"/>
  <c r="M403" i="1"/>
  <c r="L519" i="1"/>
  <c r="K520" i="1"/>
  <c r="K522" i="1" s="1"/>
  <c r="K521" i="1"/>
  <c r="M274" i="1"/>
  <c r="H349" i="1"/>
  <c r="H622" i="1"/>
  <c r="H623" i="1"/>
  <c r="H125" i="1"/>
  <c r="L565" i="1"/>
  <c r="K566" i="1"/>
  <c r="L566" i="1" s="1"/>
  <c r="K567" i="1"/>
  <c r="L567" i="1" s="1"/>
  <c r="L183" i="1"/>
  <c r="K184" i="1"/>
  <c r="L184" i="1" s="1"/>
  <c r="K185" i="1"/>
  <c r="K400" i="1"/>
  <c r="H568" i="1"/>
  <c r="M407" i="1"/>
  <c r="L229" i="1"/>
  <c r="K230" i="1"/>
  <c r="L230" i="1" s="1"/>
  <c r="M610" i="1"/>
  <c r="M554" i="1"/>
  <c r="M162" i="1"/>
  <c r="K118" i="1"/>
  <c r="L118" i="1" s="1"/>
  <c r="L117" i="1"/>
  <c r="K119" i="1"/>
  <c r="L119" i="1" s="1"/>
  <c r="M218" i="1"/>
  <c r="H288" i="1"/>
  <c r="L453" i="1"/>
  <c r="K454" i="1"/>
  <c r="L454" i="1" s="1"/>
  <c r="L346" i="1"/>
  <c r="K347" i="1"/>
  <c r="L347" i="1" s="1"/>
  <c r="L631" i="1"/>
  <c r="K632" i="1"/>
  <c r="K634" i="1" s="1"/>
  <c r="K633" i="1"/>
  <c r="L127" i="1"/>
  <c r="K128" i="1"/>
  <c r="L128" i="1" s="1"/>
  <c r="K129" i="1"/>
  <c r="H515" i="1"/>
  <c r="H517" i="1" s="1"/>
  <c r="H516" i="1"/>
  <c r="L295" i="1"/>
  <c r="K296" i="1"/>
  <c r="L296" i="1" s="1"/>
  <c r="L458" i="1"/>
  <c r="K459" i="1"/>
  <c r="L459" i="1" s="1"/>
  <c r="L351" i="1"/>
  <c r="K352" i="1"/>
  <c r="L352" i="1" s="1"/>
  <c r="M402" i="1"/>
  <c r="L626" i="1"/>
  <c r="K627" i="1"/>
  <c r="K629" i="1" s="1"/>
  <c r="K628" i="1"/>
  <c r="L122" i="1"/>
  <c r="K123" i="1"/>
  <c r="L123" i="1" s="1"/>
  <c r="K124" i="1"/>
  <c r="K510" i="1"/>
  <c r="L509" i="1"/>
  <c r="K511" i="1"/>
  <c r="H573" i="1"/>
  <c r="H520" i="1"/>
  <c r="H522" i="1" s="1"/>
  <c r="H521" i="1"/>
  <c r="K286" i="1"/>
  <c r="L286" i="1" s="1"/>
  <c r="L285" i="1"/>
  <c r="M398" i="1"/>
  <c r="K464" i="1"/>
  <c r="L464" i="1" s="1"/>
  <c r="L463" i="1"/>
  <c r="K410" i="1"/>
  <c r="L410" i="1" s="1"/>
  <c r="L341" i="1"/>
  <c r="K342" i="1"/>
  <c r="L342" i="1" s="1"/>
  <c r="H405" i="1"/>
  <c r="L621" i="1"/>
  <c r="K622" i="1"/>
  <c r="K623" i="1"/>
  <c r="M106" i="1"/>
  <c r="K515" i="1"/>
  <c r="K517" i="1" s="1"/>
  <c r="L514" i="1"/>
  <c r="K516" i="1"/>
  <c r="H510" i="1"/>
  <c r="H511" i="1"/>
  <c r="K291" i="1"/>
  <c r="L291" i="1" s="1"/>
  <c r="L290" i="1"/>
  <c r="M397" i="1"/>
  <c r="L400" i="1" l="1"/>
  <c r="M400" i="1" s="1"/>
  <c r="K573" i="1"/>
  <c r="L573" i="1" s="1"/>
  <c r="K181" i="1"/>
  <c r="L181" i="1" s="1"/>
  <c r="M181" i="1" s="1"/>
  <c r="M128" i="1"/>
  <c r="K349" i="1"/>
  <c r="L349" i="1" s="1"/>
  <c r="K232" i="1"/>
  <c r="L232" i="1" s="1"/>
  <c r="M232" i="1" s="1"/>
  <c r="K186" i="1"/>
  <c r="L186" i="1" s="1"/>
  <c r="H624" i="1"/>
  <c r="K288" i="1"/>
  <c r="L288" i="1" s="1"/>
  <c r="M631" i="1"/>
  <c r="K461" i="1"/>
  <c r="L461" i="1" s="1"/>
  <c r="M461" i="1" s="1"/>
  <c r="M519" i="1"/>
  <c r="L623" i="1"/>
  <c r="M118" i="1"/>
  <c r="M509" i="1"/>
  <c r="L622" i="1"/>
  <c r="M459" i="1"/>
  <c r="M352" i="1"/>
  <c r="K568" i="1"/>
  <c r="L568" i="1" s="1"/>
  <c r="H512" i="1"/>
  <c r="M347" i="1"/>
  <c r="K624" i="1"/>
  <c r="K293" i="1"/>
  <c r="L293" i="1" s="1"/>
  <c r="K298" i="1"/>
  <c r="L298" i="1" s="1"/>
  <c r="K237" i="1"/>
  <c r="L237" i="1" s="1"/>
  <c r="M408" i="1"/>
  <c r="M290" i="1"/>
  <c r="L629" i="1"/>
  <c r="M453" i="1"/>
  <c r="M570" i="1"/>
  <c r="M575" i="1"/>
  <c r="L511" i="1"/>
  <c r="M342" i="1"/>
  <c r="M566" i="1"/>
  <c r="K344" i="1"/>
  <c r="L344" i="1" s="1"/>
  <c r="K125" i="1"/>
  <c r="L125" i="1" s="1"/>
  <c r="K354" i="1"/>
  <c r="L354" i="1" s="1"/>
  <c r="M295" i="1"/>
  <c r="M229" i="1"/>
  <c r="M123" i="1"/>
  <c r="M571" i="1"/>
  <c r="M235" i="1"/>
  <c r="A94" i="1"/>
  <c r="K456" i="1"/>
  <c r="L456" i="1" s="1"/>
  <c r="M285" i="1"/>
  <c r="M122" i="1"/>
  <c r="M454" i="1"/>
  <c r="K578" i="1"/>
  <c r="L578" i="1" s="1"/>
  <c r="M341" i="1"/>
  <c r="L510" i="1"/>
  <c r="M296" i="1"/>
  <c r="M351" i="1"/>
  <c r="M127" i="1"/>
  <c r="L520" i="1"/>
  <c r="M173" i="1"/>
  <c r="L515" i="1"/>
  <c r="L634" i="1"/>
  <c r="M117" i="1"/>
  <c r="L632" i="1"/>
  <c r="K120" i="1"/>
  <c r="L120" i="1" s="1"/>
  <c r="M565" i="1"/>
  <c r="M230" i="1"/>
  <c r="M291" i="1"/>
  <c r="K512" i="1"/>
  <c r="M514" i="1"/>
  <c r="K130" i="1"/>
  <c r="L130" i="1" s="1"/>
  <c r="M410" i="1"/>
  <c r="M464" i="1"/>
  <c r="M184" i="1"/>
  <c r="M286" i="1"/>
  <c r="K176" i="1"/>
  <c r="L176" i="1" s="1"/>
  <c r="L405" i="1"/>
  <c r="M179" i="1"/>
  <c r="M626" i="1"/>
  <c r="M576" i="1"/>
  <c r="M463" i="1"/>
  <c r="L627" i="1"/>
  <c r="M346" i="1"/>
  <c r="M183" i="1"/>
  <c r="M621" i="1"/>
  <c r="L522" i="1"/>
  <c r="M174" i="1"/>
  <c r="M239" i="1"/>
  <c r="M178" i="1"/>
  <c r="L517" i="1"/>
  <c r="K466" i="1"/>
  <c r="L466" i="1" s="1"/>
  <c r="M240" i="1"/>
  <c r="M458" i="1"/>
  <c r="M234" i="1"/>
  <c r="K242" i="1"/>
  <c r="L242" i="1" s="1"/>
  <c r="M627" i="1" l="1"/>
  <c r="M515" i="1"/>
  <c r="L624" i="1"/>
  <c r="M573" i="1"/>
  <c r="M186" i="1"/>
  <c r="M632" i="1"/>
  <c r="L512" i="1"/>
  <c r="M622" i="1"/>
  <c r="M298" i="1"/>
  <c r="M293" i="1"/>
  <c r="M522" i="1"/>
  <c r="M237" i="1"/>
  <c r="M344" i="1"/>
  <c r="M125" i="1"/>
  <c r="M634" i="1"/>
  <c r="M176" i="1"/>
  <c r="M578" i="1"/>
  <c r="A95" i="1"/>
  <c r="M288" i="1"/>
  <c r="M349" i="1"/>
  <c r="M629" i="1"/>
  <c r="M466" i="1"/>
  <c r="M120" i="1"/>
  <c r="M517" i="1"/>
  <c r="M242" i="1"/>
  <c r="M520" i="1"/>
  <c r="M130" i="1"/>
  <c r="M510" i="1"/>
  <c r="M456" i="1"/>
  <c r="M354" i="1"/>
  <c r="M405" i="1"/>
  <c r="M568" i="1"/>
  <c r="M512" i="1"/>
  <c r="M624" i="1" l="1"/>
  <c r="A96" i="1"/>
  <c r="A97" i="1" l="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H62" i="1" l="1"/>
  <c r="K60" i="1"/>
  <c r="O57" i="1"/>
  <c r="O61" i="1"/>
  <c r="O64" i="1"/>
  <c r="O63" i="1"/>
  <c r="O59" i="1"/>
  <c r="L62" i="1"/>
  <c r="O56" i="1"/>
  <c r="I60" i="1"/>
  <c r="O62" i="1"/>
  <c r="M64" i="1"/>
  <c r="H58" i="1"/>
  <c r="H55" i="1" a="1"/>
  <c r="H55" i="1" s="1"/>
  <c r="J64" i="1"/>
  <c r="O60" i="1"/>
  <c r="N55" i="1" a="1"/>
  <c r="N55" i="1" s="1"/>
  <c r="H59" i="1"/>
  <c r="M61" i="1"/>
  <c r="M55" i="1" a="1"/>
  <c r="M55" i="1" s="1"/>
  <c r="M58" i="1"/>
  <c r="J61" i="1"/>
  <c r="J63" i="1"/>
  <c r="L56" i="1"/>
  <c r="L63" i="1"/>
  <c r="M62" i="1"/>
  <c r="N56" i="1"/>
  <c r="N59" i="1"/>
  <c r="O58" i="1"/>
  <c r="H63" i="1"/>
  <c r="K55" i="1" a="1"/>
  <c r="K55" i="1" s="1"/>
  <c r="K62" i="1"/>
  <c r="I57" i="1"/>
  <c r="I61" i="1"/>
  <c r="M60" i="1"/>
  <c r="L60" i="1"/>
  <c r="K63" i="1"/>
  <c r="I64" i="1"/>
  <c r="M63" i="1"/>
  <c r="M56" i="1"/>
  <c r="O55" i="1" a="1"/>
  <c r="O55" i="1" s="1"/>
  <c r="J59" i="1"/>
  <c r="L59" i="1"/>
  <c r="L61" i="1"/>
  <c r="K57" i="1"/>
  <c r="I55" i="1" a="1"/>
  <c r="I55" i="1" s="1"/>
  <c r="J58" i="1"/>
  <c r="M59" i="1"/>
  <c r="L55" i="1" a="1"/>
  <c r="L55" i="1" s="1"/>
  <c r="J55" i="1" a="1"/>
  <c r="J55" i="1" s="1"/>
  <c r="L58" i="1"/>
  <c r="M57" i="1"/>
  <c r="N57" i="1"/>
  <c r="K64" i="1"/>
  <c r="J62" i="1"/>
  <c r="I62" i="1"/>
  <c r="H60" i="1"/>
  <c r="N58" i="1"/>
  <c r="N64" i="1"/>
  <c r="K58" i="1"/>
  <c r="L57" i="1"/>
  <c r="I58" i="1"/>
  <c r="J56" i="1"/>
  <c r="J60" i="1"/>
  <c r="N63" i="1"/>
  <c r="H64" i="1"/>
  <c r="K61" i="1"/>
  <c r="H56" i="1"/>
  <c r="I63" i="1"/>
  <c r="K56" i="1"/>
  <c r="K59" i="1"/>
  <c r="N62" i="1"/>
  <c r="I59" i="1"/>
  <c r="H61" i="1"/>
  <c r="H57" i="1"/>
  <c r="J57" i="1"/>
  <c r="L64" i="1"/>
  <c r="N61" i="1"/>
  <c r="N60" i="1"/>
  <c r="I5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<sst xmlns="http://schemas.openxmlformats.org/spreadsheetml/2006/main" count="951" uniqueCount="93">
  <si>
    <t>YES</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</si>
  <si>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Those distributors that are still in the process of moving to fully fixed residential rates should refer to section 3.2.3 of Chapter 3 of  the Filing Requirements for Incentive Rate-Setting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of </t>
    </r>
    <r>
      <rPr>
        <sz val="9.3000000000000007"/>
        <color theme="9" tint="-0.249977111117893"/>
        <rFont val="Arial"/>
        <family val="2"/>
      </rPr>
      <t>$0.1076/kWh (IESO's Monthly Market Report for May 2023)</t>
    </r>
    <r>
      <rPr>
        <sz val="9.3000000000000007"/>
        <rFont val="Arial"/>
        <family val="2"/>
      </rPr>
      <t xml:space="preserve">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</si>
  <si>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</si>
  <si>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</si>
  <si>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</si>
  <si>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</si>
  <si>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</si>
  <si>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</si>
  <si>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</si>
  <si>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</si>
  <si>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</si>
  <si>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</si>
  <si>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</si>
  <si>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SERVICE CLASSIFICATION</t>
  </si>
  <si>
    <t>RPP</t>
  </si>
  <si>
    <t>CONSUMPTION</t>
  </si>
  <si>
    <t>GENERAL SERVICE LESS THAN 50 KW SERVICE CLASSIFICATION</t>
  </si>
  <si>
    <t>GENERAL SERVICE 50 to 4,999 kW SERVICE CLASSIFICATION</t>
  </si>
  <si>
    <t>Non-RPP (Other)</t>
  </si>
  <si>
    <t>DEMAND</t>
  </si>
  <si>
    <t>LARGE USE SERVICE CLASSIFICATION</t>
  </si>
  <si>
    <t>UNMETERED SCATTERED LOAD SERVICE CLASSIFICATION</t>
  </si>
  <si>
    <t>SENTINEL LIGHTING SERVICE CLASSIFICATION</t>
  </si>
  <si>
    <t>STREET LIGHTING SERVICE CLASSIFICATION</t>
  </si>
  <si>
    <t>Non-RPP (Retailer)</t>
  </si>
  <si>
    <t>Add additional scenarios if required</t>
  </si>
  <si>
    <t>X</t>
  </si>
  <si>
    <t>Table 2 (Tab 21. Bill Impacts)</t>
  </si>
  <si>
    <t>Sub-Total</t>
  </si>
  <si>
    <t>Total</t>
  </si>
  <si>
    <t>A</t>
  </si>
  <si>
    <t>B</t>
  </si>
  <si>
    <t>C</t>
  </si>
  <si>
    <t>Total Bill</t>
  </si>
  <si>
    <t>$</t>
  </si>
  <si>
    <t>%</t>
  </si>
  <si>
    <t>kWh</t>
  </si>
  <si>
    <t>kW</t>
  </si>
  <si>
    <t>Customer Class:</t>
  </si>
  <si>
    <t>RPP / Non-RPP:</t>
  </si>
  <si>
    <t>Consumption</t>
  </si>
  <si>
    <t>Demand</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</si>
  <si>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</si>
  <si>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</si>
  <si>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</si>
  <si>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</si>
  <si>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</si>
  <si>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</si>
  <si>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</si>
  <si>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</si>
  <si>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</si>
  <si>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</si>
  <si>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</si>
  <si>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</si>
  <si>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</si>
  <si>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</si>
  <si>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</si>
  <si>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</si>
  <si>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</si>
  <si>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ST_A</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</si>
  <si>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</si>
  <si>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</si>
  <si>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</si>
  <si>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</si>
  <si>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</si>
  <si>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</si>
  <si>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</si>
  <si>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</si>
  <si>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</si>
  <si>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</si>
  <si>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</si>
  <si>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</si>
  <si>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</si>
  <si>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</si>
  <si>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</si>
  <si>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</si>
  <si>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</si>
  <si>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</si>
  <si>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</si>
  <si>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</si>
  <si>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</si>
  <si>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</si>
  <si>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</si>
  <si>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</si>
  <si>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</si>
  <si>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</si>
  <si>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</si>
  <si>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RPP_TOTAL</t>
  </si>
  <si>
    <t>Total Bill on TOU</t>
  </si>
  <si>
    <t>Total Bill on Non-RPP Avg. Price</t>
  </si>
  <si>
    <t>Non-RPP (Retailer)_TOTAL</t>
  </si>
  <si>
    <t>Total Bill on Average IESO Wholesale Market Price</t>
  </si>
  <si>
    <t>Non-RPP (Other)_TOTAL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</si>
</sst>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000"/>
    <numFmt numFmtId="167" formatCode="_-&quot;$&quot;* #,##0.0000_-;\-&quot;$&quot;* #,##0.0000_-;_-&quot;$&quot;* &quot;-&quot;??_-;_-@_-"/>
    <numFmt numFmtId="168" formatCode="_-&quot;$&quot;* #,##0.00_-;\-&quot;$&quot;* #,##0.00_-;_-&quot;$&quot;* &quot;-&quot;??_-;_-@_-"/>
  </numFmts>
  <fonts count="24" x14ac:knownFonts="1">
    <font>
      <sz val="11"/>
      <color theme="1"/>
      <name val="Calibri"/>
      <family val="2"/>
      <scheme val="minor"/>
    </font>
    <font>
      <sz val="10"/>
      <name val="Arial"/>
      <family val="2"/>
    </font>
    <font>
      <sz val="16"/>
      <color theme="0"/>
      <name val="Algerian"/>
      <family val="5"/>
    </font>
    <font>
      <sz val="16"/>
      <color indexed="12"/>
      <name val="Algerian"/>
      <family val="5"/>
    </font>
    <font>
      <b/>
      <sz val="10"/>
      <name val="Arial"/>
      <family val="2"/>
    </font>
    <font>
      <sz val="8"/>
      <name val="Arial"/>
      <family val="2"/>
    </font>
    <font>
      <sz val="14"/>
      <color theme="0"/>
      <name val="Arial"/>
      <family val="2"/>
    </font>
    <font>
      <sz val="14"/>
      <name val="Arial"/>
      <family val="2"/>
    </font>
    <font>
      <sz val="10"/>
      <color theme="0"/>
      <name val="Arial"/>
      <family val="2"/>
    </font>
    <font>
      <b/>
      <sz val="12"/>
      <name val="Arial"/>
      <family val="2"/>
    </font>
    <font>
      <b/>
      <sz val="14"/>
      <name val="Arial"/>
      <family val="2"/>
    </font>
    <font>
      <sz val="9.3000000000000007"/>
      <name val="Arial"/>
      <family val="2"/>
    </font>
    <font>
      <b/>
      <sz val="9.3000000000000007"/>
      <name val="Arial"/>
      <family val="2"/>
    </font>
    <font>
      <sz val="9.3000000000000007"/>
      <color theme="9" tint="-0.249977111117893"/>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rgb="FF002060"/>
      <name val="Arial"/>
      <family val="2"/>
    </font>
    <font>
      <b/>
      <sz val="10"/>
      <color theme="1"/>
      <name val="Arial"/>
      <family val="2"/>
    </font>
    <font>
      <b/>
      <sz val="10"/>
      <color theme="3"/>
      <name val="Arial"/>
      <family val="2"/>
    </font>
  </fonts>
  <fills count="19">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EBF1DE"/>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96">
    <xf numFmtId="0" fontId="0" fillId="0" borderId="0" xfId="0"/>
    <xf numFmtId="0" fontId="2" fillId="2" borderId="0" xfId="1" applyFont="1" applyFill="1" applyAlignment="1">
      <alignment vertical="top" wrapText="1"/>
    </xf>
    <xf numFmtId="0" fontId="3" fillId="2" borderId="0" xfId="1" applyFont="1" applyFill="1" applyAlignment="1">
      <alignment vertical="top" wrapText="1"/>
    </xf>
    <xf numFmtId="0" fontId="4" fillId="0" borderId="0" xfId="1" applyFont="1"/>
    <xf numFmtId="0" fontId="5" fillId="0" borderId="0" xfId="1" applyFont="1" applyAlignment="1">
      <alignment horizontal="right" vertical="top"/>
    </xf>
    <xf numFmtId="0" fontId="1" fillId="2" borderId="0" xfId="1" applyFill="1"/>
    <xf numFmtId="0" fontId="1" fillId="0" borderId="0" xfId="1"/>
    <xf numFmtId="0" fontId="6" fillId="2" borderId="0" xfId="1" applyFont="1" applyFill="1"/>
    <xf numFmtId="0" fontId="7" fillId="2" borderId="0" xfId="1" applyFont="1" applyFill="1"/>
    <xf numFmtId="0" fontId="1" fillId="2" borderId="0" xfId="1" applyFill="1" applyAlignment="1">
      <alignment horizontal="left" indent="1"/>
    </xf>
    <xf numFmtId="0" fontId="8" fillId="2" borderId="0" xfId="1" applyFont="1" applyFill="1"/>
    <xf numFmtId="0" fontId="9" fillId="2" borderId="0" xfId="1" applyFont="1" applyFill="1"/>
    <xf numFmtId="0" fontId="8" fillId="0" borderId="0" xfId="1" applyFont="1"/>
    <xf numFmtId="0" fontId="10" fillId="0" borderId="0" xfId="1" applyFont="1"/>
    <xf numFmtId="0" fontId="1" fillId="0" borderId="0" xfId="1" applyProtection="1">
      <protection locked="0"/>
    </xf>
    <xf numFmtId="0" fontId="8" fillId="3" borderId="1" xfId="1" applyFont="1" applyFill="1" applyBorder="1"/>
    <xf numFmtId="0" fontId="9" fillId="0" borderId="0" xfId="1" applyFont="1"/>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4" borderId="1" xfId="1" applyFont="1" applyFill="1" applyBorder="1" applyAlignment="1">
      <alignment horizontal="center" vertical="center" wrapText="1"/>
    </xf>
    <xf numFmtId="0" fontId="4" fillId="0" borderId="1" xfId="1" applyFont="1" applyBorder="1" applyAlignment="1">
      <alignment horizontal="center" wrapText="1"/>
    </xf>
    <xf numFmtId="0" fontId="8" fillId="5" borderId="0" xfId="1" applyFont="1" applyFill="1"/>
    <xf numFmtId="0" fontId="17" fillId="5" borderId="2" xfId="1" applyFont="1" applyFill="1" applyBorder="1" applyAlignment="1" applyProtection="1">
      <alignment vertical="top"/>
      <protection locked="0"/>
    </xf>
    <xf numFmtId="0" fontId="1" fillId="5" borderId="3" xfId="1" applyFill="1" applyBorder="1" applyAlignment="1" applyProtection="1">
      <alignment vertical="top"/>
      <protection locked="0"/>
    </xf>
    <xf numFmtId="0" fontId="1" fillId="5" borderId="4" xfId="1" applyFill="1" applyBorder="1" applyAlignment="1" applyProtection="1">
      <alignment vertical="top"/>
      <protection locked="0"/>
    </xf>
    <xf numFmtId="0" fontId="4" fillId="5" borderId="1" xfId="1" applyFont="1" applyFill="1" applyBorder="1" applyAlignment="1" applyProtection="1">
      <alignment horizontal="center" vertical="center"/>
      <protection locked="0"/>
    </xf>
    <xf numFmtId="0" fontId="1" fillId="6" borderId="1" xfId="1" applyFill="1" applyBorder="1" applyAlignment="1" applyProtection="1">
      <alignment horizontal="center" vertical="center"/>
      <protection locked="0"/>
    </xf>
    <xf numFmtId="0" fontId="1" fillId="7" borderId="1" xfId="1" applyFill="1" applyBorder="1" applyAlignment="1" applyProtection="1">
      <alignment horizontal="center" vertical="center"/>
      <protection locked="0"/>
    </xf>
    <xf numFmtId="0" fontId="1" fillId="5" borderId="1" xfId="1" applyFill="1" applyBorder="1" applyAlignment="1">
      <alignment horizontal="center" vertical="center"/>
    </xf>
    <xf numFmtId="164" fontId="0" fillId="0" borderId="1" xfId="2" applyNumberFormat="1" applyFont="1" applyBorder="1" applyAlignment="1" applyProtection="1">
      <alignment horizontal="center" vertical="center"/>
      <protection locked="0"/>
    </xf>
    <xf numFmtId="3" fontId="0" fillId="0" borderId="1" xfId="0" applyNumberFormat="1" applyBorder="1" applyProtection="1">
      <protection locked="0"/>
    </xf>
    <xf numFmtId="0" fontId="8" fillId="0" borderId="0" xfId="1" applyFont="1" applyProtection="1">
      <protection locked="0"/>
    </xf>
    <xf numFmtId="3" fontId="0" fillId="8" borderId="1" xfId="0" applyNumberFormat="1" applyFill="1" applyBorder="1" applyProtection="1">
      <protection locked="0"/>
    </xf>
    <xf numFmtId="0" fontId="17" fillId="9" borderId="2" xfId="1" applyFont="1" applyFill="1" applyBorder="1" applyAlignment="1" applyProtection="1">
      <alignment vertical="top"/>
      <protection locked="0"/>
    </xf>
    <xf numFmtId="0" fontId="1" fillId="9" borderId="3" xfId="1" applyFill="1" applyBorder="1" applyAlignment="1" applyProtection="1">
      <alignment vertical="top"/>
      <protection locked="0"/>
    </xf>
    <xf numFmtId="0" fontId="1" fillId="9" borderId="4" xfId="1" applyFill="1" applyBorder="1" applyAlignment="1" applyProtection="1">
      <alignment vertical="top"/>
      <protection locked="0"/>
    </xf>
    <xf numFmtId="0" fontId="4" fillId="12" borderId="1" xfId="1" applyFont="1" applyFill="1" applyBorder="1" applyAlignment="1">
      <alignment horizontal="center" vertical="center"/>
    </xf>
    <xf numFmtId="0" fontId="1" fillId="0" borderId="1" xfId="1" applyBorder="1" applyAlignment="1">
      <alignment horizontal="center" vertical="center"/>
    </xf>
    <xf numFmtId="44" fontId="0" fillId="0" borderId="1" xfId="3" applyFont="1" applyBorder="1" applyAlignment="1" applyProtection="1">
      <alignment horizontal="center" vertical="center"/>
    </xf>
    <xf numFmtId="165" fontId="0" fillId="0" borderId="1" xfId="4" applyNumberFormat="1" applyFont="1" applyBorder="1" applyAlignment="1" applyProtection="1">
      <alignment horizontal="center" vertical="center"/>
    </xf>
    <xf numFmtId="0" fontId="1" fillId="5" borderId="0" xfId="1" applyFill="1" applyAlignment="1">
      <alignment horizontal="left" vertical="top"/>
    </xf>
    <xf numFmtId="0" fontId="1" fillId="0" borderId="0" xfId="1" applyAlignment="1">
      <alignment horizontal="center" vertical="center"/>
    </xf>
    <xf numFmtId="44" fontId="0" fillId="0" borderId="0" xfId="3" applyFont="1" applyBorder="1" applyAlignment="1" applyProtection="1">
      <alignment horizontal="center" vertical="center"/>
    </xf>
    <xf numFmtId="165" fontId="0" fillId="0" borderId="0" xfId="4" applyNumberFormat="1" applyFont="1" applyBorder="1" applyAlignment="1" applyProtection="1">
      <alignment horizontal="center" vertical="center"/>
    </xf>
    <xf numFmtId="0" fontId="1" fillId="13" borderId="0" xfId="1" applyFill="1" applyProtection="1">
      <protection locked="0"/>
    </xf>
    <xf numFmtId="0" fontId="8" fillId="13" borderId="0" xfId="1" applyFont="1" applyFill="1" applyProtection="1">
      <protection locked="0"/>
    </xf>
    <xf numFmtId="0" fontId="4" fillId="0" borderId="0" xfId="1" applyFont="1" applyAlignment="1" applyProtection="1">
      <alignment horizontal="right" vertical="center"/>
      <protection locked="0"/>
    </xf>
    <xf numFmtId="0" fontId="19" fillId="5" borderId="0" xfId="1" applyFont="1" applyFill="1" applyAlignment="1" applyProtection="1">
      <alignment vertical="top"/>
      <protection locked="0"/>
    </xf>
    <xf numFmtId="164" fontId="4" fillId="5" borderId="1" xfId="2" applyNumberFormat="1" applyFont="1" applyFill="1" applyBorder="1" applyAlignment="1" applyProtection="1">
      <alignment horizontal="center" vertical="center"/>
      <protection locked="0"/>
    </xf>
    <xf numFmtId="0" fontId="4" fillId="0" borderId="0" xfId="1" applyFont="1" applyProtection="1">
      <protection locked="0"/>
    </xf>
    <xf numFmtId="0" fontId="9" fillId="5" borderId="0" xfId="1" applyFont="1" applyFill="1" applyAlignment="1" applyProtection="1">
      <alignment vertical="center"/>
      <protection locked="0"/>
    </xf>
    <xf numFmtId="0" fontId="4" fillId="0" borderId="0" xfId="1" applyFont="1" applyAlignment="1" applyProtection="1">
      <alignment horizontal="left"/>
      <protection locked="0"/>
    </xf>
    <xf numFmtId="0" fontId="4" fillId="0" borderId="0" xfId="1" applyFont="1" applyAlignment="1" applyProtection="1">
      <alignment horizontal="center"/>
      <protection locked="0"/>
    </xf>
    <xf numFmtId="0" fontId="9" fillId="0" borderId="0" xfId="1" applyFont="1" applyAlignment="1" applyProtection="1">
      <alignment horizontal="center"/>
      <protection locked="0"/>
    </xf>
    <xf numFmtId="166" fontId="4" fillId="5" borderId="1" xfId="4" applyNumberFormat="1" applyFont="1" applyFill="1" applyBorder="1" applyProtection="1">
      <protection locked="0"/>
    </xf>
    <xf numFmtId="0" fontId="4" fillId="0" borderId="14" xfId="1" applyFont="1" applyBorder="1" applyAlignment="1" applyProtection="1">
      <alignment horizontal="center"/>
      <protection locked="0"/>
    </xf>
    <xf numFmtId="0" fontId="4" fillId="0" borderId="9" xfId="1" applyFont="1" applyBorder="1" applyAlignment="1" applyProtection="1">
      <alignment horizontal="center"/>
      <protection locked="0"/>
    </xf>
    <xf numFmtId="0" fontId="4" fillId="0" borderId="7" xfId="1" applyFont="1" applyBorder="1" applyAlignment="1" applyProtection="1">
      <alignment horizontal="center"/>
      <protection locked="0"/>
    </xf>
    <xf numFmtId="0" fontId="4" fillId="0" borderId="13" xfId="1" quotePrefix="1" applyFont="1" applyBorder="1" applyAlignment="1" applyProtection="1">
      <alignment horizontal="center"/>
      <protection locked="0"/>
    </xf>
    <xf numFmtId="0" fontId="4" fillId="0" borderId="12" xfId="1" quotePrefix="1" applyFont="1" applyBorder="1" applyAlignment="1" applyProtection="1">
      <alignment horizontal="center"/>
      <protection locked="0"/>
    </xf>
    <xf numFmtId="0" fontId="8" fillId="5" borderId="0" xfId="1" applyFont="1" applyFill="1" applyProtection="1">
      <protection locked="0"/>
    </xf>
    <xf numFmtId="0" fontId="1" fillId="0" borderId="0" xfId="1" applyAlignment="1">
      <alignment vertical="top"/>
    </xf>
    <xf numFmtId="0" fontId="1" fillId="5" borderId="0" xfId="1" applyFill="1" applyAlignment="1" applyProtection="1">
      <alignment vertical="top"/>
      <protection locked="0"/>
    </xf>
    <xf numFmtId="44" fontId="4" fillId="5" borderId="15" xfId="3" applyFont="1" applyFill="1" applyBorder="1" applyAlignment="1" applyProtection="1">
      <alignment horizontal="left" vertical="center"/>
      <protection locked="0"/>
    </xf>
    <xf numFmtId="0" fontId="1" fillId="0" borderId="15" xfId="1" applyBorder="1" applyAlignment="1" applyProtection="1">
      <alignment vertical="center"/>
      <protection locked="0"/>
    </xf>
    <xf numFmtId="44" fontId="20" fillId="0" borderId="9" xfId="3" applyFont="1" applyBorder="1" applyAlignment="1" applyProtection="1">
      <alignment vertical="center"/>
      <protection locked="0"/>
    </xf>
    <xf numFmtId="44" fontId="21" fillId="5" borderId="15" xfId="3" applyFont="1" applyFill="1" applyBorder="1" applyAlignment="1" applyProtection="1">
      <alignment horizontal="left" vertical="center"/>
      <protection locked="0"/>
    </xf>
    <xf numFmtId="0" fontId="21" fillId="0" borderId="9" xfId="1" applyFont="1" applyBorder="1" applyAlignment="1" applyProtection="1">
      <alignment vertical="center"/>
      <protection locked="0"/>
    </xf>
    <xf numFmtId="44" fontId="21" fillId="0" borderId="9" xfId="3" applyFont="1" applyBorder="1" applyAlignment="1" applyProtection="1">
      <alignment vertical="center"/>
      <protection locked="0"/>
    </xf>
    <xf numFmtId="44" fontId="1" fillId="0" borderId="15" xfId="1" applyNumberFormat="1" applyBorder="1" applyAlignment="1" applyProtection="1">
      <alignment vertical="center"/>
      <protection locked="0"/>
    </xf>
    <xf numFmtId="10" fontId="20" fillId="0" borderId="9" xfId="4" applyNumberFormat="1" applyFont="1" applyBorder="1" applyAlignment="1" applyProtection="1">
      <alignment vertical="center"/>
      <protection locked="0"/>
    </xf>
    <xf numFmtId="167" fontId="4" fillId="5" borderId="15" xfId="3" applyNumberFormat="1" applyFont="1" applyFill="1" applyBorder="1" applyAlignment="1" applyProtection="1">
      <alignment horizontal="left" vertical="center"/>
      <protection locked="0"/>
    </xf>
    <xf numFmtId="167" fontId="21" fillId="5" borderId="15" xfId="3" applyNumberFormat="1" applyFont="1" applyFill="1" applyBorder="1" applyAlignment="1" applyProtection="1">
      <alignment horizontal="left" vertical="center"/>
      <protection locked="0"/>
    </xf>
    <xf numFmtId="0" fontId="21" fillId="0" borderId="15" xfId="1" applyFont="1" applyBorder="1" applyAlignment="1" applyProtection="1">
      <alignment vertical="center"/>
      <protection locked="0"/>
    </xf>
    <xf numFmtId="0" fontId="4" fillId="12" borderId="2" xfId="1" applyFont="1" applyFill="1" applyBorder="1" applyAlignment="1" applyProtection="1">
      <alignment vertical="top"/>
      <protection locked="0"/>
    </xf>
    <xf numFmtId="0" fontId="1" fillId="12" borderId="3" xfId="1" applyFill="1" applyBorder="1" applyAlignment="1" applyProtection="1">
      <alignment vertical="top"/>
      <protection locked="0"/>
    </xf>
    <xf numFmtId="167" fontId="4" fillId="12" borderId="1" xfId="3" applyNumberFormat="1" applyFont="1" applyFill="1" applyBorder="1" applyAlignment="1" applyProtection="1">
      <alignment horizontal="left" vertical="center"/>
      <protection locked="0"/>
    </xf>
    <xf numFmtId="0" fontId="4" fillId="12" borderId="1" xfId="1" applyFont="1" applyFill="1" applyBorder="1" applyAlignment="1" applyProtection="1">
      <alignment vertical="center"/>
      <protection locked="0"/>
    </xf>
    <xf numFmtId="44" fontId="22" fillId="12" borderId="4" xfId="3" applyFont="1" applyFill="1" applyBorder="1" applyAlignment="1" applyProtection="1">
      <alignment vertical="center"/>
      <protection locked="0"/>
    </xf>
    <xf numFmtId="167" fontId="23" fillId="12" borderId="1" xfId="3" applyNumberFormat="1" applyFont="1" applyFill="1" applyBorder="1" applyAlignment="1" applyProtection="1">
      <alignment horizontal="left" vertical="center"/>
      <protection locked="0"/>
    </xf>
    <xf numFmtId="0" fontId="4" fillId="12" borderId="4" xfId="1" applyFont="1" applyFill="1" applyBorder="1" applyAlignment="1" applyProtection="1">
      <alignment vertical="center"/>
      <protection locked="0"/>
    </xf>
    <xf numFmtId="44" fontId="4" fillId="12" borderId="1" xfId="1" applyNumberFormat="1" applyFont="1" applyFill="1" applyBorder="1" applyAlignment="1" applyProtection="1">
      <alignment vertical="center"/>
      <protection locked="0"/>
    </xf>
    <xf numFmtId="10" fontId="4" fillId="12" borderId="4" xfId="4" applyNumberFormat="1" applyFont="1" applyFill="1" applyBorder="1" applyAlignment="1" applyProtection="1">
      <alignment vertical="center"/>
      <protection locked="0"/>
    </xf>
    <xf numFmtId="0" fontId="1" fillId="0" borderId="0" xfId="1" applyAlignment="1">
      <alignment vertical="top" wrapText="1"/>
    </xf>
    <xf numFmtId="164" fontId="1" fillId="3" borderId="15" xfId="2" applyNumberFormat="1" applyFont="1" applyFill="1" applyBorder="1" applyAlignment="1" applyProtection="1">
      <alignment vertical="center"/>
      <protection locked="0"/>
    </xf>
    <xf numFmtId="164" fontId="21" fillId="3" borderId="15" xfId="2" applyNumberFormat="1" applyFont="1" applyFill="1" applyBorder="1" applyAlignment="1" applyProtection="1">
      <alignment vertical="center"/>
      <protection locked="0"/>
    </xf>
    <xf numFmtId="164" fontId="1" fillId="0" borderId="15" xfId="2" applyNumberFormat="1" applyFont="1" applyFill="1" applyBorder="1" applyAlignment="1" applyProtection="1">
      <alignment vertical="center"/>
      <protection locked="0"/>
    </xf>
    <xf numFmtId="164" fontId="21" fillId="0" borderId="15" xfId="2" applyNumberFormat="1" applyFont="1" applyFill="1" applyBorder="1" applyAlignment="1" applyProtection="1">
      <alignment vertical="center"/>
      <protection locked="0"/>
    </xf>
    <xf numFmtId="168" fontId="4" fillId="5" borderId="15" xfId="3" applyNumberFormat="1" applyFont="1" applyFill="1" applyBorder="1" applyAlignment="1" applyProtection="1">
      <alignment horizontal="left" vertical="center"/>
      <protection locked="0"/>
    </xf>
    <xf numFmtId="168" fontId="21" fillId="5" borderId="15" xfId="3" applyNumberFormat="1" applyFont="1" applyFill="1" applyBorder="1" applyAlignment="1" applyProtection="1">
      <alignment horizontal="left" vertical="center"/>
      <protection locked="0"/>
    </xf>
    <xf numFmtId="0" fontId="4" fillId="12" borderId="2" xfId="1" applyFont="1" applyFill="1" applyBorder="1" applyAlignment="1" applyProtection="1">
      <alignment vertical="top" wrapText="1"/>
      <protection locked="0"/>
    </xf>
    <xf numFmtId="0" fontId="1" fillId="12" borderId="3" xfId="1" applyFill="1" applyBorder="1" applyProtection="1">
      <protection locked="0"/>
    </xf>
    <xf numFmtId="0" fontId="4" fillId="12" borderId="1" xfId="1" applyFont="1" applyFill="1" applyBorder="1" applyAlignment="1" applyProtection="1">
      <alignment horizontal="left" vertical="center"/>
      <protection locked="0"/>
    </xf>
    <xf numFmtId="0" fontId="1" fillId="12" borderId="1" xfId="1" applyFill="1" applyBorder="1" applyAlignment="1" applyProtection="1">
      <alignment vertical="center"/>
      <protection locked="0"/>
    </xf>
    <xf numFmtId="44" fontId="4" fillId="12" borderId="4" xfId="1" applyNumberFormat="1" applyFont="1" applyFill="1" applyBorder="1" applyAlignment="1" applyProtection="1">
      <alignment vertical="center"/>
      <protection locked="0"/>
    </xf>
    <xf numFmtId="0" fontId="23" fillId="12" borderId="1" xfId="1" applyFont="1" applyFill="1" applyBorder="1" applyAlignment="1" applyProtection="1">
      <alignment horizontal="left" vertical="center"/>
      <protection locked="0"/>
    </xf>
    <xf numFmtId="0" fontId="1" fillId="12" borderId="4" xfId="1" applyFill="1" applyBorder="1" applyAlignment="1" applyProtection="1">
      <alignment vertical="center"/>
      <protection locked="0"/>
    </xf>
    <xf numFmtId="0" fontId="1" fillId="0" borderId="0" xfId="1" applyAlignment="1">
      <alignment vertical="center"/>
    </xf>
    <xf numFmtId="167" fontId="23" fillId="5" borderId="15" xfId="3" applyNumberFormat="1" applyFont="1" applyFill="1" applyBorder="1" applyAlignment="1" applyProtection="1">
      <alignment horizontal="left" vertical="center"/>
      <protection locked="0"/>
    </xf>
    <xf numFmtId="0" fontId="1" fillId="0" borderId="11" xfId="1" applyBorder="1" applyAlignment="1">
      <alignment vertical="center" wrapText="1"/>
    </xf>
    <xf numFmtId="0" fontId="1" fillId="0" borderId="0" xfId="1" applyAlignment="1" applyProtection="1">
      <alignment vertical="top" wrapText="1"/>
      <protection locked="0"/>
    </xf>
    <xf numFmtId="44" fontId="1" fillId="0" borderId="9" xfId="3" applyFont="1" applyBorder="1" applyAlignment="1" applyProtection="1">
      <alignment vertical="center"/>
      <protection locked="0"/>
    </xf>
    <xf numFmtId="0" fontId="1" fillId="0" borderId="0" xfId="1" applyAlignment="1" applyProtection="1">
      <alignment vertical="top"/>
      <protection locked="0"/>
    </xf>
    <xf numFmtId="167" fontId="4" fillId="0" borderId="15" xfId="3" applyNumberFormat="1" applyFont="1" applyFill="1" applyBorder="1" applyAlignment="1" applyProtection="1">
      <alignment horizontal="left" vertical="center"/>
      <protection locked="0"/>
    </xf>
    <xf numFmtId="164" fontId="1" fillId="5" borderId="15" xfId="2" applyNumberFormat="1" applyFont="1" applyFill="1" applyBorder="1" applyAlignment="1" applyProtection="1">
      <alignment vertical="center"/>
      <protection locked="0"/>
    </xf>
    <xf numFmtId="167" fontId="21" fillId="0" borderId="15" xfId="3" applyNumberFormat="1" applyFont="1" applyFill="1" applyBorder="1" applyAlignment="1" applyProtection="1">
      <alignment horizontal="left" vertical="center"/>
      <protection locked="0"/>
    </xf>
    <xf numFmtId="164" fontId="21" fillId="5" borderId="15" xfId="2" applyNumberFormat="1" applyFont="1" applyFill="1" applyBorder="1" applyAlignment="1" applyProtection="1">
      <alignment vertical="center"/>
      <protection locked="0"/>
    </xf>
    <xf numFmtId="167" fontId="4" fillId="14" borderId="15" xfId="3" applyNumberFormat="1" applyFont="1" applyFill="1" applyBorder="1" applyAlignment="1" applyProtection="1">
      <alignment horizontal="left" vertical="center"/>
      <protection locked="0"/>
    </xf>
    <xf numFmtId="167" fontId="21" fillId="14" borderId="15" xfId="3" applyNumberFormat="1" applyFont="1" applyFill="1" applyBorder="1" applyAlignment="1" applyProtection="1">
      <alignment horizontal="left" vertical="center"/>
      <protection locked="0"/>
    </xf>
    <xf numFmtId="0" fontId="1" fillId="15" borderId="16" xfId="1" applyFill="1" applyBorder="1" applyProtection="1">
      <protection locked="0"/>
    </xf>
    <xf numFmtId="0" fontId="1" fillId="15" borderId="17" xfId="1" applyFill="1" applyBorder="1" applyAlignment="1" applyProtection="1">
      <alignment vertical="top"/>
      <protection locked="0"/>
    </xf>
    <xf numFmtId="167" fontId="1" fillId="15" borderId="18" xfId="3" applyNumberFormat="1" applyFont="1" applyFill="1" applyBorder="1" applyAlignment="1" applyProtection="1">
      <alignment vertical="top"/>
      <protection locked="0"/>
    </xf>
    <xf numFmtId="0" fontId="1" fillId="15" borderId="19" xfId="1" applyFill="1" applyBorder="1" applyAlignment="1" applyProtection="1">
      <alignment vertical="center"/>
      <protection locked="0"/>
    </xf>
    <xf numFmtId="44" fontId="1" fillId="15" borderId="17" xfId="3" applyFont="1" applyFill="1" applyBorder="1" applyAlignment="1" applyProtection="1">
      <alignment vertical="center"/>
      <protection locked="0"/>
    </xf>
    <xf numFmtId="0" fontId="1" fillId="15" borderId="18" xfId="1" applyFill="1" applyBorder="1" applyAlignment="1" applyProtection="1">
      <alignment vertical="center"/>
      <protection locked="0"/>
    </xf>
    <xf numFmtId="44" fontId="1" fillId="15" borderId="18" xfId="1" applyNumberFormat="1" applyFill="1" applyBorder="1" applyAlignment="1" applyProtection="1">
      <alignment vertical="center"/>
      <protection locked="0"/>
    </xf>
    <xf numFmtId="10" fontId="1" fillId="15" borderId="20" xfId="4" applyNumberFormat="1" applyFont="1" applyFill="1" applyBorder="1" applyAlignment="1" applyProtection="1">
      <alignment vertical="center"/>
      <protection locked="0"/>
    </xf>
    <xf numFmtId="0" fontId="4" fillId="0" borderId="0" xfId="1" applyFont="1" applyAlignment="1" applyProtection="1">
      <alignment vertical="top"/>
      <protection locked="0"/>
    </xf>
    <xf numFmtId="9" fontId="1" fillId="0" borderId="15" xfId="1" applyNumberFormat="1" applyBorder="1" applyAlignment="1" applyProtection="1">
      <alignment vertical="top"/>
      <protection locked="0"/>
    </xf>
    <xf numFmtId="9" fontId="1" fillId="0" borderId="0" xfId="1" applyNumberFormat="1" applyAlignment="1" applyProtection="1">
      <alignment vertical="center"/>
      <protection locked="0"/>
    </xf>
    <xf numFmtId="44" fontId="4" fillId="0" borderId="8" xfId="1" applyNumberFormat="1" applyFont="1" applyBorder="1" applyAlignment="1" applyProtection="1">
      <alignment vertical="center"/>
      <protection locked="0"/>
    </xf>
    <xf numFmtId="9" fontId="4" fillId="0" borderId="15" xfId="1" applyNumberFormat="1" applyFont="1" applyBorder="1" applyAlignment="1" applyProtection="1">
      <alignment vertical="center"/>
      <protection locked="0"/>
    </xf>
    <xf numFmtId="44" fontId="4" fillId="0" borderId="15" xfId="1" applyNumberFormat="1" applyFont="1" applyBorder="1" applyAlignment="1" applyProtection="1">
      <alignment vertical="center"/>
      <protection locked="0"/>
    </xf>
    <xf numFmtId="10" fontId="4" fillId="0" borderId="9" xfId="4" applyNumberFormat="1" applyFont="1" applyFill="1" applyBorder="1" applyAlignment="1" applyProtection="1">
      <alignment vertical="center"/>
      <protection locked="0"/>
    </xf>
    <xf numFmtId="0" fontId="1" fillId="0" borderId="0" xfId="1" applyAlignment="1" applyProtection="1">
      <alignment horizontal="left" vertical="top" indent="1"/>
      <protection locked="0"/>
    </xf>
    <xf numFmtId="0" fontId="1" fillId="0" borderId="0" xfId="1" applyAlignment="1" applyProtection="1">
      <alignment vertical="center"/>
      <protection locked="0"/>
    </xf>
    <xf numFmtId="44" fontId="1" fillId="0" borderId="8" xfId="1" applyNumberFormat="1" applyBorder="1" applyAlignment="1" applyProtection="1">
      <alignment vertical="center"/>
      <protection locked="0"/>
    </xf>
    <xf numFmtId="9" fontId="1" fillId="0" borderId="15" xfId="1" applyNumberFormat="1" applyBorder="1" applyAlignment="1" applyProtection="1">
      <alignment vertical="center"/>
      <protection locked="0"/>
    </xf>
    <xf numFmtId="10" fontId="1" fillId="0" borderId="9" xfId="4" applyNumberFormat="1" applyFont="1" applyFill="1" applyBorder="1" applyAlignment="1" applyProtection="1">
      <alignment vertical="center"/>
      <protection locked="0"/>
    </xf>
    <xf numFmtId="165" fontId="1" fillId="0" borderId="15" xfId="1" applyNumberFormat="1" applyBorder="1" applyAlignment="1" applyProtection="1">
      <alignment vertical="top"/>
      <protection locked="0"/>
    </xf>
    <xf numFmtId="0" fontId="1" fillId="16" borderId="13" xfId="1" applyFill="1" applyBorder="1" applyAlignment="1" applyProtection="1">
      <alignment vertical="top"/>
      <protection locked="0"/>
    </xf>
    <xf numFmtId="0" fontId="1" fillId="16" borderId="11" xfId="1" applyFill="1" applyBorder="1" applyAlignment="1" applyProtection="1">
      <alignment vertical="center"/>
      <protection locked="0"/>
    </xf>
    <xf numFmtId="44" fontId="4" fillId="16" borderId="8" xfId="1" applyNumberFormat="1" applyFont="1" applyFill="1" applyBorder="1" applyAlignment="1" applyProtection="1">
      <alignment vertical="center"/>
      <protection locked="0"/>
    </xf>
    <xf numFmtId="0" fontId="4" fillId="16" borderId="13" xfId="1" applyFont="1" applyFill="1" applyBorder="1" applyAlignment="1" applyProtection="1">
      <alignment vertical="center"/>
      <protection locked="0"/>
    </xf>
    <xf numFmtId="44" fontId="4" fillId="16" borderId="10" xfId="1" applyNumberFormat="1" applyFont="1" applyFill="1" applyBorder="1" applyAlignment="1" applyProtection="1">
      <alignment vertical="center"/>
      <protection locked="0"/>
    </xf>
    <xf numFmtId="44" fontId="4" fillId="16" borderId="13" xfId="1" applyNumberFormat="1" applyFont="1" applyFill="1" applyBorder="1" applyAlignment="1" applyProtection="1">
      <alignment vertical="center"/>
      <protection locked="0"/>
    </xf>
    <xf numFmtId="10" fontId="4" fillId="16" borderId="12" xfId="4" applyNumberFormat="1" applyFont="1" applyFill="1" applyBorder="1" applyAlignment="1" applyProtection="1">
      <alignment vertical="center"/>
      <protection locked="0"/>
    </xf>
    <xf numFmtId="0" fontId="1" fillId="16" borderId="15" xfId="1" applyFill="1" applyBorder="1" applyAlignment="1" applyProtection="1">
      <alignment vertical="top"/>
      <protection locked="0"/>
    </xf>
    <xf numFmtId="0" fontId="1" fillId="16" borderId="0" xfId="1" applyFill="1" applyAlignment="1" applyProtection="1">
      <alignment vertical="center"/>
      <protection locked="0"/>
    </xf>
    <xf numFmtId="0" fontId="4" fillId="16" borderId="15" xfId="1" applyFont="1" applyFill="1" applyBorder="1" applyAlignment="1" applyProtection="1">
      <alignment vertical="center"/>
      <protection locked="0"/>
    </xf>
    <xf numFmtId="44" fontId="4" fillId="16" borderId="15" xfId="1" applyNumberFormat="1" applyFont="1" applyFill="1" applyBorder="1" applyAlignment="1" applyProtection="1">
      <alignment vertical="center"/>
      <protection locked="0"/>
    </xf>
    <xf numFmtId="10" fontId="4" fillId="16" borderId="9" xfId="4" applyNumberFormat="1" applyFont="1" applyFill="1" applyBorder="1" applyAlignment="1" applyProtection="1">
      <alignment vertical="center"/>
      <protection locked="0"/>
    </xf>
    <xf numFmtId="167" fontId="1" fillId="15" borderId="19" xfId="3" applyNumberFormat="1" applyFont="1" applyFill="1" applyBorder="1" applyAlignment="1" applyProtection="1">
      <alignment vertical="top"/>
      <protection locked="0"/>
    </xf>
    <xf numFmtId="0" fontId="1" fillId="15" borderId="17" xfId="1" applyFill="1" applyBorder="1" applyAlignment="1" applyProtection="1">
      <alignment vertical="center"/>
      <protection locked="0"/>
    </xf>
    <xf numFmtId="44" fontId="1" fillId="15" borderId="21" xfId="3" applyFont="1" applyFill="1" applyBorder="1" applyAlignment="1" applyProtection="1">
      <alignment vertical="center"/>
      <protection locked="0"/>
    </xf>
    <xf numFmtId="44" fontId="1" fillId="15" borderId="19" xfId="1" applyNumberFormat="1" applyFill="1" applyBorder="1" applyAlignment="1" applyProtection="1">
      <alignment vertical="center"/>
      <protection locked="0"/>
    </xf>
    <xf numFmtId="167" fontId="1" fillId="15" borderId="19" xfId="3" applyNumberFormat="1" applyFill="1" applyBorder="1" applyAlignment="1" applyProtection="1">
      <alignment vertical="top"/>
      <protection locked="0"/>
    </xf>
    <xf numFmtId="44" fontId="1" fillId="15" borderId="21" xfId="3" applyFill="1" applyBorder="1" applyAlignment="1" applyProtection="1">
      <alignment vertical="center"/>
      <protection locked="0"/>
    </xf>
    <xf numFmtId="10" fontId="1" fillId="15" borderId="20" xfId="4" applyNumberFormat="1" applyFill="1" applyBorder="1" applyAlignment="1" applyProtection="1">
      <alignment vertical="center"/>
      <protection locked="0"/>
    </xf>
    <xf numFmtId="167" fontId="21" fillId="17" borderId="15" xfId="3" applyNumberFormat="1" applyFont="1" applyFill="1" applyBorder="1" applyAlignment="1" applyProtection="1">
      <alignment horizontal="left" vertical="center"/>
      <protection locked="0"/>
    </xf>
    <xf numFmtId="168" fontId="4" fillId="18" borderId="15" xfId="3" applyNumberFormat="1" applyFont="1" applyFill="1" applyBorder="1" applyAlignment="1" applyProtection="1">
      <alignment horizontal="left" vertical="center"/>
      <protection locked="0"/>
    </xf>
    <xf numFmtId="0" fontId="1" fillId="18" borderId="15" xfId="1" applyFill="1" applyBorder="1" applyAlignment="1" applyProtection="1">
      <alignment vertical="center"/>
      <protection locked="0"/>
    </xf>
    <xf numFmtId="44" fontId="1" fillId="18" borderId="9" xfId="3" applyFont="1" applyFill="1" applyBorder="1" applyAlignment="1" applyProtection="1">
      <alignment vertical="center"/>
      <protection locked="0"/>
    </xf>
    <xf numFmtId="168" fontId="21" fillId="18" borderId="15" xfId="3" applyNumberFormat="1" applyFont="1" applyFill="1" applyBorder="1" applyAlignment="1" applyProtection="1">
      <alignment horizontal="left" vertical="center"/>
      <protection locked="0"/>
    </xf>
    <xf numFmtId="0" fontId="21" fillId="18" borderId="9" xfId="1" applyFont="1" applyFill="1" applyBorder="1" applyAlignment="1" applyProtection="1">
      <alignment vertical="center"/>
      <protection locked="0"/>
    </xf>
    <xf numFmtId="44" fontId="21" fillId="18" borderId="9" xfId="3" applyFont="1" applyFill="1" applyBorder="1" applyAlignment="1" applyProtection="1">
      <alignment vertical="center"/>
      <protection locked="0"/>
    </xf>
    <xf numFmtId="44" fontId="1" fillId="18" borderId="15" xfId="1" applyNumberFormat="1" applyFill="1" applyBorder="1" applyAlignment="1" applyProtection="1">
      <alignment vertical="center"/>
      <protection locked="0"/>
    </xf>
    <xf numFmtId="10" fontId="20" fillId="18" borderId="9" xfId="4" applyNumberFormat="1" applyFont="1" applyFill="1" applyBorder="1" applyAlignment="1" applyProtection="1">
      <alignment vertical="center"/>
      <protection locked="0"/>
    </xf>
    <xf numFmtId="0" fontId="4" fillId="10" borderId="2" xfId="1" applyFont="1" applyFill="1" applyBorder="1" applyAlignment="1">
      <alignment horizontal="center" vertical="center"/>
    </xf>
    <xf numFmtId="0" fontId="4" fillId="10" borderId="4" xfId="1" applyFont="1" applyFill="1" applyBorder="1" applyAlignment="1">
      <alignment horizontal="center" vertical="center"/>
    </xf>
    <xf numFmtId="0" fontId="4" fillId="11" borderId="2" xfId="1" applyFont="1" applyFill="1" applyBorder="1" applyAlignment="1">
      <alignment horizontal="center" vertical="center"/>
    </xf>
    <xf numFmtId="0" fontId="4" fillId="11" borderId="4" xfId="1" applyFont="1" applyFill="1" applyBorder="1" applyAlignment="1">
      <alignment horizontal="center" vertical="center"/>
    </xf>
    <xf numFmtId="0" fontId="7" fillId="2" borderId="0" xfId="1" applyFont="1" applyFill="1" applyAlignment="1">
      <alignment horizontal="left" indent="7"/>
    </xf>
    <xf numFmtId="0" fontId="10" fillId="0" borderId="0" xfId="1" applyFont="1" applyAlignment="1">
      <alignment horizontal="center"/>
    </xf>
    <xf numFmtId="0" fontId="11" fillId="0" borderId="0" xfId="1" applyFont="1" applyAlignment="1">
      <alignment horizontal="left" vertical="top" wrapText="1"/>
    </xf>
    <xf numFmtId="0" fontId="4" fillId="0" borderId="2" xfId="1" applyFont="1" applyBorder="1" applyAlignment="1">
      <alignment horizontal="left" vertical="center" wrapText="1"/>
    </xf>
    <xf numFmtId="0" fontId="4" fillId="0" borderId="3" xfId="1" applyFont="1" applyBorder="1" applyAlignment="1">
      <alignment horizontal="left" vertical="center"/>
    </xf>
    <xf numFmtId="0" fontId="4" fillId="0" borderId="4" xfId="1" applyFont="1" applyBorder="1" applyAlignment="1">
      <alignment horizontal="left" vertical="center"/>
    </xf>
    <xf numFmtId="0" fontId="1" fillId="5" borderId="2" xfId="1" applyFill="1" applyBorder="1" applyAlignment="1">
      <alignment horizontal="left" vertical="top"/>
    </xf>
    <xf numFmtId="0" fontId="1" fillId="5" borderId="3" xfId="1" applyFill="1" applyBorder="1" applyAlignment="1">
      <alignment horizontal="left" vertical="top"/>
    </xf>
    <xf numFmtId="0" fontId="1" fillId="5" borderId="4" xfId="1" applyFill="1" applyBorder="1" applyAlignment="1">
      <alignment horizontal="left" vertical="top"/>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3" xfId="1" applyFont="1" applyBorder="1" applyAlignment="1">
      <alignment horizontal="center" vertical="center"/>
    </xf>
    <xf numFmtId="0" fontId="4" fillId="10" borderId="3" xfId="1" applyFont="1" applyFill="1" applyBorder="1" applyAlignment="1">
      <alignment horizontal="center" vertical="center"/>
    </xf>
    <xf numFmtId="0" fontId="4" fillId="0" borderId="2" xfId="1" applyFont="1" applyBorder="1" applyAlignment="1" applyProtection="1">
      <alignment horizontal="center"/>
      <protection locked="0"/>
    </xf>
    <xf numFmtId="0" fontId="4" fillId="0" borderId="4" xfId="1" applyFont="1" applyBorder="1" applyAlignment="1" applyProtection="1">
      <alignment horizontal="center"/>
      <protection locked="0"/>
    </xf>
    <xf numFmtId="0" fontId="4" fillId="5" borderId="0" xfId="1" applyFont="1" applyFill="1" applyAlignment="1" applyProtection="1">
      <alignment horizontal="center" wrapText="1"/>
      <protection locked="0"/>
    </xf>
    <xf numFmtId="0" fontId="1" fillId="5" borderId="0" xfId="1" applyFill="1" applyAlignment="1" applyProtection="1">
      <alignment horizontal="center" wrapText="1"/>
      <protection locked="0"/>
    </xf>
    <xf numFmtId="0" fontId="4" fillId="0" borderId="15" xfId="1" applyFont="1" applyBorder="1" applyAlignment="1" applyProtection="1">
      <alignment horizontal="center" wrapText="1"/>
      <protection locked="0"/>
    </xf>
    <xf numFmtId="0" fontId="1" fillId="0" borderId="13" xfId="1" applyBorder="1" applyAlignment="1" applyProtection="1">
      <alignment wrapText="1"/>
      <protection locked="0"/>
    </xf>
    <xf numFmtId="0" fontId="4" fillId="0" borderId="9" xfId="1" applyFont="1" applyBorder="1" applyAlignment="1" applyProtection="1">
      <alignment horizontal="center" wrapText="1"/>
      <protection locked="0"/>
    </xf>
    <xf numFmtId="0" fontId="1" fillId="0" borderId="12" xfId="1" applyBorder="1" applyAlignment="1" applyProtection="1">
      <alignment wrapText="1"/>
      <protection locked="0"/>
    </xf>
    <xf numFmtId="0" fontId="18" fillId="5" borderId="1" xfId="1" applyFont="1" applyFill="1" applyBorder="1" applyAlignment="1" applyProtection="1">
      <alignment horizontal="left" vertical="top"/>
      <protection locked="0"/>
    </xf>
    <xf numFmtId="0" fontId="4" fillId="5" borderId="13" xfId="1" applyFont="1" applyFill="1" applyBorder="1" applyAlignment="1" applyProtection="1">
      <alignment horizontal="left" vertical="top"/>
      <protection locked="0"/>
    </xf>
    <xf numFmtId="0" fontId="4" fillId="0" borderId="3" xfId="1" applyFont="1" applyBorder="1" applyAlignment="1" applyProtection="1">
      <alignment horizontal="center"/>
      <protection locked="0"/>
    </xf>
    <xf numFmtId="0" fontId="4" fillId="16" borderId="0" xfId="1" applyFont="1" applyFill="1" applyAlignment="1" applyProtection="1">
      <alignment horizontal="left" vertical="top" wrapText="1"/>
      <protection locked="0"/>
    </xf>
  </cellXfs>
  <cellStyles count="5">
    <cellStyle name="Comma 4" xfId="2" xr:uid="{16FBDF0B-5C07-4A65-963B-1D1571808950}"/>
    <cellStyle name="Currency 2" xfId="3" xr:uid="{2E900C7C-D83A-425B-86C4-8FBEC40C3C3F}"/>
    <cellStyle name="Normal" xfId="0" builtinId="0"/>
    <cellStyle name="Normal 2" xfId="1" xr:uid="{5DF17324-EEEF-4FEA-9B6C-722F52173848}"/>
    <cellStyle name="Percent 2" xfId="4" xr:uid="{589172BA-7A33-4927-BC66-A6FBBC0CC5B8}"/>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13</xdr:col>
      <xdr:colOff>1438275</xdr:colOff>
      <xdr:row>8</xdr:row>
      <xdr:rowOff>1884</xdr:rowOff>
    </xdr:to>
    <xdr:pic>
      <xdr:nvPicPr>
        <xdr:cNvPr id="2" name="Picture 1">
          <a:extLst>
            <a:ext uri="{FF2B5EF4-FFF2-40B4-BE49-F238E27FC236}">
              <a16:creationId xmlns:a16="http://schemas.microsoft.com/office/drawing/2014/main" id="{7627E1A4-2FDC-4C90-9366-701618166F1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4097000" cy="1411584"/>
        </a:xfrm>
        <a:prstGeom prst="rect">
          <a:avLst/>
        </a:prstGeom>
        <a:ln>
          <a:noFill/>
        </a:ln>
        <a:effectLst>
          <a:softEdge rad="112500"/>
        </a:effectLst>
      </xdr:spPr>
    </xdr:pic>
    <xdr:clientData/>
  </xdr:twoCellAnchor>
  <xdr:twoCellAnchor>
    <xdr:from>
      <xdr:col>3</xdr:col>
      <xdr:colOff>1814300</xdr:colOff>
      <xdr:row>1</xdr:row>
      <xdr:rowOff>47154</xdr:rowOff>
    </xdr:from>
    <xdr:to>
      <xdr:col>12</xdr:col>
      <xdr:colOff>508335</xdr:colOff>
      <xdr:row>4</xdr:row>
      <xdr:rowOff>18168</xdr:rowOff>
    </xdr:to>
    <xdr:sp macro="" textlink="">
      <xdr:nvSpPr>
        <xdr:cNvPr id="3" name="Rectangle 2">
          <a:extLst>
            <a:ext uri="{FF2B5EF4-FFF2-40B4-BE49-F238E27FC236}">
              <a16:creationId xmlns:a16="http://schemas.microsoft.com/office/drawing/2014/main" id="{081A04A2-6E8C-47D0-83D9-4C29AE785C20}"/>
            </a:ext>
          </a:extLst>
        </xdr:cNvPr>
        <xdr:cNvSpPr/>
      </xdr:nvSpPr>
      <xdr:spPr>
        <a:xfrm>
          <a:off x="2049250" y="339254"/>
          <a:ext cx="10047835" cy="63776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3</xdr:col>
      <xdr:colOff>16357</xdr:colOff>
      <xdr:row>1</xdr:row>
      <xdr:rowOff>6409</xdr:rowOff>
    </xdr:from>
    <xdr:to>
      <xdr:col>3</xdr:col>
      <xdr:colOff>407593</xdr:colOff>
      <xdr:row>3</xdr:row>
      <xdr:rowOff>20475</xdr:rowOff>
    </xdr:to>
    <xdr:pic>
      <xdr:nvPicPr>
        <xdr:cNvPr id="4" name="Picture 3">
          <a:extLst>
            <a:ext uri="{FF2B5EF4-FFF2-40B4-BE49-F238E27FC236}">
              <a16:creationId xmlns:a16="http://schemas.microsoft.com/office/drawing/2014/main" id="{F5F858EF-89CA-46F6-9522-CB586D5015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51307" y="298509"/>
          <a:ext cx="391236" cy="45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358613</xdr:colOff>
      <xdr:row>0</xdr:row>
      <xdr:rowOff>165301</xdr:rowOff>
    </xdr:from>
    <xdr:to>
      <xdr:col>4</xdr:col>
      <xdr:colOff>640216</xdr:colOff>
      <xdr:row>2</xdr:row>
      <xdr:rowOff>135597</xdr:rowOff>
    </xdr:to>
    <xdr:sp macro="" textlink="">
      <xdr:nvSpPr>
        <xdr:cNvPr id="5" name="Rectangle 4">
          <a:extLst>
            <a:ext uri="{FF2B5EF4-FFF2-40B4-BE49-F238E27FC236}">
              <a16:creationId xmlns:a16="http://schemas.microsoft.com/office/drawing/2014/main" id="{254E7D48-EFB9-4F98-832E-32977B0D402D}"/>
            </a:ext>
          </a:extLst>
        </xdr:cNvPr>
        <xdr:cNvSpPr/>
      </xdr:nvSpPr>
      <xdr:spPr>
        <a:xfrm>
          <a:off x="593563" y="165301"/>
          <a:ext cx="2707303" cy="48464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Annual%20Updates\2024%20Annual%20Updates\2024-IRM-Rate-Generator-Model_20230805_Orillia.xlsb" TargetMode="External"/><Relationship Id="rId2" Type="http://schemas.microsoft.com/office/2019/04/relationships/externalLinkLongPath" Target="2024-IRM-Rate-Generator-Model_20230805_Orillia.xlsb?2CB3183C" TargetMode="External"/><Relationship Id="rId1" Type="http://schemas.openxmlformats.org/officeDocument/2006/relationships/externalLinkPath" Target="file:///\\2CB3183C\2024-IRM-Rate-Generator-Model_20230805_Orillia.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Annual%20Updates\2024%20Annual%20Updates\2024-IRM-Rate-Generator-Model_20230803_Peterborough.xlsb" TargetMode="External"/><Relationship Id="rId2" Type="http://schemas.microsoft.com/office/2019/04/relationships/externalLinkLongPath" Target="2024-IRM-Rate-Generator-Model_20230803_Peterborough.xlsb?2CB3183C" TargetMode="External"/><Relationship Id="rId1" Type="http://schemas.openxmlformats.org/officeDocument/2006/relationships/externalLinkPath" Target="file:///\\2CB3183C\2024-IRM-Rate-Generator-Model_20230803_Peterborough.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1 LV Expense"/>
      <sheetName val="16.2 LV Service Rate"/>
      <sheetName val="17. Rev2Cost_GDPIPI"/>
      <sheetName val="18. Regulatory Charges"/>
      <sheetName val="19. Additional Rates"/>
      <sheetName val="Rate Rider Database"/>
      <sheetName val="20. Final Tariff Schedule"/>
      <sheetName val="21.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1 LV Expense"/>
      <sheetName val="16.2 LV Service Rate"/>
      <sheetName val="17. Rev2Cost_GDPIPI"/>
      <sheetName val="18. Regulatory Charges"/>
      <sheetName val="19. Additional Rates"/>
      <sheetName val="Rate Rider Database"/>
      <sheetName val="20. Final Tariff Schedule"/>
      <sheetName val="21.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refreshError="1"/>
      <sheetData sheetId="1">
        <row r="26">
          <cell r="F26">
            <v>45292</v>
          </cell>
        </row>
      </sheetData>
      <sheetData sheetId="2" refreshError="1"/>
      <sheetData sheetId="3" refreshError="1"/>
      <sheetData sheetId="4" refreshError="1"/>
      <sheetData sheetId="5" refreshError="1"/>
      <sheetData sheetId="6">
        <row r="16">
          <cell r="A16" t="str">
            <v>Rate Class</v>
          </cell>
          <cell r="B16" t="str">
            <v>Unit</v>
          </cell>
        </row>
      </sheetData>
      <sheetData sheetId="7" refreshError="1"/>
      <sheetData sheetId="8" refreshError="1"/>
      <sheetData sheetId="9">
        <row r="27">
          <cell r="C27">
            <v>-1384398.0461669455</v>
          </cell>
        </row>
      </sheetData>
      <sheetData sheetId="10"/>
      <sheetData sheetId="11">
        <row r="27">
          <cell r="C27">
            <v>-239838.88975754849</v>
          </cell>
        </row>
      </sheetData>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7">
          <cell r="H17">
            <v>2.0916640749434135E-3</v>
          </cell>
        </row>
      </sheetData>
      <sheetData sheetId="24" refreshError="1"/>
      <sheetData sheetId="25">
        <row r="14">
          <cell r="D14">
            <v>44927</v>
          </cell>
          <cell r="E14">
            <v>45292</v>
          </cell>
        </row>
        <row r="15">
          <cell r="D15">
            <v>4.1000000000000003E-3</v>
          </cell>
          <cell r="E15">
            <v>4.1000000000000003E-3</v>
          </cell>
        </row>
        <row r="16">
          <cell r="D16">
            <v>4.0000000000000002E-4</v>
          </cell>
          <cell r="E16">
            <v>4.0000000000000002E-4</v>
          </cell>
        </row>
        <row r="17">
          <cell r="D17">
            <v>6.9999999999999999E-4</v>
          </cell>
          <cell r="E17">
            <v>6.9999999999999999E-4</v>
          </cell>
        </row>
        <row r="18">
          <cell r="D18">
            <v>0.25</v>
          </cell>
          <cell r="E18">
            <v>0.25</v>
          </cell>
        </row>
        <row r="23">
          <cell r="D23">
            <v>7.3999999999999996E-2</v>
          </cell>
          <cell r="E23">
            <v>0.63</v>
          </cell>
        </row>
        <row r="24">
          <cell r="D24">
            <v>0.10199999999999999</v>
          </cell>
          <cell r="E24">
            <v>0.18</v>
          </cell>
        </row>
        <row r="25">
          <cell r="D25">
            <v>0.151</v>
          </cell>
          <cell r="E25">
            <v>0.19</v>
          </cell>
        </row>
        <row r="33">
          <cell r="D33">
            <v>0.42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FA2B-A55C-4F9C-B5E1-29A4D8410A48}">
  <sheetPr>
    <tabColor rgb="FFFFFF00"/>
  </sheetPr>
  <dimension ref="A1:CA635"/>
  <sheetViews>
    <sheetView tabSelected="1" topLeftCell="C1" zoomScaleNormal="100" workbookViewId="0">
      <selection activeCell="B1" sqref="A1:B1048576"/>
    </sheetView>
  </sheetViews>
  <sheetFormatPr defaultColWidth="9.26953125" defaultRowHeight="12.5" x14ac:dyDescent="0.25"/>
  <cols>
    <col min="1" max="1" width="9.453125" style="14" hidden="1" customWidth="1"/>
    <col min="2" max="2" width="8" style="14" hidden="1" customWidth="1"/>
    <col min="3" max="3" width="3.453125" style="31" customWidth="1"/>
    <col min="4" max="4" width="34.7265625" style="14" customWidth="1"/>
    <col min="5" max="5" width="13.26953125" style="14" customWidth="1"/>
    <col min="6" max="6" width="26.7265625" style="14" customWidth="1"/>
    <col min="7" max="7" width="10.26953125" style="14" bestFit="1" customWidth="1"/>
    <col min="8" max="8" width="18.26953125" style="14" customWidth="1"/>
    <col min="9" max="9" width="12.7265625" style="14" customWidth="1"/>
    <col min="10" max="10" width="14.26953125" style="14" bestFit="1" customWidth="1"/>
    <col min="11" max="11" width="18.7265625" style="14" bestFit="1" customWidth="1"/>
    <col min="12" max="12" width="13.54296875" style="14" bestFit="1" customWidth="1"/>
    <col min="13" max="13" width="15.7265625" style="14" customWidth="1"/>
    <col min="14" max="14" width="22.26953125" style="14" customWidth="1"/>
    <col min="15" max="15" width="14.453125" style="14" customWidth="1"/>
    <col min="16" max="16" width="3.7265625" style="14" customWidth="1"/>
    <col min="17" max="17" width="11.26953125" style="14" customWidth="1"/>
    <col min="18" max="19" width="9.26953125" style="14"/>
    <col min="20" max="20" width="9.26953125" style="14" hidden="1" customWidth="1"/>
    <col min="21" max="16384" width="9.26953125" style="14"/>
  </cols>
  <sheetData>
    <row r="1" spans="3:79" s="5" customFormat="1" ht="23" x14ac:dyDescent="0.3">
      <c r="C1" s="1"/>
      <c r="D1" s="2"/>
      <c r="E1" s="2"/>
      <c r="F1" s="2"/>
      <c r="G1" s="2"/>
      <c r="H1" s="2"/>
      <c r="I1" s="2"/>
      <c r="J1" s="2"/>
      <c r="K1" s="2"/>
      <c r="L1" s="3"/>
      <c r="M1" s="4"/>
      <c r="P1" s="6"/>
      <c r="AZ1" s="5" t="s">
        <v>0</v>
      </c>
      <c r="CA1" s="5">
        <v>1</v>
      </c>
    </row>
    <row r="2" spans="3:79" s="5" customFormat="1" ht="17.5" x14ac:dyDescent="0.35">
      <c r="C2" s="7"/>
      <c r="D2" s="8"/>
      <c r="E2" s="8"/>
      <c r="F2" s="8"/>
      <c r="G2" s="8"/>
      <c r="H2" s="8"/>
      <c r="I2" s="8"/>
      <c r="J2" s="8"/>
      <c r="K2" s="8"/>
      <c r="L2" s="3"/>
      <c r="M2" s="4"/>
      <c r="P2" s="6"/>
    </row>
    <row r="3" spans="3:79" s="5" customFormat="1" ht="17.5" x14ac:dyDescent="0.35">
      <c r="C3" s="162"/>
      <c r="D3" s="162"/>
      <c r="E3" s="162"/>
      <c r="F3" s="162"/>
      <c r="G3" s="162"/>
      <c r="H3" s="162"/>
      <c r="I3" s="162"/>
      <c r="J3" s="162"/>
      <c r="K3" s="162"/>
      <c r="L3" s="3"/>
      <c r="M3" s="4"/>
      <c r="P3" s="6"/>
    </row>
    <row r="4" spans="3:79" s="5" customFormat="1" ht="17.5" x14ac:dyDescent="0.35">
      <c r="C4" s="7"/>
      <c r="D4" s="8"/>
      <c r="E4" s="8"/>
      <c r="F4" s="8"/>
      <c r="G4" s="8"/>
      <c r="H4" s="8"/>
      <c r="I4" s="9"/>
      <c r="J4" s="9"/>
      <c r="K4" s="9"/>
      <c r="L4" s="3"/>
      <c r="M4" s="4"/>
      <c r="P4" s="6"/>
    </row>
    <row r="5" spans="3:79" s="5" customFormat="1" ht="15.5" x14ac:dyDescent="0.35">
      <c r="C5" s="10"/>
      <c r="E5" s="11"/>
      <c r="L5" s="3"/>
      <c r="M5" s="4"/>
      <c r="P5" s="6"/>
    </row>
    <row r="6" spans="3:79" s="5" customFormat="1" ht="13" x14ac:dyDescent="0.3">
      <c r="C6" s="10"/>
      <c r="L6" s="3"/>
      <c r="M6" s="4"/>
      <c r="P6" s="6"/>
    </row>
    <row r="7" spans="3:79" s="5" customFormat="1" ht="9.75" customHeight="1" x14ac:dyDescent="0.3">
      <c r="C7" s="10"/>
      <c r="L7" s="3"/>
      <c r="M7" s="4"/>
      <c r="P7" s="6"/>
    </row>
    <row r="8" spans="3:79" s="5" customFormat="1" ht="2.25" customHeight="1" x14ac:dyDescent="0.25">
      <c r="C8" s="10"/>
      <c r="M8" s="4"/>
      <c r="N8" s="6"/>
      <c r="O8" s="6"/>
      <c r="P8" s="6"/>
    </row>
    <row r="9" spans="3:79" s="6" customFormat="1" ht="2.25" customHeight="1" x14ac:dyDescent="0.25">
      <c r="C9" s="12"/>
    </row>
    <row r="10" spans="3:79" s="6" customFormat="1" ht="2.25" customHeight="1" x14ac:dyDescent="0.4">
      <c r="C10" s="12"/>
      <c r="D10" s="163"/>
      <c r="E10" s="163"/>
      <c r="F10" s="163"/>
      <c r="G10" s="163"/>
      <c r="H10" s="163"/>
      <c r="I10" s="163"/>
      <c r="J10" s="163"/>
      <c r="K10" s="163"/>
      <c r="L10" s="163"/>
      <c r="M10" s="163"/>
      <c r="N10" s="13"/>
      <c r="O10" s="13"/>
    </row>
    <row r="11" spans="3:79" s="6" customFormat="1" ht="2.25" customHeight="1" x14ac:dyDescent="0.4">
      <c r="C11" s="12"/>
      <c r="D11" s="163"/>
      <c r="E11" s="163"/>
      <c r="F11" s="163"/>
      <c r="G11" s="163"/>
      <c r="H11" s="163"/>
      <c r="I11" s="163"/>
      <c r="J11" s="163"/>
      <c r="K11" s="163"/>
      <c r="L11" s="163"/>
      <c r="M11" s="163"/>
      <c r="N11" s="163"/>
      <c r="O11" s="163"/>
    </row>
    <row r="12" spans="3:79" s="6" customFormat="1" ht="149.25" customHeight="1" x14ac:dyDescent="0.25">
      <c r="C12" s="12"/>
      <c r="D12" s="164" t="s">
        <v>1</v>
      </c>
      <c r="E12" s="164"/>
      <c r="F12" s="164"/>
      <c r="G12" s="164"/>
      <c r="H12" s="164"/>
      <c r="I12" s="164"/>
      <c r="J12" s="164"/>
      <c r="K12" s="164"/>
      <c r="L12" s="164"/>
      <c r="M12" s="164"/>
      <c r="N12" s="164"/>
      <c r="R12" s="14"/>
      <c r="S12" s="14"/>
      <c r="T12" s="14"/>
      <c r="U12" s="14"/>
      <c r="V12" s="14"/>
    </row>
    <row r="13" spans="3:79" s="6" customFormat="1" ht="13.5" customHeight="1" x14ac:dyDescent="0.25">
      <c r="C13" s="15"/>
      <c r="D13" s="6" t="s">
        <v>2</v>
      </c>
      <c r="R13" s="14"/>
      <c r="S13" s="14"/>
      <c r="T13" s="14"/>
      <c r="U13" s="14"/>
      <c r="V13" s="14"/>
    </row>
    <row r="14" spans="3:79" s="6" customFormat="1" x14ac:dyDescent="0.25">
      <c r="C14" s="12"/>
      <c r="R14" s="14"/>
      <c r="S14" s="14"/>
      <c r="T14" s="14"/>
      <c r="U14" s="14"/>
      <c r="V14" s="14"/>
    </row>
    <row r="15" spans="3:79" s="6" customFormat="1" ht="27.75" hidden="1" customHeight="1" x14ac:dyDescent="0.25">
      <c r="C15" s="12"/>
      <c r="R15" s="14"/>
      <c r="S15" s="14"/>
      <c r="T15" s="14"/>
      <c r="U15" s="14"/>
      <c r="V15" s="14"/>
    </row>
    <row r="16" spans="3:79" s="6" customFormat="1" ht="12.65" hidden="1" customHeight="1" x14ac:dyDescent="0.25">
      <c r="C16" s="12"/>
      <c r="R16" s="14"/>
      <c r="S16" s="14"/>
      <c r="T16" s="14"/>
      <c r="U16" s="14"/>
      <c r="V16" s="14"/>
    </row>
    <row r="17" spans="2:45" s="6" customFormat="1" ht="12.65" hidden="1" customHeight="1" x14ac:dyDescent="0.25">
      <c r="C17" s="12"/>
      <c r="R17" s="14"/>
      <c r="S17" s="14"/>
      <c r="T17" s="14"/>
      <c r="U17" s="14"/>
      <c r="V17" s="14"/>
    </row>
    <row r="18" spans="2:45" s="6" customFormat="1" ht="12.65" hidden="1" customHeight="1" x14ac:dyDescent="0.25">
      <c r="C18" s="12"/>
      <c r="R18" s="14"/>
      <c r="S18" s="14"/>
      <c r="T18" s="14"/>
      <c r="U18" s="14"/>
      <c r="V18" s="14"/>
    </row>
    <row r="19" spans="2:45" s="6" customFormat="1" ht="12.65" hidden="1" customHeight="1" x14ac:dyDescent="0.25">
      <c r="C19" s="12"/>
      <c r="R19" s="14"/>
      <c r="S19" s="14"/>
      <c r="T19" s="14"/>
      <c r="U19" s="14"/>
      <c r="V19" s="14"/>
    </row>
    <row r="20" spans="2:45" s="6" customFormat="1" ht="12.65" hidden="1" customHeight="1" x14ac:dyDescent="0.25">
      <c r="C20" s="12"/>
      <c r="R20" s="14"/>
      <c r="S20" s="14"/>
      <c r="T20" s="14"/>
      <c r="U20" s="14"/>
      <c r="V20" s="14"/>
    </row>
    <row r="21" spans="2:45" s="6" customFormat="1" ht="12.65" hidden="1" customHeight="1" x14ac:dyDescent="0.25">
      <c r="C21" s="12"/>
      <c r="R21" s="14"/>
      <c r="S21" s="14"/>
      <c r="T21" s="14"/>
      <c r="U21" s="14"/>
      <c r="V21" s="14"/>
    </row>
    <row r="22" spans="2:45" s="6" customFormat="1" ht="12.65" hidden="1" customHeight="1" x14ac:dyDescent="0.25">
      <c r="C22" s="12"/>
      <c r="R22" s="14"/>
      <c r="S22" s="14"/>
      <c r="T22" s="14"/>
      <c r="U22" s="14"/>
      <c r="V22" s="14"/>
    </row>
    <row r="23" spans="2:45" s="6" customFormat="1" ht="12.65" hidden="1" customHeight="1" x14ac:dyDescent="0.25">
      <c r="C23" s="12"/>
      <c r="R23" s="14"/>
      <c r="S23" s="14"/>
      <c r="T23" s="14"/>
      <c r="U23" s="14"/>
      <c r="V23" s="14"/>
    </row>
    <row r="24" spans="2:45" s="6" customFormat="1" ht="12.65" hidden="1" customHeight="1" x14ac:dyDescent="0.25">
      <c r="C24" s="12"/>
      <c r="R24" s="14"/>
      <c r="S24" s="14"/>
      <c r="T24" s="14"/>
      <c r="U24" s="14"/>
      <c r="V24" s="14"/>
    </row>
    <row r="25" spans="2:45" s="6" customFormat="1" ht="12.65" hidden="1" customHeight="1" x14ac:dyDescent="0.25">
      <c r="C25" s="12"/>
      <c r="R25" s="14"/>
      <c r="S25" s="14"/>
      <c r="T25" s="14"/>
      <c r="U25" s="14"/>
      <c r="V25" s="14"/>
    </row>
    <row r="26" spans="2:45" s="6" customFormat="1" ht="12.65" hidden="1" customHeight="1" x14ac:dyDescent="0.25">
      <c r="C26" s="12"/>
      <c r="R26" s="14"/>
      <c r="S26" s="14"/>
      <c r="T26" s="14"/>
      <c r="U26" s="14"/>
      <c r="V26" s="14"/>
    </row>
    <row r="27" spans="2:45" s="6" customFormat="1" ht="12.65" hidden="1" customHeight="1" x14ac:dyDescent="0.25">
      <c r="C27" s="12"/>
      <c r="R27" s="14"/>
      <c r="S27" s="14"/>
      <c r="T27" s="14"/>
      <c r="U27" s="14"/>
      <c r="V27" s="14"/>
    </row>
    <row r="28" spans="2:45" s="6" customFormat="1" ht="15.5" x14ac:dyDescent="0.35">
      <c r="C28" s="12"/>
      <c r="D28" s="16" t="s">
        <v>3</v>
      </c>
      <c r="R28" s="14"/>
      <c r="S28" s="14"/>
      <c r="T28" s="14"/>
      <c r="U28" s="14"/>
      <c r="V28" s="14"/>
    </row>
    <row r="29" spans="2:45" s="6" customFormat="1" ht="78" customHeight="1" x14ac:dyDescent="0.3">
      <c r="C29" s="12"/>
      <c r="D29" s="165" t="s">
        <v>4</v>
      </c>
      <c r="E29" s="166"/>
      <c r="F29" s="167"/>
      <c r="G29" s="17" t="s">
        <v>5</v>
      </c>
      <c r="H29" s="18" t="s">
        <v>6</v>
      </c>
      <c r="I29" s="18" t="s">
        <v>7</v>
      </c>
      <c r="J29" s="18" t="s">
        <v>8</v>
      </c>
      <c r="K29" s="18" t="s">
        <v>9</v>
      </c>
      <c r="L29" s="18" t="s">
        <v>10</v>
      </c>
      <c r="M29" s="19" t="s">
        <v>11</v>
      </c>
      <c r="N29" s="20" t="s">
        <v>12</v>
      </c>
      <c r="R29" s="14"/>
      <c r="S29" s="14"/>
      <c r="T29" s="14"/>
      <c r="U29" s="14"/>
      <c r="V29" s="14"/>
    </row>
    <row r="30" spans="2:45" s="6" customFormat="1" ht="14.5" x14ac:dyDescent="0.35">
      <c r="B30" s="6">
        <v>1</v>
      </c>
      <c r="C30" s="21">
        <v>1</v>
      </c>
      <c r="D30" s="22" t="s">
        <v>13</v>
      </c>
      <c r="E30" s="23"/>
      <c r="F30" s="24"/>
      <c r="G30" s="25" t="str">
        <f>IF(ISERROR(VLOOKUP(D30, '[2]4. Billing Det. for Def-Var'!$A$16:$B$16, 2, FALSE)),"", VLOOKUP(D30,'[2]4. Billing Det. for Def-Var'!$A$16:$B$16, 2, FALSE))</f>
        <v/>
      </c>
      <c r="H30" s="26" t="s">
        <v>14</v>
      </c>
      <c r="I30" s="27">
        <v>1.0548</v>
      </c>
      <c r="J30" s="28">
        <f t="shared" ref="J30:J49" si="0">IF(ISBLANK(I30),"", I30)</f>
        <v>1.0548</v>
      </c>
      <c r="K30" s="29">
        <v>750</v>
      </c>
      <c r="L30" s="29"/>
      <c r="M30" s="26" t="s">
        <v>15</v>
      </c>
      <c r="N30" s="30"/>
      <c r="R30" s="14"/>
      <c r="S30" s="14"/>
      <c r="T30" s="14">
        <f t="shared" ref="T30:T49" si="1">SUM(I30:L30)</f>
        <v>752.1096</v>
      </c>
      <c r="U30" s="31">
        <v>78</v>
      </c>
      <c r="V30" s="14"/>
      <c r="AS30" s="6">
        <v>1</v>
      </c>
    </row>
    <row r="31" spans="2:45" s="6" customFormat="1" ht="14.5" x14ac:dyDescent="0.35">
      <c r="B31" s="6">
        <v>2</v>
      </c>
      <c r="C31" s="21">
        <v>2</v>
      </c>
      <c r="D31" s="22" t="s">
        <v>16</v>
      </c>
      <c r="E31" s="23"/>
      <c r="F31" s="24"/>
      <c r="G31" s="25" t="str">
        <f>IF(ISERROR(VLOOKUP(D31, '[2]4. Billing Det. for Def-Var'!$A$16:$B$16, 2, FALSE)),"", VLOOKUP(D31,'[2]4. Billing Det. for Def-Var'!$A$16:$B$16, 2, FALSE))</f>
        <v/>
      </c>
      <c r="H31" s="26" t="s">
        <v>14</v>
      </c>
      <c r="I31" s="27">
        <v>1.0548</v>
      </c>
      <c r="J31" s="28">
        <f t="shared" si="0"/>
        <v>1.0548</v>
      </c>
      <c r="K31" s="29">
        <v>2000</v>
      </c>
      <c r="L31" s="29"/>
      <c r="M31" s="26" t="s">
        <v>15</v>
      </c>
      <c r="N31" s="30"/>
      <c r="R31" s="14"/>
      <c r="S31" s="14"/>
      <c r="T31" s="14">
        <f t="shared" si="1"/>
        <v>2002.1096</v>
      </c>
      <c r="U31" s="31">
        <f>U30+68</f>
        <v>146</v>
      </c>
      <c r="V31" s="14"/>
      <c r="AS31" s="6">
        <v>2</v>
      </c>
    </row>
    <row r="32" spans="2:45" s="6" customFormat="1" ht="14.5" x14ac:dyDescent="0.35">
      <c r="B32" s="6">
        <v>3</v>
      </c>
      <c r="C32" s="21">
        <v>3</v>
      </c>
      <c r="D32" s="22" t="s">
        <v>17</v>
      </c>
      <c r="E32" s="23"/>
      <c r="F32" s="24"/>
      <c r="G32" s="25" t="str">
        <f>IF(ISERROR(VLOOKUP(D32, '[2]4. Billing Det. for Def-Var'!$A$16:$B$16, 2, FALSE)),"", VLOOKUP(D32,'[2]4. Billing Det. for Def-Var'!$A$16:$B$16, 2, FALSE))</f>
        <v/>
      </c>
      <c r="H32" s="26" t="s">
        <v>18</v>
      </c>
      <c r="I32" s="27">
        <v>1.0548</v>
      </c>
      <c r="J32" s="28">
        <f t="shared" si="0"/>
        <v>1.0548</v>
      </c>
      <c r="K32" s="29">
        <v>182500</v>
      </c>
      <c r="L32" s="29">
        <v>250</v>
      </c>
      <c r="M32" s="26" t="s">
        <v>19</v>
      </c>
      <c r="N32" s="30"/>
      <c r="R32" s="14"/>
      <c r="S32" s="14"/>
      <c r="T32" s="14">
        <f t="shared" si="1"/>
        <v>182752.1096</v>
      </c>
      <c r="U32" s="31">
        <f t="shared" ref="U32:U49" si="2">U31+68</f>
        <v>214</v>
      </c>
      <c r="V32" s="14"/>
      <c r="AS32" s="6">
        <v>3</v>
      </c>
    </row>
    <row r="33" spans="2:45" s="6" customFormat="1" ht="14.5" x14ac:dyDescent="0.35">
      <c r="B33" s="6">
        <v>4</v>
      </c>
      <c r="C33" s="21">
        <v>4</v>
      </c>
      <c r="D33" s="22" t="s">
        <v>20</v>
      </c>
      <c r="E33" s="23"/>
      <c r="F33" s="24"/>
      <c r="G33" s="25" t="str">
        <f>IF(ISERROR(VLOOKUP(D33, '[2]4. Billing Det. for Def-Var'!$A$16:$B$16, 2, FALSE)),"", VLOOKUP(D33,'[2]4. Billing Det. for Def-Var'!$A$16:$B$16, 2, FALSE))</f>
        <v/>
      </c>
      <c r="H33" s="26" t="s">
        <v>18</v>
      </c>
      <c r="I33" s="27">
        <v>1.0548</v>
      </c>
      <c r="J33" s="28">
        <f t="shared" si="0"/>
        <v>1.0548</v>
      </c>
      <c r="K33" s="29">
        <v>3650000</v>
      </c>
      <c r="L33" s="29">
        <v>5000</v>
      </c>
      <c r="M33" s="26" t="s">
        <v>19</v>
      </c>
      <c r="N33" s="30"/>
      <c r="R33" s="14"/>
      <c r="S33" s="14"/>
      <c r="T33" s="14">
        <f t="shared" si="1"/>
        <v>3655002.1096000001</v>
      </c>
      <c r="U33" s="31">
        <f t="shared" si="2"/>
        <v>282</v>
      </c>
      <c r="V33" s="14"/>
      <c r="AS33" s="6">
        <v>4</v>
      </c>
    </row>
    <row r="34" spans="2:45" s="6" customFormat="1" ht="14.5" x14ac:dyDescent="0.35">
      <c r="B34" s="6">
        <v>5</v>
      </c>
      <c r="C34" s="21">
        <v>5</v>
      </c>
      <c r="D34" s="22" t="s">
        <v>21</v>
      </c>
      <c r="E34" s="23"/>
      <c r="F34" s="24"/>
      <c r="G34" s="25" t="str">
        <f>IF(ISERROR(VLOOKUP(D34, '[2]4. Billing Det. for Def-Var'!$A$16:$B$16, 2, FALSE)),"", VLOOKUP(D34,'[2]4. Billing Det. for Def-Var'!$A$16:$B$16, 2, FALSE))</f>
        <v/>
      </c>
      <c r="H34" s="26" t="s">
        <v>14</v>
      </c>
      <c r="I34" s="27">
        <v>1.0548</v>
      </c>
      <c r="J34" s="28">
        <f t="shared" si="0"/>
        <v>1.0548</v>
      </c>
      <c r="K34" s="29">
        <v>35000</v>
      </c>
      <c r="L34" s="29"/>
      <c r="M34" s="26" t="s">
        <v>15</v>
      </c>
      <c r="N34" s="32">
        <v>11</v>
      </c>
      <c r="R34" s="14"/>
      <c r="S34" s="14"/>
      <c r="T34" s="14">
        <f t="shared" si="1"/>
        <v>35002.109600000003</v>
      </c>
      <c r="U34" s="31">
        <f t="shared" si="2"/>
        <v>350</v>
      </c>
      <c r="V34" s="14"/>
      <c r="AS34" s="6">
        <v>5</v>
      </c>
    </row>
    <row r="35" spans="2:45" s="6" customFormat="1" ht="14.5" x14ac:dyDescent="0.35">
      <c r="B35" s="6">
        <v>6</v>
      </c>
      <c r="C35" s="21">
        <v>6</v>
      </c>
      <c r="D35" s="22" t="s">
        <v>22</v>
      </c>
      <c r="E35" s="23"/>
      <c r="F35" s="24"/>
      <c r="G35" s="25" t="str">
        <f>IF(ISERROR(VLOOKUP(D35, '[2]4. Billing Det. for Def-Var'!$A$16:$B$16, 2, FALSE)),"", VLOOKUP(D35,'[2]4. Billing Det. for Def-Var'!$A$16:$B$16, 2, FALSE))</f>
        <v/>
      </c>
      <c r="H35" s="26" t="s">
        <v>18</v>
      </c>
      <c r="I35" s="27">
        <v>1.0548</v>
      </c>
      <c r="J35" s="28">
        <f t="shared" si="0"/>
        <v>1.0548</v>
      </c>
      <c r="K35" s="29">
        <v>730</v>
      </c>
      <c r="L35" s="29">
        <v>1</v>
      </c>
      <c r="M35" s="26" t="s">
        <v>19</v>
      </c>
      <c r="N35" s="32">
        <v>130</v>
      </c>
      <c r="R35" s="14"/>
      <c r="S35" s="14"/>
      <c r="T35" s="14">
        <f t="shared" si="1"/>
        <v>733.1096</v>
      </c>
      <c r="U35" s="31">
        <f t="shared" si="2"/>
        <v>418</v>
      </c>
      <c r="V35" s="14"/>
      <c r="AS35" s="6">
        <v>6</v>
      </c>
    </row>
    <row r="36" spans="2:45" s="6" customFormat="1" ht="14.5" x14ac:dyDescent="0.35">
      <c r="B36" s="6">
        <v>7</v>
      </c>
      <c r="C36" s="21">
        <v>7</v>
      </c>
      <c r="D36" s="22" t="s">
        <v>23</v>
      </c>
      <c r="E36" s="23"/>
      <c r="F36" s="24"/>
      <c r="G36" s="25" t="str">
        <f>IF(ISERROR(VLOOKUP(D36, '[2]4. Billing Det. for Def-Var'!$A$16:$B$16, 2, FALSE)),"", VLOOKUP(D36,'[2]4. Billing Det. for Def-Var'!$A$16:$B$16, 2, FALSE))</f>
        <v/>
      </c>
      <c r="H36" s="26" t="s">
        <v>18</v>
      </c>
      <c r="I36" s="27">
        <v>1.0548</v>
      </c>
      <c r="J36" s="28">
        <f t="shared" si="0"/>
        <v>1.0548</v>
      </c>
      <c r="K36" s="29">
        <v>1095000</v>
      </c>
      <c r="L36" s="29">
        <v>1500</v>
      </c>
      <c r="M36" s="26" t="s">
        <v>19</v>
      </c>
      <c r="N36" s="32">
        <v>7</v>
      </c>
      <c r="R36" s="14"/>
      <c r="S36" s="14"/>
      <c r="T36" s="14">
        <f t="shared" si="1"/>
        <v>1096502.1096000001</v>
      </c>
      <c r="U36" s="31">
        <f t="shared" si="2"/>
        <v>486</v>
      </c>
      <c r="V36" s="14"/>
      <c r="AS36" s="6">
        <v>7</v>
      </c>
    </row>
    <row r="37" spans="2:45" s="6" customFormat="1" ht="14.5" x14ac:dyDescent="0.35">
      <c r="B37" s="6">
        <v>8</v>
      </c>
      <c r="C37" s="21">
        <f>IF(ISERROR(VLOOKUP(D37, D30:AS49, 42, FALSE)),"", VLOOKUP(D37, D30:AS49, 42, FALSE))</f>
        <v>1</v>
      </c>
      <c r="D37" s="33" t="s">
        <v>13</v>
      </c>
      <c r="E37" s="34"/>
      <c r="F37" s="35"/>
      <c r="G37" s="25" t="str">
        <f>IF(ISERROR(VLOOKUP(D37, '[2]4. Billing Det. for Def-Var'!$A$16:$B$16, 2, FALSE)),"", VLOOKUP(D37,'[2]4. Billing Det. for Def-Var'!$A$16:$B$16, 2, FALSE))</f>
        <v/>
      </c>
      <c r="H37" s="26" t="s">
        <v>14</v>
      </c>
      <c r="I37" s="27">
        <v>1.0548</v>
      </c>
      <c r="J37" s="28">
        <f t="shared" si="0"/>
        <v>1.0548</v>
      </c>
      <c r="K37" s="29">
        <v>313</v>
      </c>
      <c r="L37" s="29"/>
      <c r="M37" s="26" t="s">
        <v>15</v>
      </c>
      <c r="N37" s="30"/>
      <c r="R37" s="14"/>
      <c r="S37" s="14"/>
      <c r="T37" s="14">
        <f t="shared" si="1"/>
        <v>315.1096</v>
      </c>
      <c r="U37" s="31">
        <f t="shared" si="2"/>
        <v>554</v>
      </c>
      <c r="V37" s="14"/>
      <c r="AS37" s="6">
        <v>8</v>
      </c>
    </row>
    <row r="38" spans="2:45" s="6" customFormat="1" ht="14.5" x14ac:dyDescent="0.35">
      <c r="B38" s="6">
        <v>9</v>
      </c>
      <c r="C38" s="21">
        <f>IF(ISERROR(VLOOKUP(D38, D30:AS49, 42, FALSE)),"", VLOOKUP(D38, D30:AS49, 42, FALSE))</f>
        <v>1</v>
      </c>
      <c r="D38" s="33" t="s">
        <v>13</v>
      </c>
      <c r="E38" s="34"/>
      <c r="F38" s="35"/>
      <c r="G38" s="25" t="str">
        <f>IF(ISERROR(VLOOKUP(D38, '[2]4. Billing Det. for Def-Var'!$A$16:$B$16, 2, FALSE)),"", VLOOKUP(D38,'[2]4. Billing Det. for Def-Var'!$A$16:$B$16, 2, FALSE))</f>
        <v/>
      </c>
      <c r="H38" s="26" t="s">
        <v>24</v>
      </c>
      <c r="I38" s="27">
        <v>1.0548</v>
      </c>
      <c r="J38" s="28">
        <f t="shared" si="0"/>
        <v>1.0548</v>
      </c>
      <c r="K38" s="29">
        <v>750</v>
      </c>
      <c r="L38" s="29"/>
      <c r="M38" s="26" t="s">
        <v>15</v>
      </c>
      <c r="N38" s="30"/>
      <c r="R38" s="14"/>
      <c r="S38" s="14"/>
      <c r="T38" s="14">
        <f t="shared" si="1"/>
        <v>752.1096</v>
      </c>
      <c r="U38" s="31">
        <f t="shared" si="2"/>
        <v>622</v>
      </c>
      <c r="V38" s="14"/>
      <c r="AS38" s="6">
        <v>9</v>
      </c>
    </row>
    <row r="39" spans="2:45" s="6" customFormat="1" ht="14.5" x14ac:dyDescent="0.35">
      <c r="B39" s="6">
        <v>10</v>
      </c>
      <c r="C39" s="21">
        <f>IF(ISERROR(VLOOKUP(D39, D30:AS49, 42, FALSE)),"", VLOOKUP(D39, D30:AS49, 42, FALSE))</f>
        <v>2</v>
      </c>
      <c r="D39" s="33" t="s">
        <v>16</v>
      </c>
      <c r="E39" s="34"/>
      <c r="F39" s="35"/>
      <c r="G39" s="25" t="str">
        <f>IF(ISERROR(VLOOKUP(D39, '[2]4. Billing Det. for Def-Var'!$A$16:$B$16, 2, FALSE)),"", VLOOKUP(D39,'[2]4. Billing Det. for Def-Var'!$A$16:$B$16, 2, FALSE))</f>
        <v/>
      </c>
      <c r="H39" s="26" t="s">
        <v>24</v>
      </c>
      <c r="I39" s="27">
        <v>1.0548</v>
      </c>
      <c r="J39" s="28">
        <f t="shared" si="0"/>
        <v>1.0548</v>
      </c>
      <c r="K39" s="29">
        <v>2000</v>
      </c>
      <c r="L39" s="29"/>
      <c r="M39" s="26" t="s">
        <v>15</v>
      </c>
      <c r="N39" s="30"/>
      <c r="R39" s="14"/>
      <c r="S39" s="14"/>
      <c r="T39" s="14">
        <f t="shared" si="1"/>
        <v>2002.1096</v>
      </c>
      <c r="U39" s="31">
        <f t="shared" si="2"/>
        <v>690</v>
      </c>
      <c r="V39" s="14"/>
      <c r="AS39" s="6">
        <v>10</v>
      </c>
    </row>
    <row r="40" spans="2:45" s="6" customFormat="1" ht="14.5" x14ac:dyDescent="0.35">
      <c r="B40" s="6">
        <v>11</v>
      </c>
      <c r="C40" s="21">
        <f>IF(ISERROR(VLOOKUP(D37, D30:AS49, 42, FALSE)),"", VLOOKUP(D37, D30:AS49, 42, FALSE))</f>
        <v>1</v>
      </c>
      <c r="D40" s="33" t="s">
        <v>25</v>
      </c>
      <c r="E40" s="34"/>
      <c r="F40" s="35"/>
      <c r="G40" s="25" t="str">
        <f>IF(ISERROR(VLOOKUP(D40, '[2]4. Billing Det. for Def-Var'!$A$16:$B$16, 2, FALSE)),"", VLOOKUP(D40,'[2]4. Billing Det. for Def-Var'!$A$16:$B$16, 2, FALSE))</f>
        <v/>
      </c>
      <c r="H40" s="26"/>
      <c r="I40" s="27">
        <v>1.0548</v>
      </c>
      <c r="J40" s="28">
        <f t="shared" si="0"/>
        <v>1.0548</v>
      </c>
      <c r="K40" s="29"/>
      <c r="L40" s="29"/>
      <c r="M40" s="26"/>
      <c r="N40" s="30"/>
      <c r="R40" s="14"/>
      <c r="S40" s="14"/>
      <c r="T40" s="14">
        <f t="shared" si="1"/>
        <v>2.1095999999999999</v>
      </c>
      <c r="U40" s="31">
        <f t="shared" si="2"/>
        <v>758</v>
      </c>
      <c r="V40" s="14"/>
      <c r="AS40" s="6">
        <v>11</v>
      </c>
    </row>
    <row r="41" spans="2:45" s="6" customFormat="1" ht="14.5" x14ac:dyDescent="0.35">
      <c r="B41" s="6">
        <v>12</v>
      </c>
      <c r="C41" s="21">
        <f>IF(ISERROR(VLOOKUP(D38, D30:AS49, 42, FALSE)),"", VLOOKUP(D38, D30:AS49, 42, FALSE))</f>
        <v>1</v>
      </c>
      <c r="D41" s="33" t="s">
        <v>25</v>
      </c>
      <c r="E41" s="34"/>
      <c r="F41" s="35"/>
      <c r="G41" s="25" t="str">
        <f>IF(ISERROR(VLOOKUP(D41, '[2]4. Billing Det. for Def-Var'!$A$16:$B$16, 2, FALSE)),"", VLOOKUP(D41,'[2]4. Billing Det. for Def-Var'!$A$16:$B$16, 2, FALSE))</f>
        <v/>
      </c>
      <c r="H41" s="26"/>
      <c r="I41" s="27">
        <v>1.0548</v>
      </c>
      <c r="J41" s="28">
        <f t="shared" si="0"/>
        <v>1.0548</v>
      </c>
      <c r="K41" s="29"/>
      <c r="L41" s="29"/>
      <c r="M41" s="26"/>
      <c r="N41" s="30"/>
      <c r="R41" s="14"/>
      <c r="S41" s="14"/>
      <c r="T41" s="14">
        <f t="shared" si="1"/>
        <v>2.1095999999999999</v>
      </c>
      <c r="U41" s="31">
        <f t="shared" si="2"/>
        <v>826</v>
      </c>
      <c r="V41" s="14"/>
    </row>
    <row r="42" spans="2:45" s="6" customFormat="1" ht="14.5" x14ac:dyDescent="0.35">
      <c r="B42" s="6">
        <v>13</v>
      </c>
      <c r="C42" s="21">
        <f>IF(ISERROR(VLOOKUP(D39, D30:AS49, 42, FALSE)),"", VLOOKUP(D39, D30:AS49, 42, FALSE))</f>
        <v>2</v>
      </c>
      <c r="D42" s="33" t="s">
        <v>25</v>
      </c>
      <c r="E42" s="34"/>
      <c r="F42" s="35"/>
      <c r="G42" s="25" t="str">
        <f>IF(ISERROR(VLOOKUP(D42, '[2]4. Billing Det. for Def-Var'!$A$16:$B$16, 2, FALSE)),"", VLOOKUP(D42,'[2]4. Billing Det. for Def-Var'!$A$16:$B$16, 2, FALSE))</f>
        <v/>
      </c>
      <c r="H42" s="26"/>
      <c r="I42" s="27">
        <v>1.0548</v>
      </c>
      <c r="J42" s="28">
        <f t="shared" si="0"/>
        <v>1.0548</v>
      </c>
      <c r="K42" s="29"/>
      <c r="L42" s="29"/>
      <c r="M42" s="26"/>
      <c r="N42" s="30"/>
      <c r="R42" s="14"/>
      <c r="S42" s="14"/>
      <c r="T42" s="14">
        <f t="shared" si="1"/>
        <v>2.1095999999999999</v>
      </c>
      <c r="U42" s="31">
        <f t="shared" si="2"/>
        <v>894</v>
      </c>
      <c r="V42" s="14"/>
    </row>
    <row r="43" spans="2:45" s="6" customFormat="1" ht="14.5" x14ac:dyDescent="0.35">
      <c r="B43" s="6">
        <v>14</v>
      </c>
      <c r="C43" s="21">
        <f>IF(ISERROR(VLOOKUP(D40, D30:AS49, 42, FALSE)),"", VLOOKUP(D40, D30:AS49, 42, FALSE))</f>
        <v>11</v>
      </c>
      <c r="D43" s="33" t="s">
        <v>25</v>
      </c>
      <c r="E43" s="34"/>
      <c r="F43" s="35"/>
      <c r="G43" s="25" t="str">
        <f>IF(ISERROR(VLOOKUP(D43, '[2]4. Billing Det. for Def-Var'!$A$16:$B$16, 2, FALSE)),"", VLOOKUP(D43,'[2]4. Billing Det. for Def-Var'!$A$16:$B$16, 2, FALSE))</f>
        <v/>
      </c>
      <c r="H43" s="26"/>
      <c r="I43" s="27">
        <v>1.0548</v>
      </c>
      <c r="J43" s="28">
        <f t="shared" si="0"/>
        <v>1.0548</v>
      </c>
      <c r="K43" s="29"/>
      <c r="L43" s="29"/>
      <c r="M43" s="26"/>
      <c r="N43" s="30"/>
      <c r="R43" s="14"/>
      <c r="S43" s="14"/>
      <c r="T43" s="14">
        <f t="shared" si="1"/>
        <v>2.1095999999999999</v>
      </c>
      <c r="U43" s="31">
        <f t="shared" si="2"/>
        <v>962</v>
      </c>
      <c r="V43" s="14"/>
    </row>
    <row r="44" spans="2:45" s="6" customFormat="1" ht="14.5" x14ac:dyDescent="0.35">
      <c r="B44" s="6">
        <v>15</v>
      </c>
      <c r="C44" s="21">
        <f>IF(ISERROR(VLOOKUP(D41, D30:AS49, 42, FALSE)),"", VLOOKUP(D41, D30:AS49, 42, FALSE))</f>
        <v>11</v>
      </c>
      <c r="D44" s="33" t="s">
        <v>25</v>
      </c>
      <c r="E44" s="34"/>
      <c r="F44" s="35"/>
      <c r="G44" s="25" t="str">
        <f>IF(ISERROR(VLOOKUP(D44, '[2]4. Billing Det. for Def-Var'!$A$16:$B$16, 2, FALSE)),"", VLOOKUP(D44,'[2]4. Billing Det. for Def-Var'!$A$16:$B$16, 2, FALSE))</f>
        <v/>
      </c>
      <c r="H44" s="26"/>
      <c r="I44" s="27">
        <v>1.0548</v>
      </c>
      <c r="J44" s="28">
        <f t="shared" si="0"/>
        <v>1.0548</v>
      </c>
      <c r="K44" s="29"/>
      <c r="L44" s="29"/>
      <c r="M44" s="26"/>
      <c r="N44" s="30"/>
      <c r="R44" s="14"/>
      <c r="S44" s="14"/>
      <c r="T44" s="14">
        <f t="shared" si="1"/>
        <v>2.1095999999999999</v>
      </c>
      <c r="U44" s="31">
        <f t="shared" si="2"/>
        <v>1030</v>
      </c>
      <c r="V44" s="14"/>
    </row>
    <row r="45" spans="2:45" s="6" customFormat="1" ht="14.5" x14ac:dyDescent="0.35">
      <c r="B45" s="6">
        <v>16</v>
      </c>
      <c r="C45" s="21">
        <f>IF(ISERROR(VLOOKUP(D42, D30:AS49, 42, FALSE)),"", VLOOKUP(D42, D30:AS49, 42, FALSE))</f>
        <v>11</v>
      </c>
      <c r="D45" s="33" t="s">
        <v>25</v>
      </c>
      <c r="E45" s="34"/>
      <c r="F45" s="35"/>
      <c r="G45" s="25" t="str">
        <f>IF(ISERROR(VLOOKUP(D45, '[2]4. Billing Det. for Def-Var'!$A$16:$B$16, 2, FALSE)),"", VLOOKUP(D45,'[2]4. Billing Det. for Def-Var'!$A$16:$B$16, 2, FALSE))</f>
        <v/>
      </c>
      <c r="H45" s="26"/>
      <c r="I45" s="27">
        <v>1.0548</v>
      </c>
      <c r="J45" s="28">
        <f t="shared" si="0"/>
        <v>1.0548</v>
      </c>
      <c r="K45" s="29"/>
      <c r="L45" s="29"/>
      <c r="M45" s="26"/>
      <c r="N45" s="30"/>
      <c r="R45" s="14"/>
      <c r="S45" s="14"/>
      <c r="T45" s="14">
        <f t="shared" si="1"/>
        <v>2.1095999999999999</v>
      </c>
      <c r="U45" s="31">
        <f t="shared" si="2"/>
        <v>1098</v>
      </c>
      <c r="V45" s="14"/>
    </row>
    <row r="46" spans="2:45" s="6" customFormat="1" ht="14.5" x14ac:dyDescent="0.35">
      <c r="B46" s="6">
        <v>17</v>
      </c>
      <c r="C46" s="21">
        <f>IF(ISERROR(VLOOKUP(D43, D30:AS49, 42, FALSE)),"", VLOOKUP(D43, D30:AS49, 42, FALSE))</f>
        <v>11</v>
      </c>
      <c r="D46" s="33" t="s">
        <v>25</v>
      </c>
      <c r="E46" s="34"/>
      <c r="F46" s="35"/>
      <c r="G46" s="25" t="str">
        <f>IF(ISERROR(VLOOKUP(D46, '[2]4. Billing Det. for Def-Var'!$A$16:$B$16, 2, FALSE)),"", VLOOKUP(D46,'[2]4. Billing Det. for Def-Var'!$A$16:$B$16, 2, FALSE))</f>
        <v/>
      </c>
      <c r="H46" s="26"/>
      <c r="I46" s="27">
        <v>1.0548</v>
      </c>
      <c r="J46" s="28">
        <f t="shared" si="0"/>
        <v>1.0548</v>
      </c>
      <c r="K46" s="29"/>
      <c r="L46" s="29"/>
      <c r="M46" s="26"/>
      <c r="N46" s="30"/>
      <c r="R46" s="14"/>
      <c r="S46" s="14"/>
      <c r="T46" s="14">
        <f t="shared" si="1"/>
        <v>2.1095999999999999</v>
      </c>
      <c r="U46" s="31">
        <f t="shared" si="2"/>
        <v>1166</v>
      </c>
      <c r="V46" s="14"/>
    </row>
    <row r="47" spans="2:45" s="6" customFormat="1" ht="14.5" x14ac:dyDescent="0.35">
      <c r="B47" s="6">
        <v>18</v>
      </c>
      <c r="C47" s="21">
        <f>IF(ISERROR(VLOOKUP(D44, D30:AS49, 42, FALSE)),"", VLOOKUP(D44, D30:AS49, 42, FALSE))</f>
        <v>11</v>
      </c>
      <c r="D47" s="33" t="s">
        <v>25</v>
      </c>
      <c r="E47" s="34"/>
      <c r="F47" s="35"/>
      <c r="G47" s="25" t="str">
        <f>IF(ISERROR(VLOOKUP(D47, '[2]4. Billing Det. for Def-Var'!$A$16:$B$16, 2, FALSE)),"", VLOOKUP(D47,'[2]4. Billing Det. for Def-Var'!$A$16:$B$16, 2, FALSE))</f>
        <v/>
      </c>
      <c r="H47" s="26"/>
      <c r="I47" s="27">
        <v>1.0548</v>
      </c>
      <c r="J47" s="28">
        <f t="shared" si="0"/>
        <v>1.0548</v>
      </c>
      <c r="K47" s="29"/>
      <c r="L47" s="29"/>
      <c r="M47" s="26"/>
      <c r="N47" s="30"/>
      <c r="R47" s="14"/>
      <c r="S47" s="14"/>
      <c r="T47" s="14">
        <f t="shared" si="1"/>
        <v>2.1095999999999999</v>
      </c>
      <c r="U47" s="31">
        <f t="shared" si="2"/>
        <v>1234</v>
      </c>
      <c r="V47" s="14"/>
    </row>
    <row r="48" spans="2:45" s="6" customFormat="1" ht="14.5" x14ac:dyDescent="0.35">
      <c r="B48" s="6">
        <v>19</v>
      </c>
      <c r="C48" s="21">
        <f>IF(ISERROR(VLOOKUP(D45, D30:AS49, 42, FALSE)),"", VLOOKUP(D45, D30:AS49, 42, FALSE))</f>
        <v>11</v>
      </c>
      <c r="D48" s="33" t="s">
        <v>25</v>
      </c>
      <c r="E48" s="34"/>
      <c r="F48" s="35"/>
      <c r="G48" s="25" t="str">
        <f>IF(ISERROR(VLOOKUP(D48, '[2]4. Billing Det. for Def-Var'!$A$16:$B$16, 2, FALSE)),"", VLOOKUP(D48,'[2]4. Billing Det. for Def-Var'!$A$16:$B$16, 2, FALSE))</f>
        <v/>
      </c>
      <c r="H48" s="26"/>
      <c r="I48" s="27">
        <v>1.0548</v>
      </c>
      <c r="J48" s="28">
        <f t="shared" si="0"/>
        <v>1.0548</v>
      </c>
      <c r="K48" s="29"/>
      <c r="L48" s="29"/>
      <c r="M48" s="26"/>
      <c r="N48" s="30"/>
      <c r="R48" s="14"/>
      <c r="S48" s="14"/>
      <c r="T48" s="14">
        <f t="shared" si="1"/>
        <v>2.1095999999999999</v>
      </c>
      <c r="U48" s="31">
        <f t="shared" si="2"/>
        <v>1302</v>
      </c>
      <c r="V48" s="14"/>
    </row>
    <row r="49" spans="2:22" s="6" customFormat="1" ht="14.5" x14ac:dyDescent="0.35">
      <c r="B49" s="6">
        <v>20</v>
      </c>
      <c r="C49" s="21">
        <f>IF(ISERROR(VLOOKUP(D46, D30:AS49, 42, FALSE)),"", VLOOKUP(D46, D30:AS49, 42, FALSE))</f>
        <v>11</v>
      </c>
      <c r="D49" s="33" t="s">
        <v>25</v>
      </c>
      <c r="E49" s="34"/>
      <c r="F49" s="35"/>
      <c r="G49" s="25" t="str">
        <f>IF(ISERROR(VLOOKUP(D49, '[2]4. Billing Det. for Def-Var'!$A$16:$B$16, 2, FALSE)),"", VLOOKUP(D49,'[2]4. Billing Det. for Def-Var'!$A$16:$B$16, 2, FALSE))</f>
        <v/>
      </c>
      <c r="H49" s="26"/>
      <c r="I49" s="27">
        <v>1.0548</v>
      </c>
      <c r="J49" s="28">
        <f t="shared" si="0"/>
        <v>1.0548</v>
      </c>
      <c r="K49" s="29"/>
      <c r="L49" s="29"/>
      <c r="M49" s="26"/>
      <c r="N49" s="30"/>
      <c r="R49" s="14"/>
      <c r="S49" s="14"/>
      <c r="T49" s="14">
        <f t="shared" si="1"/>
        <v>2.1095999999999999</v>
      </c>
      <c r="U49" s="31">
        <f t="shared" si="2"/>
        <v>1370</v>
      </c>
      <c r="V49" s="14"/>
    </row>
    <row r="50" spans="2:22" s="6" customFormat="1" x14ac:dyDescent="0.25">
      <c r="C50" s="12"/>
      <c r="R50" s="14"/>
      <c r="S50" s="14"/>
      <c r="T50" s="14" t="s">
        <v>26</v>
      </c>
      <c r="U50" s="14"/>
      <c r="V50" s="14"/>
    </row>
    <row r="51" spans="2:22" s="6" customFormat="1" ht="15.5" x14ac:dyDescent="0.35">
      <c r="C51" s="12"/>
      <c r="D51" s="16" t="s">
        <v>27</v>
      </c>
      <c r="R51" s="14"/>
      <c r="S51" s="14"/>
      <c r="T51" s="14"/>
      <c r="U51" s="14"/>
      <c r="V51" s="14"/>
    </row>
    <row r="52" spans="2:22" s="6" customFormat="1" ht="12.75" customHeight="1" x14ac:dyDescent="0.25">
      <c r="C52" s="12"/>
      <c r="D52" s="171" t="s">
        <v>4</v>
      </c>
      <c r="E52" s="172"/>
      <c r="F52" s="173"/>
      <c r="G52" s="180" t="s">
        <v>5</v>
      </c>
      <c r="H52" s="158" t="s">
        <v>28</v>
      </c>
      <c r="I52" s="183"/>
      <c r="J52" s="183"/>
      <c r="K52" s="183"/>
      <c r="L52" s="183"/>
      <c r="M52" s="159"/>
      <c r="N52" s="158" t="s">
        <v>29</v>
      </c>
      <c r="O52" s="159"/>
      <c r="R52" s="14"/>
      <c r="S52" s="14"/>
      <c r="T52" s="14"/>
      <c r="U52" s="14"/>
      <c r="V52" s="14"/>
    </row>
    <row r="53" spans="2:22" s="6" customFormat="1" ht="13" x14ac:dyDescent="0.25">
      <c r="C53" s="12"/>
      <c r="D53" s="174"/>
      <c r="E53" s="175"/>
      <c r="F53" s="176"/>
      <c r="G53" s="181"/>
      <c r="H53" s="160" t="s">
        <v>30</v>
      </c>
      <c r="I53" s="161"/>
      <c r="J53" s="160" t="s">
        <v>31</v>
      </c>
      <c r="K53" s="161"/>
      <c r="L53" s="160" t="s">
        <v>32</v>
      </c>
      <c r="M53" s="161"/>
      <c r="N53" s="160" t="s">
        <v>33</v>
      </c>
      <c r="O53" s="161"/>
      <c r="R53" s="14"/>
      <c r="S53" s="14"/>
      <c r="T53" s="14"/>
      <c r="U53" s="14"/>
      <c r="V53" s="14"/>
    </row>
    <row r="54" spans="2:22" s="6" customFormat="1" ht="13" x14ac:dyDescent="0.25">
      <c r="C54" s="12"/>
      <c r="D54" s="177"/>
      <c r="E54" s="178"/>
      <c r="F54" s="179"/>
      <c r="G54" s="182"/>
      <c r="H54" s="36" t="s">
        <v>34</v>
      </c>
      <c r="I54" s="36" t="s">
        <v>35</v>
      </c>
      <c r="J54" s="36" t="s">
        <v>34</v>
      </c>
      <c r="K54" s="36" t="s">
        <v>35</v>
      </c>
      <c r="L54" s="36" t="s">
        <v>34</v>
      </c>
      <c r="M54" s="36" t="s">
        <v>35</v>
      </c>
      <c r="N54" s="36" t="s">
        <v>34</v>
      </c>
      <c r="O54" s="36" t="s">
        <v>35</v>
      </c>
      <c r="R54" s="14"/>
      <c r="S54" s="14"/>
      <c r="T54" s="14"/>
      <c r="U54" s="14"/>
      <c r="V54" s="14"/>
    </row>
    <row r="55" spans="2:22" s="6" customFormat="1" ht="14.5" x14ac:dyDescent="0.25">
      <c r="B55" s="6" t="str">
        <f>H30</f>
        <v>RPP</v>
      </c>
      <c r="C55" s="12">
        <v>1</v>
      </c>
      <c r="D55" s="168" t="str">
        <f t="shared" ref="D55:D64" si="3">IF(ISBLANK(D30), "", IF(D30 = "Add additional scenarios if required", "", IF(M30="YES", D30 &amp; " - " &amp; H30 &amp; " - Interval Customers", D30 &amp; " - " &amp;H30)))</f>
        <v>RESIDENTIAL SERVICE CLASSIFICATION - RPP</v>
      </c>
      <c r="E55" s="169"/>
      <c r="F55" s="170"/>
      <c r="G55" s="37" t="s">
        <v>36</v>
      </c>
      <c r="H55" s="38" cm="1">
        <f t="array" ref="H55">IF(LEN($G55)&gt;1, (SUMPRODUCT(--($C$78:$C$2000=$B30), --($A$78:$A$2000=$D30), --($B$78:$B$2000="ST_A"), $L$78:$L$2000)), "")</f>
        <v>0.44000000000000128</v>
      </c>
      <c r="I55" s="39" cm="1">
        <f t="array" ref="I55">IF(LEN($G55)&gt;1, (SUMPRODUCT(--($C$78:$C$2000=$B30), --($A$78:$A$2000=$D30), --($B$78:$B$2000="ST_A"), $M$78:$M$2000)), "")</f>
        <v>2.0045558086560424E-2</v>
      </c>
      <c r="J55" s="38" cm="1">
        <f t="array" ref="J55">IF(LEN($G55)&gt;1, (SUMPRODUCT(--($C$78:$C$2000=$B30), --($A$78:$A$2000=$D30), --($B$78:$B$2000="ST_B"), $L$78:$L$2000)), "")</f>
        <v>4.0399999999999991</v>
      </c>
      <c r="K55" s="39" cm="1">
        <f t="array" ref="K55">IF(LEN($G55)&gt;1, (SUMPRODUCT(--($C$78:$C$2000=$B30), --($A$78:$A$2000=$D30), --($B$78:$B$2000="ST_B"), $M$78:$M$2000)), "")</f>
        <v>0.15320534594127369</v>
      </c>
      <c r="L55" s="38" cm="1">
        <f t="array" ref="L55">IF(LEN($G55)&gt;1, (SUMPRODUCT(--($C$78:$C$2000=$B30), --($A$78:$A$2000=$D30), --($B$78:$B$2000="ST_C"), $L$78:$L$2000)), "")</f>
        <v>3.7235599999999991</v>
      </c>
      <c r="M55" s="39" cm="1">
        <f t="array" ref="M55">IF(LEN($G55)&gt;1, (SUMPRODUCT(--($C$78:$C$2000=$B30), --($A$78:$A$2000=$D30), --($B$78:$B$2000="ST_C"), $M$78:$M$2000)), "")</f>
        <v>9.2775934566998716E-2</v>
      </c>
      <c r="N55" s="38" cm="1">
        <f t="array" ref="N55">IF(LEN($G55)&gt;1, (SUMPRODUCT(--($C$78:$C$2000=$B30), --($A$78:$A$2000=$D30), --($B$78:$B$2000=$B55&amp;"_TOTAL"), $L$78:$L$2000)), "")</f>
        <v>3.7719662800000009</v>
      </c>
      <c r="O55" s="39" cm="1">
        <f t="array" ref="O55">IF(LEN($G55)&gt;1, (SUMPRODUCT(--($C$78:$C$2000=$B30), --($A$78:$A$2000=$D30), --($B$78:$B$2000=$B55&amp;"_TOTAL"), $M$78:$M$2000)), "")</f>
        <v>3.2448986131273214E-2</v>
      </c>
      <c r="R55" s="14"/>
      <c r="S55" s="14"/>
      <c r="T55" s="14"/>
      <c r="U55" s="14"/>
      <c r="V55" s="14"/>
    </row>
    <row r="56" spans="2:22" s="6" customFormat="1" ht="14.5" x14ac:dyDescent="0.25">
      <c r="B56" s="6" t="str">
        <f t="shared" ref="B56:B64" si="4">H31</f>
        <v>RPP</v>
      </c>
      <c r="C56" s="12">
        <v>2</v>
      </c>
      <c r="D56" s="168" t="str">
        <f t="shared" si="3"/>
        <v>GENERAL SERVICE LESS THAN 50 KW SERVICE CLASSIFICATION - RPP</v>
      </c>
      <c r="E56" s="169"/>
      <c r="F56" s="170"/>
      <c r="G56" s="37" t="s">
        <v>36</v>
      </c>
      <c r="H56" s="38">
        <f t="shared" ref="H56:H74" si="5">IF(LEN($G56)&gt;1, (SUMPRODUCT(--($C$78:$C$2000=$B31), --($A$78:$A$2000=$D31), --($B$78:$B$2000="ST_A"), $L$78:$L$2000)), "")</f>
        <v>-4.3999999999999986</v>
      </c>
      <c r="I56" s="39">
        <f t="shared" ref="I56:I74" si="6">IF(LEN($G56)&gt;1, (SUMPRODUCT(--($C$78:$C$2000=$B31), --($A$78:$A$2000=$D31), --($B$78:$B$2000="ST_A"), $M$78:$M$2000)), "")</f>
        <v>-8.2319925163704372E-2</v>
      </c>
      <c r="J56" s="38">
        <f t="shared" ref="J56:J74" si="7">IF(LEN($G56)&gt;1, (SUMPRODUCT(--($C$78:$C$2000=$B31), --($A$78:$A$2000=$D31), --($B$78:$B$2000="ST_B"), $L$78:$L$2000)), "")</f>
        <v>3.7999999999999972</v>
      </c>
      <c r="K56" s="39">
        <f t="shared" ref="K56:K74" si="8">IF(LEN($G56)&gt;1, (SUMPRODUCT(--($C$78:$C$2000=$B31), --($A$78:$A$2000=$D31), --($B$78:$B$2000="ST_B"), $M$78:$M$2000)), "")</f>
        <v>5.7806781502170633E-2</v>
      </c>
      <c r="L56" s="38">
        <f t="shared" ref="L56:L74" si="9">IF(LEN($G56)&gt;1, (SUMPRODUCT(--($C$78:$C$2000=$B31), --($A$78:$A$2000=$D31), --($B$78:$B$2000="ST_C"), $L$78:$L$2000)), "")</f>
        <v>3.1671199999999828</v>
      </c>
      <c r="M56" s="39">
        <f t="shared" ref="M56:M74" si="10">IF(LEN($G56)&gt;1, (SUMPRODUCT(--($C$78:$C$2000=$B31), --($A$78:$A$2000=$D31), --($B$78:$B$2000="ST_C"), $M$78:$M$2000)), "")</f>
        <v>3.1766247152780716E-2</v>
      </c>
      <c r="N56" s="38">
        <f t="shared" ref="N56:N74" si="11">IF(LEN($G56)&gt;1, (SUMPRODUCT(--($C$78:$C$2000=$B31), --($A$78:$A$2000=$D31), --($B$78:$B$2000=$B56&amp;"_TOTAL"), $L$78:$L$2000)), "")</f>
        <v>3.2082925599999612</v>
      </c>
      <c r="O56" s="39">
        <f t="shared" ref="O56:O74" si="12">IF(LEN($G56)&gt;1, (SUMPRODUCT(--($C$78:$C$2000=$B31), --($A$78:$A$2000=$D31), --($B$78:$B$2000=$B56&amp;"_TOTAL"), $M$78:$M$2000)), "")</f>
        <v>1.0618629516313774E-2</v>
      </c>
      <c r="R56" s="14"/>
      <c r="S56" s="14"/>
      <c r="T56" s="14"/>
      <c r="U56" s="14"/>
      <c r="V56" s="14"/>
    </row>
    <row r="57" spans="2:22" s="6" customFormat="1" ht="14.5" x14ac:dyDescent="0.25">
      <c r="B57" s="6" t="str">
        <f t="shared" si="4"/>
        <v>Non-RPP (Other)</v>
      </c>
      <c r="C57" s="12">
        <v>3</v>
      </c>
      <c r="D57" s="168" t="str">
        <f t="shared" si="3"/>
        <v>GENERAL SERVICE 50 to 4,999 kW SERVICE CLASSIFICATION - Non-RPP (Other)</v>
      </c>
      <c r="E57" s="169"/>
      <c r="F57" s="170"/>
      <c r="G57" s="37" t="s">
        <v>37</v>
      </c>
      <c r="H57" s="38">
        <f t="shared" si="5"/>
        <v>-128.22500000000002</v>
      </c>
      <c r="I57" s="39">
        <f t="shared" si="6"/>
        <v>-0.13171748922684995</v>
      </c>
      <c r="J57" s="38">
        <f t="shared" si="7"/>
        <v>-2043.3475847427321</v>
      </c>
      <c r="K57" s="39">
        <f t="shared" si="8"/>
        <v>-0.93775201974439104</v>
      </c>
      <c r="L57" s="38">
        <f t="shared" si="9"/>
        <v>-2080.4725847427317</v>
      </c>
      <c r="M57" s="39">
        <f t="shared" si="10"/>
        <v>-0.55218856797814353</v>
      </c>
      <c r="N57" s="38">
        <f t="shared" si="11"/>
        <v>-2350.9340207592868</v>
      </c>
      <c r="O57" s="39">
        <f t="shared" si="12"/>
        <v>-8.1644638651950555E-2</v>
      </c>
      <c r="R57" s="14"/>
      <c r="S57" s="14"/>
      <c r="T57" s="14"/>
      <c r="U57" s="14"/>
      <c r="V57" s="14"/>
    </row>
    <row r="58" spans="2:22" s="6" customFormat="1" ht="14.5" x14ac:dyDescent="0.25">
      <c r="B58" s="6" t="str">
        <f t="shared" si="4"/>
        <v>Non-RPP (Other)</v>
      </c>
      <c r="C58" s="12">
        <v>4</v>
      </c>
      <c r="D58" s="168" t="str">
        <f t="shared" si="3"/>
        <v>LARGE USE SERVICE CLASSIFICATION - Non-RPP (Other)</v>
      </c>
      <c r="E58" s="169"/>
      <c r="F58" s="170"/>
      <c r="G58" s="37" t="s">
        <v>37</v>
      </c>
      <c r="H58" s="38">
        <f t="shared" si="5"/>
        <v>794</v>
      </c>
      <c r="I58" s="39">
        <f t="shared" si="6"/>
        <v>8.5311580671017476E-2</v>
      </c>
      <c r="J58" s="38">
        <f t="shared" si="7"/>
        <v>2836.5</v>
      </c>
      <c r="K58" s="39">
        <f t="shared" si="8"/>
        <v>0.29408837270063637</v>
      </c>
      <c r="L58" s="38">
        <f t="shared" si="9"/>
        <v>1948</v>
      </c>
      <c r="M58" s="39">
        <f t="shared" si="10"/>
        <v>4.0834670731686867E-2</v>
      </c>
      <c r="N58" s="38">
        <f t="shared" si="11"/>
        <v>2201.2399999999907</v>
      </c>
      <c r="O58" s="39">
        <f t="shared" si="12"/>
        <v>4.0416022283884098E-3</v>
      </c>
      <c r="R58" s="14"/>
      <c r="S58" s="14"/>
      <c r="T58" s="14"/>
      <c r="U58" s="14"/>
      <c r="V58" s="14"/>
    </row>
    <row r="59" spans="2:22" s="6" customFormat="1" ht="14.5" x14ac:dyDescent="0.25">
      <c r="B59" s="6" t="str">
        <f t="shared" si="4"/>
        <v>RPP</v>
      </c>
      <c r="C59" s="12">
        <v>5</v>
      </c>
      <c r="D59" s="168" t="str">
        <f t="shared" si="3"/>
        <v>UNMETERED SCATTERED LOAD SERVICE CLASSIFICATION - RPP</v>
      </c>
      <c r="E59" s="169"/>
      <c r="F59" s="170"/>
      <c r="G59" s="37" t="s">
        <v>36</v>
      </c>
      <c r="H59" s="38">
        <f t="shared" si="5"/>
        <v>38.5</v>
      </c>
      <c r="I59" s="39">
        <f t="shared" si="6"/>
        <v>3.9755067480354803E-2</v>
      </c>
      <c r="J59" s="38">
        <f t="shared" si="7"/>
        <v>209.99999999999989</v>
      </c>
      <c r="K59" s="39">
        <f t="shared" si="8"/>
        <v>0.21001470102907194</v>
      </c>
      <c r="L59" s="38">
        <f t="shared" si="9"/>
        <v>198.92459999999983</v>
      </c>
      <c r="M59" s="39">
        <f t="shared" si="10"/>
        <v>0.1247716096332092</v>
      </c>
      <c r="N59" s="38">
        <f t="shared" si="11"/>
        <v>224.78479799999968</v>
      </c>
      <c r="O59" s="39">
        <f t="shared" si="12"/>
        <v>3.7911034723459698E-2</v>
      </c>
      <c r="R59" s="14"/>
      <c r="S59" s="14"/>
      <c r="T59" s="14"/>
      <c r="U59" s="14"/>
      <c r="V59" s="14"/>
    </row>
    <row r="60" spans="2:22" s="6" customFormat="1" ht="14.5" x14ac:dyDescent="0.25">
      <c r="B60" s="6" t="str">
        <f t="shared" si="4"/>
        <v>Non-RPP (Other)</v>
      </c>
      <c r="C60" s="12">
        <v>6</v>
      </c>
      <c r="D60" s="168" t="str">
        <f t="shared" si="3"/>
        <v>SENTINEL LIGHTING SERVICE CLASSIFICATION - Non-RPP (Other)</v>
      </c>
      <c r="E60" s="169"/>
      <c r="F60" s="170"/>
      <c r="G60" s="37" t="s">
        <v>37</v>
      </c>
      <c r="H60" s="38">
        <f t="shared" si="5"/>
        <v>0.68519999999989523</v>
      </c>
      <c r="I60" s="39">
        <f t="shared" si="6"/>
        <v>4.4437800536398697E-4</v>
      </c>
      <c r="J60" s="38">
        <f t="shared" si="7"/>
        <v>-12.647500000000036</v>
      </c>
      <c r="K60" s="39">
        <f t="shared" si="8"/>
        <v>-8.1274793329552588E-3</v>
      </c>
      <c r="L60" s="38">
        <f t="shared" si="9"/>
        <v>-12.762300000000323</v>
      </c>
      <c r="M60" s="39">
        <f t="shared" si="10"/>
        <v>-8.1754146747281941E-3</v>
      </c>
      <c r="N60" s="38">
        <f t="shared" si="11"/>
        <v>-14.42139900000052</v>
      </c>
      <c r="O60" s="39">
        <f t="shared" si="12"/>
        <v>-7.61423567931539E-3</v>
      </c>
      <c r="R60" s="14"/>
      <c r="S60" s="14"/>
      <c r="T60" s="14"/>
      <c r="U60" s="14"/>
      <c r="V60" s="14"/>
    </row>
    <row r="61" spans="2:22" s="6" customFormat="1" ht="14.5" x14ac:dyDescent="0.25">
      <c r="B61" s="6" t="str">
        <f t="shared" si="4"/>
        <v>Non-RPP (Other)</v>
      </c>
      <c r="C61" s="12">
        <v>7</v>
      </c>
      <c r="D61" s="168" t="str">
        <f t="shared" si="3"/>
        <v>STREET LIGHTING SERVICE CLASSIFICATION - Non-RPP (Other)</v>
      </c>
      <c r="E61" s="169"/>
      <c r="F61" s="170"/>
      <c r="G61" s="37" t="s">
        <v>37</v>
      </c>
      <c r="H61" s="38">
        <f t="shared" si="5"/>
        <v>812.09999999999854</v>
      </c>
      <c r="I61" s="39">
        <f t="shared" si="6"/>
        <v>4.1866673128050279E-2</v>
      </c>
      <c r="J61" s="38">
        <f t="shared" si="7"/>
        <v>-10576.650000000003</v>
      </c>
      <c r="K61" s="39">
        <f t="shared" si="8"/>
        <v>-0.41260497841915217</v>
      </c>
      <c r="L61" s="38">
        <f t="shared" si="9"/>
        <v>-10746.300000000003</v>
      </c>
      <c r="M61" s="39">
        <f t="shared" si="10"/>
        <v>-0.32658026581542199</v>
      </c>
      <c r="N61" s="38">
        <f t="shared" si="11"/>
        <v>-12143.318999999959</v>
      </c>
      <c r="O61" s="39">
        <f t="shared" si="12"/>
        <v>-6.5850667840593513E-2</v>
      </c>
      <c r="R61" s="14"/>
      <c r="S61" s="14"/>
      <c r="T61" s="14"/>
      <c r="U61" s="14"/>
      <c r="V61" s="14"/>
    </row>
    <row r="62" spans="2:22" s="6" customFormat="1" ht="14.5" x14ac:dyDescent="0.25">
      <c r="B62" s="6" t="str">
        <f t="shared" si="4"/>
        <v>RPP</v>
      </c>
      <c r="C62" s="12">
        <v>8</v>
      </c>
      <c r="D62" s="168" t="str">
        <f t="shared" si="3"/>
        <v>RESIDENTIAL SERVICE CLASSIFICATION - RPP</v>
      </c>
      <c r="E62" s="169"/>
      <c r="F62" s="170"/>
      <c r="G62" s="37" t="s">
        <v>36</v>
      </c>
      <c r="H62" s="38">
        <f t="shared" si="5"/>
        <v>0.70220000000000127</v>
      </c>
      <c r="I62" s="39">
        <f t="shared" si="6"/>
        <v>3.2377650107433729E-2</v>
      </c>
      <c r="J62" s="38">
        <f t="shared" si="7"/>
        <v>2.2046000000000028</v>
      </c>
      <c r="K62" s="39">
        <f t="shared" si="8"/>
        <v>9.2719600650558245E-2</v>
      </c>
      <c r="L62" s="38">
        <f t="shared" si="9"/>
        <v>2.0725390400000023</v>
      </c>
      <c r="M62" s="39">
        <f t="shared" si="10"/>
        <v>7.0203878562555777E-2</v>
      </c>
      <c r="N62" s="38">
        <f t="shared" si="11"/>
        <v>2.0994820475199987</v>
      </c>
      <c r="O62" s="39">
        <f t="shared" si="12"/>
        <v>3.4083765964072373E-2</v>
      </c>
      <c r="R62" s="14"/>
      <c r="S62" s="14"/>
      <c r="T62" s="14"/>
      <c r="U62" s="14"/>
      <c r="V62" s="14"/>
    </row>
    <row r="63" spans="2:22" s="6" customFormat="1" ht="14.5" x14ac:dyDescent="0.25">
      <c r="B63" s="6" t="str">
        <f t="shared" si="4"/>
        <v>Non-RPP (Retailer)</v>
      </c>
      <c r="C63" s="12">
        <v>9</v>
      </c>
      <c r="D63" s="168" t="str">
        <f t="shared" si="3"/>
        <v>RESIDENTIAL SERVICE CLASSIFICATION - Non-RPP (Retailer)</v>
      </c>
      <c r="E63" s="169"/>
      <c r="F63" s="170"/>
      <c r="G63" s="37" t="s">
        <v>36</v>
      </c>
      <c r="H63" s="38">
        <f t="shared" si="5"/>
        <v>0.44000000000000128</v>
      </c>
      <c r="I63" s="39">
        <f t="shared" si="6"/>
        <v>2.0045558086560424E-2</v>
      </c>
      <c r="J63" s="38">
        <f t="shared" si="7"/>
        <v>-8.2600000000000016</v>
      </c>
      <c r="K63" s="39">
        <f t="shared" si="8"/>
        <v>-0.2413979336804476</v>
      </c>
      <c r="L63" s="38">
        <f t="shared" si="9"/>
        <v>-8.5764400000000052</v>
      </c>
      <c r="M63" s="39">
        <f t="shared" si="10"/>
        <v>-0.17874099932266979</v>
      </c>
      <c r="N63" s="38">
        <f t="shared" si="11"/>
        <v>-9.6913771999999767</v>
      </c>
      <c r="O63" s="39">
        <f t="shared" si="12"/>
        <v>-6.4583464800428647E-2</v>
      </c>
      <c r="R63" s="14"/>
      <c r="S63" s="14"/>
      <c r="T63" s="14"/>
      <c r="U63" s="14"/>
      <c r="V63" s="14"/>
    </row>
    <row r="64" spans="2:22" s="6" customFormat="1" ht="14.5" x14ac:dyDescent="0.25">
      <c r="B64" s="6" t="str">
        <f t="shared" si="4"/>
        <v>Non-RPP (Retailer)</v>
      </c>
      <c r="C64" s="12">
        <v>10</v>
      </c>
      <c r="D64" s="168" t="str">
        <f t="shared" si="3"/>
        <v>GENERAL SERVICE LESS THAN 50 KW SERVICE CLASSIFICATION - Non-RPP (Retailer)</v>
      </c>
      <c r="E64" s="169"/>
      <c r="F64" s="170"/>
      <c r="G64" s="37" t="s">
        <v>36</v>
      </c>
      <c r="H64" s="38">
        <f t="shared" si="5"/>
        <v>-4.3999999999999986</v>
      </c>
      <c r="I64" s="39">
        <f t="shared" si="6"/>
        <v>-8.2319925163704372E-2</v>
      </c>
      <c r="J64" s="38">
        <f t="shared" si="7"/>
        <v>-23.59999999999998</v>
      </c>
      <c r="K64" s="39">
        <f t="shared" si="8"/>
        <v>-0.29041521500078249</v>
      </c>
      <c r="L64" s="38">
        <f t="shared" si="9"/>
        <v>-24.23287999999998</v>
      </c>
      <c r="M64" s="39">
        <f t="shared" si="10"/>
        <v>-0.21030462167371114</v>
      </c>
      <c r="N64" s="38">
        <f t="shared" si="11"/>
        <v>-27.383154399999967</v>
      </c>
      <c r="O64" s="39">
        <f t="shared" si="12"/>
        <v>-7.0981434424347095E-2</v>
      </c>
      <c r="R64" s="14"/>
      <c r="S64" s="14"/>
      <c r="T64" s="14"/>
      <c r="U64" s="14"/>
      <c r="V64" s="14"/>
    </row>
    <row r="65" spans="1:22" s="6" customFormat="1" ht="14.5" hidden="1" x14ac:dyDescent="0.25">
      <c r="B65" s="6">
        <f t="shared" ref="B65:B74" si="13">H40</f>
        <v>0</v>
      </c>
      <c r="C65" s="12">
        <v>11</v>
      </c>
      <c r="D65" s="168" t="str">
        <f t="shared" ref="D65:D74" si="14">IF(ISBLANK(D40), "", IF(D40 = "Add additional scenarios if required", "", IF(M40="YES", D40 &amp; " - " &amp; H40 &amp; " - Interval Customers", D40 &amp; " - " &amp;H40)))</f>
        <v/>
      </c>
      <c r="E65" s="169"/>
      <c r="F65" s="170"/>
      <c r="G65" s="37" t="str">
        <f t="shared" ref="G65:G74" si="15">IF(ISBLANK(G40), "", G40)</f>
        <v/>
      </c>
      <c r="H65" s="38" t="str">
        <f t="shared" si="5"/>
        <v/>
      </c>
      <c r="I65" s="39" t="str">
        <f t="shared" si="6"/>
        <v/>
      </c>
      <c r="J65" s="38" t="str">
        <f t="shared" si="7"/>
        <v/>
      </c>
      <c r="K65" s="39" t="str">
        <f t="shared" si="8"/>
        <v/>
      </c>
      <c r="L65" s="38" t="str">
        <f t="shared" si="9"/>
        <v/>
      </c>
      <c r="M65" s="39" t="str">
        <f t="shared" si="10"/>
        <v/>
      </c>
      <c r="N65" s="38" t="str">
        <f t="shared" si="11"/>
        <v/>
      </c>
      <c r="O65" s="39" t="str">
        <f t="shared" si="12"/>
        <v/>
      </c>
      <c r="R65" s="14"/>
      <c r="S65" s="14"/>
      <c r="T65" s="14"/>
      <c r="U65" s="14"/>
      <c r="V65" s="14"/>
    </row>
    <row r="66" spans="1:22" s="6" customFormat="1" ht="14.5" hidden="1" x14ac:dyDescent="0.25">
      <c r="B66" s="6">
        <f t="shared" si="13"/>
        <v>0</v>
      </c>
      <c r="C66" s="12">
        <v>12</v>
      </c>
      <c r="D66" s="168" t="str">
        <f t="shared" si="14"/>
        <v/>
      </c>
      <c r="E66" s="169"/>
      <c r="F66" s="170"/>
      <c r="G66" s="37" t="str">
        <f t="shared" si="15"/>
        <v/>
      </c>
      <c r="H66" s="38" t="str">
        <f t="shared" si="5"/>
        <v/>
      </c>
      <c r="I66" s="39" t="str">
        <f t="shared" si="6"/>
        <v/>
      </c>
      <c r="J66" s="38" t="str">
        <f t="shared" si="7"/>
        <v/>
      </c>
      <c r="K66" s="39" t="str">
        <f t="shared" si="8"/>
        <v/>
      </c>
      <c r="L66" s="38" t="str">
        <f t="shared" si="9"/>
        <v/>
      </c>
      <c r="M66" s="39" t="str">
        <f t="shared" si="10"/>
        <v/>
      </c>
      <c r="N66" s="38" t="str">
        <f t="shared" si="11"/>
        <v/>
      </c>
      <c r="O66" s="39" t="str">
        <f t="shared" si="12"/>
        <v/>
      </c>
      <c r="R66" s="14"/>
      <c r="S66" s="14"/>
      <c r="T66" s="14"/>
      <c r="U66" s="14"/>
      <c r="V66" s="14"/>
    </row>
    <row r="67" spans="1:22" s="6" customFormat="1" ht="14.5" hidden="1" x14ac:dyDescent="0.25">
      <c r="B67" s="6">
        <f t="shared" si="13"/>
        <v>0</v>
      </c>
      <c r="C67" s="12">
        <v>13</v>
      </c>
      <c r="D67" s="168" t="str">
        <f t="shared" si="14"/>
        <v/>
      </c>
      <c r="E67" s="169"/>
      <c r="F67" s="170"/>
      <c r="G67" s="37" t="str">
        <f t="shared" si="15"/>
        <v/>
      </c>
      <c r="H67" s="38" t="str">
        <f t="shared" si="5"/>
        <v/>
      </c>
      <c r="I67" s="39" t="str">
        <f t="shared" si="6"/>
        <v/>
      </c>
      <c r="J67" s="38" t="str">
        <f t="shared" si="7"/>
        <v/>
      </c>
      <c r="K67" s="39" t="str">
        <f t="shared" si="8"/>
        <v/>
      </c>
      <c r="L67" s="38" t="str">
        <f t="shared" si="9"/>
        <v/>
      </c>
      <c r="M67" s="39" t="str">
        <f t="shared" si="10"/>
        <v/>
      </c>
      <c r="N67" s="38" t="str">
        <f t="shared" si="11"/>
        <v/>
      </c>
      <c r="O67" s="39" t="str">
        <f t="shared" si="12"/>
        <v/>
      </c>
      <c r="R67" s="14"/>
      <c r="S67" s="14"/>
      <c r="T67" s="14"/>
      <c r="U67" s="14"/>
      <c r="V67" s="14"/>
    </row>
    <row r="68" spans="1:22" s="6" customFormat="1" ht="14.5" hidden="1" x14ac:dyDescent="0.25">
      <c r="B68" s="6">
        <f t="shared" si="13"/>
        <v>0</v>
      </c>
      <c r="C68" s="12">
        <v>14</v>
      </c>
      <c r="D68" s="168" t="str">
        <f t="shared" si="14"/>
        <v/>
      </c>
      <c r="E68" s="169"/>
      <c r="F68" s="170"/>
      <c r="G68" s="37" t="str">
        <f t="shared" si="15"/>
        <v/>
      </c>
      <c r="H68" s="38" t="str">
        <f t="shared" si="5"/>
        <v/>
      </c>
      <c r="I68" s="39" t="str">
        <f t="shared" si="6"/>
        <v/>
      </c>
      <c r="J68" s="38" t="str">
        <f t="shared" si="7"/>
        <v/>
      </c>
      <c r="K68" s="39" t="str">
        <f t="shared" si="8"/>
        <v/>
      </c>
      <c r="L68" s="38" t="str">
        <f t="shared" si="9"/>
        <v/>
      </c>
      <c r="M68" s="39" t="str">
        <f t="shared" si="10"/>
        <v/>
      </c>
      <c r="N68" s="38" t="str">
        <f t="shared" si="11"/>
        <v/>
      </c>
      <c r="O68" s="39" t="str">
        <f t="shared" si="12"/>
        <v/>
      </c>
      <c r="R68" s="14"/>
      <c r="S68" s="14"/>
      <c r="T68" s="14"/>
      <c r="U68" s="14"/>
      <c r="V68" s="14"/>
    </row>
    <row r="69" spans="1:22" s="6" customFormat="1" ht="14.5" hidden="1" x14ac:dyDescent="0.25">
      <c r="B69" s="6">
        <f t="shared" si="13"/>
        <v>0</v>
      </c>
      <c r="C69" s="12">
        <v>15</v>
      </c>
      <c r="D69" s="168" t="str">
        <f t="shared" si="14"/>
        <v/>
      </c>
      <c r="E69" s="169"/>
      <c r="F69" s="170"/>
      <c r="G69" s="37" t="str">
        <f t="shared" si="15"/>
        <v/>
      </c>
      <c r="H69" s="38" t="str">
        <f t="shared" si="5"/>
        <v/>
      </c>
      <c r="I69" s="39" t="str">
        <f t="shared" si="6"/>
        <v/>
      </c>
      <c r="J69" s="38" t="str">
        <f t="shared" si="7"/>
        <v/>
      </c>
      <c r="K69" s="39" t="str">
        <f t="shared" si="8"/>
        <v/>
      </c>
      <c r="L69" s="38" t="str">
        <f t="shared" si="9"/>
        <v/>
      </c>
      <c r="M69" s="39" t="str">
        <f t="shared" si="10"/>
        <v/>
      </c>
      <c r="N69" s="38" t="str">
        <f t="shared" si="11"/>
        <v/>
      </c>
      <c r="O69" s="39" t="str">
        <f t="shared" si="12"/>
        <v/>
      </c>
      <c r="R69" s="14"/>
      <c r="S69" s="14"/>
      <c r="T69" s="14"/>
      <c r="U69" s="14"/>
      <c r="V69" s="14"/>
    </row>
    <row r="70" spans="1:22" s="6" customFormat="1" ht="14.5" hidden="1" x14ac:dyDescent="0.25">
      <c r="B70" s="6">
        <f t="shared" si="13"/>
        <v>0</v>
      </c>
      <c r="C70" s="12">
        <v>16</v>
      </c>
      <c r="D70" s="168" t="str">
        <f t="shared" si="14"/>
        <v/>
      </c>
      <c r="E70" s="169"/>
      <c r="F70" s="170"/>
      <c r="G70" s="37" t="str">
        <f t="shared" si="15"/>
        <v/>
      </c>
      <c r="H70" s="38" t="str">
        <f t="shared" si="5"/>
        <v/>
      </c>
      <c r="I70" s="39" t="str">
        <f t="shared" si="6"/>
        <v/>
      </c>
      <c r="J70" s="38" t="str">
        <f t="shared" si="7"/>
        <v/>
      </c>
      <c r="K70" s="39" t="str">
        <f t="shared" si="8"/>
        <v/>
      </c>
      <c r="L70" s="38" t="str">
        <f t="shared" si="9"/>
        <v/>
      </c>
      <c r="M70" s="39" t="str">
        <f t="shared" si="10"/>
        <v/>
      </c>
      <c r="N70" s="38" t="str">
        <f t="shared" si="11"/>
        <v/>
      </c>
      <c r="O70" s="39" t="str">
        <f t="shared" si="12"/>
        <v/>
      </c>
      <c r="R70" s="14"/>
      <c r="S70" s="14"/>
      <c r="T70" s="14"/>
      <c r="U70" s="14"/>
      <c r="V70" s="14"/>
    </row>
    <row r="71" spans="1:22" s="6" customFormat="1" ht="14.5" hidden="1" x14ac:dyDescent="0.25">
      <c r="B71" s="6">
        <f t="shared" si="13"/>
        <v>0</v>
      </c>
      <c r="C71" s="12">
        <v>17</v>
      </c>
      <c r="D71" s="168" t="str">
        <f t="shared" si="14"/>
        <v/>
      </c>
      <c r="E71" s="169"/>
      <c r="F71" s="170"/>
      <c r="G71" s="37" t="str">
        <f t="shared" si="15"/>
        <v/>
      </c>
      <c r="H71" s="38" t="str">
        <f t="shared" si="5"/>
        <v/>
      </c>
      <c r="I71" s="39" t="str">
        <f t="shared" si="6"/>
        <v/>
      </c>
      <c r="J71" s="38" t="str">
        <f t="shared" si="7"/>
        <v/>
      </c>
      <c r="K71" s="39" t="str">
        <f t="shared" si="8"/>
        <v/>
      </c>
      <c r="L71" s="38" t="str">
        <f t="shared" si="9"/>
        <v/>
      </c>
      <c r="M71" s="39" t="str">
        <f t="shared" si="10"/>
        <v/>
      </c>
      <c r="N71" s="38" t="str">
        <f t="shared" si="11"/>
        <v/>
      </c>
      <c r="O71" s="39" t="str">
        <f t="shared" si="12"/>
        <v/>
      </c>
      <c r="R71" s="14"/>
      <c r="S71" s="14"/>
      <c r="T71" s="14"/>
      <c r="U71" s="14"/>
      <c r="V71" s="14"/>
    </row>
    <row r="72" spans="1:22" s="6" customFormat="1" ht="14.5" hidden="1" x14ac:dyDescent="0.25">
      <c r="B72" s="6">
        <f t="shared" si="13"/>
        <v>0</v>
      </c>
      <c r="C72" s="12">
        <v>18</v>
      </c>
      <c r="D72" s="168" t="str">
        <f t="shared" si="14"/>
        <v/>
      </c>
      <c r="E72" s="169"/>
      <c r="F72" s="170"/>
      <c r="G72" s="37" t="str">
        <f t="shared" si="15"/>
        <v/>
      </c>
      <c r="H72" s="38" t="str">
        <f t="shared" si="5"/>
        <v/>
      </c>
      <c r="I72" s="39" t="str">
        <f t="shared" si="6"/>
        <v/>
      </c>
      <c r="J72" s="38" t="str">
        <f t="shared" si="7"/>
        <v/>
      </c>
      <c r="K72" s="39" t="str">
        <f t="shared" si="8"/>
        <v/>
      </c>
      <c r="L72" s="38" t="str">
        <f t="shared" si="9"/>
        <v/>
      </c>
      <c r="M72" s="39" t="str">
        <f t="shared" si="10"/>
        <v/>
      </c>
      <c r="N72" s="38" t="str">
        <f t="shared" si="11"/>
        <v/>
      </c>
      <c r="O72" s="39" t="str">
        <f t="shared" si="12"/>
        <v/>
      </c>
      <c r="R72" s="14"/>
      <c r="S72" s="14"/>
      <c r="T72" s="14"/>
      <c r="U72" s="14"/>
      <c r="V72" s="14"/>
    </row>
    <row r="73" spans="1:22" s="6" customFormat="1" ht="14.5" hidden="1" x14ac:dyDescent="0.25">
      <c r="B73" s="6">
        <f t="shared" si="13"/>
        <v>0</v>
      </c>
      <c r="C73" s="12">
        <v>19</v>
      </c>
      <c r="D73" s="168" t="str">
        <f t="shared" si="14"/>
        <v/>
      </c>
      <c r="E73" s="169"/>
      <c r="F73" s="170"/>
      <c r="G73" s="37" t="str">
        <f t="shared" si="15"/>
        <v/>
      </c>
      <c r="H73" s="38" t="str">
        <f t="shared" si="5"/>
        <v/>
      </c>
      <c r="I73" s="39" t="str">
        <f t="shared" si="6"/>
        <v/>
      </c>
      <c r="J73" s="38" t="str">
        <f t="shared" si="7"/>
        <v/>
      </c>
      <c r="K73" s="39" t="str">
        <f t="shared" si="8"/>
        <v/>
      </c>
      <c r="L73" s="38" t="str">
        <f t="shared" si="9"/>
        <v/>
      </c>
      <c r="M73" s="39" t="str">
        <f t="shared" si="10"/>
        <v/>
      </c>
      <c r="N73" s="38" t="str">
        <f t="shared" si="11"/>
        <v/>
      </c>
      <c r="O73" s="39" t="str">
        <f t="shared" si="12"/>
        <v/>
      </c>
      <c r="R73" s="14"/>
      <c r="S73" s="14"/>
      <c r="T73" s="14"/>
      <c r="U73" s="14"/>
      <c r="V73" s="14"/>
    </row>
    <row r="74" spans="1:22" s="6" customFormat="1" ht="14.5" hidden="1" x14ac:dyDescent="0.25">
      <c r="B74" s="6">
        <f t="shared" si="13"/>
        <v>0</v>
      </c>
      <c r="C74" s="12">
        <v>20</v>
      </c>
      <c r="D74" s="168" t="str">
        <f t="shared" si="14"/>
        <v/>
      </c>
      <c r="E74" s="169"/>
      <c r="F74" s="170"/>
      <c r="G74" s="37" t="str">
        <f t="shared" si="15"/>
        <v/>
      </c>
      <c r="H74" s="38" t="str">
        <f t="shared" si="5"/>
        <v/>
      </c>
      <c r="I74" s="39" t="str">
        <f t="shared" si="6"/>
        <v/>
      </c>
      <c r="J74" s="38" t="str">
        <f t="shared" si="7"/>
        <v/>
      </c>
      <c r="K74" s="39" t="str">
        <f t="shared" si="8"/>
        <v/>
      </c>
      <c r="L74" s="38" t="str">
        <f t="shared" si="9"/>
        <v/>
      </c>
      <c r="M74" s="39" t="str">
        <f t="shared" si="10"/>
        <v/>
      </c>
      <c r="N74" s="38" t="str">
        <f t="shared" si="11"/>
        <v/>
      </c>
      <c r="O74" s="39" t="str">
        <f t="shared" si="12"/>
        <v/>
      </c>
      <c r="R74" s="14"/>
      <c r="S74" s="14"/>
      <c r="T74" s="14"/>
      <c r="U74" s="14"/>
      <c r="V74" s="14"/>
    </row>
    <row r="75" spans="1:22" s="6" customFormat="1" ht="14.5" x14ac:dyDescent="0.25">
      <c r="C75" s="12"/>
      <c r="D75" s="40"/>
      <c r="E75" s="40"/>
      <c r="F75" s="40"/>
      <c r="G75" s="41"/>
      <c r="H75" s="42"/>
      <c r="I75" s="43"/>
      <c r="J75" s="42"/>
      <c r="K75" s="43"/>
      <c r="L75" s="42"/>
      <c r="M75" s="43"/>
      <c r="N75" s="42"/>
      <c r="O75" s="43"/>
      <c r="R75" s="14"/>
      <c r="S75" s="14"/>
      <c r="T75" s="14"/>
      <c r="U75" s="14"/>
      <c r="V75" s="14"/>
    </row>
    <row r="76" spans="1:22" ht="5.25" customHeight="1" x14ac:dyDescent="0.25">
      <c r="A76" s="44"/>
      <c r="B76" s="44"/>
      <c r="C76" s="45"/>
      <c r="D76" s="44"/>
      <c r="E76" s="44"/>
      <c r="F76" s="44"/>
      <c r="G76" s="44"/>
      <c r="H76" s="44"/>
      <c r="I76" s="44"/>
      <c r="J76" s="44"/>
      <c r="K76" s="44"/>
      <c r="L76" s="44"/>
      <c r="M76" s="44"/>
      <c r="N76" s="44"/>
      <c r="O76" s="44"/>
    </row>
    <row r="77" spans="1:22" s="6" customFormat="1" x14ac:dyDescent="0.25">
      <c r="C77" s="12"/>
    </row>
    <row r="78" spans="1:22" ht="13" x14ac:dyDescent="0.25">
      <c r="C78" s="14"/>
      <c r="D78" s="46" t="s">
        <v>38</v>
      </c>
      <c r="E78" s="192" t="str">
        <f>D30</f>
        <v>RESIDENTIAL SERVICE CLASSIFICATION</v>
      </c>
      <c r="F78" s="192"/>
      <c r="G78" s="192"/>
      <c r="H78" s="192"/>
      <c r="I78" s="192"/>
      <c r="J78" s="192"/>
      <c r="K78" s="14" t="str">
        <f>IF(N30="DEMAND - INTERVAL","RTSR - INTERVAL METERED","")</f>
        <v/>
      </c>
      <c r="T78" s="14" t="s">
        <v>26</v>
      </c>
    </row>
    <row r="79" spans="1:22" ht="13" x14ac:dyDescent="0.25">
      <c r="C79" s="14"/>
      <c r="D79" s="46" t="s">
        <v>39</v>
      </c>
      <c r="E79" s="193" t="str">
        <f>H30</f>
        <v>RPP</v>
      </c>
      <c r="F79" s="193"/>
      <c r="G79" s="193"/>
      <c r="H79" s="47"/>
      <c r="I79" s="47"/>
    </row>
    <row r="80" spans="1:22" ht="15.5" x14ac:dyDescent="0.3">
      <c r="C80" s="14"/>
      <c r="D80" s="46" t="s">
        <v>40</v>
      </c>
      <c r="E80" s="48">
        <f>K30</f>
        <v>750</v>
      </c>
      <c r="F80" s="49" t="s">
        <v>36</v>
      </c>
      <c r="J80" s="50"/>
      <c r="K80" s="50"/>
      <c r="L80" s="50"/>
      <c r="M80" s="50"/>
      <c r="N80" s="50"/>
    </row>
    <row r="81" spans="1:13" ht="15.5" x14ac:dyDescent="0.35">
      <c r="C81" s="14"/>
      <c r="D81" s="46" t="s">
        <v>41</v>
      </c>
      <c r="E81" s="48">
        <f>L30</f>
        <v>0</v>
      </c>
      <c r="F81" s="51" t="s">
        <v>37</v>
      </c>
      <c r="G81" s="52"/>
      <c r="H81" s="53"/>
      <c r="I81" s="53"/>
      <c r="J81" s="53"/>
    </row>
    <row r="82" spans="1:13" ht="13" x14ac:dyDescent="0.3">
      <c r="C82" s="14"/>
      <c r="D82" s="46" t="s">
        <v>42</v>
      </c>
      <c r="E82" s="54">
        <f>I30</f>
        <v>1.0548</v>
      </c>
    </row>
    <row r="83" spans="1:13" ht="13" x14ac:dyDescent="0.3">
      <c r="C83" s="14"/>
      <c r="D83" s="46" t="s">
        <v>43</v>
      </c>
      <c r="E83" s="54">
        <f>J30</f>
        <v>1.0548</v>
      </c>
    </row>
    <row r="84" spans="1:13" x14ac:dyDescent="0.25">
      <c r="C84" s="14"/>
    </row>
    <row r="85" spans="1:13" ht="13" x14ac:dyDescent="0.3">
      <c r="C85" s="14"/>
      <c r="E85" s="49"/>
      <c r="F85" s="184" t="s">
        <v>44</v>
      </c>
      <c r="G85" s="194"/>
      <c r="H85" s="185"/>
      <c r="I85" s="184" t="s">
        <v>45</v>
      </c>
      <c r="J85" s="194"/>
      <c r="K85" s="185"/>
      <c r="L85" s="184" t="s">
        <v>46</v>
      </c>
      <c r="M85" s="185"/>
    </row>
    <row r="86" spans="1:13" ht="13" x14ac:dyDescent="0.3">
      <c r="C86" s="14"/>
      <c r="E86" s="186"/>
      <c r="F86" s="55" t="s">
        <v>47</v>
      </c>
      <c r="G86" s="55" t="s">
        <v>48</v>
      </c>
      <c r="H86" s="56" t="s">
        <v>49</v>
      </c>
      <c r="I86" s="55" t="s">
        <v>47</v>
      </c>
      <c r="J86" s="57" t="s">
        <v>48</v>
      </c>
      <c r="K86" s="56" t="s">
        <v>49</v>
      </c>
      <c r="L86" s="188" t="s">
        <v>50</v>
      </c>
      <c r="M86" s="190" t="s">
        <v>51</v>
      </c>
    </row>
    <row r="87" spans="1:13" ht="13" x14ac:dyDescent="0.3">
      <c r="C87" s="14"/>
      <c r="E87" s="187"/>
      <c r="F87" s="58" t="s">
        <v>52</v>
      </c>
      <c r="G87" s="58"/>
      <c r="H87" s="59" t="s">
        <v>52</v>
      </c>
      <c r="I87" s="58" t="s">
        <v>52</v>
      </c>
      <c r="J87" s="59"/>
      <c r="K87" s="59" t="s">
        <v>52</v>
      </c>
      <c r="L87" s="189"/>
      <c r="M87" s="191"/>
    </row>
    <row r="88" spans="1:13" ht="13" x14ac:dyDescent="0.25">
      <c r="A88" s="14" t="str">
        <f>$E78</f>
        <v>RESIDENTIAL SERVICE CLASSIFICATION</v>
      </c>
      <c r="C88" s="60"/>
      <c r="D88" s="61" t="s">
        <v>53</v>
      </c>
      <c r="E88" s="62"/>
      <c r="F88" s="63">
        <v>22.62</v>
      </c>
      <c r="G88" s="64">
        <v>1</v>
      </c>
      <c r="H88" s="65">
        <f>G88*F88</f>
        <v>22.62</v>
      </c>
      <c r="I88" s="66">
        <v>22.62</v>
      </c>
      <c r="J88" s="67">
        <f>G88</f>
        <v>1</v>
      </c>
      <c r="K88" s="68">
        <f>J88*I88</f>
        <v>22.62</v>
      </c>
      <c r="L88" s="69">
        <f t="shared" ref="L88:L109" si="16">K88-H88</f>
        <v>0</v>
      </c>
      <c r="M88" s="70">
        <f>IF(ISERROR(L88/H88), "", L88/H88)</f>
        <v>0</v>
      </c>
    </row>
    <row r="89" spans="1:13" ht="13" x14ac:dyDescent="0.25">
      <c r="A89" s="14" t="str">
        <f>A88</f>
        <v>RESIDENTIAL SERVICE CLASSIFICATION</v>
      </c>
      <c r="C89" s="60"/>
      <c r="D89" s="61" t="s">
        <v>54</v>
      </c>
      <c r="E89" s="62"/>
      <c r="F89" s="71">
        <v>0</v>
      </c>
      <c r="G89" s="64">
        <f>IF($E81&gt;0, $E81, $E80)</f>
        <v>750</v>
      </c>
      <c r="H89" s="65">
        <f t="shared" ref="H89:H101" si="17">G89*F89</f>
        <v>0</v>
      </c>
      <c r="I89" s="72">
        <v>0</v>
      </c>
      <c r="J89" s="67">
        <f>IF($E81&gt;0, $E81, $E80)</f>
        <v>750</v>
      </c>
      <c r="K89" s="68">
        <f>J89*I89</f>
        <v>0</v>
      </c>
      <c r="L89" s="69">
        <f t="shared" si="16"/>
        <v>0</v>
      </c>
      <c r="M89" s="70" t="str">
        <f t="shared" ref="M89:M99" si="18">IF(ISERROR(L89/H89), "", L89/H89)</f>
        <v/>
      </c>
    </row>
    <row r="90" spans="1:13" ht="13" customHeight="1" x14ac:dyDescent="0.25">
      <c r="A90" s="14" t="str">
        <f t="shared" ref="A90:A131" si="19">A89</f>
        <v>RESIDENTIAL SERVICE CLASSIFICATION</v>
      </c>
      <c r="C90" s="60"/>
      <c r="D90" s="61" t="s">
        <v>55</v>
      </c>
      <c r="E90" s="62"/>
      <c r="F90" s="71"/>
      <c r="G90" s="64">
        <f>IF($E81&gt;0, $E81, $E80)</f>
        <v>750</v>
      </c>
      <c r="H90" s="65">
        <v>0</v>
      </c>
      <c r="I90" s="72"/>
      <c r="J90" s="67">
        <f>IF($E81&gt;0, $E81, $E80)</f>
        <v>750</v>
      </c>
      <c r="K90" s="68">
        <v>0</v>
      </c>
      <c r="L90" s="69"/>
      <c r="M90" s="70"/>
    </row>
    <row r="91" spans="1:13" ht="13" customHeight="1" x14ac:dyDescent="0.25">
      <c r="A91" s="14" t="str">
        <f t="shared" si="19"/>
        <v>RESIDENTIAL SERVICE CLASSIFICATION</v>
      </c>
      <c r="C91" s="60"/>
      <c r="D91" s="61" t="s">
        <v>56</v>
      </c>
      <c r="E91" s="62"/>
      <c r="F91" s="71"/>
      <c r="G91" s="64">
        <f>IF($E81&gt;0, $E81, $E80)</f>
        <v>750</v>
      </c>
      <c r="H91" s="65">
        <v>0</v>
      </c>
      <c r="I91" s="72"/>
      <c r="J91" s="73">
        <f>IF($E81&gt;0, $E81, $E80)</f>
        <v>750</v>
      </c>
      <c r="K91" s="68">
        <v>0</v>
      </c>
      <c r="L91" s="69">
        <f>K91-H91</f>
        <v>0</v>
      </c>
      <c r="M91" s="70" t="str">
        <f>IF(ISERROR(L91/H91), "", L91/H91)</f>
        <v/>
      </c>
    </row>
    <row r="92" spans="1:13" ht="13" x14ac:dyDescent="0.25">
      <c r="A92" s="14" t="str">
        <f t="shared" si="19"/>
        <v>RESIDENTIAL SERVICE CLASSIFICATION</v>
      </c>
      <c r="C92" s="60"/>
      <c r="D92" s="61" t="s">
        <v>57</v>
      </c>
      <c r="E92" s="62"/>
      <c r="F92" s="63">
        <v>-1.1200000000000001</v>
      </c>
      <c r="G92" s="64">
        <v>1</v>
      </c>
      <c r="H92" s="65">
        <f t="shared" si="17"/>
        <v>-1.1200000000000001</v>
      </c>
      <c r="I92" s="66">
        <v>-0.23</v>
      </c>
      <c r="J92" s="67">
        <f>G92</f>
        <v>1</v>
      </c>
      <c r="K92" s="68">
        <f t="shared" ref="K92:K99" si="20">J92*I92</f>
        <v>-0.23</v>
      </c>
      <c r="L92" s="69">
        <f t="shared" si="16"/>
        <v>0.89000000000000012</v>
      </c>
      <c r="M92" s="70">
        <f>IF(ISERROR(L92/H92), "", L92/H92)</f>
        <v>-0.79464285714285721</v>
      </c>
    </row>
    <row r="93" spans="1:13" ht="13" x14ac:dyDescent="0.25">
      <c r="A93" s="14" t="str">
        <f t="shared" si="19"/>
        <v>RESIDENTIAL SERVICE CLASSIFICATION</v>
      </c>
      <c r="C93" s="60"/>
      <c r="D93" s="61" t="s">
        <v>58</v>
      </c>
      <c r="E93" s="62"/>
      <c r="F93" s="71">
        <v>5.9999999999999995E-4</v>
      </c>
      <c r="G93" s="64">
        <f>IF($E81&gt;0, $E81, $E80)</f>
        <v>750</v>
      </c>
      <c r="H93" s="65">
        <f t="shared" si="17"/>
        <v>0.44999999999999996</v>
      </c>
      <c r="I93" s="72">
        <v>0</v>
      </c>
      <c r="J93" s="67">
        <f>IF($E81&gt;0, $E81, $E80)</f>
        <v>750</v>
      </c>
      <c r="K93" s="68">
        <f t="shared" si="20"/>
        <v>0</v>
      </c>
      <c r="L93" s="69">
        <f t="shared" si="16"/>
        <v>-0.44999999999999996</v>
      </c>
      <c r="M93" s="70">
        <f t="shared" si="18"/>
        <v>-1</v>
      </c>
    </row>
    <row r="94" spans="1:13" ht="13" x14ac:dyDescent="0.25">
      <c r="A94" s="14" t="str">
        <f t="shared" si="19"/>
        <v>RESIDENTIAL SERVICE CLASSIFICATION</v>
      </c>
      <c r="B94" s="14" t="s">
        <v>59</v>
      </c>
      <c r="C94" s="60">
        <f>B30</f>
        <v>1</v>
      </c>
      <c r="D94" s="74" t="s">
        <v>60</v>
      </c>
      <c r="E94" s="75"/>
      <c r="F94" s="76"/>
      <c r="G94" s="77"/>
      <c r="H94" s="78">
        <f>SUM(H88:H93)</f>
        <v>21.95</v>
      </c>
      <c r="I94" s="79"/>
      <c r="J94" s="80"/>
      <c r="K94" s="78">
        <f>SUM(K88:K93)</f>
        <v>22.39</v>
      </c>
      <c r="L94" s="81">
        <f t="shared" si="16"/>
        <v>0.44000000000000128</v>
      </c>
      <c r="M94" s="82">
        <f>IF((H94)=0,"",(L94/H94))</f>
        <v>2.0045558086560424E-2</v>
      </c>
    </row>
    <row r="95" spans="1:13" ht="13" x14ac:dyDescent="0.25">
      <c r="A95" s="14" t="str">
        <f t="shared" si="19"/>
        <v>RESIDENTIAL SERVICE CLASSIFICATION</v>
      </c>
      <c r="C95" s="60"/>
      <c r="D95" s="83" t="s">
        <v>61</v>
      </c>
      <c r="E95" s="62"/>
      <c r="F95" s="71">
        <f>IF((E80*12&gt;=150000), 0, IF(E79="RPP",(F111*OffPeakPer+F112*MidPeakPer+F113*OnPeakPer),IF(E79="Non-RPP (Retailer)",F114,F115)))</f>
        <v>9.3670000000000003E-2</v>
      </c>
      <c r="G95" s="84">
        <f>IF(F95=0, 0, $E80*E82-E80)</f>
        <v>41.100000000000023</v>
      </c>
      <c r="H95" s="65">
        <f>G95*F95</f>
        <v>3.8498370000000022</v>
      </c>
      <c r="I95" s="72">
        <f>IF((E80*12&gt;=150000), 0, IF(E79="RPP",(I111*OffPeakPer+I112*MidPeakPer+I113*OnPeakPer),IF(E79="Non-RPP (Retailer)",I114,I115)))</f>
        <v>9.3670000000000003E-2</v>
      </c>
      <c r="J95" s="85">
        <f>IF(I95=0, 0, E80*E83-E80)</f>
        <v>41.100000000000023</v>
      </c>
      <c r="K95" s="68">
        <f>J95*I95</f>
        <v>3.8498370000000022</v>
      </c>
      <c r="L95" s="69">
        <f>K95-H95</f>
        <v>0</v>
      </c>
      <c r="M95" s="70">
        <f>IF(ISERROR(L95/H95), "", L95/H95)</f>
        <v>0</v>
      </c>
    </row>
    <row r="96" spans="1:13" ht="25" x14ac:dyDescent="0.25">
      <c r="A96" s="14" t="str">
        <f t="shared" si="19"/>
        <v>RESIDENTIAL SERVICE CLASSIFICATION</v>
      </c>
      <c r="C96" s="60"/>
      <c r="D96" s="83" t="s">
        <v>62</v>
      </c>
      <c r="E96" s="62"/>
      <c r="F96" s="71">
        <v>-5.9999999999999995E-4</v>
      </c>
      <c r="G96" s="86">
        <f>IF($E81&gt;0, $E81, $E80)</f>
        <v>750</v>
      </c>
      <c r="H96" s="65">
        <f t="shared" si="17"/>
        <v>-0.44999999999999996</v>
      </c>
      <c r="I96" s="72">
        <v>3.3E-3</v>
      </c>
      <c r="J96" s="87">
        <f>IF($E81&gt;0, $E81, $E80)</f>
        <v>750</v>
      </c>
      <c r="K96" s="68">
        <f t="shared" si="20"/>
        <v>2.4750000000000001</v>
      </c>
      <c r="L96" s="69">
        <f t="shared" si="16"/>
        <v>2.9249999999999998</v>
      </c>
      <c r="M96" s="70">
        <f t="shared" si="18"/>
        <v>-6.5</v>
      </c>
    </row>
    <row r="97" spans="1:13" ht="13" x14ac:dyDescent="0.25">
      <c r="A97" s="14" t="str">
        <f t="shared" si="19"/>
        <v>RESIDENTIAL SERVICE CLASSIFICATION</v>
      </c>
      <c r="C97" s="60"/>
      <c r="D97" s="83" t="s">
        <v>63</v>
      </c>
      <c r="E97" s="62"/>
      <c r="F97" s="71">
        <v>-2.0000000000000001E-4</v>
      </c>
      <c r="G97" s="86">
        <f>IF($E81&gt;0, $E81, $E80)</f>
        <v>750</v>
      </c>
      <c r="H97" s="65">
        <f>G97*F97</f>
        <v>-0.15</v>
      </c>
      <c r="I97" s="72">
        <v>-4.0000000000000002E-4</v>
      </c>
      <c r="J97" s="87">
        <f>IF($E81&gt;0, $E81, $E80)</f>
        <v>750</v>
      </c>
      <c r="K97" s="68">
        <f>J97*I97</f>
        <v>-0.3</v>
      </c>
      <c r="L97" s="69">
        <f t="shared" si="16"/>
        <v>-0.15</v>
      </c>
      <c r="M97" s="70">
        <f t="shared" si="18"/>
        <v>1</v>
      </c>
    </row>
    <row r="98" spans="1:13" ht="13" x14ac:dyDescent="0.25">
      <c r="A98" s="14" t="str">
        <f t="shared" si="19"/>
        <v>RESIDENTIAL SERVICE CLASSIFICATION</v>
      </c>
      <c r="C98" s="60"/>
      <c r="D98" s="83" t="s">
        <v>64</v>
      </c>
      <c r="E98" s="62"/>
      <c r="F98" s="71">
        <v>0</v>
      </c>
      <c r="G98" s="86">
        <f>E80</f>
        <v>750</v>
      </c>
      <c r="H98" s="65">
        <f>G98*F98</f>
        <v>0</v>
      </c>
      <c r="I98" s="72">
        <v>0</v>
      </c>
      <c r="J98" s="87">
        <f>E80</f>
        <v>750</v>
      </c>
      <c r="K98" s="68">
        <f t="shared" si="20"/>
        <v>0</v>
      </c>
      <c r="L98" s="69">
        <f t="shared" si="16"/>
        <v>0</v>
      </c>
      <c r="M98" s="70" t="str">
        <f t="shared" si="18"/>
        <v/>
      </c>
    </row>
    <row r="99" spans="1:13" ht="13" x14ac:dyDescent="0.25">
      <c r="A99" s="14" t="str">
        <f t="shared" si="19"/>
        <v>RESIDENTIAL SERVICE CLASSIFICATION</v>
      </c>
      <c r="C99" s="60"/>
      <c r="D99" s="61" t="s">
        <v>65</v>
      </c>
      <c r="E99" s="62"/>
      <c r="F99" s="71">
        <v>1E-3</v>
      </c>
      <c r="G99" s="86">
        <f>IF($E81&gt;0, $E81, $E80)</f>
        <v>750</v>
      </c>
      <c r="H99" s="65">
        <f t="shared" si="17"/>
        <v>0.75</v>
      </c>
      <c r="I99" s="72">
        <v>2.0999999999999999E-3</v>
      </c>
      <c r="J99" s="87">
        <f>IF($E81&gt;0, $E81, $E80)</f>
        <v>750</v>
      </c>
      <c r="K99" s="68">
        <f t="shared" si="20"/>
        <v>1.575</v>
      </c>
      <c r="L99" s="69">
        <f t="shared" si="16"/>
        <v>0.82499999999999996</v>
      </c>
      <c r="M99" s="70">
        <f t="shared" si="18"/>
        <v>1.0999999999999999</v>
      </c>
    </row>
    <row r="100" spans="1:13" ht="13" x14ac:dyDescent="0.25">
      <c r="A100" s="14" t="str">
        <f t="shared" si="19"/>
        <v>RESIDENTIAL SERVICE CLASSIFICATION</v>
      </c>
      <c r="C100" s="60"/>
      <c r="D100" s="83" t="s">
        <v>66</v>
      </c>
      <c r="E100" s="62"/>
      <c r="F100" s="88">
        <f>IF(OR(ISNUMBER(SEARCH("RESIDENTIAL", E78))=TRUE, ISNUMBER(SEARCH("GENERAL SERVICE LESS THAN 50", E78))=TRUE), SME, 0)</f>
        <v>0.42</v>
      </c>
      <c r="G100" s="64">
        <v>1</v>
      </c>
      <c r="H100" s="65">
        <f>G100*F100</f>
        <v>0.42</v>
      </c>
      <c r="I100" s="89">
        <f>IF(OR(ISNUMBER(SEARCH("RESIDENTIAL", E78))=TRUE, ISNUMBER(SEARCH("GENERAL SERVICE LESS THAN 50", E78))=TRUE), SME, 0)</f>
        <v>0.42</v>
      </c>
      <c r="J100" s="73">
        <v>1</v>
      </c>
      <c r="K100" s="68">
        <f>J100*I100</f>
        <v>0.42</v>
      </c>
      <c r="L100" s="69">
        <f t="shared" si="16"/>
        <v>0</v>
      </c>
      <c r="M100" s="70">
        <f>IF(ISERROR(L100/H100), "", L100/H100)</f>
        <v>0</v>
      </c>
    </row>
    <row r="101" spans="1:13" ht="13" x14ac:dyDescent="0.25">
      <c r="A101" s="14" t="str">
        <f t="shared" si="19"/>
        <v>RESIDENTIAL SERVICE CLASSIFICATION</v>
      </c>
      <c r="C101" s="60"/>
      <c r="D101" s="61" t="s">
        <v>67</v>
      </c>
      <c r="E101" s="62"/>
      <c r="F101" s="63">
        <v>0</v>
      </c>
      <c r="G101" s="64">
        <v>1</v>
      </c>
      <c r="H101" s="65">
        <f t="shared" si="17"/>
        <v>0</v>
      </c>
      <c r="I101" s="66">
        <v>0</v>
      </c>
      <c r="J101" s="73">
        <v>1</v>
      </c>
      <c r="K101" s="68">
        <f>J101*I101</f>
        <v>0</v>
      </c>
      <c r="L101" s="69">
        <f>K101-H101</f>
        <v>0</v>
      </c>
      <c r="M101" s="70" t="str">
        <f>IF(ISERROR(L101/H101), "", L101/H101)</f>
        <v/>
      </c>
    </row>
    <row r="102" spans="1:13" ht="13" x14ac:dyDescent="0.25">
      <c r="A102" s="14" t="str">
        <f t="shared" si="19"/>
        <v>RESIDENTIAL SERVICE CLASSIFICATION</v>
      </c>
      <c r="C102" s="60"/>
      <c r="D102" s="61" t="s">
        <v>68</v>
      </c>
      <c r="E102" s="62"/>
      <c r="F102" s="71">
        <v>0</v>
      </c>
      <c r="G102" s="86">
        <f>IF($E81&gt;0, $E81, $E80)</f>
        <v>750</v>
      </c>
      <c r="H102" s="65">
        <f>G102*F102</f>
        <v>0</v>
      </c>
      <c r="I102" s="72">
        <v>0</v>
      </c>
      <c r="J102" s="87">
        <f>IF($E81&gt;0, $E81, $E80)</f>
        <v>750</v>
      </c>
      <c r="K102" s="68">
        <f>J102*I102</f>
        <v>0</v>
      </c>
      <c r="L102" s="69">
        <f t="shared" si="16"/>
        <v>0</v>
      </c>
      <c r="M102" s="70" t="str">
        <f>IF(ISERROR(L102/H102), "", L102/H102)</f>
        <v/>
      </c>
    </row>
    <row r="103" spans="1:13" ht="26" x14ac:dyDescent="0.25">
      <c r="A103" s="14" t="str">
        <f t="shared" si="19"/>
        <v>RESIDENTIAL SERVICE CLASSIFICATION</v>
      </c>
      <c r="B103" s="14" t="s">
        <v>69</v>
      </c>
      <c r="C103" s="60">
        <f>B30</f>
        <v>1</v>
      </c>
      <c r="D103" s="90" t="s">
        <v>70</v>
      </c>
      <c r="E103" s="91"/>
      <c r="F103" s="92"/>
      <c r="G103" s="93"/>
      <c r="H103" s="94">
        <f>SUM(H94:H102)</f>
        <v>26.369837000000004</v>
      </c>
      <c r="I103" s="95"/>
      <c r="J103" s="96"/>
      <c r="K103" s="94">
        <f>SUM(K94:K102)</f>
        <v>30.409837000000003</v>
      </c>
      <c r="L103" s="81">
        <f t="shared" si="16"/>
        <v>4.0399999999999991</v>
      </c>
      <c r="M103" s="82">
        <f>IF((H103)=0,"",(L103/H103))</f>
        <v>0.15320534594127369</v>
      </c>
    </row>
    <row r="104" spans="1:13" ht="13" x14ac:dyDescent="0.25">
      <c r="A104" s="14" t="str">
        <f t="shared" si="19"/>
        <v>RESIDENTIAL SERVICE CLASSIFICATION</v>
      </c>
      <c r="C104" s="60"/>
      <c r="D104" s="97" t="s">
        <v>71</v>
      </c>
      <c r="E104" s="62"/>
      <c r="F104" s="71">
        <v>9.9000000000000008E-3</v>
      </c>
      <c r="G104" s="84">
        <f>IF($E81&gt;0, $E81, $E80*$E82)</f>
        <v>791.1</v>
      </c>
      <c r="H104" s="65">
        <f>G104*F104</f>
        <v>7.8318900000000005</v>
      </c>
      <c r="I104" s="98">
        <v>9.7000000000000003E-3</v>
      </c>
      <c r="J104" s="85">
        <f>IF($E81&gt;0, $E81, $E80*$E83)</f>
        <v>791.1</v>
      </c>
      <c r="K104" s="68">
        <f>J104*I104</f>
        <v>7.6736700000000004</v>
      </c>
      <c r="L104" s="69">
        <f t="shared" si="16"/>
        <v>-0.15822000000000003</v>
      </c>
      <c r="M104" s="70">
        <f>IF(ISERROR(L104/H104), "", L104/H104)</f>
        <v>-2.0202020202020204E-2</v>
      </c>
    </row>
    <row r="105" spans="1:13" ht="25" x14ac:dyDescent="0.25">
      <c r="A105" s="14" t="str">
        <f t="shared" si="19"/>
        <v>RESIDENTIAL SERVICE CLASSIFICATION</v>
      </c>
      <c r="C105" s="60"/>
      <c r="D105" s="99" t="s">
        <v>72</v>
      </c>
      <c r="E105" s="62"/>
      <c r="F105" s="71">
        <v>7.4999999999999997E-3</v>
      </c>
      <c r="G105" s="84">
        <f>IF($E81&gt;0, $E81, $E80*$E82)</f>
        <v>791.1</v>
      </c>
      <c r="H105" s="65">
        <f>G105*F105</f>
        <v>5.9332500000000001</v>
      </c>
      <c r="I105" s="98">
        <v>7.3000000000000001E-3</v>
      </c>
      <c r="J105" s="85">
        <f>IF($E81&gt;0, $E81, $E80*$E83)</f>
        <v>791.1</v>
      </c>
      <c r="K105" s="68">
        <f>J105*I105</f>
        <v>5.7750300000000001</v>
      </c>
      <c r="L105" s="69">
        <f t="shared" si="16"/>
        <v>-0.15822000000000003</v>
      </c>
      <c r="M105" s="70">
        <f>IF(ISERROR(L105/H105), "", L105/H105)</f>
        <v>-2.6666666666666672E-2</v>
      </c>
    </row>
    <row r="106" spans="1:13" ht="26" x14ac:dyDescent="0.25">
      <c r="A106" s="14" t="str">
        <f t="shared" si="19"/>
        <v>RESIDENTIAL SERVICE CLASSIFICATION</v>
      </c>
      <c r="B106" s="14" t="s">
        <v>73</v>
      </c>
      <c r="C106" s="60">
        <f>B30</f>
        <v>1</v>
      </c>
      <c r="D106" s="90" t="s">
        <v>74</v>
      </c>
      <c r="E106" s="75"/>
      <c r="F106" s="92"/>
      <c r="G106" s="93"/>
      <c r="H106" s="94">
        <f>SUM(H103:H105)</f>
        <v>40.134977000000006</v>
      </c>
      <c r="I106" s="95"/>
      <c r="J106" s="80"/>
      <c r="K106" s="94">
        <f>SUM(K103:K105)</f>
        <v>43.858537000000005</v>
      </c>
      <c r="L106" s="81">
        <f t="shared" si="16"/>
        <v>3.7235599999999991</v>
      </c>
      <c r="M106" s="82">
        <f>IF((H106)=0,"",(L106/H106))</f>
        <v>9.2775934566998716E-2</v>
      </c>
    </row>
    <row r="107" spans="1:13" ht="25" x14ac:dyDescent="0.25">
      <c r="A107" s="14" t="str">
        <f t="shared" si="19"/>
        <v>RESIDENTIAL SERVICE CLASSIFICATION</v>
      </c>
      <c r="C107" s="60"/>
      <c r="D107" s="100" t="s">
        <v>75</v>
      </c>
      <c r="E107" s="62"/>
      <c r="F107" s="71">
        <f>IF(AND('[2]1. Information Sheet'!$F$26:$H$26&gt;='[2]18. Regulatory Charges'!$D$14,'[2]1. Information Sheet'!$F$26:$H$26&lt;'[2]18. Regulatory Charges'!$E$14),'[2]18. Regulatory Charges'!$D$15+'[2]18. Regulatory Charges'!$D$16,'[2]18. Regulatory Charges'!$E$15+'[2]18. Regulatory Charges'!$E$16)</f>
        <v>4.5000000000000005E-3</v>
      </c>
      <c r="G107" s="84">
        <f>E80*E82</f>
        <v>791.1</v>
      </c>
      <c r="H107" s="101">
        <f t="shared" ref="H107:H113" si="21">G107*F107</f>
        <v>3.5599500000000006</v>
      </c>
      <c r="I107" s="72">
        <f>'[2]18. Regulatory Charges'!$E$15+'[2]18. Regulatory Charges'!$E$16</f>
        <v>4.5000000000000005E-3</v>
      </c>
      <c r="J107" s="85">
        <f>E80*E83</f>
        <v>791.1</v>
      </c>
      <c r="K107" s="68">
        <f t="shared" ref="K107:K113" si="22">J107*I107</f>
        <v>3.5599500000000006</v>
      </c>
      <c r="L107" s="69">
        <f t="shared" si="16"/>
        <v>0</v>
      </c>
      <c r="M107" s="70">
        <f t="shared" ref="M107:M115" si="23">IF(ISERROR(L107/H107), "", L107/H107)</f>
        <v>0</v>
      </c>
    </row>
    <row r="108" spans="1:13" ht="25" x14ac:dyDescent="0.25">
      <c r="A108" s="14" t="str">
        <f t="shared" si="19"/>
        <v>RESIDENTIAL SERVICE CLASSIFICATION</v>
      </c>
      <c r="C108" s="60"/>
      <c r="D108" s="100" t="s">
        <v>76</v>
      </c>
      <c r="E108" s="62"/>
      <c r="F108" s="71">
        <f>IF(AND('[2]1. Information Sheet'!$F$26:$H$26&gt;='[2]18. Regulatory Charges'!$D$14,'[2]1. Information Sheet'!$F$26:$H$26&lt;'[2]18. Regulatory Charges'!$D$14),'[2]18. Regulatory Charges'!$D$17,'[2]18. Regulatory Charges'!$E$17)</f>
        <v>6.9999999999999999E-4</v>
      </c>
      <c r="G108" s="84">
        <f>E80*E82</f>
        <v>791.1</v>
      </c>
      <c r="H108" s="101">
        <f t="shared" si="21"/>
        <v>0.55376999999999998</v>
      </c>
      <c r="I108" s="72">
        <f>'[2]18. Regulatory Charges'!$E$17</f>
        <v>6.9999999999999999E-4</v>
      </c>
      <c r="J108" s="85">
        <f>E80*E83</f>
        <v>791.1</v>
      </c>
      <c r="K108" s="68">
        <f t="shared" si="22"/>
        <v>0.55376999999999998</v>
      </c>
      <c r="L108" s="69">
        <f t="shared" si="16"/>
        <v>0</v>
      </c>
      <c r="M108" s="70">
        <f t="shared" si="23"/>
        <v>0</v>
      </c>
    </row>
    <row r="109" spans="1:13" ht="13" x14ac:dyDescent="0.25">
      <c r="A109" s="14" t="str">
        <f t="shared" si="19"/>
        <v>RESIDENTIAL SERVICE CLASSIFICATION</v>
      </c>
      <c r="C109" s="60"/>
      <c r="D109" s="102" t="s">
        <v>77</v>
      </c>
      <c r="E109" s="62"/>
      <c r="F109" s="88">
        <f>IF(AND('[2]1. Information Sheet'!$F$26:$H$26&gt;='[2]18. Regulatory Charges'!$D$14,'[2]1. Information Sheet'!$F$26:$H$26&lt;'[2]18. Regulatory Charges'!$D$14),'[2]18. Regulatory Charges'!$D$18,'[2]18. Regulatory Charges'!$E$18)</f>
        <v>0.25</v>
      </c>
      <c r="G109" s="64">
        <v>1</v>
      </c>
      <c r="H109" s="101">
        <f t="shared" si="21"/>
        <v>0.25</v>
      </c>
      <c r="I109" s="89">
        <f>'[2]18. Regulatory Charges'!$E$18</f>
        <v>0.25</v>
      </c>
      <c r="J109" s="67">
        <v>1</v>
      </c>
      <c r="K109" s="68">
        <f t="shared" si="22"/>
        <v>0.25</v>
      </c>
      <c r="L109" s="69">
        <f t="shared" si="16"/>
        <v>0</v>
      </c>
      <c r="M109" s="70">
        <f t="shared" si="23"/>
        <v>0</v>
      </c>
    </row>
    <row r="110" spans="1:13" ht="25" customHeight="1" x14ac:dyDescent="0.25">
      <c r="A110" s="14" t="str">
        <f t="shared" si="19"/>
        <v>RESIDENTIAL SERVICE CLASSIFICATION</v>
      </c>
      <c r="C110" s="60"/>
      <c r="D110" s="100" t="s">
        <v>78</v>
      </c>
      <c r="E110" s="62"/>
      <c r="F110" s="71"/>
      <c r="G110" s="84"/>
      <c r="H110" s="101"/>
      <c r="I110" s="72"/>
      <c r="J110" s="85"/>
      <c r="K110" s="68"/>
      <c r="L110" s="69"/>
      <c r="M110" s="70"/>
    </row>
    <row r="111" spans="1:13" ht="13" x14ac:dyDescent="0.25">
      <c r="A111" s="14" t="str">
        <f t="shared" si="19"/>
        <v>RESIDENTIAL SERVICE CLASSIFICATION</v>
      </c>
      <c r="B111" s="14" t="s">
        <v>14</v>
      </c>
      <c r="C111" s="60"/>
      <c r="D111" s="102" t="s">
        <v>79</v>
      </c>
      <c r="E111" s="62"/>
      <c r="F111" s="103">
        <f>OffPeak</f>
        <v>7.3999999999999996E-2</v>
      </c>
      <c r="G111" s="104">
        <f>IF(AND(E80*12&gt;=150000),OffPeakPer*E80*E82,OffPeakPer*E80)</f>
        <v>472.5</v>
      </c>
      <c r="H111" s="101">
        <f t="shared" si="21"/>
        <v>34.964999999999996</v>
      </c>
      <c r="I111" s="105">
        <f>OffPeak</f>
        <v>7.3999999999999996E-2</v>
      </c>
      <c r="J111" s="106">
        <f>IF(AND(E80*12&gt;=150000),OffPeakPer*E80*E83,OffPeakPer*E80)</f>
        <v>472.5</v>
      </c>
      <c r="K111" s="68">
        <f t="shared" si="22"/>
        <v>34.964999999999996</v>
      </c>
      <c r="L111" s="69">
        <f>K111-H111</f>
        <v>0</v>
      </c>
      <c r="M111" s="70">
        <f t="shared" si="23"/>
        <v>0</v>
      </c>
    </row>
    <row r="112" spans="1:13" ht="13" x14ac:dyDescent="0.25">
      <c r="A112" s="14" t="str">
        <f t="shared" si="19"/>
        <v>RESIDENTIAL SERVICE CLASSIFICATION</v>
      </c>
      <c r="B112" s="14" t="s">
        <v>14</v>
      </c>
      <c r="C112" s="60"/>
      <c r="D112" s="102" t="s">
        <v>80</v>
      </c>
      <c r="E112" s="62"/>
      <c r="F112" s="103">
        <f>MidPeak</f>
        <v>0.10199999999999999</v>
      </c>
      <c r="G112" s="104">
        <f>IF(AND(E80*12&gt;=150000),MidPeakPer*E80*E82,MidPeakPer*E80)</f>
        <v>135</v>
      </c>
      <c r="H112" s="101">
        <f t="shared" si="21"/>
        <v>13.77</v>
      </c>
      <c r="I112" s="105">
        <f>MidPeak</f>
        <v>0.10199999999999999</v>
      </c>
      <c r="J112" s="106">
        <f>IF(AND(E80*12&gt;=150000),MidPeakPer*E80*E83,MidPeakPer*E80)</f>
        <v>135</v>
      </c>
      <c r="K112" s="68">
        <f t="shared" si="22"/>
        <v>13.77</v>
      </c>
      <c r="L112" s="69">
        <f>K112-H112</f>
        <v>0</v>
      </c>
      <c r="M112" s="70">
        <f t="shared" si="23"/>
        <v>0</v>
      </c>
    </row>
    <row r="113" spans="1:13" ht="13" x14ac:dyDescent="0.25">
      <c r="A113" s="14" t="str">
        <f t="shared" si="19"/>
        <v>RESIDENTIAL SERVICE CLASSIFICATION</v>
      </c>
      <c r="B113" s="14" t="s">
        <v>14</v>
      </c>
      <c r="C113" s="60"/>
      <c r="D113" s="14" t="s">
        <v>81</v>
      </c>
      <c r="E113" s="62"/>
      <c r="F113" s="103">
        <f>OnPeak</f>
        <v>0.151</v>
      </c>
      <c r="G113" s="104">
        <f>IF(AND(E80*12&gt;=150000),OnPeakPer*E80*E82,OnPeakPer*E80)</f>
        <v>142.5</v>
      </c>
      <c r="H113" s="101">
        <f t="shared" si="21"/>
        <v>21.517499999999998</v>
      </c>
      <c r="I113" s="105">
        <f>OnPeak</f>
        <v>0.151</v>
      </c>
      <c r="J113" s="106">
        <f>IF(AND(E80*12&gt;=150000),OnPeakPer*E80*E83,OnPeakPer*E80)</f>
        <v>142.5</v>
      </c>
      <c r="K113" s="68">
        <f t="shared" si="22"/>
        <v>21.517499999999998</v>
      </c>
      <c r="L113" s="69">
        <f>K113-H113</f>
        <v>0</v>
      </c>
      <c r="M113" s="70">
        <f t="shared" si="23"/>
        <v>0</v>
      </c>
    </row>
    <row r="114" spans="1:13" ht="13.5" customHeight="1" x14ac:dyDescent="0.25">
      <c r="A114" s="14" t="str">
        <f t="shared" si="19"/>
        <v>RESIDENTIAL SERVICE CLASSIFICATION</v>
      </c>
      <c r="B114" s="14" t="s">
        <v>24</v>
      </c>
      <c r="C114" s="60"/>
      <c r="D114" s="102" t="s">
        <v>82</v>
      </c>
      <c r="E114" s="62"/>
      <c r="F114" s="107">
        <v>0.1076</v>
      </c>
      <c r="G114" s="104">
        <f>IF(AND(E80*12&gt;=150000),E80*E82,E80)</f>
        <v>750</v>
      </c>
      <c r="H114" s="101">
        <f>G114*F114</f>
        <v>80.7</v>
      </c>
      <c r="I114" s="108">
        <f>F114</f>
        <v>0.1076</v>
      </c>
      <c r="J114" s="106">
        <f>IF(AND(E80*12&gt;=150000),E80*E83,E80)</f>
        <v>750</v>
      </c>
      <c r="K114" s="68">
        <f>J114*I114</f>
        <v>80.7</v>
      </c>
      <c r="L114" s="69">
        <f>K114-H114</f>
        <v>0</v>
      </c>
      <c r="M114" s="70">
        <f t="shared" si="23"/>
        <v>0</v>
      </c>
    </row>
    <row r="115" spans="1:13" ht="13.5" customHeight="1" thickBot="1" x14ac:dyDescent="0.3">
      <c r="A115" s="14" t="str">
        <f t="shared" si="19"/>
        <v>RESIDENTIAL SERVICE CLASSIFICATION</v>
      </c>
      <c r="B115" s="14" t="s">
        <v>18</v>
      </c>
      <c r="C115" s="60"/>
      <c r="D115" s="102" t="s">
        <v>83</v>
      </c>
      <c r="E115" s="62"/>
      <c r="F115" s="107">
        <v>0.1076</v>
      </c>
      <c r="G115" s="104">
        <f>IF(AND(E80*12&gt;=150000),E80*E82,E80)</f>
        <v>750</v>
      </c>
      <c r="H115" s="101">
        <f>G115*F115</f>
        <v>80.7</v>
      </c>
      <c r="I115" s="108">
        <f>F115</f>
        <v>0.1076</v>
      </c>
      <c r="J115" s="106">
        <f>IF(AND(E80*12&gt;=150000),E80*E83,E80)</f>
        <v>750</v>
      </c>
      <c r="K115" s="68">
        <f>J115*I115</f>
        <v>80.7</v>
      </c>
      <c r="L115" s="69">
        <f>K115-H115</f>
        <v>0</v>
      </c>
      <c r="M115" s="70">
        <f t="shared" si="23"/>
        <v>0</v>
      </c>
    </row>
    <row r="116" spans="1:13" ht="13" thickBot="1" x14ac:dyDescent="0.3">
      <c r="A116" s="14" t="str">
        <f t="shared" si="19"/>
        <v>RESIDENTIAL SERVICE CLASSIFICATION</v>
      </c>
      <c r="C116" s="60"/>
      <c r="D116" s="109"/>
      <c r="E116" s="110"/>
      <c r="F116" s="111"/>
      <c r="G116" s="112"/>
      <c r="H116" s="113"/>
      <c r="I116" s="111"/>
      <c r="J116" s="114"/>
      <c r="K116" s="113"/>
      <c r="L116" s="115"/>
      <c r="M116" s="116"/>
    </row>
    <row r="117" spans="1:13" ht="13" x14ac:dyDescent="0.25">
      <c r="A117" s="14" t="str">
        <f t="shared" si="19"/>
        <v>RESIDENTIAL SERVICE CLASSIFICATION</v>
      </c>
      <c r="B117" s="14" t="s">
        <v>14</v>
      </c>
      <c r="C117" s="60"/>
      <c r="D117" s="117" t="s">
        <v>84</v>
      </c>
      <c r="E117" s="102"/>
      <c r="F117" s="118"/>
      <c r="G117" s="119"/>
      <c r="H117" s="120">
        <f>SUM(H107:H113,H106)</f>
        <v>114.751197</v>
      </c>
      <c r="I117" s="121"/>
      <c r="J117" s="121"/>
      <c r="K117" s="120">
        <f>SUM(K107:K113,K106)</f>
        <v>118.47475700000001</v>
      </c>
      <c r="L117" s="122">
        <f>K117-H117</f>
        <v>3.7235600000000062</v>
      </c>
      <c r="M117" s="123">
        <f>IF((H117)=0,"",(L117/H117))</f>
        <v>3.2448986131273262E-2</v>
      </c>
    </row>
    <row r="118" spans="1:13" x14ac:dyDescent="0.25">
      <c r="A118" s="14" t="str">
        <f t="shared" si="19"/>
        <v>RESIDENTIAL SERVICE CLASSIFICATION</v>
      </c>
      <c r="B118" s="14" t="s">
        <v>14</v>
      </c>
      <c r="C118" s="60"/>
      <c r="D118" s="124" t="s">
        <v>85</v>
      </c>
      <c r="E118" s="102"/>
      <c r="F118" s="118">
        <v>0.13</v>
      </c>
      <c r="G118" s="125"/>
      <c r="H118" s="126">
        <f>H117*F118</f>
        <v>14.917655610000001</v>
      </c>
      <c r="I118" s="127">
        <v>0.13</v>
      </c>
      <c r="J118" s="64"/>
      <c r="K118" s="126">
        <f>K117*I118</f>
        <v>15.401718410000003</v>
      </c>
      <c r="L118" s="69">
        <f>K118-H118</f>
        <v>0.48406280000000201</v>
      </c>
      <c r="M118" s="128">
        <f>IF((H118)=0,"",(L118/H118))</f>
        <v>3.2448986131273345E-2</v>
      </c>
    </row>
    <row r="119" spans="1:13" ht="14.5" x14ac:dyDescent="0.35">
      <c r="A119" s="14" t="str">
        <f t="shared" si="19"/>
        <v>RESIDENTIAL SERVICE CLASSIFICATION</v>
      </c>
      <c r="B119" s="14" t="s">
        <v>14</v>
      </c>
      <c r="C119" s="60"/>
      <c r="D119" s="124" t="s">
        <v>86</v>
      </c>
      <c r="E119"/>
      <c r="F119" s="129">
        <v>0.11700000000000001</v>
      </c>
      <c r="G119" s="125"/>
      <c r="H119" s="126">
        <f>IF(OR(ISNUMBER(SEARCH("[DGEN]", E78))=TRUE, ISNUMBER(SEARCH("STREET LIGHT", E78))=TRUE), 0, IF(AND(E80=0, E81=0),0, IF(AND(E81=0, E80*12&gt;250000), 0, IF(AND(E80=0, E81&gt;=50), 0, IF(E80*12&lt;=250000, F119*H117*-1, IF(E81&lt;50, F119*H117*-1, 0))))))</f>
        <v>-13.425890049000001</v>
      </c>
      <c r="I119" s="129">
        <v>0.11700000000000001</v>
      </c>
      <c r="J119" s="64"/>
      <c r="K119" s="126">
        <f>IF(OR(ISNUMBER(SEARCH("[DGEN]", E78))=TRUE, ISNUMBER(SEARCH("STREET LIGHT", E78))=TRUE), 0, IF(AND(E80=0, E81=0),0, IF(AND(E81=0, E80*12&gt;250000), 0, IF(AND(E80=0, E81&gt;=50), 0, IF(E80*12&lt;=250000, I119*K117*-1, IF(E81&lt;50, I119*K117*-1, 0))))))</f>
        <v>-13.861546569000001</v>
      </c>
      <c r="L119" s="69">
        <f>K119-H119</f>
        <v>-0.43565652000000021</v>
      </c>
      <c r="M119" s="128"/>
    </row>
    <row r="120" spans="1:13" ht="13.5" thickBot="1" x14ac:dyDescent="0.3">
      <c r="A120" s="14" t="str">
        <f t="shared" si="19"/>
        <v>RESIDENTIAL SERVICE CLASSIFICATION</v>
      </c>
      <c r="B120" s="14" t="s">
        <v>87</v>
      </c>
      <c r="C120" s="60">
        <f>B30</f>
        <v>1</v>
      </c>
      <c r="D120" s="195" t="s">
        <v>88</v>
      </c>
      <c r="E120" s="195"/>
      <c r="F120" s="130"/>
      <c r="G120" s="131"/>
      <c r="H120" s="132">
        <f>H117+H118+H119</f>
        <v>116.24296256100001</v>
      </c>
      <c r="I120" s="133"/>
      <c r="J120" s="133"/>
      <c r="K120" s="134">
        <f>K117+K118+K119</f>
        <v>120.01492884100001</v>
      </c>
      <c r="L120" s="135">
        <f>K120-H120</f>
        <v>3.7719662800000009</v>
      </c>
      <c r="M120" s="136">
        <f>IF((H120)=0,"",(L120/H120))</f>
        <v>3.2448986131273214E-2</v>
      </c>
    </row>
    <row r="121" spans="1:13" ht="13" thickBot="1" x14ac:dyDescent="0.3">
      <c r="A121" s="14" t="str">
        <f t="shared" si="19"/>
        <v>RESIDENTIAL SERVICE CLASSIFICATION</v>
      </c>
      <c r="B121" s="14" t="s">
        <v>14</v>
      </c>
      <c r="C121" s="60"/>
      <c r="D121" s="109"/>
      <c r="E121" s="110"/>
      <c r="F121" s="111"/>
      <c r="G121" s="112"/>
      <c r="H121" s="113"/>
      <c r="I121" s="111"/>
      <c r="J121" s="114"/>
      <c r="K121" s="113"/>
      <c r="L121" s="115"/>
      <c r="M121" s="116"/>
    </row>
    <row r="122" spans="1:13" ht="13" customHeight="1" x14ac:dyDescent="0.25">
      <c r="A122" s="14" t="str">
        <f t="shared" si="19"/>
        <v>RESIDENTIAL SERVICE CLASSIFICATION</v>
      </c>
      <c r="B122" s="14" t="s">
        <v>24</v>
      </c>
      <c r="C122" s="60"/>
      <c r="D122" s="117" t="s">
        <v>89</v>
      </c>
      <c r="E122" s="102"/>
      <c r="F122" s="118"/>
      <c r="G122" s="119"/>
      <c r="H122" s="120">
        <f>SUM(H114,H107:H110,H106)</f>
        <v>125.19869700000001</v>
      </c>
      <c r="I122" s="121"/>
      <c r="J122" s="121"/>
      <c r="K122" s="120">
        <f>SUM(K114,K107:K110,K106)</f>
        <v>128.922257</v>
      </c>
      <c r="L122" s="122">
        <f>K122-H122</f>
        <v>3.723559999999992</v>
      </c>
      <c r="M122" s="123">
        <f>IF((H122)=0,"",(L122/H122))</f>
        <v>2.9741204095758214E-2</v>
      </c>
    </row>
    <row r="123" spans="1:13" ht="12.65" customHeight="1" x14ac:dyDescent="0.25">
      <c r="A123" s="14" t="str">
        <f t="shared" si="19"/>
        <v>RESIDENTIAL SERVICE CLASSIFICATION</v>
      </c>
      <c r="B123" s="14" t="s">
        <v>24</v>
      </c>
      <c r="C123" s="60"/>
      <c r="D123" s="124" t="s">
        <v>85</v>
      </c>
      <c r="E123" s="102"/>
      <c r="F123" s="118">
        <v>0.13</v>
      </c>
      <c r="G123" s="119"/>
      <c r="H123" s="126">
        <f>H122*F123</f>
        <v>16.275830610000003</v>
      </c>
      <c r="I123" s="118">
        <v>0.13</v>
      </c>
      <c r="J123" s="127"/>
      <c r="K123" s="126">
        <f>K122*I123</f>
        <v>16.75989341</v>
      </c>
      <c r="L123" s="69">
        <f>K123-H123</f>
        <v>0.48406279999999668</v>
      </c>
      <c r="M123" s="128">
        <f>IF((H123)=0,"",(L123/H123))</f>
        <v>2.9741204095758072E-2</v>
      </c>
    </row>
    <row r="124" spans="1:13" ht="14.5" customHeight="1" x14ac:dyDescent="0.35">
      <c r="A124" s="14" t="str">
        <f t="shared" si="19"/>
        <v>RESIDENTIAL SERVICE CLASSIFICATION</v>
      </c>
      <c r="B124" s="14" t="s">
        <v>24</v>
      </c>
      <c r="C124" s="60"/>
      <c r="D124" s="124" t="s">
        <v>86</v>
      </c>
      <c r="E124"/>
      <c r="F124" s="129">
        <v>0.11700000000000001</v>
      </c>
      <c r="G124" s="119"/>
      <c r="H124" s="126">
        <f>IF(OR(ISNUMBER(SEARCH("[DGEN]", E78))=TRUE, ISNUMBER(SEARCH("STREET LIGHT", E78))=TRUE), 0, IF(AND(E80=0, E81=0),0, IF(AND(E81=0, E80*12&gt;250000), 0, IF(AND(E80=0, E81&gt;=50), 0, IF(E80*12&lt;=250000, F124*H122*-1, IF(E81&lt;50, F124*H122*-1, 0))))))</f>
        <v>-14.648247549000002</v>
      </c>
      <c r="I124" s="129">
        <v>0.11700000000000001</v>
      </c>
      <c r="J124" s="127"/>
      <c r="K124" s="126">
        <f>IF(OR(ISNUMBER(SEARCH("[DGEN]", E78))=TRUE, ISNUMBER(SEARCH("STREET LIGHT", E78))=TRUE), 0, IF(AND(E80=0, E81=0),0, IF(AND(E81=0, E80*12&gt;250000), 0, IF(AND(E80=0, E81&gt;=50), 0, IF(E80*12&lt;=250000, I124*K122*-1, IF(E81&lt;50, I124*K122*-1, 0))))))</f>
        <v>-15.083904069000001</v>
      </c>
      <c r="L124" s="69"/>
      <c r="M124" s="128"/>
    </row>
    <row r="125" spans="1:13" ht="13" customHeight="1" thickBot="1" x14ac:dyDescent="0.3">
      <c r="A125" s="14" t="str">
        <f t="shared" si="19"/>
        <v>RESIDENTIAL SERVICE CLASSIFICATION</v>
      </c>
      <c r="B125" s="14" t="s">
        <v>90</v>
      </c>
      <c r="C125" s="60"/>
      <c r="D125" s="195" t="s">
        <v>89</v>
      </c>
      <c r="E125" s="195"/>
      <c r="F125" s="137"/>
      <c r="G125" s="138"/>
      <c r="H125" s="132">
        <f>SUM(H122,H123)</f>
        <v>141.47452761000002</v>
      </c>
      <c r="I125" s="139"/>
      <c r="J125" s="139"/>
      <c r="K125" s="132">
        <f>SUM(K122,K123)</f>
        <v>145.68215040999999</v>
      </c>
      <c r="L125" s="140">
        <f>K125-H125</f>
        <v>4.2076227999999674</v>
      </c>
      <c r="M125" s="141">
        <f>IF((H125)=0,"",(L125/H125))</f>
        <v>2.9741204095758044E-2</v>
      </c>
    </row>
    <row r="126" spans="1:13" ht="13" customHeight="1" thickBot="1" x14ac:dyDescent="0.3">
      <c r="A126" s="14" t="str">
        <f t="shared" si="19"/>
        <v>RESIDENTIAL SERVICE CLASSIFICATION</v>
      </c>
      <c r="B126" s="14" t="s">
        <v>24</v>
      </c>
      <c r="C126" s="60"/>
      <c r="D126" s="109"/>
      <c r="E126" s="110"/>
      <c r="F126" s="142"/>
      <c r="G126" s="143"/>
      <c r="H126" s="144"/>
      <c r="I126" s="142"/>
      <c r="J126" s="112"/>
      <c r="K126" s="144"/>
      <c r="L126" s="145"/>
      <c r="M126" s="116"/>
    </row>
    <row r="127" spans="1:13" ht="13" customHeight="1" x14ac:dyDescent="0.25">
      <c r="A127" s="14" t="str">
        <f t="shared" si="19"/>
        <v>RESIDENTIAL SERVICE CLASSIFICATION</v>
      </c>
      <c r="B127" s="14" t="s">
        <v>18</v>
      </c>
      <c r="C127" s="60"/>
      <c r="D127" s="117" t="s">
        <v>91</v>
      </c>
      <c r="E127" s="102"/>
      <c r="F127" s="118"/>
      <c r="G127" s="119"/>
      <c r="H127" s="120">
        <f>SUM(H115,H107:H110,H106)</f>
        <v>125.19869700000001</v>
      </c>
      <c r="I127" s="121"/>
      <c r="J127" s="121"/>
      <c r="K127" s="120">
        <f>SUM(K115,K107:K110,K106)</f>
        <v>128.922257</v>
      </c>
      <c r="L127" s="122">
        <f>K127-H127</f>
        <v>3.723559999999992</v>
      </c>
      <c r="M127" s="123">
        <f>IF((H127)=0,"",(L127/H127))</f>
        <v>2.9741204095758214E-2</v>
      </c>
    </row>
    <row r="128" spans="1:13" ht="12.65" customHeight="1" x14ac:dyDescent="0.25">
      <c r="A128" s="14" t="str">
        <f t="shared" si="19"/>
        <v>RESIDENTIAL SERVICE CLASSIFICATION</v>
      </c>
      <c r="B128" s="14" t="s">
        <v>18</v>
      </c>
      <c r="C128" s="60"/>
      <c r="D128" s="124" t="s">
        <v>85</v>
      </c>
      <c r="E128" s="102"/>
      <c r="F128" s="118">
        <v>0.13</v>
      </c>
      <c r="G128" s="119"/>
      <c r="H128" s="126">
        <f>H127*F128</f>
        <v>16.275830610000003</v>
      </c>
      <c r="I128" s="118">
        <v>0.13</v>
      </c>
      <c r="J128" s="127"/>
      <c r="K128" s="126">
        <f>K127*I128</f>
        <v>16.75989341</v>
      </c>
      <c r="L128" s="69">
        <f>K128-H128</f>
        <v>0.48406279999999668</v>
      </c>
      <c r="M128" s="128">
        <f>IF((H128)=0,"",(L128/H128))</f>
        <v>2.9741204095758072E-2</v>
      </c>
    </row>
    <row r="129" spans="1:15" ht="14.5" customHeight="1" x14ac:dyDescent="0.35">
      <c r="A129" s="14" t="str">
        <f t="shared" si="19"/>
        <v>RESIDENTIAL SERVICE CLASSIFICATION</v>
      </c>
      <c r="B129" s="14" t="s">
        <v>18</v>
      </c>
      <c r="C129" s="60"/>
      <c r="D129" s="124" t="s">
        <v>86</v>
      </c>
      <c r="E129"/>
      <c r="F129" s="129">
        <v>0.11700000000000001</v>
      </c>
      <c r="G129" s="119"/>
      <c r="H129" s="126">
        <f>IF(OR(ISNUMBER(SEARCH("[DGEN]", E78))=TRUE, ISNUMBER(SEARCH("STREET LIGHT", E78))=TRUE), 0, IF(AND(E80=0, E81=0),0, IF(AND(E81=0, E80*12&gt;250000), 0, IF(AND(E80=0, E81&gt;=50), 0, IF(E80*12&lt;=250000, F129*H127*-1, IF(E81&lt;50, F129*H127*-1, 0))))))</f>
        <v>-14.648247549000002</v>
      </c>
      <c r="I129" s="129">
        <v>0.11700000000000001</v>
      </c>
      <c r="J129" s="127"/>
      <c r="K129" s="126">
        <f>IF(OR(ISNUMBER(SEARCH("[DGEN]", E78))=TRUE, ISNUMBER(SEARCH("STREET LIGHT", E78))=TRUE), 0, IF(AND(E80=0, E81=0),0, IF(AND(E81=0, E80*12&gt;250000), 0, IF(AND(E80=0, E81&gt;=50), 0, IF(E80*12&lt;=250000, I129*K127*-1, IF(E81&lt;50, I129*K127*-1, 0))))))</f>
        <v>-15.083904069000001</v>
      </c>
      <c r="L129" s="69"/>
      <c r="M129" s="128"/>
    </row>
    <row r="130" spans="1:15" ht="13" customHeight="1" thickBot="1" x14ac:dyDescent="0.3">
      <c r="A130" s="14" t="str">
        <f t="shared" si="19"/>
        <v>RESIDENTIAL SERVICE CLASSIFICATION</v>
      </c>
      <c r="B130" s="14" t="s">
        <v>92</v>
      </c>
      <c r="C130" s="60"/>
      <c r="D130" s="195" t="s">
        <v>91</v>
      </c>
      <c r="E130" s="195"/>
      <c r="F130" s="137"/>
      <c r="G130" s="138"/>
      <c r="H130" s="132">
        <f>SUM(H127,H128)</f>
        <v>141.47452761000002</v>
      </c>
      <c r="I130" s="139"/>
      <c r="J130" s="139"/>
      <c r="K130" s="132">
        <f>SUM(K127,K128)</f>
        <v>145.68215040999999</v>
      </c>
      <c r="L130" s="140">
        <f>K130-H130</f>
        <v>4.2076227999999674</v>
      </c>
      <c r="M130" s="141">
        <f>IF((H130)=0,"",(L130/H130))</f>
        <v>2.9741204095758044E-2</v>
      </c>
    </row>
    <row r="131" spans="1:15" ht="13" customHeight="1" thickBot="1" x14ac:dyDescent="0.3">
      <c r="A131" s="14" t="str">
        <f t="shared" si="19"/>
        <v>RESIDENTIAL SERVICE CLASSIFICATION</v>
      </c>
      <c r="B131" s="14" t="s">
        <v>18</v>
      </c>
      <c r="C131" s="60"/>
      <c r="D131" s="109"/>
      <c r="E131" s="110"/>
      <c r="F131" s="146"/>
      <c r="G131" s="143"/>
      <c r="H131" s="147"/>
      <c r="I131" s="146"/>
      <c r="J131" s="112"/>
      <c r="K131" s="147"/>
      <c r="L131" s="145"/>
      <c r="M131" s="148"/>
    </row>
    <row r="134" spans="1:15" ht="13" x14ac:dyDescent="0.25">
      <c r="C134" s="14"/>
      <c r="D134" s="46" t="s">
        <v>38</v>
      </c>
      <c r="E134" s="192" t="str">
        <f>D31</f>
        <v>GENERAL SERVICE LESS THAN 50 KW SERVICE CLASSIFICATION</v>
      </c>
      <c r="F134" s="192"/>
      <c r="G134" s="192"/>
      <c r="H134" s="192"/>
      <c r="I134" s="192"/>
      <c r="J134" s="192"/>
      <c r="K134" s="14" t="str">
        <f>IF(N31="DEMAND - INTERVAL","RTSR - INTERVAL METERED","")</f>
        <v/>
      </c>
      <c r="O134" s="14" t="s">
        <v>26</v>
      </c>
    </row>
    <row r="135" spans="1:15" ht="13" x14ac:dyDescent="0.25">
      <c r="C135" s="14"/>
      <c r="D135" s="46" t="s">
        <v>39</v>
      </c>
      <c r="E135" s="193" t="str">
        <f>H31</f>
        <v>RPP</v>
      </c>
      <c r="F135" s="193"/>
      <c r="G135" s="193"/>
      <c r="H135" s="47"/>
      <c r="I135" s="47"/>
    </row>
    <row r="136" spans="1:15" ht="15.5" x14ac:dyDescent="0.3">
      <c r="C136" s="14"/>
      <c r="D136" s="46" t="s">
        <v>40</v>
      </c>
      <c r="E136" s="48">
        <f>K31</f>
        <v>2000</v>
      </c>
      <c r="F136" s="49" t="s">
        <v>36</v>
      </c>
      <c r="J136" s="50"/>
      <c r="K136" s="50"/>
      <c r="L136" s="50"/>
      <c r="M136" s="50"/>
    </row>
    <row r="137" spans="1:15" ht="15.5" x14ac:dyDescent="0.35">
      <c r="C137" s="14"/>
      <c r="D137" s="46" t="s">
        <v>41</v>
      </c>
      <c r="E137" s="48">
        <f>L31</f>
        <v>0</v>
      </c>
      <c r="F137" s="51" t="s">
        <v>37</v>
      </c>
      <c r="G137" s="52"/>
      <c r="H137" s="53"/>
      <c r="I137" s="53"/>
      <c r="J137" s="53"/>
    </row>
    <row r="138" spans="1:15" ht="13" x14ac:dyDescent="0.3">
      <c r="C138" s="14"/>
      <c r="D138" s="46" t="s">
        <v>42</v>
      </c>
      <c r="E138" s="54">
        <f>I31</f>
        <v>1.0548</v>
      </c>
    </row>
    <row r="139" spans="1:15" ht="13" x14ac:dyDescent="0.3">
      <c r="C139" s="14"/>
      <c r="D139" s="46" t="s">
        <v>43</v>
      </c>
      <c r="E139" s="54">
        <f>J31</f>
        <v>1.0548</v>
      </c>
    </row>
    <row r="140" spans="1:15" x14ac:dyDescent="0.25">
      <c r="C140" s="14"/>
    </row>
    <row r="141" spans="1:15" ht="13" x14ac:dyDescent="0.3">
      <c r="C141" s="14"/>
      <c r="E141" s="49"/>
      <c r="F141" s="184" t="s">
        <v>44</v>
      </c>
      <c r="G141" s="194"/>
      <c r="H141" s="185"/>
      <c r="I141" s="184" t="s">
        <v>45</v>
      </c>
      <c r="J141" s="194"/>
      <c r="K141" s="185"/>
      <c r="L141" s="184" t="s">
        <v>46</v>
      </c>
      <c r="M141" s="185"/>
    </row>
    <row r="142" spans="1:15" ht="13" x14ac:dyDescent="0.3">
      <c r="C142" s="14"/>
      <c r="E142" s="186"/>
      <c r="F142" s="55" t="s">
        <v>47</v>
      </c>
      <c r="G142" s="55" t="s">
        <v>48</v>
      </c>
      <c r="H142" s="56" t="s">
        <v>49</v>
      </c>
      <c r="I142" s="55" t="s">
        <v>47</v>
      </c>
      <c r="J142" s="57" t="s">
        <v>48</v>
      </c>
      <c r="K142" s="56" t="s">
        <v>49</v>
      </c>
      <c r="L142" s="188" t="s">
        <v>50</v>
      </c>
      <c r="M142" s="190" t="s">
        <v>51</v>
      </c>
    </row>
    <row r="143" spans="1:15" ht="13" x14ac:dyDescent="0.3">
      <c r="C143" s="14"/>
      <c r="E143" s="187"/>
      <c r="F143" s="58" t="s">
        <v>52</v>
      </c>
      <c r="G143" s="58"/>
      <c r="H143" s="59" t="s">
        <v>52</v>
      </c>
      <c r="I143" s="58" t="s">
        <v>52</v>
      </c>
      <c r="J143" s="59"/>
      <c r="K143" s="59" t="s">
        <v>52</v>
      </c>
      <c r="L143" s="189"/>
      <c r="M143" s="191"/>
    </row>
    <row r="144" spans="1:15" ht="13" x14ac:dyDescent="0.25">
      <c r="A144" s="14" t="str">
        <f>$E134</f>
        <v>GENERAL SERVICE LESS THAN 50 KW SERVICE CLASSIFICATION</v>
      </c>
      <c r="C144" s="60"/>
      <c r="D144" s="61" t="s">
        <v>53</v>
      </c>
      <c r="E144" s="62"/>
      <c r="F144" s="63">
        <v>31.36</v>
      </c>
      <c r="G144" s="64">
        <v>1</v>
      </c>
      <c r="H144" s="65">
        <f>G144*F144</f>
        <v>31.36</v>
      </c>
      <c r="I144" s="66">
        <v>31.36</v>
      </c>
      <c r="J144" s="67">
        <f>G144</f>
        <v>1</v>
      </c>
      <c r="K144" s="68">
        <f>J144*I144</f>
        <v>31.36</v>
      </c>
      <c r="L144" s="69">
        <f t="shared" ref="L144:L165" si="24">K144-H144</f>
        <v>0</v>
      </c>
      <c r="M144" s="70">
        <f>IF(ISERROR(L144/H144), "", L144/H144)</f>
        <v>0</v>
      </c>
    </row>
    <row r="145" spans="1:13" ht="13" x14ac:dyDescent="0.25">
      <c r="A145" s="14" t="str">
        <f>A144</f>
        <v>GENERAL SERVICE LESS THAN 50 KW SERVICE CLASSIFICATION</v>
      </c>
      <c r="C145" s="60"/>
      <c r="D145" s="61" t="s">
        <v>54</v>
      </c>
      <c r="E145" s="62"/>
      <c r="F145" s="71">
        <v>8.8999999999999999E-3</v>
      </c>
      <c r="G145" s="64">
        <f>IF($E137&gt;0, $E137, $E136)</f>
        <v>2000</v>
      </c>
      <c r="H145" s="65">
        <f t="shared" ref="H145:H157" si="25">G145*F145</f>
        <v>17.8</v>
      </c>
      <c r="I145" s="72">
        <v>8.8999999999999999E-3</v>
      </c>
      <c r="J145" s="67">
        <f>IF($E137&gt;0, $E137, $E136)</f>
        <v>2000</v>
      </c>
      <c r="K145" s="68">
        <f>J145*I145</f>
        <v>17.8</v>
      </c>
      <c r="L145" s="69">
        <f t="shared" si="24"/>
        <v>0</v>
      </c>
      <c r="M145" s="70">
        <f t="shared" ref="M145:M155" si="26">IF(ISERROR(L145/H145), "", L145/H145)</f>
        <v>0</v>
      </c>
    </row>
    <row r="146" spans="1:13" ht="13" customHeight="1" x14ac:dyDescent="0.25">
      <c r="A146" s="14" t="str">
        <f t="shared" ref="A146:A187" si="27">A145</f>
        <v>GENERAL SERVICE LESS THAN 50 KW SERVICE CLASSIFICATION</v>
      </c>
      <c r="C146" s="60"/>
      <c r="D146" s="61" t="s">
        <v>55</v>
      </c>
      <c r="E146" s="62"/>
      <c r="F146" s="71"/>
      <c r="G146" s="64">
        <f>IF($E137&gt;0, $E137, $E136)</f>
        <v>2000</v>
      </c>
      <c r="H146" s="65">
        <v>0</v>
      </c>
      <c r="I146" s="72"/>
      <c r="J146" s="67">
        <f>IF($E137&gt;0, $E137, $E136)</f>
        <v>2000</v>
      </c>
      <c r="K146" s="68">
        <v>0</v>
      </c>
      <c r="L146" s="69"/>
      <c r="M146" s="70"/>
    </row>
    <row r="147" spans="1:13" ht="13" customHeight="1" x14ac:dyDescent="0.25">
      <c r="A147" s="14" t="str">
        <f t="shared" si="27"/>
        <v>GENERAL SERVICE LESS THAN 50 KW SERVICE CLASSIFICATION</v>
      </c>
      <c r="C147" s="60"/>
      <c r="D147" s="61" t="s">
        <v>56</v>
      </c>
      <c r="E147" s="62"/>
      <c r="F147" s="71"/>
      <c r="G147" s="64">
        <f>IF($E137&gt;0, $E137, $E136)</f>
        <v>2000</v>
      </c>
      <c r="H147" s="65">
        <v>0</v>
      </c>
      <c r="I147" s="72"/>
      <c r="J147" s="73">
        <f>IF($E137&gt;0, $E137, $E136)</f>
        <v>2000</v>
      </c>
      <c r="K147" s="68">
        <v>0</v>
      </c>
      <c r="L147" s="69">
        <f>K147-H147</f>
        <v>0</v>
      </c>
      <c r="M147" s="70" t="str">
        <f>IF(ISERROR(L147/H147), "", L147/H147)</f>
        <v/>
      </c>
    </row>
    <row r="148" spans="1:13" ht="13" x14ac:dyDescent="0.25">
      <c r="A148" s="14" t="str">
        <f t="shared" si="27"/>
        <v>GENERAL SERVICE LESS THAN 50 KW SERVICE CLASSIFICATION</v>
      </c>
      <c r="C148" s="60"/>
      <c r="D148" s="61" t="s">
        <v>57</v>
      </c>
      <c r="E148" s="62"/>
      <c r="F148" s="63">
        <v>-0.31</v>
      </c>
      <c r="G148" s="64">
        <v>1</v>
      </c>
      <c r="H148" s="65">
        <f t="shared" si="25"/>
        <v>-0.31</v>
      </c>
      <c r="I148" s="66">
        <v>-0.31</v>
      </c>
      <c r="J148" s="67">
        <f>G148</f>
        <v>1</v>
      </c>
      <c r="K148" s="68">
        <f t="shared" ref="K148:K155" si="28">J148*I148</f>
        <v>-0.31</v>
      </c>
      <c r="L148" s="69">
        <f t="shared" si="24"/>
        <v>0</v>
      </c>
      <c r="M148" s="70">
        <f t="shared" si="26"/>
        <v>0</v>
      </c>
    </row>
    <row r="149" spans="1:13" ht="13" x14ac:dyDescent="0.25">
      <c r="A149" s="14" t="str">
        <f t="shared" si="27"/>
        <v>GENERAL SERVICE LESS THAN 50 KW SERVICE CLASSIFICATION</v>
      </c>
      <c r="C149" s="60"/>
      <c r="D149" s="61" t="s">
        <v>58</v>
      </c>
      <c r="E149" s="62"/>
      <c r="F149" s="71">
        <v>2.3E-3</v>
      </c>
      <c r="G149" s="64">
        <f>IF($E137&gt;0, $E137, $E136)</f>
        <v>2000</v>
      </c>
      <c r="H149" s="65">
        <f t="shared" si="25"/>
        <v>4.5999999999999996</v>
      </c>
      <c r="I149" s="72">
        <v>1E-4</v>
      </c>
      <c r="J149" s="67">
        <f>IF($E137&gt;0, $E137, $E136)</f>
        <v>2000</v>
      </c>
      <c r="K149" s="68">
        <f t="shared" si="28"/>
        <v>0.2</v>
      </c>
      <c r="L149" s="69">
        <f t="shared" si="24"/>
        <v>-4.3999999999999995</v>
      </c>
      <c r="M149" s="70">
        <f t="shared" si="26"/>
        <v>-0.9565217391304347</v>
      </c>
    </row>
    <row r="150" spans="1:13" ht="13" x14ac:dyDescent="0.25">
      <c r="A150" s="14" t="str">
        <f t="shared" si="27"/>
        <v>GENERAL SERVICE LESS THAN 50 KW SERVICE CLASSIFICATION</v>
      </c>
      <c r="B150" s="14" t="s">
        <v>59</v>
      </c>
      <c r="C150" s="60">
        <f>B31</f>
        <v>2</v>
      </c>
      <c r="D150" s="74" t="s">
        <v>60</v>
      </c>
      <c r="E150" s="75"/>
      <c r="F150" s="76"/>
      <c r="G150" s="77"/>
      <c r="H150" s="78">
        <f>SUM(H144:H149)</f>
        <v>53.449999999999996</v>
      </c>
      <c r="I150" s="79"/>
      <c r="J150" s="80"/>
      <c r="K150" s="78">
        <f>SUM(K144:K149)</f>
        <v>49.05</v>
      </c>
      <c r="L150" s="81">
        <f t="shared" si="24"/>
        <v>-4.3999999999999986</v>
      </c>
      <c r="M150" s="82">
        <f>IF((H150)=0,"",(L150/H150))</f>
        <v>-8.2319925163704372E-2</v>
      </c>
    </row>
    <row r="151" spans="1:13" ht="13" x14ac:dyDescent="0.25">
      <c r="A151" s="14" t="str">
        <f t="shared" si="27"/>
        <v>GENERAL SERVICE LESS THAN 50 KW SERVICE CLASSIFICATION</v>
      </c>
      <c r="C151" s="60"/>
      <c r="D151" s="83" t="s">
        <v>61</v>
      </c>
      <c r="E151" s="62"/>
      <c r="F151" s="71">
        <f>IF((E136*12&gt;=150000), 0, IF(E135="RPP",(F167*OffPeakPer+F168*MidPeakPer+F169*OnPeakPer),IF(E135="Non-RPP (Retailer)",F170,F171)))</f>
        <v>9.3670000000000003E-2</v>
      </c>
      <c r="G151" s="84">
        <f>IF(F151=0, 0, $E136*E138-E136)</f>
        <v>109.59999999999991</v>
      </c>
      <c r="H151" s="65">
        <f>G151*F151</f>
        <v>10.266231999999992</v>
      </c>
      <c r="I151" s="72">
        <f>IF((E136*12&gt;=150000), 0, IF(E135="RPP",(I167*OffPeakPer+I168*MidPeakPer+I169*OnPeakPer),IF(E135="Non-RPP (Retailer)",I170,I171)))</f>
        <v>9.3670000000000003E-2</v>
      </c>
      <c r="J151" s="85">
        <f>IF(I151=0, 0, E136*E139-E136)</f>
        <v>109.59999999999991</v>
      </c>
      <c r="K151" s="68">
        <f>J151*I151</f>
        <v>10.266231999999992</v>
      </c>
      <c r="L151" s="69">
        <f>K151-H151</f>
        <v>0</v>
      </c>
      <c r="M151" s="70">
        <f>IF(ISERROR(L151/H151), "", L151/H151)</f>
        <v>0</v>
      </c>
    </row>
    <row r="152" spans="1:13" ht="25" x14ac:dyDescent="0.25">
      <c r="A152" s="14" t="str">
        <f t="shared" si="27"/>
        <v>GENERAL SERVICE LESS THAN 50 KW SERVICE CLASSIFICATION</v>
      </c>
      <c r="C152" s="60"/>
      <c r="D152" s="83" t="s">
        <v>62</v>
      </c>
      <c r="E152" s="62"/>
      <c r="F152" s="71">
        <v>1E-4</v>
      </c>
      <c r="G152" s="86">
        <f>IF($E137&gt;0, $E137, $E136)</f>
        <v>2000</v>
      </c>
      <c r="H152" s="65">
        <f t="shared" si="25"/>
        <v>0.2</v>
      </c>
      <c r="I152" s="72">
        <v>3.5999999999999999E-3</v>
      </c>
      <c r="J152" s="87">
        <f>IF($E137&gt;0, $E137, $E136)</f>
        <v>2000</v>
      </c>
      <c r="K152" s="68">
        <f t="shared" si="28"/>
        <v>7.2</v>
      </c>
      <c r="L152" s="69">
        <f t="shared" si="24"/>
        <v>7</v>
      </c>
      <c r="M152" s="70">
        <f t="shared" si="26"/>
        <v>35</v>
      </c>
    </row>
    <row r="153" spans="1:13" ht="13" x14ac:dyDescent="0.25">
      <c r="A153" s="14" t="str">
        <f t="shared" si="27"/>
        <v>GENERAL SERVICE LESS THAN 50 KW SERVICE CLASSIFICATION</v>
      </c>
      <c r="C153" s="60"/>
      <c r="D153" s="83" t="s">
        <v>63</v>
      </c>
      <c r="E153" s="62"/>
      <c r="F153" s="71">
        <v>-2.0000000000000001E-4</v>
      </c>
      <c r="G153" s="86">
        <f>IF($E137&gt;0, $E137, $E136)</f>
        <v>2000</v>
      </c>
      <c r="H153" s="65">
        <f>G153*F153</f>
        <v>-0.4</v>
      </c>
      <c r="I153" s="72">
        <v>-4.0000000000000002E-4</v>
      </c>
      <c r="J153" s="87">
        <f>IF($E137&gt;0, $E137, $E136)</f>
        <v>2000</v>
      </c>
      <c r="K153" s="68">
        <f>J153*I153</f>
        <v>-0.8</v>
      </c>
      <c r="L153" s="69">
        <f t="shared" si="24"/>
        <v>-0.4</v>
      </c>
      <c r="M153" s="70">
        <f t="shared" si="26"/>
        <v>1</v>
      </c>
    </row>
    <row r="154" spans="1:13" ht="13" x14ac:dyDescent="0.25">
      <c r="A154" s="14" t="str">
        <f t="shared" si="27"/>
        <v>GENERAL SERVICE LESS THAN 50 KW SERVICE CLASSIFICATION</v>
      </c>
      <c r="C154" s="60"/>
      <c r="D154" s="83" t="s">
        <v>64</v>
      </c>
      <c r="E154" s="62"/>
      <c r="F154" s="71">
        <v>0</v>
      </c>
      <c r="G154" s="86">
        <f>E136</f>
        <v>2000</v>
      </c>
      <c r="H154" s="65">
        <f>G154*F154</f>
        <v>0</v>
      </c>
      <c r="I154" s="72">
        <v>0</v>
      </c>
      <c r="J154" s="87">
        <f>E136</f>
        <v>2000</v>
      </c>
      <c r="K154" s="68">
        <f t="shared" si="28"/>
        <v>0</v>
      </c>
      <c r="L154" s="69">
        <f t="shared" si="24"/>
        <v>0</v>
      </c>
      <c r="M154" s="70" t="str">
        <f t="shared" si="26"/>
        <v/>
      </c>
    </row>
    <row r="155" spans="1:13" ht="13" x14ac:dyDescent="0.25">
      <c r="A155" s="14" t="str">
        <f t="shared" si="27"/>
        <v>GENERAL SERVICE LESS THAN 50 KW SERVICE CLASSIFICATION</v>
      </c>
      <c r="C155" s="60"/>
      <c r="D155" s="61" t="s">
        <v>65</v>
      </c>
      <c r="E155" s="62"/>
      <c r="F155" s="71">
        <v>8.9999999999999998E-4</v>
      </c>
      <c r="G155" s="86">
        <f>IF($E137&gt;0, $E137, $E136)</f>
        <v>2000</v>
      </c>
      <c r="H155" s="65">
        <f t="shared" si="25"/>
        <v>1.8</v>
      </c>
      <c r="I155" s="72">
        <v>1.6999999999999999E-3</v>
      </c>
      <c r="J155" s="87">
        <f>IF($E137&gt;0, $E137, $E136)</f>
        <v>2000</v>
      </c>
      <c r="K155" s="68">
        <f t="shared" si="28"/>
        <v>3.4</v>
      </c>
      <c r="L155" s="69">
        <f t="shared" si="24"/>
        <v>1.5999999999999999</v>
      </c>
      <c r="M155" s="70">
        <f t="shared" si="26"/>
        <v>0.88888888888888884</v>
      </c>
    </row>
    <row r="156" spans="1:13" ht="13" x14ac:dyDescent="0.25">
      <c r="A156" s="14" t="str">
        <f t="shared" si="27"/>
        <v>GENERAL SERVICE LESS THAN 50 KW SERVICE CLASSIFICATION</v>
      </c>
      <c r="C156" s="60"/>
      <c r="D156" s="83" t="s">
        <v>66</v>
      </c>
      <c r="E156" s="62"/>
      <c r="F156" s="88">
        <f>IF(OR(ISNUMBER(SEARCH("RESIDENTIAL", E134))=TRUE, ISNUMBER(SEARCH("GENERAL SERVICE LESS THAN 50", E134))=TRUE), SME, 0)</f>
        <v>0.42</v>
      </c>
      <c r="G156" s="64">
        <v>1</v>
      </c>
      <c r="H156" s="65">
        <f>G156*F156</f>
        <v>0.42</v>
      </c>
      <c r="I156" s="89">
        <f>IF(OR(ISNUMBER(SEARCH("RESIDENTIAL", E134))=TRUE, ISNUMBER(SEARCH("GENERAL SERVICE LESS THAN 50", E134))=TRUE), SME, 0)</f>
        <v>0.42</v>
      </c>
      <c r="J156" s="73">
        <v>1</v>
      </c>
      <c r="K156" s="68">
        <f>J156*I156</f>
        <v>0.42</v>
      </c>
      <c r="L156" s="69">
        <f t="shared" si="24"/>
        <v>0</v>
      </c>
      <c r="M156" s="70">
        <f>IF(ISERROR(L156/H156), "", L156/H156)</f>
        <v>0</v>
      </c>
    </row>
    <row r="157" spans="1:13" ht="13" x14ac:dyDescent="0.25">
      <c r="A157" s="14" t="str">
        <f t="shared" si="27"/>
        <v>GENERAL SERVICE LESS THAN 50 KW SERVICE CLASSIFICATION</v>
      </c>
      <c r="C157" s="60"/>
      <c r="D157" s="61" t="s">
        <v>67</v>
      </c>
      <c r="E157" s="62"/>
      <c r="F157" s="63">
        <v>0</v>
      </c>
      <c r="G157" s="64">
        <v>1</v>
      </c>
      <c r="H157" s="65">
        <f t="shared" si="25"/>
        <v>0</v>
      </c>
      <c r="I157" s="66">
        <v>0</v>
      </c>
      <c r="J157" s="73">
        <v>1</v>
      </c>
      <c r="K157" s="68">
        <f>J157*I157</f>
        <v>0</v>
      </c>
      <c r="L157" s="69">
        <f>K157-H157</f>
        <v>0</v>
      </c>
      <c r="M157" s="70" t="str">
        <f>IF(ISERROR(L157/H157), "", L157/H157)</f>
        <v/>
      </c>
    </row>
    <row r="158" spans="1:13" ht="13" x14ac:dyDescent="0.25">
      <c r="A158" s="14" t="str">
        <f t="shared" si="27"/>
        <v>GENERAL SERVICE LESS THAN 50 KW SERVICE CLASSIFICATION</v>
      </c>
      <c r="C158" s="60"/>
      <c r="D158" s="61" t="s">
        <v>68</v>
      </c>
      <c r="E158" s="62"/>
      <c r="F158" s="71">
        <v>0</v>
      </c>
      <c r="G158" s="86">
        <f>IF($E137&gt;0, $E137, $E136)</f>
        <v>2000</v>
      </c>
      <c r="H158" s="65">
        <f>G158*F158</f>
        <v>0</v>
      </c>
      <c r="I158" s="72">
        <v>0</v>
      </c>
      <c r="J158" s="87">
        <f>IF($E137&gt;0, $E137, $E136)</f>
        <v>2000</v>
      </c>
      <c r="K158" s="68">
        <f>J158*I158</f>
        <v>0</v>
      </c>
      <c r="L158" s="69">
        <f t="shared" si="24"/>
        <v>0</v>
      </c>
      <c r="M158" s="70" t="str">
        <f>IF(ISERROR(L158/H158), "", L158/H158)</f>
        <v/>
      </c>
    </row>
    <row r="159" spans="1:13" ht="26" x14ac:dyDescent="0.25">
      <c r="A159" s="14" t="str">
        <f t="shared" si="27"/>
        <v>GENERAL SERVICE LESS THAN 50 KW SERVICE CLASSIFICATION</v>
      </c>
      <c r="B159" s="14" t="s">
        <v>69</v>
      </c>
      <c r="C159" s="60">
        <f>B31</f>
        <v>2</v>
      </c>
      <c r="D159" s="90" t="s">
        <v>70</v>
      </c>
      <c r="E159" s="91"/>
      <c r="F159" s="92"/>
      <c r="G159" s="93"/>
      <c r="H159" s="94">
        <f>SUM(H150:H158)</f>
        <v>65.736232000000001</v>
      </c>
      <c r="I159" s="95"/>
      <c r="J159" s="96"/>
      <c r="K159" s="94">
        <f>SUM(K150:K158)</f>
        <v>69.536231999999998</v>
      </c>
      <c r="L159" s="81">
        <f t="shared" si="24"/>
        <v>3.7999999999999972</v>
      </c>
      <c r="M159" s="82">
        <f>IF((H159)=0,"",(L159/H159))</f>
        <v>5.7806781502170633E-2</v>
      </c>
    </row>
    <row r="160" spans="1:13" ht="13" x14ac:dyDescent="0.25">
      <c r="A160" s="14" t="str">
        <f t="shared" si="27"/>
        <v>GENERAL SERVICE LESS THAN 50 KW SERVICE CLASSIFICATION</v>
      </c>
      <c r="C160" s="60"/>
      <c r="D160" s="97" t="s">
        <v>71</v>
      </c>
      <c r="E160" s="62"/>
      <c r="F160" s="71">
        <v>9.1999999999999998E-3</v>
      </c>
      <c r="G160" s="84">
        <f>IF($E137&gt;0, $E137, $E136*$E138)</f>
        <v>2109.6</v>
      </c>
      <c r="H160" s="65">
        <f>G160*F160</f>
        <v>19.40832</v>
      </c>
      <c r="I160" s="98">
        <v>8.9999999999999993E-3</v>
      </c>
      <c r="J160" s="85">
        <f>IF($E137&gt;0, $E137, $E136*$E139)</f>
        <v>2109.6</v>
      </c>
      <c r="K160" s="68">
        <f>J160*I160</f>
        <v>18.986399999999996</v>
      </c>
      <c r="L160" s="69">
        <f t="shared" si="24"/>
        <v>-0.42192000000000363</v>
      </c>
      <c r="M160" s="70">
        <f>IF(ISERROR(L160/H160), "", L160/H160)</f>
        <v>-2.1739130434782795E-2</v>
      </c>
    </row>
    <row r="161" spans="1:13" ht="25" x14ac:dyDescent="0.25">
      <c r="A161" s="14" t="str">
        <f t="shared" si="27"/>
        <v>GENERAL SERVICE LESS THAN 50 KW SERVICE CLASSIFICATION</v>
      </c>
      <c r="C161" s="60"/>
      <c r="D161" s="99" t="s">
        <v>72</v>
      </c>
      <c r="E161" s="62"/>
      <c r="F161" s="71">
        <v>6.8999999999999999E-3</v>
      </c>
      <c r="G161" s="84">
        <f>IF($E137&gt;0, $E137, $E136*$E138)</f>
        <v>2109.6</v>
      </c>
      <c r="H161" s="65">
        <f>G161*F161</f>
        <v>14.556239999999999</v>
      </c>
      <c r="I161" s="98">
        <v>6.7999999999999996E-3</v>
      </c>
      <c r="J161" s="85">
        <f>IF($E137&gt;0, $E137, $E136*$E139)</f>
        <v>2109.6</v>
      </c>
      <c r="K161" s="68">
        <f>J161*I161</f>
        <v>14.345279999999999</v>
      </c>
      <c r="L161" s="69">
        <f t="shared" si="24"/>
        <v>-0.21096000000000004</v>
      </c>
      <c r="M161" s="70">
        <f>IF(ISERROR(L161/H161), "", L161/H161)</f>
        <v>-1.4492753623188409E-2</v>
      </c>
    </row>
    <row r="162" spans="1:13" ht="26" x14ac:dyDescent="0.25">
      <c r="A162" s="14" t="str">
        <f t="shared" si="27"/>
        <v>GENERAL SERVICE LESS THAN 50 KW SERVICE CLASSIFICATION</v>
      </c>
      <c r="B162" s="14" t="s">
        <v>73</v>
      </c>
      <c r="C162" s="60">
        <f>B31</f>
        <v>2</v>
      </c>
      <c r="D162" s="90" t="s">
        <v>74</v>
      </c>
      <c r="E162" s="75"/>
      <c r="F162" s="92"/>
      <c r="G162" s="93"/>
      <c r="H162" s="94">
        <f>SUM(H159:H161)</f>
        <v>99.700792000000007</v>
      </c>
      <c r="I162" s="95"/>
      <c r="J162" s="80"/>
      <c r="K162" s="94">
        <f>SUM(K159:K161)</f>
        <v>102.86791199999999</v>
      </c>
      <c r="L162" s="81">
        <f t="shared" si="24"/>
        <v>3.1671199999999828</v>
      </c>
      <c r="M162" s="82">
        <f>IF((H162)=0,"",(L162/H162))</f>
        <v>3.1766247152780716E-2</v>
      </c>
    </row>
    <row r="163" spans="1:13" ht="25" x14ac:dyDescent="0.25">
      <c r="A163" s="14" t="str">
        <f t="shared" si="27"/>
        <v>GENERAL SERVICE LESS THAN 50 KW SERVICE CLASSIFICATION</v>
      </c>
      <c r="C163" s="60"/>
      <c r="D163" s="100" t="s">
        <v>75</v>
      </c>
      <c r="E163" s="62"/>
      <c r="F163" s="71">
        <f>IF(AND('[2]1. Information Sheet'!$F$26:$H$26&gt;='[2]18. Regulatory Charges'!$D$14,'[2]1. Information Sheet'!$F$26:$H$26&lt;'[2]18. Regulatory Charges'!$E$14),'[2]18. Regulatory Charges'!$D$15+'[2]18. Regulatory Charges'!$D$16,'[2]18. Regulatory Charges'!$E$15+'[2]18. Regulatory Charges'!$E$16)</f>
        <v>4.5000000000000005E-3</v>
      </c>
      <c r="G163" s="84">
        <f>E136*E138</f>
        <v>2109.6</v>
      </c>
      <c r="H163" s="101">
        <f t="shared" ref="H163:H169" si="29">G163*F163</f>
        <v>9.4931999999999999</v>
      </c>
      <c r="I163" s="72">
        <f>'[2]18. Regulatory Charges'!$E$15+'[2]18. Regulatory Charges'!$E$16</f>
        <v>4.5000000000000005E-3</v>
      </c>
      <c r="J163" s="85">
        <f>E136*E139</f>
        <v>2109.6</v>
      </c>
      <c r="K163" s="68">
        <f t="shared" ref="K163:K169" si="30">J163*I163</f>
        <v>9.4931999999999999</v>
      </c>
      <c r="L163" s="69">
        <f t="shared" si="24"/>
        <v>0</v>
      </c>
      <c r="M163" s="70">
        <f t="shared" ref="M163:M171" si="31">IF(ISERROR(L163/H163), "", L163/H163)</f>
        <v>0</v>
      </c>
    </row>
    <row r="164" spans="1:13" ht="25" x14ac:dyDescent="0.25">
      <c r="A164" s="14" t="str">
        <f t="shared" si="27"/>
        <v>GENERAL SERVICE LESS THAN 50 KW SERVICE CLASSIFICATION</v>
      </c>
      <c r="C164" s="60"/>
      <c r="D164" s="100" t="s">
        <v>76</v>
      </c>
      <c r="E164" s="62"/>
      <c r="F164" s="71">
        <f>IF(AND('[2]1. Information Sheet'!$F$26:$H$26&gt;='[2]18. Regulatory Charges'!$D$14,'[2]1. Information Sheet'!$F$26:$H$26&lt;'[2]18. Regulatory Charges'!$D$14),'[2]18. Regulatory Charges'!$D$17,'[2]18. Regulatory Charges'!$E$17)</f>
        <v>6.9999999999999999E-4</v>
      </c>
      <c r="G164" s="84">
        <f>E136*E138</f>
        <v>2109.6</v>
      </c>
      <c r="H164" s="101">
        <f t="shared" si="29"/>
        <v>1.4767199999999998</v>
      </c>
      <c r="I164" s="72">
        <f>'[2]18. Regulatory Charges'!$E$17</f>
        <v>6.9999999999999999E-4</v>
      </c>
      <c r="J164" s="85">
        <f>E136*E139</f>
        <v>2109.6</v>
      </c>
      <c r="K164" s="68">
        <f t="shared" si="30"/>
        <v>1.4767199999999998</v>
      </c>
      <c r="L164" s="69">
        <f t="shared" si="24"/>
        <v>0</v>
      </c>
      <c r="M164" s="70">
        <f t="shared" si="31"/>
        <v>0</v>
      </c>
    </row>
    <row r="165" spans="1:13" ht="13" x14ac:dyDescent="0.25">
      <c r="A165" s="14" t="str">
        <f t="shared" si="27"/>
        <v>GENERAL SERVICE LESS THAN 50 KW SERVICE CLASSIFICATION</v>
      </c>
      <c r="C165" s="60"/>
      <c r="D165" s="102" t="s">
        <v>77</v>
      </c>
      <c r="E165" s="62"/>
      <c r="F165" s="88">
        <f>IF(AND('[2]1. Information Sheet'!$F$26:$H$26&gt;='[2]18. Regulatory Charges'!$D$14,'[2]1. Information Sheet'!$F$26:$H$26&lt;'[2]18. Regulatory Charges'!$D$14),'[2]18. Regulatory Charges'!$D$18,'[2]18. Regulatory Charges'!$E$18)</f>
        <v>0.25</v>
      </c>
      <c r="G165" s="64">
        <v>1</v>
      </c>
      <c r="H165" s="101">
        <f t="shared" si="29"/>
        <v>0.25</v>
      </c>
      <c r="I165" s="89">
        <f>'[2]18. Regulatory Charges'!$E$18</f>
        <v>0.25</v>
      </c>
      <c r="J165" s="67">
        <v>1</v>
      </c>
      <c r="K165" s="68">
        <f t="shared" si="30"/>
        <v>0.25</v>
      </c>
      <c r="L165" s="69">
        <f t="shared" si="24"/>
        <v>0</v>
      </c>
      <c r="M165" s="70">
        <f t="shared" si="31"/>
        <v>0</v>
      </c>
    </row>
    <row r="166" spans="1:13" ht="25" customHeight="1" x14ac:dyDescent="0.25">
      <c r="A166" s="14" t="str">
        <f t="shared" si="27"/>
        <v>GENERAL SERVICE LESS THAN 50 KW SERVICE CLASSIFICATION</v>
      </c>
      <c r="C166" s="60"/>
      <c r="D166" s="100" t="s">
        <v>78</v>
      </c>
      <c r="E166" s="62"/>
      <c r="F166" s="71"/>
      <c r="G166" s="84"/>
      <c r="H166" s="101"/>
      <c r="I166" s="72"/>
      <c r="J166" s="85"/>
      <c r="K166" s="68"/>
      <c r="L166" s="69"/>
      <c r="M166" s="70"/>
    </row>
    <row r="167" spans="1:13" ht="13" x14ac:dyDescent="0.25">
      <c r="A167" s="14" t="str">
        <f t="shared" si="27"/>
        <v>GENERAL SERVICE LESS THAN 50 KW SERVICE CLASSIFICATION</v>
      </c>
      <c r="B167" s="14" t="s">
        <v>14</v>
      </c>
      <c r="C167" s="60"/>
      <c r="D167" s="102" t="s">
        <v>79</v>
      </c>
      <c r="E167" s="62"/>
      <c r="F167" s="103">
        <f>OffPeak</f>
        <v>7.3999999999999996E-2</v>
      </c>
      <c r="G167" s="104">
        <f>IF(AND(E136*12&gt;=150000),OffPeakPer*E136*E138,OffPeakPer*E136)</f>
        <v>1260</v>
      </c>
      <c r="H167" s="101">
        <f t="shared" si="29"/>
        <v>93.24</v>
      </c>
      <c r="I167" s="105">
        <f>OffPeak</f>
        <v>7.3999999999999996E-2</v>
      </c>
      <c r="J167" s="106">
        <f>IF(AND(E136*12&gt;=150000),OffPeakPer*E136*E139,OffPeakPer*E136)</f>
        <v>1260</v>
      </c>
      <c r="K167" s="68">
        <f t="shared" si="30"/>
        <v>93.24</v>
      </c>
      <c r="L167" s="69">
        <f>K167-H167</f>
        <v>0</v>
      </c>
      <c r="M167" s="70">
        <f t="shared" si="31"/>
        <v>0</v>
      </c>
    </row>
    <row r="168" spans="1:13" ht="13" x14ac:dyDescent="0.25">
      <c r="A168" s="14" t="str">
        <f t="shared" si="27"/>
        <v>GENERAL SERVICE LESS THAN 50 KW SERVICE CLASSIFICATION</v>
      </c>
      <c r="B168" s="14" t="s">
        <v>14</v>
      </c>
      <c r="C168" s="60"/>
      <c r="D168" s="102" t="s">
        <v>80</v>
      </c>
      <c r="E168" s="62"/>
      <c r="F168" s="103">
        <f>MidPeak</f>
        <v>0.10199999999999999</v>
      </c>
      <c r="G168" s="104">
        <f>IF(AND(E136*12&gt;=150000),MidPeakPer*E136*E138,MidPeakPer*E136)</f>
        <v>360</v>
      </c>
      <c r="H168" s="101">
        <f t="shared" si="29"/>
        <v>36.72</v>
      </c>
      <c r="I168" s="105">
        <f>MidPeak</f>
        <v>0.10199999999999999</v>
      </c>
      <c r="J168" s="106">
        <f>IF(AND(E136*12&gt;=150000),MidPeakPer*E136*E139,MidPeakPer*E136)</f>
        <v>360</v>
      </c>
      <c r="K168" s="68">
        <f t="shared" si="30"/>
        <v>36.72</v>
      </c>
      <c r="L168" s="69">
        <f>K168-H168</f>
        <v>0</v>
      </c>
      <c r="M168" s="70">
        <f t="shared" si="31"/>
        <v>0</v>
      </c>
    </row>
    <row r="169" spans="1:13" ht="13" x14ac:dyDescent="0.25">
      <c r="A169" s="14" t="str">
        <f t="shared" si="27"/>
        <v>GENERAL SERVICE LESS THAN 50 KW SERVICE CLASSIFICATION</v>
      </c>
      <c r="B169" s="14" t="s">
        <v>14</v>
      </c>
      <c r="C169" s="60"/>
      <c r="D169" s="14" t="s">
        <v>81</v>
      </c>
      <c r="E169" s="62"/>
      <c r="F169" s="103">
        <f>OnPeak</f>
        <v>0.151</v>
      </c>
      <c r="G169" s="104">
        <f>IF(AND(E136*12&gt;=150000),OnPeakPer*E136*E138,OnPeakPer*E136)</f>
        <v>380</v>
      </c>
      <c r="H169" s="101">
        <f t="shared" si="29"/>
        <v>57.379999999999995</v>
      </c>
      <c r="I169" s="105">
        <f>OnPeak</f>
        <v>0.151</v>
      </c>
      <c r="J169" s="106">
        <f>IF(AND(E136*12&gt;=150000),OnPeakPer*E136*E139,OnPeakPer*E136)</f>
        <v>380</v>
      </c>
      <c r="K169" s="68">
        <f t="shared" si="30"/>
        <v>57.379999999999995</v>
      </c>
      <c r="L169" s="69">
        <f>K169-H169</f>
        <v>0</v>
      </c>
      <c r="M169" s="70">
        <f t="shared" si="31"/>
        <v>0</v>
      </c>
    </row>
    <row r="170" spans="1:13" ht="13.5" customHeight="1" x14ac:dyDescent="0.25">
      <c r="A170" s="14" t="str">
        <f t="shared" si="27"/>
        <v>GENERAL SERVICE LESS THAN 50 KW SERVICE CLASSIFICATION</v>
      </c>
      <c r="B170" s="14" t="s">
        <v>24</v>
      </c>
      <c r="C170" s="60"/>
      <c r="D170" s="102" t="s">
        <v>82</v>
      </c>
      <c r="E170" s="62"/>
      <c r="F170" s="107">
        <v>0.1076</v>
      </c>
      <c r="G170" s="104">
        <f>IF(AND(E136*12&gt;=150000),E136*E138,E136)</f>
        <v>2000</v>
      </c>
      <c r="H170" s="101">
        <f>G170*F170</f>
        <v>215.2</v>
      </c>
      <c r="I170" s="108">
        <f>F170</f>
        <v>0.1076</v>
      </c>
      <c r="J170" s="106">
        <f>IF(AND(E136*12&gt;=150000),E136*E139,E136)</f>
        <v>2000</v>
      </c>
      <c r="K170" s="68">
        <f>J170*I170</f>
        <v>215.2</v>
      </c>
      <c r="L170" s="69">
        <f>K170-H170</f>
        <v>0</v>
      </c>
      <c r="M170" s="70">
        <f t="shared" si="31"/>
        <v>0</v>
      </c>
    </row>
    <row r="171" spans="1:13" ht="13.5" customHeight="1" thickBot="1" x14ac:dyDescent="0.3">
      <c r="A171" s="14" t="str">
        <f t="shared" si="27"/>
        <v>GENERAL SERVICE LESS THAN 50 KW SERVICE CLASSIFICATION</v>
      </c>
      <c r="B171" s="14" t="s">
        <v>18</v>
      </c>
      <c r="C171" s="60"/>
      <c r="D171" s="102" t="s">
        <v>83</v>
      </c>
      <c r="E171" s="62"/>
      <c r="F171" s="107">
        <v>0.1076</v>
      </c>
      <c r="G171" s="104">
        <f>IF(AND(E136*12&gt;=150000),E136*E138,E136)</f>
        <v>2000</v>
      </c>
      <c r="H171" s="101">
        <f>G171*F171</f>
        <v>215.2</v>
      </c>
      <c r="I171" s="108">
        <f>F171</f>
        <v>0.1076</v>
      </c>
      <c r="J171" s="106">
        <f>IF(AND(E136*12&gt;=150000),E136*E139,E136)</f>
        <v>2000</v>
      </c>
      <c r="K171" s="68">
        <f>J171*I171</f>
        <v>215.2</v>
      </c>
      <c r="L171" s="69">
        <f>K171-H171</f>
        <v>0</v>
      </c>
      <c r="M171" s="70">
        <f t="shared" si="31"/>
        <v>0</v>
      </c>
    </row>
    <row r="172" spans="1:13" ht="13" thickBot="1" x14ac:dyDescent="0.3">
      <c r="A172" s="14" t="str">
        <f t="shared" si="27"/>
        <v>GENERAL SERVICE LESS THAN 50 KW SERVICE CLASSIFICATION</v>
      </c>
      <c r="C172" s="60"/>
      <c r="D172" s="109"/>
      <c r="E172" s="110"/>
      <c r="F172" s="111"/>
      <c r="G172" s="112"/>
      <c r="H172" s="113"/>
      <c r="I172" s="111"/>
      <c r="J172" s="114"/>
      <c r="K172" s="113"/>
      <c r="L172" s="115"/>
      <c r="M172" s="116"/>
    </row>
    <row r="173" spans="1:13" ht="13" x14ac:dyDescent="0.25">
      <c r="A173" s="14" t="str">
        <f t="shared" si="27"/>
        <v>GENERAL SERVICE LESS THAN 50 KW SERVICE CLASSIFICATION</v>
      </c>
      <c r="B173" s="14" t="s">
        <v>14</v>
      </c>
      <c r="C173" s="60"/>
      <c r="D173" s="117" t="s">
        <v>84</v>
      </c>
      <c r="E173" s="102"/>
      <c r="F173" s="118"/>
      <c r="G173" s="119"/>
      <c r="H173" s="120">
        <f>SUM(H163:H169,H162)</f>
        <v>298.26071200000001</v>
      </c>
      <c r="I173" s="121"/>
      <c r="J173" s="121"/>
      <c r="K173" s="120">
        <f>SUM(K163:K169,K162)</f>
        <v>301.42783199999997</v>
      </c>
      <c r="L173" s="122">
        <f>K173-H173</f>
        <v>3.1671199999999544</v>
      </c>
      <c r="M173" s="123">
        <f>IF((H173)=0,"",(L173/H173))</f>
        <v>1.0618629516313748E-2</v>
      </c>
    </row>
    <row r="174" spans="1:13" x14ac:dyDescent="0.25">
      <c r="A174" s="14" t="str">
        <f t="shared" si="27"/>
        <v>GENERAL SERVICE LESS THAN 50 KW SERVICE CLASSIFICATION</v>
      </c>
      <c r="B174" s="14" t="s">
        <v>14</v>
      </c>
      <c r="C174" s="60"/>
      <c r="D174" s="124" t="s">
        <v>85</v>
      </c>
      <c r="E174" s="102"/>
      <c r="F174" s="118">
        <v>0.13</v>
      </c>
      <c r="G174" s="125"/>
      <c r="H174" s="126">
        <f>H173*F174</f>
        <v>38.77389256</v>
      </c>
      <c r="I174" s="127">
        <v>0.13</v>
      </c>
      <c r="J174" s="64"/>
      <c r="K174" s="126">
        <f>K173*I174</f>
        <v>39.185618159999997</v>
      </c>
      <c r="L174" s="69">
        <f>K174-H174</f>
        <v>0.41172559999999692</v>
      </c>
      <c r="M174" s="128">
        <f>IF((H174)=0,"",(L174/H174))</f>
        <v>1.0618629516313823E-2</v>
      </c>
    </row>
    <row r="175" spans="1:13" ht="14.5" x14ac:dyDescent="0.35">
      <c r="A175" s="14" t="str">
        <f t="shared" si="27"/>
        <v>GENERAL SERVICE LESS THAN 50 KW SERVICE CLASSIFICATION</v>
      </c>
      <c r="B175" s="14" t="s">
        <v>14</v>
      </c>
      <c r="C175" s="60"/>
      <c r="D175" s="124" t="s">
        <v>86</v>
      </c>
      <c r="E175"/>
      <c r="F175" s="129">
        <v>0.11700000000000001</v>
      </c>
      <c r="G175" s="125"/>
      <c r="H175" s="126">
        <f>IF(OR(ISNUMBER(SEARCH("[DGEN]", E134))=TRUE, ISNUMBER(SEARCH("STREET LIGHT", E134))=TRUE), 0, IF(AND(E136=0, E137=0),0, IF(AND(E137=0, E136*12&gt;250000), 0, IF(AND(E136=0, E137&gt;=50), 0, IF(E136*12&lt;=250000, F175*H173*-1, IF(E137&lt;50, F175*H173*-1, 0))))))</f>
        <v>-34.896503304000007</v>
      </c>
      <c r="I175" s="129">
        <v>0.11700000000000001</v>
      </c>
      <c r="J175" s="64"/>
      <c r="K175" s="126">
        <f>IF(OR(ISNUMBER(SEARCH("[DGEN]", E134))=TRUE, ISNUMBER(SEARCH("STREET LIGHT", E134))=TRUE), 0, IF(AND(E136=0, E137=0),0, IF(AND(E137=0, E136*12&gt;250000), 0, IF(AND(E136=0, E137&gt;=50), 0, IF(E136*12&lt;=250000, I175*K173*-1, IF(E137&lt;50, I175*K173*-1, 0))))))</f>
        <v>-35.267056343999997</v>
      </c>
      <c r="L175" s="69">
        <f>K175-H175</f>
        <v>-0.37055303999999012</v>
      </c>
      <c r="M175" s="128"/>
    </row>
    <row r="176" spans="1:13" ht="13.5" thickBot="1" x14ac:dyDescent="0.3">
      <c r="A176" s="14" t="str">
        <f t="shared" si="27"/>
        <v>GENERAL SERVICE LESS THAN 50 KW SERVICE CLASSIFICATION</v>
      </c>
      <c r="B176" s="14" t="s">
        <v>87</v>
      </c>
      <c r="C176" s="60">
        <f>B31</f>
        <v>2</v>
      </c>
      <c r="D176" s="195" t="s">
        <v>88</v>
      </c>
      <c r="E176" s="195"/>
      <c r="F176" s="130"/>
      <c r="G176" s="131"/>
      <c r="H176" s="132">
        <f>H173+H174+H175</f>
        <v>302.13810125599997</v>
      </c>
      <c r="I176" s="133"/>
      <c r="J176" s="133"/>
      <c r="K176" s="134">
        <f>K173+K174+K175</f>
        <v>305.34639381599993</v>
      </c>
      <c r="L176" s="135">
        <f>K176-H176</f>
        <v>3.2082925599999612</v>
      </c>
      <c r="M176" s="136">
        <f>IF((H176)=0,"",(L176/H176))</f>
        <v>1.0618629516313774E-2</v>
      </c>
    </row>
    <row r="177" spans="1:15" ht="13" thickBot="1" x14ac:dyDescent="0.3">
      <c r="A177" s="14" t="str">
        <f t="shared" si="27"/>
        <v>GENERAL SERVICE LESS THAN 50 KW SERVICE CLASSIFICATION</v>
      </c>
      <c r="B177" s="14" t="s">
        <v>14</v>
      </c>
      <c r="C177" s="60"/>
      <c r="D177" s="109"/>
      <c r="E177" s="110"/>
      <c r="F177" s="111"/>
      <c r="G177" s="112"/>
      <c r="H177" s="113"/>
      <c r="I177" s="111"/>
      <c r="J177" s="114"/>
      <c r="K177" s="113"/>
      <c r="L177" s="115"/>
      <c r="M177" s="116"/>
    </row>
    <row r="178" spans="1:15" ht="13" customHeight="1" x14ac:dyDescent="0.25">
      <c r="A178" s="14" t="str">
        <f t="shared" si="27"/>
        <v>GENERAL SERVICE LESS THAN 50 KW SERVICE CLASSIFICATION</v>
      </c>
      <c r="B178" s="14" t="s">
        <v>24</v>
      </c>
      <c r="C178" s="60"/>
      <c r="D178" s="117" t="s">
        <v>89</v>
      </c>
      <c r="E178" s="102"/>
      <c r="F178" s="118"/>
      <c r="G178" s="119"/>
      <c r="H178" s="120">
        <f>SUM(H170,H163:H166,H162)</f>
        <v>326.12071200000003</v>
      </c>
      <c r="I178" s="121"/>
      <c r="J178" s="121"/>
      <c r="K178" s="120">
        <f>SUM(K170,K163:K166,K162)</f>
        <v>329.28783199999998</v>
      </c>
      <c r="L178" s="122">
        <f>K178-H178</f>
        <v>3.1671199999999544</v>
      </c>
      <c r="M178" s="123">
        <f>IF((H178)=0,"",(L178/H178))</f>
        <v>9.711496030340919E-3</v>
      </c>
    </row>
    <row r="179" spans="1:15" ht="12.65" customHeight="1" x14ac:dyDescent="0.25">
      <c r="A179" s="14" t="str">
        <f t="shared" si="27"/>
        <v>GENERAL SERVICE LESS THAN 50 KW SERVICE CLASSIFICATION</v>
      </c>
      <c r="B179" s="14" t="s">
        <v>24</v>
      </c>
      <c r="C179" s="60"/>
      <c r="D179" s="124" t="s">
        <v>85</v>
      </c>
      <c r="E179" s="102"/>
      <c r="F179" s="118">
        <v>0.13</v>
      </c>
      <c r="G179" s="119"/>
      <c r="H179" s="126">
        <f>H178*F179</f>
        <v>42.395692560000008</v>
      </c>
      <c r="I179" s="118">
        <v>0.13</v>
      </c>
      <c r="J179" s="127"/>
      <c r="K179" s="126">
        <f>K178*I179</f>
        <v>42.807418159999997</v>
      </c>
      <c r="L179" s="69">
        <f>K179-H179</f>
        <v>0.41172559999998981</v>
      </c>
      <c r="M179" s="128">
        <f>IF((H179)=0,"",(L179/H179))</f>
        <v>9.7114960303408184E-3</v>
      </c>
    </row>
    <row r="180" spans="1:15" ht="14.5" customHeight="1" x14ac:dyDescent="0.35">
      <c r="A180" s="14" t="str">
        <f t="shared" si="27"/>
        <v>GENERAL SERVICE LESS THAN 50 KW SERVICE CLASSIFICATION</v>
      </c>
      <c r="B180" s="14" t="s">
        <v>24</v>
      </c>
      <c r="C180" s="60"/>
      <c r="D180" s="124" t="s">
        <v>86</v>
      </c>
      <c r="E180"/>
      <c r="F180" s="129">
        <v>0.11700000000000001</v>
      </c>
      <c r="G180" s="119"/>
      <c r="H180" s="126">
        <f>IF(OR(ISNUMBER(SEARCH("[DGEN]", E134))=TRUE, ISNUMBER(SEARCH("STREET LIGHT", E134))=TRUE), 0, IF(AND(E136=0, E137=0),0, IF(AND(E137=0, E136*12&gt;250000), 0, IF(AND(E136=0, E137&gt;=50), 0, IF(E136*12&lt;=250000, F180*H178*-1, IF(E137&lt;50, F180*H178*-1, 0))))))</f>
        <v>-38.156123304000005</v>
      </c>
      <c r="I180" s="129">
        <v>0.11700000000000001</v>
      </c>
      <c r="J180" s="127"/>
      <c r="K180" s="126">
        <f>IF(OR(ISNUMBER(SEARCH("[DGEN]", E134))=TRUE, ISNUMBER(SEARCH("STREET LIGHT", E134))=TRUE), 0, IF(AND(E136=0, E137=0),0, IF(AND(E137=0, E136*12&gt;250000), 0, IF(AND(E136=0, E137&gt;=50), 0, IF(E136*12&lt;=250000, I180*K178*-1, IF(E137&lt;50, I180*K178*-1, 0))))))</f>
        <v>-38.526676344000002</v>
      </c>
      <c r="L180" s="69"/>
      <c r="M180" s="128"/>
    </row>
    <row r="181" spans="1:15" ht="13" customHeight="1" thickBot="1" x14ac:dyDescent="0.3">
      <c r="A181" s="14" t="str">
        <f t="shared" si="27"/>
        <v>GENERAL SERVICE LESS THAN 50 KW SERVICE CLASSIFICATION</v>
      </c>
      <c r="B181" s="14" t="s">
        <v>90</v>
      </c>
      <c r="C181" s="60"/>
      <c r="D181" s="195" t="s">
        <v>89</v>
      </c>
      <c r="E181" s="195"/>
      <c r="F181" s="137"/>
      <c r="G181" s="138"/>
      <c r="H181" s="132">
        <f>SUM(H178,H179)</f>
        <v>368.51640456000001</v>
      </c>
      <c r="I181" s="139"/>
      <c r="J181" s="139"/>
      <c r="K181" s="132">
        <f>SUM(K178,K179)</f>
        <v>372.09525015999998</v>
      </c>
      <c r="L181" s="140">
        <f>K181-H181</f>
        <v>3.5788455999999655</v>
      </c>
      <c r="M181" s="141">
        <f>IF((H181)=0,"",(L181/H181))</f>
        <v>9.7114960303409659E-3</v>
      </c>
    </row>
    <row r="182" spans="1:15" ht="13" customHeight="1" thickBot="1" x14ac:dyDescent="0.3">
      <c r="A182" s="14" t="str">
        <f t="shared" si="27"/>
        <v>GENERAL SERVICE LESS THAN 50 KW SERVICE CLASSIFICATION</v>
      </c>
      <c r="B182" s="14" t="s">
        <v>24</v>
      </c>
      <c r="C182" s="60"/>
      <c r="D182" s="109"/>
      <c r="E182" s="110"/>
      <c r="F182" s="142"/>
      <c r="G182" s="143"/>
      <c r="H182" s="144"/>
      <c r="I182" s="142"/>
      <c r="J182" s="112"/>
      <c r="K182" s="144"/>
      <c r="L182" s="145"/>
      <c r="M182" s="116"/>
    </row>
    <row r="183" spans="1:15" ht="13" customHeight="1" x14ac:dyDescent="0.25">
      <c r="A183" s="14" t="str">
        <f t="shared" si="27"/>
        <v>GENERAL SERVICE LESS THAN 50 KW SERVICE CLASSIFICATION</v>
      </c>
      <c r="B183" s="14" t="s">
        <v>18</v>
      </c>
      <c r="C183" s="60"/>
      <c r="D183" s="117" t="s">
        <v>91</v>
      </c>
      <c r="E183" s="102"/>
      <c r="F183" s="118"/>
      <c r="G183" s="119"/>
      <c r="H183" s="120">
        <f>SUM(H171,H163:H166,H162)</f>
        <v>326.12071200000003</v>
      </c>
      <c r="I183" s="121"/>
      <c r="J183" s="121"/>
      <c r="K183" s="120">
        <f>SUM(K171,K163:K166,K162)</f>
        <v>329.28783199999998</v>
      </c>
      <c r="L183" s="122">
        <f>K183-H183</f>
        <v>3.1671199999999544</v>
      </c>
      <c r="M183" s="123">
        <f>IF((H183)=0,"",(L183/H183))</f>
        <v>9.711496030340919E-3</v>
      </c>
    </row>
    <row r="184" spans="1:15" ht="12.65" customHeight="1" x14ac:dyDescent="0.25">
      <c r="A184" s="14" t="str">
        <f t="shared" si="27"/>
        <v>GENERAL SERVICE LESS THAN 50 KW SERVICE CLASSIFICATION</v>
      </c>
      <c r="B184" s="14" t="s">
        <v>18</v>
      </c>
      <c r="C184" s="60"/>
      <c r="D184" s="124" t="s">
        <v>85</v>
      </c>
      <c r="E184" s="102"/>
      <c r="F184" s="118">
        <v>0.13</v>
      </c>
      <c r="G184" s="119"/>
      <c r="H184" s="126">
        <f>H183*F184</f>
        <v>42.395692560000008</v>
      </c>
      <c r="I184" s="118">
        <v>0.13</v>
      </c>
      <c r="J184" s="127"/>
      <c r="K184" s="126">
        <f>K183*I184</f>
        <v>42.807418159999997</v>
      </c>
      <c r="L184" s="69">
        <f>K184-H184</f>
        <v>0.41172559999998981</v>
      </c>
      <c r="M184" s="128">
        <f>IF((H184)=0,"",(L184/H184))</f>
        <v>9.7114960303408184E-3</v>
      </c>
    </row>
    <row r="185" spans="1:15" ht="14.5" customHeight="1" x14ac:dyDescent="0.35">
      <c r="A185" s="14" t="str">
        <f t="shared" si="27"/>
        <v>GENERAL SERVICE LESS THAN 50 KW SERVICE CLASSIFICATION</v>
      </c>
      <c r="B185" s="14" t="s">
        <v>18</v>
      </c>
      <c r="C185" s="60"/>
      <c r="D185" s="124" t="s">
        <v>86</v>
      </c>
      <c r="E185"/>
      <c r="F185" s="129">
        <v>0.11700000000000001</v>
      </c>
      <c r="G185" s="119"/>
      <c r="H185" s="126">
        <f>IF(OR(ISNUMBER(SEARCH("[DGEN]", E134))=TRUE, ISNUMBER(SEARCH("STREET LIGHT", E134))=TRUE), 0, IF(AND(E136=0, E137=0),0, IF(AND(E137=0, E136*12&gt;250000), 0, IF(AND(E136=0, E137&gt;=50), 0, IF(E136*12&lt;=250000, F185*H183*-1, IF(E137&lt;50, F185*H183*-1, 0))))))</f>
        <v>-38.156123304000005</v>
      </c>
      <c r="I185" s="129">
        <v>0.11700000000000001</v>
      </c>
      <c r="J185" s="127"/>
      <c r="K185" s="126">
        <f>IF(OR(ISNUMBER(SEARCH("[DGEN]", E134))=TRUE, ISNUMBER(SEARCH("STREET LIGHT", E134))=TRUE), 0, IF(AND(E136=0, E137=0),0, IF(AND(E137=0, E136*12&gt;250000), 0, IF(AND(E136=0, E137&gt;=50), 0, IF(E136*12&lt;=250000, I185*K183*-1, IF(E137&lt;50, I185*K183*-1, 0))))))</f>
        <v>-38.526676344000002</v>
      </c>
      <c r="L185" s="69"/>
      <c r="M185" s="128"/>
    </row>
    <row r="186" spans="1:15" ht="13" customHeight="1" thickBot="1" x14ac:dyDescent="0.3">
      <c r="A186" s="14" t="str">
        <f t="shared" si="27"/>
        <v>GENERAL SERVICE LESS THAN 50 KW SERVICE CLASSIFICATION</v>
      </c>
      <c r="B186" s="14" t="s">
        <v>92</v>
      </c>
      <c r="C186" s="60"/>
      <c r="D186" s="195" t="s">
        <v>91</v>
      </c>
      <c r="E186" s="195"/>
      <c r="F186" s="137"/>
      <c r="G186" s="138"/>
      <c r="H186" s="132">
        <f>SUM(H183,H184)</f>
        <v>368.51640456000001</v>
      </c>
      <c r="I186" s="139"/>
      <c r="J186" s="139"/>
      <c r="K186" s="132">
        <f>SUM(K183,K184)</f>
        <v>372.09525015999998</v>
      </c>
      <c r="L186" s="140">
        <f>K186-H186</f>
        <v>3.5788455999999655</v>
      </c>
      <c r="M186" s="141">
        <f>IF((H186)=0,"",(L186/H186))</f>
        <v>9.7114960303409659E-3</v>
      </c>
    </row>
    <row r="187" spans="1:15" ht="13" customHeight="1" thickBot="1" x14ac:dyDescent="0.3">
      <c r="A187" s="14" t="str">
        <f t="shared" si="27"/>
        <v>GENERAL SERVICE LESS THAN 50 KW SERVICE CLASSIFICATION</v>
      </c>
      <c r="B187" s="14" t="s">
        <v>18</v>
      </c>
      <c r="C187" s="60"/>
      <c r="D187" s="109"/>
      <c r="E187" s="110"/>
      <c r="F187" s="146"/>
      <c r="G187" s="143"/>
      <c r="H187" s="147"/>
      <c r="I187" s="146"/>
      <c r="J187" s="112"/>
      <c r="K187" s="147"/>
      <c r="L187" s="145"/>
      <c r="M187" s="148"/>
    </row>
    <row r="190" spans="1:15" ht="13" x14ac:dyDescent="0.25">
      <c r="C190" s="14"/>
      <c r="D190" s="46" t="s">
        <v>38</v>
      </c>
      <c r="E190" s="192" t="str">
        <f>D32</f>
        <v>GENERAL SERVICE 50 to 4,999 kW SERVICE CLASSIFICATION</v>
      </c>
      <c r="F190" s="192"/>
      <c r="G190" s="192"/>
      <c r="H190" s="192"/>
      <c r="I190" s="192"/>
      <c r="J190" s="192"/>
      <c r="K190" s="14" t="str">
        <f>IF(N32="DEMAND - INTERVAL","RTSR - INTERVAL METERED","")</f>
        <v/>
      </c>
      <c r="O190" s="14" t="s">
        <v>26</v>
      </c>
    </row>
    <row r="191" spans="1:15" ht="13" x14ac:dyDescent="0.25">
      <c r="C191" s="14"/>
      <c r="D191" s="46" t="s">
        <v>39</v>
      </c>
      <c r="E191" s="193" t="str">
        <f>H32</f>
        <v>Non-RPP (Other)</v>
      </c>
      <c r="F191" s="193"/>
      <c r="G191" s="193"/>
      <c r="H191" s="47"/>
      <c r="I191" s="47"/>
    </row>
    <row r="192" spans="1:15" ht="15.5" x14ac:dyDescent="0.3">
      <c r="C192" s="14"/>
      <c r="D192" s="46" t="s">
        <v>40</v>
      </c>
      <c r="E192" s="48">
        <f>K32</f>
        <v>182500</v>
      </c>
      <c r="F192" s="49" t="s">
        <v>36</v>
      </c>
      <c r="J192" s="50"/>
      <c r="K192" s="50"/>
      <c r="L192" s="50"/>
      <c r="M192" s="50"/>
    </row>
    <row r="193" spans="1:13" ht="15.5" x14ac:dyDescent="0.35">
      <c r="C193" s="14"/>
      <c r="D193" s="46" t="s">
        <v>41</v>
      </c>
      <c r="E193" s="48">
        <f>L32</f>
        <v>250</v>
      </c>
      <c r="F193" s="51" t="s">
        <v>37</v>
      </c>
      <c r="G193" s="52"/>
      <c r="H193" s="53"/>
      <c r="I193" s="53"/>
      <c r="J193" s="53"/>
    </row>
    <row r="194" spans="1:13" ht="13" x14ac:dyDescent="0.3">
      <c r="C194" s="14"/>
      <c r="D194" s="46" t="s">
        <v>42</v>
      </c>
      <c r="E194" s="54">
        <f>I32</f>
        <v>1.0548</v>
      </c>
    </row>
    <row r="195" spans="1:13" ht="13" x14ac:dyDescent="0.3">
      <c r="C195" s="14"/>
      <c r="D195" s="46" t="s">
        <v>43</v>
      </c>
      <c r="E195" s="54">
        <f>J32</f>
        <v>1.0548</v>
      </c>
    </row>
    <row r="196" spans="1:13" x14ac:dyDescent="0.25">
      <c r="C196" s="14"/>
    </row>
    <row r="197" spans="1:13" ht="13" x14ac:dyDescent="0.3">
      <c r="C197" s="14"/>
      <c r="E197" s="49"/>
      <c r="F197" s="184" t="s">
        <v>44</v>
      </c>
      <c r="G197" s="194"/>
      <c r="H197" s="185"/>
      <c r="I197" s="184" t="s">
        <v>45</v>
      </c>
      <c r="J197" s="194"/>
      <c r="K197" s="185"/>
      <c r="L197" s="184" t="s">
        <v>46</v>
      </c>
      <c r="M197" s="185"/>
    </row>
    <row r="198" spans="1:13" ht="13" x14ac:dyDescent="0.3">
      <c r="C198" s="14"/>
      <c r="E198" s="186"/>
      <c r="F198" s="55" t="s">
        <v>47</v>
      </c>
      <c r="G198" s="55" t="s">
        <v>48</v>
      </c>
      <c r="H198" s="56" t="s">
        <v>49</v>
      </c>
      <c r="I198" s="55" t="s">
        <v>47</v>
      </c>
      <c r="J198" s="57" t="s">
        <v>48</v>
      </c>
      <c r="K198" s="56" t="s">
        <v>49</v>
      </c>
      <c r="L198" s="188" t="s">
        <v>50</v>
      </c>
      <c r="M198" s="190" t="s">
        <v>51</v>
      </c>
    </row>
    <row r="199" spans="1:13" ht="13" x14ac:dyDescent="0.3">
      <c r="C199" s="14"/>
      <c r="E199" s="187"/>
      <c r="F199" s="58" t="s">
        <v>52</v>
      </c>
      <c r="G199" s="58"/>
      <c r="H199" s="59" t="s">
        <v>52</v>
      </c>
      <c r="I199" s="58" t="s">
        <v>52</v>
      </c>
      <c r="J199" s="59"/>
      <c r="K199" s="59" t="s">
        <v>52</v>
      </c>
      <c r="L199" s="189"/>
      <c r="M199" s="191"/>
    </row>
    <row r="200" spans="1:13" ht="13" x14ac:dyDescent="0.25">
      <c r="A200" s="14" t="str">
        <f>$E190</f>
        <v>GENERAL SERVICE 50 to 4,999 kW SERVICE CLASSIFICATION</v>
      </c>
      <c r="C200" s="60"/>
      <c r="D200" s="61" t="s">
        <v>53</v>
      </c>
      <c r="E200" s="62"/>
      <c r="F200" s="63">
        <v>160.31</v>
      </c>
      <c r="G200" s="64">
        <v>1</v>
      </c>
      <c r="H200" s="65">
        <f>G200*F200</f>
        <v>160.31</v>
      </c>
      <c r="I200" s="66">
        <v>160.31</v>
      </c>
      <c r="J200" s="67">
        <f>G200</f>
        <v>1</v>
      </c>
      <c r="K200" s="68">
        <f>J200*I200</f>
        <v>160.31</v>
      </c>
      <c r="L200" s="69">
        <f t="shared" ref="L200:L221" si="32">K200-H200</f>
        <v>0</v>
      </c>
      <c r="M200" s="70">
        <f>IF(ISERROR(L200/H200), "", L200/H200)</f>
        <v>0</v>
      </c>
    </row>
    <row r="201" spans="1:13" ht="13" x14ac:dyDescent="0.25">
      <c r="A201" s="14" t="str">
        <f>A200</f>
        <v>GENERAL SERVICE 50 to 4,999 kW SERVICE CLASSIFICATION</v>
      </c>
      <c r="C201" s="60"/>
      <c r="D201" s="61" t="s">
        <v>54</v>
      </c>
      <c r="E201" s="62"/>
      <c r="F201" s="71">
        <v>2.7323</v>
      </c>
      <c r="G201" s="64">
        <f>IF($E193&gt;0, $E193, $E192)</f>
        <v>250</v>
      </c>
      <c r="H201" s="65">
        <f t="shared" ref="H201:H213" si="33">G201*F201</f>
        <v>683.07499999999993</v>
      </c>
      <c r="I201" s="72">
        <v>2.7323</v>
      </c>
      <c r="J201" s="67">
        <f>IF($E193&gt;0, $E193, $E192)</f>
        <v>250</v>
      </c>
      <c r="K201" s="68">
        <f>J201*I201</f>
        <v>683.07499999999993</v>
      </c>
      <c r="L201" s="69">
        <f t="shared" si="32"/>
        <v>0</v>
      </c>
      <c r="M201" s="70">
        <f t="shared" ref="M201:M211" si="34">IF(ISERROR(L201/H201), "", L201/H201)</f>
        <v>0</v>
      </c>
    </row>
    <row r="202" spans="1:13" ht="13" customHeight="1" x14ac:dyDescent="0.25">
      <c r="A202" s="14" t="str">
        <f t="shared" ref="A202:A243" si="35">A201</f>
        <v>GENERAL SERVICE 50 to 4,999 kW SERVICE CLASSIFICATION</v>
      </c>
      <c r="C202" s="60"/>
      <c r="D202" s="61" t="s">
        <v>55</v>
      </c>
      <c r="E202" s="62"/>
      <c r="F202" s="71"/>
      <c r="G202" s="64">
        <f>IF($E193&gt;0, $E193, $E192)</f>
        <v>250</v>
      </c>
      <c r="H202" s="65">
        <v>0</v>
      </c>
      <c r="I202" s="72"/>
      <c r="J202" s="67">
        <f>IF($E193&gt;0, $E193, $E192)</f>
        <v>250</v>
      </c>
      <c r="K202" s="68">
        <v>0</v>
      </c>
      <c r="L202" s="69"/>
      <c r="M202" s="70"/>
    </row>
    <row r="203" spans="1:13" ht="13" customHeight="1" x14ac:dyDescent="0.25">
      <c r="A203" s="14" t="str">
        <f t="shared" si="35"/>
        <v>GENERAL SERVICE 50 to 4,999 kW SERVICE CLASSIFICATION</v>
      </c>
      <c r="C203" s="60"/>
      <c r="D203" s="61" t="s">
        <v>56</v>
      </c>
      <c r="E203" s="62"/>
      <c r="F203" s="71"/>
      <c r="G203" s="64">
        <f>IF($E193&gt;0, $E193, $E192)</f>
        <v>250</v>
      </c>
      <c r="H203" s="65">
        <v>0</v>
      </c>
      <c r="I203" s="72"/>
      <c r="J203" s="73">
        <f>IF($E193&gt;0, $E193, $E192)</f>
        <v>250</v>
      </c>
      <c r="K203" s="68">
        <v>0</v>
      </c>
      <c r="L203" s="69">
        <f>K203-H203</f>
        <v>0</v>
      </c>
      <c r="M203" s="70" t="str">
        <f>IF(ISERROR(L203/H203), "", L203/H203)</f>
        <v/>
      </c>
    </row>
    <row r="204" spans="1:13" ht="13" x14ac:dyDescent="0.25">
      <c r="A204" s="14" t="str">
        <f t="shared" si="35"/>
        <v>GENERAL SERVICE 50 to 4,999 kW SERVICE CLASSIFICATION</v>
      </c>
      <c r="C204" s="60"/>
      <c r="D204" s="61" t="s">
        <v>57</v>
      </c>
      <c r="E204" s="62"/>
      <c r="F204" s="63">
        <v>-1.6</v>
      </c>
      <c r="G204" s="64">
        <v>1</v>
      </c>
      <c r="H204" s="65">
        <f t="shared" si="33"/>
        <v>-1.6</v>
      </c>
      <c r="I204" s="66">
        <v>-1.6</v>
      </c>
      <c r="J204" s="67">
        <f>G204</f>
        <v>1</v>
      </c>
      <c r="K204" s="68">
        <f t="shared" ref="K204:K211" si="36">J204*I204</f>
        <v>-1.6</v>
      </c>
      <c r="L204" s="69">
        <f t="shared" si="32"/>
        <v>0</v>
      </c>
      <c r="M204" s="70">
        <f t="shared" si="34"/>
        <v>0</v>
      </c>
    </row>
    <row r="205" spans="1:13" ht="13" x14ac:dyDescent="0.25">
      <c r="A205" s="14" t="str">
        <f t="shared" si="35"/>
        <v>GENERAL SERVICE 50 to 4,999 kW SERVICE CLASSIFICATION</v>
      </c>
      <c r="C205" s="60"/>
      <c r="D205" s="61" t="s">
        <v>58</v>
      </c>
      <c r="E205" s="62"/>
      <c r="F205" s="71">
        <v>0.52680000000000005</v>
      </c>
      <c r="G205" s="64">
        <f>IF($E193&gt;0, $E193, $E192)</f>
        <v>250</v>
      </c>
      <c r="H205" s="65">
        <f t="shared" si="33"/>
        <v>131.70000000000002</v>
      </c>
      <c r="I205" s="72">
        <v>1.3899999999999999E-2</v>
      </c>
      <c r="J205" s="67">
        <f>IF($E193&gt;0, $E193, $E192)</f>
        <v>250</v>
      </c>
      <c r="K205" s="68">
        <f t="shared" si="36"/>
        <v>3.4749999999999996</v>
      </c>
      <c r="L205" s="69">
        <f t="shared" si="32"/>
        <v>-128.22500000000002</v>
      </c>
      <c r="M205" s="70">
        <f t="shared" si="34"/>
        <v>-0.97361427486712226</v>
      </c>
    </row>
    <row r="206" spans="1:13" ht="13" x14ac:dyDescent="0.25">
      <c r="A206" s="14" t="str">
        <f t="shared" si="35"/>
        <v>GENERAL SERVICE 50 to 4,999 kW SERVICE CLASSIFICATION</v>
      </c>
      <c r="B206" s="14" t="s">
        <v>59</v>
      </c>
      <c r="C206" s="60">
        <f>B32</f>
        <v>3</v>
      </c>
      <c r="D206" s="74" t="s">
        <v>60</v>
      </c>
      <c r="E206" s="75"/>
      <c r="F206" s="76"/>
      <c r="G206" s="77"/>
      <c r="H206" s="78">
        <f>SUM(H200:H205)</f>
        <v>973.48500000000001</v>
      </c>
      <c r="I206" s="79"/>
      <c r="J206" s="80"/>
      <c r="K206" s="78">
        <f>SUM(K200:K205)</f>
        <v>845.26</v>
      </c>
      <c r="L206" s="81">
        <f t="shared" si="32"/>
        <v>-128.22500000000002</v>
      </c>
      <c r="M206" s="82">
        <f>IF((H206)=0,"",(L206/H206))</f>
        <v>-0.13171748922684995</v>
      </c>
    </row>
    <row r="207" spans="1:13" ht="13" x14ac:dyDescent="0.25">
      <c r="A207" s="14" t="str">
        <f t="shared" si="35"/>
        <v>GENERAL SERVICE 50 to 4,999 kW SERVICE CLASSIFICATION</v>
      </c>
      <c r="C207" s="60"/>
      <c r="D207" s="83" t="s">
        <v>61</v>
      </c>
      <c r="E207" s="62"/>
      <c r="F207" s="71">
        <f>IF((E192*12&gt;=150000), 0, IF(E191="RPP",(F223*OffPeakPer+F224*MidPeakPer+F225*OnPeakPer),IF(E191="Non-RPP (Retailer)",F226,F227)))</f>
        <v>0</v>
      </c>
      <c r="G207" s="84">
        <f>IF(F207=0, 0, $E192*E194-E192)</f>
        <v>0</v>
      </c>
      <c r="H207" s="65">
        <f>G207*F207</f>
        <v>0</v>
      </c>
      <c r="I207" s="72">
        <f>IF((E192*12&gt;=150000), 0, IF(E191="RPP",(I223*OffPeakPer+I224*MidPeakPer+I225*OnPeakPer),IF(E191="Non-RPP (Retailer)",I226,I227)))</f>
        <v>0</v>
      </c>
      <c r="J207" s="85">
        <f>IF(I207=0, 0, E192*E195-E192)</f>
        <v>0</v>
      </c>
      <c r="K207" s="68">
        <f>J207*I207</f>
        <v>0</v>
      </c>
      <c r="L207" s="69">
        <f>K207-H207</f>
        <v>0</v>
      </c>
      <c r="M207" s="70" t="str">
        <f>IF(ISERROR(L207/H207), "", L207/H207)</f>
        <v/>
      </c>
    </row>
    <row r="208" spans="1:13" ht="25" x14ac:dyDescent="0.25">
      <c r="A208" s="14" t="str">
        <f t="shared" si="35"/>
        <v>GENERAL SERVICE 50 to 4,999 kW SERVICE CLASSIFICATION</v>
      </c>
      <c r="C208" s="60"/>
      <c r="D208" s="83" t="s">
        <v>62</v>
      </c>
      <c r="E208" s="62"/>
      <c r="F208" s="71">
        <v>-0.40589999999999998</v>
      </c>
      <c r="G208" s="86">
        <f>IF($E193&gt;0, $E193, $E192)</f>
        <v>250</v>
      </c>
      <c r="H208" s="65">
        <f t="shared" si="33"/>
        <v>-101.47499999999999</v>
      </c>
      <c r="I208" s="72">
        <v>1.611</v>
      </c>
      <c r="J208" s="87">
        <f>IF($E193&gt;0, $E193, $E192)</f>
        <v>250</v>
      </c>
      <c r="K208" s="68">
        <f t="shared" si="36"/>
        <v>402.75</v>
      </c>
      <c r="L208" s="69">
        <f t="shared" si="32"/>
        <v>504.22500000000002</v>
      </c>
      <c r="M208" s="70">
        <f t="shared" si="34"/>
        <v>-4.9689578713968965</v>
      </c>
    </row>
    <row r="209" spans="1:13" ht="13" x14ac:dyDescent="0.25">
      <c r="A209" s="14" t="str">
        <f t="shared" si="35"/>
        <v>GENERAL SERVICE 50 to 4,999 kW SERVICE CLASSIFICATION</v>
      </c>
      <c r="C209" s="60"/>
      <c r="D209" s="83" t="s">
        <v>63</v>
      </c>
      <c r="E209" s="62"/>
      <c r="F209" s="71">
        <v>-6.3799999999999996E-2</v>
      </c>
      <c r="G209" s="86">
        <f>IF($E193&gt;0, $E193, $E192)</f>
        <v>250</v>
      </c>
      <c r="H209" s="65">
        <f>G209*F209</f>
        <v>-15.95</v>
      </c>
      <c r="I209" s="72">
        <v>-0.14979999999999999</v>
      </c>
      <c r="J209" s="87">
        <f>IF($E193&gt;0, $E193, $E192)</f>
        <v>250</v>
      </c>
      <c r="K209" s="68">
        <f>J209*I209</f>
        <v>-37.449999999999996</v>
      </c>
      <c r="L209" s="69">
        <f t="shared" si="32"/>
        <v>-21.499999999999996</v>
      </c>
      <c r="M209" s="70">
        <f t="shared" si="34"/>
        <v>1.347962382445141</v>
      </c>
    </row>
    <row r="210" spans="1:13" ht="13" x14ac:dyDescent="0.25">
      <c r="A210" s="14" t="str">
        <f t="shared" si="35"/>
        <v>GENERAL SERVICE 50 to 4,999 kW SERVICE CLASSIFICATION</v>
      </c>
      <c r="C210" s="60"/>
      <c r="D210" s="83" t="s">
        <v>64</v>
      </c>
      <c r="E210" s="62"/>
      <c r="F210" s="71">
        <v>6.7999999999999996E-3</v>
      </c>
      <c r="G210" s="86">
        <f>E192</f>
        <v>182500</v>
      </c>
      <c r="H210" s="65">
        <f>G210*F210</f>
        <v>1241</v>
      </c>
      <c r="I210" s="72">
        <v>-6.7000000000000002E-3</v>
      </c>
      <c r="J210" s="87">
        <f>E192</f>
        <v>182500</v>
      </c>
      <c r="K210" s="68">
        <f t="shared" si="36"/>
        <v>-1222.75</v>
      </c>
      <c r="L210" s="69">
        <f t="shared" si="32"/>
        <v>-2463.75</v>
      </c>
      <c r="M210" s="70">
        <f t="shared" si="34"/>
        <v>-1.9852941176470589</v>
      </c>
    </row>
    <row r="211" spans="1:13" ht="13" x14ac:dyDescent="0.25">
      <c r="A211" s="14" t="str">
        <f t="shared" si="35"/>
        <v>GENERAL SERVICE 50 to 4,999 kW SERVICE CLASSIFICATION</v>
      </c>
      <c r="C211" s="60"/>
      <c r="D211" s="61" t="s">
        <v>65</v>
      </c>
      <c r="E211" s="62"/>
      <c r="F211" s="71">
        <v>0.32769999999999999</v>
      </c>
      <c r="G211" s="86">
        <f>IF($E193&gt;0, $E193, $E192)</f>
        <v>250</v>
      </c>
      <c r="H211" s="65">
        <f t="shared" si="33"/>
        <v>81.924999999999997</v>
      </c>
      <c r="I211" s="149">
        <v>0.59130966102907223</v>
      </c>
      <c r="J211" s="87">
        <f>IF($E193&gt;0, $E193, $E192)</f>
        <v>250</v>
      </c>
      <c r="K211" s="68">
        <f t="shared" si="36"/>
        <v>147.82741525726806</v>
      </c>
      <c r="L211" s="69">
        <f t="shared" si="32"/>
        <v>65.902415257268061</v>
      </c>
      <c r="M211" s="70">
        <f t="shared" si="34"/>
        <v>0.80442374436701936</v>
      </c>
    </row>
    <row r="212" spans="1:13" ht="13" x14ac:dyDescent="0.25">
      <c r="A212" s="14" t="str">
        <f t="shared" si="35"/>
        <v>GENERAL SERVICE 50 to 4,999 kW SERVICE CLASSIFICATION</v>
      </c>
      <c r="C212" s="60"/>
      <c r="D212" s="83" t="s">
        <v>66</v>
      </c>
      <c r="E212" s="62"/>
      <c r="F212" s="88">
        <f>IF(OR(ISNUMBER(SEARCH("RESIDENTIAL", E190))=TRUE, ISNUMBER(SEARCH("GENERAL SERVICE LESS THAN 50", E190))=TRUE), SME, 0)</f>
        <v>0</v>
      </c>
      <c r="G212" s="64">
        <v>1</v>
      </c>
      <c r="H212" s="65">
        <f>G212*F212</f>
        <v>0</v>
      </c>
      <c r="I212" s="89">
        <f>IF(OR(ISNUMBER(SEARCH("RESIDENTIAL", E190))=TRUE, ISNUMBER(SEARCH("GENERAL SERVICE LESS THAN 50", E190))=TRUE), SME, 0)</f>
        <v>0</v>
      </c>
      <c r="J212" s="73">
        <v>1</v>
      </c>
      <c r="K212" s="68">
        <f>J212*I212</f>
        <v>0</v>
      </c>
      <c r="L212" s="69">
        <f t="shared" si="32"/>
        <v>0</v>
      </c>
      <c r="M212" s="70" t="str">
        <f>IF(ISERROR(L212/H212), "", L212/H212)</f>
        <v/>
      </c>
    </row>
    <row r="213" spans="1:13" ht="13" x14ac:dyDescent="0.25">
      <c r="A213" s="14" t="str">
        <f t="shared" si="35"/>
        <v>GENERAL SERVICE 50 to 4,999 kW SERVICE CLASSIFICATION</v>
      </c>
      <c r="C213" s="60"/>
      <c r="D213" s="61" t="s">
        <v>67</v>
      </c>
      <c r="E213" s="62"/>
      <c r="F213" s="63">
        <v>0</v>
      </c>
      <c r="G213" s="64">
        <v>1</v>
      </c>
      <c r="H213" s="65">
        <f t="shared" si="33"/>
        <v>0</v>
      </c>
      <c r="I213" s="66">
        <v>0</v>
      </c>
      <c r="J213" s="73">
        <v>1</v>
      </c>
      <c r="K213" s="68">
        <f>J213*I213</f>
        <v>0</v>
      </c>
      <c r="L213" s="69">
        <f>K213-H213</f>
        <v>0</v>
      </c>
      <c r="M213" s="70" t="str">
        <f>IF(ISERROR(L213/H213), "", L213/H213)</f>
        <v/>
      </c>
    </row>
    <row r="214" spans="1:13" ht="13" x14ac:dyDescent="0.25">
      <c r="A214" s="14" t="str">
        <f t="shared" si="35"/>
        <v>GENERAL SERVICE 50 to 4,999 kW SERVICE CLASSIFICATION</v>
      </c>
      <c r="C214" s="60"/>
      <c r="D214" s="61" t="s">
        <v>68</v>
      </c>
      <c r="E214" s="62"/>
      <c r="F214" s="71">
        <v>0</v>
      </c>
      <c r="G214" s="86">
        <f>IF($E193&gt;0, $E193, $E192)</f>
        <v>250</v>
      </c>
      <c r="H214" s="65">
        <f>G214*F214</f>
        <v>0</v>
      </c>
      <c r="I214" s="72">
        <v>0</v>
      </c>
      <c r="J214" s="87">
        <f>IF($E193&gt;0, $E193, $E192)</f>
        <v>250</v>
      </c>
      <c r="K214" s="68">
        <f>J214*I214</f>
        <v>0</v>
      </c>
      <c r="L214" s="69">
        <f t="shared" si="32"/>
        <v>0</v>
      </c>
      <c r="M214" s="70" t="str">
        <f>IF(ISERROR(L214/H214), "", L214/H214)</f>
        <v/>
      </c>
    </row>
    <row r="215" spans="1:13" ht="26" x14ac:dyDescent="0.25">
      <c r="A215" s="14" t="str">
        <f t="shared" si="35"/>
        <v>GENERAL SERVICE 50 to 4,999 kW SERVICE CLASSIFICATION</v>
      </c>
      <c r="B215" s="14" t="s">
        <v>69</v>
      </c>
      <c r="C215" s="60">
        <f>B32</f>
        <v>3</v>
      </c>
      <c r="D215" s="90" t="s">
        <v>70</v>
      </c>
      <c r="E215" s="91"/>
      <c r="F215" s="92"/>
      <c r="G215" s="93"/>
      <c r="H215" s="94">
        <f>SUM(H206:H214)</f>
        <v>2178.9850000000001</v>
      </c>
      <c r="I215" s="95"/>
      <c r="J215" s="96"/>
      <c r="K215" s="94">
        <f>SUM(K206:K214)</f>
        <v>135.637415257268</v>
      </c>
      <c r="L215" s="81">
        <f t="shared" si="32"/>
        <v>-2043.3475847427321</v>
      </c>
      <c r="M215" s="82">
        <f>IF((H215)=0,"",(L215/H215))</f>
        <v>-0.93775201974439104</v>
      </c>
    </row>
    <row r="216" spans="1:13" ht="13" x14ac:dyDescent="0.25">
      <c r="A216" s="14" t="str">
        <f t="shared" si="35"/>
        <v>GENERAL SERVICE 50 to 4,999 kW SERVICE CLASSIFICATION</v>
      </c>
      <c r="C216" s="60"/>
      <c r="D216" s="97" t="s">
        <v>71</v>
      </c>
      <c r="E216" s="62"/>
      <c r="F216" s="71">
        <v>3.6962999999999999</v>
      </c>
      <c r="G216" s="84">
        <f>IF($E193&gt;0, $E193, $E192*$E194)</f>
        <v>250</v>
      </c>
      <c r="H216" s="65">
        <f>G216*F216</f>
        <v>924.07499999999993</v>
      </c>
      <c r="I216" s="98">
        <v>3.6052</v>
      </c>
      <c r="J216" s="85">
        <f>IF($E193&gt;0, $E193, $E192*$E195)</f>
        <v>250</v>
      </c>
      <c r="K216" s="68">
        <f>J216*I216</f>
        <v>901.3</v>
      </c>
      <c r="L216" s="69">
        <f t="shared" si="32"/>
        <v>-22.774999999999977</v>
      </c>
      <c r="M216" s="70">
        <f>IF(ISERROR(L216/H216), "", L216/H216)</f>
        <v>-2.464626788951111E-2</v>
      </c>
    </row>
    <row r="217" spans="1:13" ht="25" x14ac:dyDescent="0.25">
      <c r="A217" s="14" t="str">
        <f t="shared" si="35"/>
        <v>GENERAL SERVICE 50 to 4,999 kW SERVICE CLASSIFICATION</v>
      </c>
      <c r="C217" s="60"/>
      <c r="D217" s="99" t="s">
        <v>72</v>
      </c>
      <c r="E217" s="62"/>
      <c r="F217" s="71">
        <v>2.6585000000000001</v>
      </c>
      <c r="G217" s="84">
        <f>IF($E193&gt;0, $E193, $E192*$E194)</f>
        <v>250</v>
      </c>
      <c r="H217" s="65">
        <f>G217*F217</f>
        <v>664.625</v>
      </c>
      <c r="I217" s="98">
        <v>2.6011000000000002</v>
      </c>
      <c r="J217" s="85">
        <f>IF($E193&gt;0, $E193, $E192*$E195)</f>
        <v>250</v>
      </c>
      <c r="K217" s="68">
        <f>J217*I217</f>
        <v>650.27500000000009</v>
      </c>
      <c r="L217" s="69">
        <f t="shared" si="32"/>
        <v>-14.349999999999909</v>
      </c>
      <c r="M217" s="70">
        <f>IF(ISERROR(L217/H217), "", L217/H217)</f>
        <v>-2.1591122813616564E-2</v>
      </c>
    </row>
    <row r="218" spans="1:13" ht="26" x14ac:dyDescent="0.25">
      <c r="A218" s="14" t="str">
        <f t="shared" si="35"/>
        <v>GENERAL SERVICE 50 to 4,999 kW SERVICE CLASSIFICATION</v>
      </c>
      <c r="B218" s="14" t="s">
        <v>73</v>
      </c>
      <c r="C218" s="60">
        <f>B32</f>
        <v>3</v>
      </c>
      <c r="D218" s="90" t="s">
        <v>74</v>
      </c>
      <c r="E218" s="75"/>
      <c r="F218" s="92"/>
      <c r="G218" s="93"/>
      <c r="H218" s="94">
        <f>SUM(H215:H217)</f>
        <v>3767.6849999999999</v>
      </c>
      <c r="I218" s="95"/>
      <c r="J218" s="80"/>
      <c r="K218" s="94">
        <f>SUM(K215:K217)</f>
        <v>1687.212415257268</v>
      </c>
      <c r="L218" s="81">
        <f t="shared" si="32"/>
        <v>-2080.4725847427317</v>
      </c>
      <c r="M218" s="82">
        <f>IF((H218)=0,"",(L218/H218))</f>
        <v>-0.55218856797814353</v>
      </c>
    </row>
    <row r="219" spans="1:13" ht="25" x14ac:dyDescent="0.25">
      <c r="A219" s="14" t="str">
        <f t="shared" si="35"/>
        <v>GENERAL SERVICE 50 to 4,999 kW SERVICE CLASSIFICATION</v>
      </c>
      <c r="C219" s="60"/>
      <c r="D219" s="100" t="s">
        <v>75</v>
      </c>
      <c r="E219" s="62"/>
      <c r="F219" s="71">
        <f>IF(AND('[2]1. Information Sheet'!$F$26:$H$26&gt;='[2]18. Regulatory Charges'!$D$14,'[2]1. Information Sheet'!$F$26:$H$26&lt;'[2]18. Regulatory Charges'!$E$14),'[2]18. Regulatory Charges'!$D$15+'[2]18. Regulatory Charges'!$D$16,'[2]18. Regulatory Charges'!$E$15+'[2]18. Regulatory Charges'!$E$16)</f>
        <v>4.5000000000000005E-3</v>
      </c>
      <c r="G219" s="84">
        <f>E192*E194</f>
        <v>192501</v>
      </c>
      <c r="H219" s="101">
        <f t="shared" ref="H219:H225" si="37">G219*F219</f>
        <v>866.25450000000012</v>
      </c>
      <c r="I219" s="72">
        <f>'[2]18. Regulatory Charges'!$E$15+'[2]18. Regulatory Charges'!$E$16</f>
        <v>4.5000000000000005E-3</v>
      </c>
      <c r="J219" s="85">
        <f>E192*E195</f>
        <v>192501</v>
      </c>
      <c r="K219" s="68">
        <f t="shared" ref="K219:K225" si="38">J219*I219</f>
        <v>866.25450000000012</v>
      </c>
      <c r="L219" s="69">
        <f t="shared" si="32"/>
        <v>0</v>
      </c>
      <c r="M219" s="70">
        <f t="shared" ref="M219:M227" si="39">IF(ISERROR(L219/H219), "", L219/H219)</f>
        <v>0</v>
      </c>
    </row>
    <row r="220" spans="1:13" ht="25" x14ac:dyDescent="0.25">
      <c r="A220" s="14" t="str">
        <f t="shared" si="35"/>
        <v>GENERAL SERVICE 50 to 4,999 kW SERVICE CLASSIFICATION</v>
      </c>
      <c r="C220" s="60"/>
      <c r="D220" s="100" t="s">
        <v>76</v>
      </c>
      <c r="E220" s="62"/>
      <c r="F220" s="71">
        <f>IF(AND('[2]1. Information Sheet'!$F$26:$H$26&gt;='[2]18. Regulatory Charges'!$D$14,'[2]1. Information Sheet'!$F$26:$H$26&lt;'[2]18. Regulatory Charges'!$D$14),'[2]18. Regulatory Charges'!$D$17,'[2]18. Regulatory Charges'!$E$17)</f>
        <v>6.9999999999999999E-4</v>
      </c>
      <c r="G220" s="84">
        <f>E192*E194</f>
        <v>192501</v>
      </c>
      <c r="H220" s="101">
        <f t="shared" si="37"/>
        <v>134.75069999999999</v>
      </c>
      <c r="I220" s="72">
        <f>'[2]18. Regulatory Charges'!$E$17</f>
        <v>6.9999999999999999E-4</v>
      </c>
      <c r="J220" s="85">
        <f>E192*E195</f>
        <v>192501</v>
      </c>
      <c r="K220" s="68">
        <f t="shared" si="38"/>
        <v>134.75069999999999</v>
      </c>
      <c r="L220" s="69">
        <f t="shared" si="32"/>
        <v>0</v>
      </c>
      <c r="M220" s="70">
        <f t="shared" si="39"/>
        <v>0</v>
      </c>
    </row>
    <row r="221" spans="1:13" ht="13" x14ac:dyDescent="0.25">
      <c r="A221" s="14" t="str">
        <f t="shared" si="35"/>
        <v>GENERAL SERVICE 50 to 4,999 kW SERVICE CLASSIFICATION</v>
      </c>
      <c r="C221" s="60"/>
      <c r="D221" s="102" t="s">
        <v>77</v>
      </c>
      <c r="E221" s="62"/>
      <c r="F221" s="88">
        <f>IF(AND('[2]1. Information Sheet'!$F$26:$H$26&gt;='[2]18. Regulatory Charges'!$D$14,'[2]1. Information Sheet'!$F$26:$H$26&lt;'[2]18. Regulatory Charges'!$D$14),'[2]18. Regulatory Charges'!$D$18,'[2]18. Regulatory Charges'!$E$18)</f>
        <v>0.25</v>
      </c>
      <c r="G221" s="64">
        <v>1</v>
      </c>
      <c r="H221" s="101">
        <f t="shared" si="37"/>
        <v>0.25</v>
      </c>
      <c r="I221" s="89">
        <f>'[2]18. Regulatory Charges'!$E$18</f>
        <v>0.25</v>
      </c>
      <c r="J221" s="67">
        <v>1</v>
      </c>
      <c r="K221" s="68">
        <f t="shared" si="38"/>
        <v>0.25</v>
      </c>
      <c r="L221" s="69">
        <f t="shared" si="32"/>
        <v>0</v>
      </c>
      <c r="M221" s="70">
        <f t="shared" si="39"/>
        <v>0</v>
      </c>
    </row>
    <row r="222" spans="1:13" ht="25" customHeight="1" x14ac:dyDescent="0.25">
      <c r="A222" s="14" t="str">
        <f t="shared" si="35"/>
        <v>GENERAL SERVICE 50 to 4,999 kW SERVICE CLASSIFICATION</v>
      </c>
      <c r="C222" s="60"/>
      <c r="D222" s="100" t="s">
        <v>78</v>
      </c>
      <c r="E222" s="62"/>
      <c r="F222" s="71"/>
      <c r="G222" s="84"/>
      <c r="H222" s="101"/>
      <c r="I222" s="72"/>
      <c r="J222" s="85"/>
      <c r="K222" s="68"/>
      <c r="L222" s="69"/>
      <c r="M222" s="70"/>
    </row>
    <row r="223" spans="1:13" ht="13" customHeight="1" x14ac:dyDescent="0.25">
      <c r="A223" s="14" t="str">
        <f t="shared" si="35"/>
        <v>GENERAL SERVICE 50 to 4,999 kW SERVICE CLASSIFICATION</v>
      </c>
      <c r="B223" s="14" t="s">
        <v>14</v>
      </c>
      <c r="C223" s="60"/>
      <c r="D223" s="102" t="s">
        <v>79</v>
      </c>
      <c r="E223" s="62"/>
      <c r="F223" s="103">
        <f>OffPeak</f>
        <v>7.3999999999999996E-2</v>
      </c>
      <c r="G223" s="104">
        <f>IF(AND(E192*12&gt;=150000),OffPeakPer*E192*E194,OffPeakPer*E192)</f>
        <v>121275.62999999999</v>
      </c>
      <c r="H223" s="101">
        <f t="shared" si="37"/>
        <v>8974.3966199999995</v>
      </c>
      <c r="I223" s="105">
        <f>OffPeak</f>
        <v>7.3999999999999996E-2</v>
      </c>
      <c r="J223" s="106">
        <f>IF(AND(E192*12&gt;=150000),OffPeakPer*E192*E195,OffPeakPer*E192)</f>
        <v>121275.62999999999</v>
      </c>
      <c r="K223" s="68">
        <f t="shared" si="38"/>
        <v>8974.3966199999995</v>
      </c>
      <c r="L223" s="69">
        <f>K223-H223</f>
        <v>0</v>
      </c>
      <c r="M223" s="70">
        <f t="shared" si="39"/>
        <v>0</v>
      </c>
    </row>
    <row r="224" spans="1:13" ht="13" customHeight="1" x14ac:dyDescent="0.25">
      <c r="A224" s="14" t="str">
        <f t="shared" si="35"/>
        <v>GENERAL SERVICE 50 to 4,999 kW SERVICE CLASSIFICATION</v>
      </c>
      <c r="B224" s="14" t="s">
        <v>14</v>
      </c>
      <c r="C224" s="60"/>
      <c r="D224" s="102" t="s">
        <v>80</v>
      </c>
      <c r="E224" s="62"/>
      <c r="F224" s="103">
        <f>MidPeak</f>
        <v>0.10199999999999999</v>
      </c>
      <c r="G224" s="104">
        <f>IF(AND(E192*12&gt;=150000),MidPeakPer*E192*E194,MidPeakPer*E192)</f>
        <v>34650.18</v>
      </c>
      <c r="H224" s="101">
        <f t="shared" si="37"/>
        <v>3534.3183599999998</v>
      </c>
      <c r="I224" s="105">
        <f>MidPeak</f>
        <v>0.10199999999999999</v>
      </c>
      <c r="J224" s="106">
        <f>IF(AND(E192*12&gt;=150000),MidPeakPer*E192*E195,MidPeakPer*E192)</f>
        <v>34650.18</v>
      </c>
      <c r="K224" s="68">
        <f t="shared" si="38"/>
        <v>3534.3183599999998</v>
      </c>
      <c r="L224" s="69">
        <f>K224-H224</f>
        <v>0</v>
      </c>
      <c r="M224" s="70">
        <f t="shared" si="39"/>
        <v>0</v>
      </c>
    </row>
    <row r="225" spans="1:13" ht="13" customHeight="1" x14ac:dyDescent="0.25">
      <c r="A225" s="14" t="str">
        <f t="shared" si="35"/>
        <v>GENERAL SERVICE 50 to 4,999 kW SERVICE CLASSIFICATION</v>
      </c>
      <c r="B225" s="14" t="s">
        <v>14</v>
      </c>
      <c r="C225" s="60"/>
      <c r="D225" s="14" t="s">
        <v>81</v>
      </c>
      <c r="E225" s="62"/>
      <c r="F225" s="103">
        <f>OnPeak</f>
        <v>0.151</v>
      </c>
      <c r="G225" s="104">
        <f>IF(AND(E192*12&gt;=150000),OnPeakPer*E192*E194,OnPeakPer*E192)</f>
        <v>36575.189999999995</v>
      </c>
      <c r="H225" s="101">
        <f t="shared" si="37"/>
        <v>5522.853689999999</v>
      </c>
      <c r="I225" s="105">
        <f>OnPeak</f>
        <v>0.151</v>
      </c>
      <c r="J225" s="106">
        <f>IF(AND(E192*12&gt;=150000),OnPeakPer*E192*E195,OnPeakPer*E192)</f>
        <v>36575.189999999995</v>
      </c>
      <c r="K225" s="68">
        <f t="shared" si="38"/>
        <v>5522.853689999999</v>
      </c>
      <c r="L225" s="69">
        <f>K225-H225</f>
        <v>0</v>
      </c>
      <c r="M225" s="70">
        <f t="shared" si="39"/>
        <v>0</v>
      </c>
    </row>
    <row r="226" spans="1:13" ht="13" customHeight="1" x14ac:dyDescent="0.25">
      <c r="A226" s="14" t="str">
        <f t="shared" si="35"/>
        <v>GENERAL SERVICE 50 to 4,999 kW SERVICE CLASSIFICATION</v>
      </c>
      <c r="B226" s="14" t="s">
        <v>24</v>
      </c>
      <c r="C226" s="60"/>
      <c r="D226" s="102" t="s">
        <v>82</v>
      </c>
      <c r="E226" s="62"/>
      <c r="F226" s="107">
        <v>0.1076</v>
      </c>
      <c r="G226" s="104">
        <f>IF(AND(E192*12&gt;=150000),E192*E194,E192)</f>
        <v>192501</v>
      </c>
      <c r="H226" s="101">
        <f>G226*F226</f>
        <v>20713.107599999999</v>
      </c>
      <c r="I226" s="108">
        <f>F226</f>
        <v>0.1076</v>
      </c>
      <c r="J226" s="106">
        <f>IF(AND(E192*12&gt;=150000),E192*E195,E192)</f>
        <v>192501</v>
      </c>
      <c r="K226" s="68">
        <f>J226*I226</f>
        <v>20713.107599999999</v>
      </c>
      <c r="L226" s="69">
        <f>K226-H226</f>
        <v>0</v>
      </c>
      <c r="M226" s="70">
        <f t="shared" si="39"/>
        <v>0</v>
      </c>
    </row>
    <row r="227" spans="1:13" ht="13.5" thickBot="1" x14ac:dyDescent="0.3">
      <c r="A227" s="14" t="str">
        <f t="shared" si="35"/>
        <v>GENERAL SERVICE 50 to 4,999 kW SERVICE CLASSIFICATION</v>
      </c>
      <c r="B227" s="14" t="s">
        <v>18</v>
      </c>
      <c r="C227" s="60"/>
      <c r="D227" s="102" t="s">
        <v>83</v>
      </c>
      <c r="E227" s="62"/>
      <c r="F227" s="107">
        <v>0.1076</v>
      </c>
      <c r="G227" s="104">
        <f>IF(AND(E192*12&gt;=150000),E192*E194,E192)</f>
        <v>192501</v>
      </c>
      <c r="H227" s="101">
        <f>G227*F227</f>
        <v>20713.107599999999</v>
      </c>
      <c r="I227" s="108">
        <f>F227</f>
        <v>0.1076</v>
      </c>
      <c r="J227" s="106">
        <f>IF(AND(E192*12&gt;=150000),E192*E195,E192)</f>
        <v>192501</v>
      </c>
      <c r="K227" s="68">
        <f>J227*I227</f>
        <v>20713.107599999999</v>
      </c>
      <c r="L227" s="69">
        <f>K227-H227</f>
        <v>0</v>
      </c>
      <c r="M227" s="70">
        <f t="shared" si="39"/>
        <v>0</v>
      </c>
    </row>
    <row r="228" spans="1:13" ht="13" thickBot="1" x14ac:dyDescent="0.3">
      <c r="A228" s="14" t="str">
        <f t="shared" si="35"/>
        <v>GENERAL SERVICE 50 to 4,999 kW SERVICE CLASSIFICATION</v>
      </c>
      <c r="C228" s="60"/>
      <c r="D228" s="109"/>
      <c r="E228" s="110"/>
      <c r="F228" s="111"/>
      <c r="G228" s="112"/>
      <c r="H228" s="113"/>
      <c r="I228" s="111"/>
      <c r="J228" s="114"/>
      <c r="K228" s="113"/>
      <c r="L228" s="115"/>
      <c r="M228" s="116"/>
    </row>
    <row r="229" spans="1:13" ht="13" customHeight="1" x14ac:dyDescent="0.25">
      <c r="A229" s="14" t="str">
        <f t="shared" si="35"/>
        <v>GENERAL SERVICE 50 to 4,999 kW SERVICE CLASSIFICATION</v>
      </c>
      <c r="B229" s="14" t="s">
        <v>14</v>
      </c>
      <c r="C229" s="60"/>
      <c r="D229" s="117" t="s">
        <v>84</v>
      </c>
      <c r="E229" s="102"/>
      <c r="F229" s="118"/>
      <c r="G229" s="119"/>
      <c r="H229" s="120">
        <f>SUM(H219:H225,H218)</f>
        <v>22800.508869999998</v>
      </c>
      <c r="I229" s="121"/>
      <c r="J229" s="121"/>
      <c r="K229" s="120">
        <f>SUM(K219:K225,K218)</f>
        <v>20720.036285257265</v>
      </c>
      <c r="L229" s="122">
        <f>K229-H229</f>
        <v>-2080.4725847427326</v>
      </c>
      <c r="M229" s="123">
        <f>IF((H229)=0,"",(L229/H229))</f>
        <v>-9.1246761052782274E-2</v>
      </c>
    </row>
    <row r="230" spans="1:13" ht="12.65" customHeight="1" x14ac:dyDescent="0.25">
      <c r="A230" s="14" t="str">
        <f t="shared" si="35"/>
        <v>GENERAL SERVICE 50 to 4,999 kW SERVICE CLASSIFICATION</v>
      </c>
      <c r="B230" s="14" t="s">
        <v>14</v>
      </c>
      <c r="C230" s="60"/>
      <c r="D230" s="124" t="s">
        <v>85</v>
      </c>
      <c r="E230" s="102"/>
      <c r="F230" s="118">
        <v>0.13</v>
      </c>
      <c r="G230" s="125"/>
      <c r="H230" s="126">
        <f>H229*F230</f>
        <v>2964.0661530999996</v>
      </c>
      <c r="I230" s="127">
        <v>0.13</v>
      </c>
      <c r="J230" s="64"/>
      <c r="K230" s="126">
        <f>K229*I230</f>
        <v>2693.6047170834445</v>
      </c>
      <c r="L230" s="69">
        <f>K230-H230</f>
        <v>-270.46143601655513</v>
      </c>
      <c r="M230" s="128">
        <f>IF((H230)=0,"",(L230/H230))</f>
        <v>-9.1246761052782246E-2</v>
      </c>
    </row>
    <row r="231" spans="1:13" ht="14.5" customHeight="1" x14ac:dyDescent="0.35">
      <c r="A231" s="14" t="str">
        <f t="shared" si="35"/>
        <v>GENERAL SERVICE 50 to 4,999 kW SERVICE CLASSIFICATION</v>
      </c>
      <c r="B231" s="14" t="s">
        <v>14</v>
      </c>
      <c r="C231" s="60"/>
      <c r="D231" s="124" t="s">
        <v>86</v>
      </c>
      <c r="E231"/>
      <c r="F231" s="129">
        <v>0.11700000000000001</v>
      </c>
      <c r="G231" s="125"/>
      <c r="H231" s="126">
        <f>IF(OR(ISNUMBER(SEARCH("[DGEN]", E190))=TRUE, ISNUMBER(SEARCH("STREET LIGHT", E190))=TRUE), 0, IF(AND(E192=0, E193=0),0, IF(AND(E193=0, E192*12&gt;250000), 0, IF(AND(E192=0, E193&gt;=50), 0, IF(E192*12&lt;=250000, F231*H229*-1, IF(E193&lt;50, F231*H229*-1, 0))))))</f>
        <v>0</v>
      </c>
      <c r="I231" s="129">
        <v>0.11700000000000001</v>
      </c>
      <c r="J231" s="64"/>
      <c r="K231" s="126">
        <f>IF(OR(ISNUMBER(SEARCH("[DGEN]", E190))=TRUE, ISNUMBER(SEARCH("STREET LIGHT", E190))=TRUE), 0, IF(AND(E192=0, E193=0),0, IF(AND(E193=0, E192*12&gt;250000), 0, IF(AND(E192=0, E193&gt;=50), 0, IF(E192*12&lt;=250000, I231*K229*-1, IF(E193&lt;50, I231*K229*-1, 0))))))</f>
        <v>0</v>
      </c>
      <c r="L231" s="69">
        <f>K231-H231</f>
        <v>0</v>
      </c>
      <c r="M231" s="128"/>
    </row>
    <row r="232" spans="1:13" ht="13" customHeight="1" thickBot="1" x14ac:dyDescent="0.3">
      <c r="A232" s="14" t="str">
        <f t="shared" si="35"/>
        <v>GENERAL SERVICE 50 to 4,999 kW SERVICE CLASSIFICATION</v>
      </c>
      <c r="B232" s="14" t="s">
        <v>87</v>
      </c>
      <c r="C232" s="60"/>
      <c r="D232" s="195" t="s">
        <v>88</v>
      </c>
      <c r="E232" s="195"/>
      <c r="F232" s="130"/>
      <c r="G232" s="131"/>
      <c r="H232" s="132">
        <f>H229+H230+H231</f>
        <v>25764.575023099998</v>
      </c>
      <c r="I232" s="133"/>
      <c r="J232" s="133"/>
      <c r="K232" s="134">
        <f>K229+K230+K231</f>
        <v>23413.641002340708</v>
      </c>
      <c r="L232" s="135">
        <f>K232-H232</f>
        <v>-2350.9340207592904</v>
      </c>
      <c r="M232" s="136">
        <f>IF((H232)=0,"",(L232/H232))</f>
        <v>-9.1246761052782371E-2</v>
      </c>
    </row>
    <row r="233" spans="1:13" ht="13" customHeight="1" thickBot="1" x14ac:dyDescent="0.3">
      <c r="A233" s="14" t="str">
        <f t="shared" si="35"/>
        <v>GENERAL SERVICE 50 to 4,999 kW SERVICE CLASSIFICATION</v>
      </c>
      <c r="B233" s="14" t="s">
        <v>14</v>
      </c>
      <c r="C233" s="60"/>
      <c r="D233" s="109"/>
      <c r="E233" s="110"/>
      <c r="F233" s="111"/>
      <c r="G233" s="112"/>
      <c r="H233" s="113"/>
      <c r="I233" s="111"/>
      <c r="J233" s="114"/>
      <c r="K233" s="113"/>
      <c r="L233" s="115"/>
      <c r="M233" s="116"/>
    </row>
    <row r="234" spans="1:13" ht="13" customHeight="1" x14ac:dyDescent="0.25">
      <c r="A234" s="14" t="str">
        <f t="shared" si="35"/>
        <v>GENERAL SERVICE 50 to 4,999 kW SERVICE CLASSIFICATION</v>
      </c>
      <c r="B234" s="14" t="s">
        <v>24</v>
      </c>
      <c r="C234" s="60"/>
      <c r="D234" s="117" t="s">
        <v>89</v>
      </c>
      <c r="E234" s="102"/>
      <c r="F234" s="118"/>
      <c r="G234" s="119"/>
      <c r="H234" s="120">
        <f>SUM(H226,H219:H222,H218)</f>
        <v>25482.0478</v>
      </c>
      <c r="I234" s="121"/>
      <c r="J234" s="121"/>
      <c r="K234" s="120">
        <f>SUM(K226,K219:K222,K218)</f>
        <v>23401.575215257268</v>
      </c>
      <c r="L234" s="122">
        <f>K234-H234</f>
        <v>-2080.4725847427326</v>
      </c>
      <c r="M234" s="123">
        <f>IF((H234)=0,"",(L234/H234))</f>
        <v>-8.1644638651950596E-2</v>
      </c>
    </row>
    <row r="235" spans="1:13" ht="12.65" customHeight="1" x14ac:dyDescent="0.25">
      <c r="A235" s="14" t="str">
        <f t="shared" si="35"/>
        <v>GENERAL SERVICE 50 to 4,999 kW SERVICE CLASSIFICATION</v>
      </c>
      <c r="B235" s="14" t="s">
        <v>24</v>
      </c>
      <c r="C235" s="60"/>
      <c r="D235" s="124" t="s">
        <v>85</v>
      </c>
      <c r="E235" s="102"/>
      <c r="F235" s="118">
        <v>0.13</v>
      </c>
      <c r="G235" s="119"/>
      <c r="H235" s="126">
        <f>H234*F235</f>
        <v>3312.6662140000003</v>
      </c>
      <c r="I235" s="118">
        <v>0.13</v>
      </c>
      <c r="J235" s="127"/>
      <c r="K235" s="126">
        <f>K234*I235</f>
        <v>3042.2047779834447</v>
      </c>
      <c r="L235" s="69">
        <f>K235-H235</f>
        <v>-270.46143601655558</v>
      </c>
      <c r="M235" s="128">
        <f>IF((H235)=0,"",(L235/H235))</f>
        <v>-8.1644638651950693E-2</v>
      </c>
    </row>
    <row r="236" spans="1:13" ht="14.5" customHeight="1" x14ac:dyDescent="0.35">
      <c r="A236" s="14" t="str">
        <f t="shared" si="35"/>
        <v>GENERAL SERVICE 50 to 4,999 kW SERVICE CLASSIFICATION</v>
      </c>
      <c r="B236" s="14" t="s">
        <v>24</v>
      </c>
      <c r="C236" s="60"/>
      <c r="D236" s="124" t="s">
        <v>86</v>
      </c>
      <c r="E236"/>
      <c r="F236" s="129">
        <v>0.11700000000000001</v>
      </c>
      <c r="G236" s="119"/>
      <c r="H236" s="126">
        <f>IF(OR(ISNUMBER(SEARCH("[DGEN]", E190))=TRUE, ISNUMBER(SEARCH("STREET LIGHT", E190))=TRUE), 0, IF(AND(E192=0, E193=0),0, IF(AND(E193=0, E192*12&gt;250000), 0, IF(AND(E192=0, E193&gt;=50), 0, IF(E192*12&lt;=250000, F236*H234*-1, IF(E193&lt;50, F236*H234*-1, 0))))))</f>
        <v>0</v>
      </c>
      <c r="I236" s="129">
        <v>0.11700000000000001</v>
      </c>
      <c r="J236" s="127"/>
      <c r="K236" s="126">
        <f>IF(OR(ISNUMBER(SEARCH("[DGEN]", E190))=TRUE, ISNUMBER(SEARCH("STREET LIGHT", E190))=TRUE), 0, IF(AND(E192=0, E193=0),0, IF(AND(E193=0, E192*12&gt;250000), 0, IF(AND(E192=0, E193&gt;=50), 0, IF(E192*12&lt;=250000, I236*K234*-1, IF(E193&lt;50, I236*K234*-1, 0))))))</f>
        <v>0</v>
      </c>
      <c r="L236" s="69"/>
      <c r="M236" s="128"/>
    </row>
    <row r="237" spans="1:13" ht="13" customHeight="1" thickBot="1" x14ac:dyDescent="0.3">
      <c r="A237" s="14" t="str">
        <f t="shared" si="35"/>
        <v>GENERAL SERVICE 50 to 4,999 kW SERVICE CLASSIFICATION</v>
      </c>
      <c r="B237" s="14" t="s">
        <v>90</v>
      </c>
      <c r="C237" s="60"/>
      <c r="D237" s="195" t="s">
        <v>89</v>
      </c>
      <c r="E237" s="195"/>
      <c r="F237" s="137"/>
      <c r="G237" s="138"/>
      <c r="H237" s="132">
        <f>SUM(H234,H235)</f>
        <v>28794.714014000001</v>
      </c>
      <c r="I237" s="139"/>
      <c r="J237" s="139"/>
      <c r="K237" s="132">
        <f>SUM(K234,K235)</f>
        <v>26443.779993240714</v>
      </c>
      <c r="L237" s="140">
        <f>K237-H237</f>
        <v>-2350.9340207592868</v>
      </c>
      <c r="M237" s="141">
        <f>IF((H237)=0,"",(L237/H237))</f>
        <v>-8.1644638651950555E-2</v>
      </c>
    </row>
    <row r="238" spans="1:13" ht="13" customHeight="1" thickBot="1" x14ac:dyDescent="0.3">
      <c r="A238" s="14" t="str">
        <f t="shared" si="35"/>
        <v>GENERAL SERVICE 50 to 4,999 kW SERVICE CLASSIFICATION</v>
      </c>
      <c r="B238" s="14" t="s">
        <v>24</v>
      </c>
      <c r="C238" s="60"/>
      <c r="D238" s="109"/>
      <c r="E238" s="110"/>
      <c r="F238" s="142"/>
      <c r="G238" s="143"/>
      <c r="H238" s="144"/>
      <c r="I238" s="142"/>
      <c r="J238" s="112"/>
      <c r="K238" s="144"/>
      <c r="L238" s="145"/>
      <c r="M238" s="116"/>
    </row>
    <row r="239" spans="1:13" ht="13" x14ac:dyDescent="0.25">
      <c r="A239" s="14" t="str">
        <f t="shared" si="35"/>
        <v>GENERAL SERVICE 50 to 4,999 kW SERVICE CLASSIFICATION</v>
      </c>
      <c r="B239" s="14" t="s">
        <v>18</v>
      </c>
      <c r="C239" s="60"/>
      <c r="D239" s="117" t="s">
        <v>91</v>
      </c>
      <c r="E239" s="102"/>
      <c r="F239" s="118"/>
      <c r="G239" s="119"/>
      <c r="H239" s="120">
        <f>SUM(H227,H219:H222,H218)</f>
        <v>25482.0478</v>
      </c>
      <c r="I239" s="121"/>
      <c r="J239" s="121"/>
      <c r="K239" s="120">
        <f>SUM(K227,K219:K222,K218)</f>
        <v>23401.575215257268</v>
      </c>
      <c r="L239" s="122">
        <f>K239-H239</f>
        <v>-2080.4725847427326</v>
      </c>
      <c r="M239" s="123">
        <f>IF((H239)=0,"",(L239/H239))</f>
        <v>-8.1644638651950596E-2</v>
      </c>
    </row>
    <row r="240" spans="1:13" x14ac:dyDescent="0.25">
      <c r="A240" s="14" t="str">
        <f t="shared" si="35"/>
        <v>GENERAL SERVICE 50 to 4,999 kW SERVICE CLASSIFICATION</v>
      </c>
      <c r="B240" s="14" t="s">
        <v>18</v>
      </c>
      <c r="C240" s="60"/>
      <c r="D240" s="124" t="s">
        <v>85</v>
      </c>
      <c r="E240" s="102"/>
      <c r="F240" s="118">
        <v>0.13</v>
      </c>
      <c r="G240" s="119"/>
      <c r="H240" s="126">
        <f>H239*F240</f>
        <v>3312.6662140000003</v>
      </c>
      <c r="I240" s="118">
        <v>0.13</v>
      </c>
      <c r="J240" s="127"/>
      <c r="K240" s="126">
        <f>K239*I240</f>
        <v>3042.2047779834447</v>
      </c>
      <c r="L240" s="69">
        <f>K240-H240</f>
        <v>-270.46143601655558</v>
      </c>
      <c r="M240" s="128">
        <f>IF((H240)=0,"",(L240/H240))</f>
        <v>-8.1644638651950693E-2</v>
      </c>
    </row>
    <row r="241" spans="1:15" ht="14.5" x14ac:dyDescent="0.35">
      <c r="A241" s="14" t="str">
        <f t="shared" si="35"/>
        <v>GENERAL SERVICE 50 to 4,999 kW SERVICE CLASSIFICATION</v>
      </c>
      <c r="B241" s="14" t="s">
        <v>18</v>
      </c>
      <c r="C241" s="60"/>
      <c r="D241" s="124" t="s">
        <v>86</v>
      </c>
      <c r="E241"/>
      <c r="F241" s="129">
        <v>0.11700000000000001</v>
      </c>
      <c r="G241" s="119"/>
      <c r="H241" s="126">
        <f>IF(OR(ISNUMBER(SEARCH("[DGEN]", E190))=TRUE, ISNUMBER(SEARCH("STREET LIGHT", E190))=TRUE), 0, IF(AND(E192=0, E193=0),0, IF(AND(E193=0, E192*12&gt;250000), 0, IF(AND(E192=0, E193&gt;=50), 0, IF(E192*12&lt;=250000, F241*H239*-1, IF(E193&lt;50, F241*H239*-1, 0))))))</f>
        <v>0</v>
      </c>
      <c r="I241" s="129">
        <v>0.11700000000000001</v>
      </c>
      <c r="J241" s="127"/>
      <c r="K241" s="126">
        <f>IF(OR(ISNUMBER(SEARCH("[DGEN]", E190))=TRUE, ISNUMBER(SEARCH("STREET LIGHT", E190))=TRUE), 0, IF(AND(E192=0, E193=0),0, IF(AND(E193=0, E192*12&gt;250000), 0, IF(AND(E192=0, E193&gt;=50), 0, IF(E192*12&lt;=250000, I241*K239*-1, IF(E193&lt;50, I241*K239*-1, 0))))))</f>
        <v>0</v>
      </c>
      <c r="L241" s="69"/>
      <c r="M241" s="128"/>
    </row>
    <row r="242" spans="1:15" ht="13.5" thickBot="1" x14ac:dyDescent="0.3">
      <c r="A242" s="14" t="str">
        <f t="shared" si="35"/>
        <v>GENERAL SERVICE 50 to 4,999 kW SERVICE CLASSIFICATION</v>
      </c>
      <c r="B242" s="14" t="s">
        <v>92</v>
      </c>
      <c r="C242" s="60">
        <f>B32</f>
        <v>3</v>
      </c>
      <c r="D242" s="195" t="s">
        <v>91</v>
      </c>
      <c r="E242" s="195"/>
      <c r="F242" s="137"/>
      <c r="G242" s="138"/>
      <c r="H242" s="132">
        <f>SUM(H239,H240)</f>
        <v>28794.714014000001</v>
      </c>
      <c r="I242" s="139"/>
      <c r="J242" s="139"/>
      <c r="K242" s="132">
        <f>SUM(K239,K240)</f>
        <v>26443.779993240714</v>
      </c>
      <c r="L242" s="140">
        <f>K242-H242</f>
        <v>-2350.9340207592868</v>
      </c>
      <c r="M242" s="141">
        <f>IF((H242)=0,"",(L242/H242))</f>
        <v>-8.1644638651950555E-2</v>
      </c>
    </row>
    <row r="243" spans="1:15" ht="13" thickBot="1" x14ac:dyDescent="0.3">
      <c r="A243" s="14" t="str">
        <f t="shared" si="35"/>
        <v>GENERAL SERVICE 50 to 4,999 kW SERVICE CLASSIFICATION</v>
      </c>
      <c r="B243" s="14" t="s">
        <v>18</v>
      </c>
      <c r="C243" s="60"/>
      <c r="D243" s="109"/>
      <c r="E243" s="110"/>
      <c r="F243" s="146"/>
      <c r="G243" s="143"/>
      <c r="H243" s="147"/>
      <c r="I243" s="146"/>
      <c r="J243" s="112"/>
      <c r="K243" s="147"/>
      <c r="L243" s="145"/>
      <c r="M243" s="148"/>
    </row>
    <row r="246" spans="1:15" ht="13" x14ac:dyDescent="0.25">
      <c r="C246" s="14"/>
      <c r="D246" s="46" t="s">
        <v>38</v>
      </c>
      <c r="E246" s="192" t="str">
        <f>D33</f>
        <v>LARGE USE SERVICE CLASSIFICATION</v>
      </c>
      <c r="F246" s="192"/>
      <c r="G246" s="192"/>
      <c r="H246" s="192"/>
      <c r="I246" s="192"/>
      <c r="J246" s="192"/>
      <c r="K246" s="14" t="str">
        <f>IF(N33="DEMAND - INTERVAL","RTSR - INTERVAL METERED","")</f>
        <v/>
      </c>
      <c r="O246" s="14" t="s">
        <v>26</v>
      </c>
    </row>
    <row r="247" spans="1:15" ht="13" x14ac:dyDescent="0.25">
      <c r="C247" s="14"/>
      <c r="D247" s="46" t="s">
        <v>39</v>
      </c>
      <c r="E247" s="193" t="str">
        <f>H33</f>
        <v>Non-RPP (Other)</v>
      </c>
      <c r="F247" s="193"/>
      <c r="G247" s="193"/>
      <c r="H247" s="47"/>
      <c r="I247" s="47"/>
    </row>
    <row r="248" spans="1:15" ht="15.5" x14ac:dyDescent="0.3">
      <c r="C248" s="14"/>
      <c r="D248" s="46" t="s">
        <v>40</v>
      </c>
      <c r="E248" s="48">
        <f>K33</f>
        <v>3650000</v>
      </c>
      <c r="F248" s="49" t="s">
        <v>36</v>
      </c>
      <c r="J248" s="50"/>
      <c r="K248" s="50"/>
      <c r="L248" s="50"/>
      <c r="M248" s="50"/>
    </row>
    <row r="249" spans="1:15" ht="15.5" x14ac:dyDescent="0.35">
      <c r="C249" s="14"/>
      <c r="D249" s="46" t="s">
        <v>41</v>
      </c>
      <c r="E249" s="48">
        <f>L33</f>
        <v>5000</v>
      </c>
      <c r="F249" s="51" t="s">
        <v>37</v>
      </c>
      <c r="G249" s="52"/>
      <c r="H249" s="53"/>
      <c r="I249" s="53"/>
      <c r="J249" s="53"/>
    </row>
    <row r="250" spans="1:15" ht="13" x14ac:dyDescent="0.3">
      <c r="C250" s="14"/>
      <c r="D250" s="46" t="s">
        <v>42</v>
      </c>
      <c r="E250" s="54">
        <f>I33</f>
        <v>1.0548</v>
      </c>
    </row>
    <row r="251" spans="1:15" ht="13" x14ac:dyDescent="0.3">
      <c r="C251" s="14"/>
      <c r="D251" s="46" t="s">
        <v>43</v>
      </c>
      <c r="E251" s="54">
        <f>J33</f>
        <v>1.0548</v>
      </c>
    </row>
    <row r="252" spans="1:15" x14ac:dyDescent="0.25">
      <c r="C252" s="14"/>
    </row>
    <row r="253" spans="1:15" ht="13" x14ac:dyDescent="0.3">
      <c r="C253" s="14"/>
      <c r="E253" s="49"/>
      <c r="F253" s="184" t="s">
        <v>44</v>
      </c>
      <c r="G253" s="194"/>
      <c r="H253" s="185"/>
      <c r="I253" s="184" t="s">
        <v>45</v>
      </c>
      <c r="J253" s="194"/>
      <c r="K253" s="185"/>
      <c r="L253" s="184" t="s">
        <v>46</v>
      </c>
      <c r="M253" s="185"/>
    </row>
    <row r="254" spans="1:15" ht="13" x14ac:dyDescent="0.3">
      <c r="C254" s="14"/>
      <c r="E254" s="186"/>
      <c r="F254" s="55" t="s">
        <v>47</v>
      </c>
      <c r="G254" s="55" t="s">
        <v>48</v>
      </c>
      <c r="H254" s="56" t="s">
        <v>49</v>
      </c>
      <c r="I254" s="55" t="s">
        <v>47</v>
      </c>
      <c r="J254" s="57" t="s">
        <v>48</v>
      </c>
      <c r="K254" s="56" t="s">
        <v>49</v>
      </c>
      <c r="L254" s="188" t="s">
        <v>50</v>
      </c>
      <c r="M254" s="190" t="s">
        <v>51</v>
      </c>
    </row>
    <row r="255" spans="1:15" ht="13" x14ac:dyDescent="0.3">
      <c r="C255" s="14"/>
      <c r="E255" s="187"/>
      <c r="F255" s="58" t="s">
        <v>52</v>
      </c>
      <c r="G255" s="58"/>
      <c r="H255" s="59" t="s">
        <v>52</v>
      </c>
      <c r="I255" s="58" t="s">
        <v>52</v>
      </c>
      <c r="J255" s="59"/>
      <c r="K255" s="59" t="s">
        <v>52</v>
      </c>
      <c r="L255" s="189"/>
      <c r="M255" s="191"/>
    </row>
    <row r="256" spans="1:15" ht="13" x14ac:dyDescent="0.25">
      <c r="A256" s="14" t="str">
        <f>$E246</f>
        <v>LARGE USE SERVICE CLASSIFICATION</v>
      </c>
      <c r="C256" s="60"/>
      <c r="D256" s="61" t="s">
        <v>53</v>
      </c>
      <c r="E256" s="62"/>
      <c r="F256" s="63">
        <v>6440.97</v>
      </c>
      <c r="G256" s="64">
        <v>1</v>
      </c>
      <c r="H256" s="65">
        <f>G256*F256</f>
        <v>6440.97</v>
      </c>
      <c r="I256" s="66">
        <v>6440.97</v>
      </c>
      <c r="J256" s="67">
        <f>G256</f>
        <v>1</v>
      </c>
      <c r="K256" s="68">
        <f>J256*I256</f>
        <v>6440.97</v>
      </c>
      <c r="L256" s="69">
        <f t="shared" ref="L256:L277" si="40">K256-H256</f>
        <v>0</v>
      </c>
      <c r="M256" s="70">
        <f>IF(ISERROR(L256/H256), "", L256/H256)</f>
        <v>0</v>
      </c>
    </row>
    <row r="257" spans="1:13" ht="13" x14ac:dyDescent="0.25">
      <c r="A257" s="14" t="str">
        <f>A256</f>
        <v>LARGE USE SERVICE CLASSIFICATION</v>
      </c>
      <c r="C257" s="60"/>
      <c r="D257" s="61" t="s">
        <v>54</v>
      </c>
      <c r="E257" s="62"/>
      <c r="F257" s="71">
        <v>0.75239999999999996</v>
      </c>
      <c r="G257" s="64">
        <f>IF($E249&gt;0, $E249, $E248)</f>
        <v>5000</v>
      </c>
      <c r="H257" s="65">
        <f t="shared" ref="H257:H269" si="41">G257*F257</f>
        <v>3762</v>
      </c>
      <c r="I257" s="72">
        <v>0.75239999999999996</v>
      </c>
      <c r="J257" s="67">
        <f>IF($E249&gt;0, $E249, $E248)</f>
        <v>5000</v>
      </c>
      <c r="K257" s="68">
        <f>J257*I257</f>
        <v>3762</v>
      </c>
      <c r="L257" s="69">
        <f t="shared" si="40"/>
        <v>0</v>
      </c>
      <c r="M257" s="70">
        <f t="shared" ref="M257:M267" si="42">IF(ISERROR(L257/H257), "", L257/H257)</f>
        <v>0</v>
      </c>
    </row>
    <row r="258" spans="1:13" ht="13" customHeight="1" x14ac:dyDescent="0.25">
      <c r="A258" s="14" t="str">
        <f t="shared" ref="A258:A299" si="43">A257</f>
        <v>LARGE USE SERVICE CLASSIFICATION</v>
      </c>
      <c r="C258" s="60"/>
      <c r="D258" s="61" t="s">
        <v>55</v>
      </c>
      <c r="E258" s="62"/>
      <c r="F258" s="71"/>
      <c r="G258" s="64">
        <f>IF($E249&gt;0, $E249, $E248)</f>
        <v>5000</v>
      </c>
      <c r="H258" s="65">
        <v>0</v>
      </c>
      <c r="I258" s="72"/>
      <c r="J258" s="67">
        <f>IF($E249&gt;0, $E249, $E248)</f>
        <v>5000</v>
      </c>
      <c r="K258" s="68">
        <v>0</v>
      </c>
      <c r="L258" s="69"/>
      <c r="M258" s="70"/>
    </row>
    <row r="259" spans="1:13" ht="13" customHeight="1" x14ac:dyDescent="0.25">
      <c r="A259" s="14" t="str">
        <f t="shared" si="43"/>
        <v>LARGE USE SERVICE CLASSIFICATION</v>
      </c>
      <c r="C259" s="60"/>
      <c r="D259" s="61" t="s">
        <v>56</v>
      </c>
      <c r="E259" s="62"/>
      <c r="F259" s="71"/>
      <c r="G259" s="64">
        <f>IF($E249&gt;0, $E249, $E248)</f>
        <v>5000</v>
      </c>
      <c r="H259" s="65">
        <v>0</v>
      </c>
      <c r="I259" s="72"/>
      <c r="J259" s="73">
        <f>IF($E249&gt;0, $E249, $E248)</f>
        <v>5000</v>
      </c>
      <c r="K259" s="68">
        <v>0</v>
      </c>
      <c r="L259" s="69">
        <f>K259-H259</f>
        <v>0</v>
      </c>
      <c r="M259" s="70" t="str">
        <f>IF(ISERROR(L259/H259), "", L259/H259)</f>
        <v/>
      </c>
    </row>
    <row r="260" spans="1:13" ht="13" x14ac:dyDescent="0.25">
      <c r="A260" s="14" t="str">
        <f t="shared" si="43"/>
        <v>LARGE USE SERVICE CLASSIFICATION</v>
      </c>
      <c r="C260" s="60"/>
      <c r="D260" s="61" t="s">
        <v>57</v>
      </c>
      <c r="E260" s="62"/>
      <c r="F260" s="63">
        <v>-64.41</v>
      </c>
      <c r="G260" s="64">
        <v>1</v>
      </c>
      <c r="H260" s="65">
        <f t="shared" si="41"/>
        <v>-64.41</v>
      </c>
      <c r="I260" s="66">
        <v>-64.41</v>
      </c>
      <c r="J260" s="67">
        <f>G260</f>
        <v>1</v>
      </c>
      <c r="K260" s="68">
        <f t="shared" ref="K260:K267" si="44">J260*I260</f>
        <v>-64.41</v>
      </c>
      <c r="L260" s="69">
        <f t="shared" si="40"/>
        <v>0</v>
      </c>
      <c r="M260" s="70">
        <f t="shared" si="42"/>
        <v>0</v>
      </c>
    </row>
    <row r="261" spans="1:13" ht="13" x14ac:dyDescent="0.25">
      <c r="A261" s="14" t="str">
        <f t="shared" si="43"/>
        <v>LARGE USE SERVICE CLASSIFICATION</v>
      </c>
      <c r="C261" s="60"/>
      <c r="D261" s="61" t="s">
        <v>58</v>
      </c>
      <c r="E261" s="62"/>
      <c r="F261" s="71">
        <v>-0.16630000000000003</v>
      </c>
      <c r="G261" s="64">
        <f>IF($E249&gt;0, $E249, $E248)</f>
        <v>5000</v>
      </c>
      <c r="H261" s="65">
        <f t="shared" si="41"/>
        <v>-831.50000000000011</v>
      </c>
      <c r="I261" s="72">
        <v>-7.4999999999999997E-3</v>
      </c>
      <c r="J261" s="67">
        <f>IF($E249&gt;0, $E249, $E248)</f>
        <v>5000</v>
      </c>
      <c r="K261" s="68">
        <f t="shared" si="44"/>
        <v>-37.5</v>
      </c>
      <c r="L261" s="69">
        <f t="shared" si="40"/>
        <v>794.00000000000011</v>
      </c>
      <c r="M261" s="70">
        <f t="shared" si="42"/>
        <v>-0.95490078171978354</v>
      </c>
    </row>
    <row r="262" spans="1:13" ht="13" x14ac:dyDescent="0.25">
      <c r="A262" s="14" t="str">
        <f t="shared" si="43"/>
        <v>LARGE USE SERVICE CLASSIFICATION</v>
      </c>
      <c r="B262" s="14" t="s">
        <v>59</v>
      </c>
      <c r="C262" s="60">
        <f>B33</f>
        <v>4</v>
      </c>
      <c r="D262" s="74" t="s">
        <v>60</v>
      </c>
      <c r="E262" s="75"/>
      <c r="F262" s="76"/>
      <c r="G262" s="77"/>
      <c r="H262" s="78">
        <f>SUM(H256:H261)</f>
        <v>9307.0600000000013</v>
      </c>
      <c r="I262" s="79"/>
      <c r="J262" s="80"/>
      <c r="K262" s="78">
        <f>SUM(K256:K261)</f>
        <v>10101.060000000001</v>
      </c>
      <c r="L262" s="81">
        <f t="shared" si="40"/>
        <v>794</v>
      </c>
      <c r="M262" s="82">
        <f>IF((H262)=0,"",(L262/H262))</f>
        <v>8.5311580671017476E-2</v>
      </c>
    </row>
    <row r="263" spans="1:13" ht="13" x14ac:dyDescent="0.25">
      <c r="A263" s="14" t="str">
        <f t="shared" si="43"/>
        <v>LARGE USE SERVICE CLASSIFICATION</v>
      </c>
      <c r="C263" s="60"/>
      <c r="D263" s="83" t="s">
        <v>61</v>
      </c>
      <c r="E263" s="62"/>
      <c r="F263" s="71">
        <f>IF((E248*12&gt;=150000), 0, IF(E247="RPP",(F279*OffPeakPer+F280*MidPeakPer+F281*OnPeakPer),IF(E247="Non-RPP (Retailer)",F282,F283)))</f>
        <v>0</v>
      </c>
      <c r="G263" s="84">
        <f>IF(F263=0, 0, $E248*E250-E248)</f>
        <v>0</v>
      </c>
      <c r="H263" s="65">
        <f>G263*F263</f>
        <v>0</v>
      </c>
      <c r="I263" s="72">
        <f>IF((E248*12&gt;=150000), 0, IF(E247="RPP",(I279*OffPeakPer+I280*MidPeakPer+I281*OnPeakPer),IF(E247="Non-RPP (Retailer)",I282,I283)))</f>
        <v>0</v>
      </c>
      <c r="J263" s="85">
        <f>IF(I263=0, 0, E248*E251-E248)</f>
        <v>0</v>
      </c>
      <c r="K263" s="68">
        <f>J263*I263</f>
        <v>0</v>
      </c>
      <c r="L263" s="69">
        <f>K263-H263</f>
        <v>0</v>
      </c>
      <c r="M263" s="70" t="str">
        <f>IF(ISERROR(L263/H263), "", L263/H263)</f>
        <v/>
      </c>
    </row>
    <row r="264" spans="1:13" ht="25" x14ac:dyDescent="0.25">
      <c r="A264" s="14" t="str">
        <f t="shared" si="43"/>
        <v>LARGE USE SERVICE CLASSIFICATION</v>
      </c>
      <c r="C264" s="60"/>
      <c r="D264" s="83" t="s">
        <v>62</v>
      </c>
      <c r="E264" s="62"/>
      <c r="F264" s="71">
        <v>-0.33379999999999999</v>
      </c>
      <c r="G264" s="86">
        <f>IF($E249&gt;0, $E249, $E248)</f>
        <v>5000</v>
      </c>
      <c r="H264" s="65">
        <f t="shared" si="41"/>
        <v>-1669</v>
      </c>
      <c r="I264" s="72">
        <v>0</v>
      </c>
      <c r="J264" s="87">
        <f>IF($E249&gt;0, $E249, $E248)</f>
        <v>5000</v>
      </c>
      <c r="K264" s="68">
        <f t="shared" si="44"/>
        <v>0</v>
      </c>
      <c r="L264" s="69">
        <f t="shared" si="40"/>
        <v>1669</v>
      </c>
      <c r="M264" s="70">
        <f t="shared" si="42"/>
        <v>-1</v>
      </c>
    </row>
    <row r="265" spans="1:13" ht="13" x14ac:dyDescent="0.25">
      <c r="A265" s="14" t="str">
        <f t="shared" si="43"/>
        <v>LARGE USE SERVICE CLASSIFICATION</v>
      </c>
      <c r="C265" s="60"/>
      <c r="D265" s="83" t="s">
        <v>63</v>
      </c>
      <c r="E265" s="62"/>
      <c r="F265" s="71">
        <v>0</v>
      </c>
      <c r="G265" s="86">
        <f>IF($E249&gt;0, $E249, $E248)</f>
        <v>5000</v>
      </c>
      <c r="H265" s="65">
        <f>G265*F265</f>
        <v>0</v>
      </c>
      <c r="I265" s="72">
        <v>0</v>
      </c>
      <c r="J265" s="87">
        <f>IF($E249&gt;0, $E249, $E248)</f>
        <v>5000</v>
      </c>
      <c r="K265" s="68">
        <f>J265*I265</f>
        <v>0</v>
      </c>
      <c r="L265" s="69">
        <f t="shared" si="40"/>
        <v>0</v>
      </c>
      <c r="M265" s="70" t="str">
        <f t="shared" si="42"/>
        <v/>
      </c>
    </row>
    <row r="266" spans="1:13" ht="13" x14ac:dyDescent="0.25">
      <c r="A266" s="14" t="str">
        <f t="shared" si="43"/>
        <v>LARGE USE SERVICE CLASSIFICATION</v>
      </c>
      <c r="C266" s="60"/>
      <c r="D266" s="83" t="s">
        <v>64</v>
      </c>
      <c r="E266" s="62"/>
      <c r="F266" s="71">
        <v>0</v>
      </c>
      <c r="G266" s="86">
        <f>E248</f>
        <v>3650000</v>
      </c>
      <c r="H266" s="65">
        <f>G266*F266</f>
        <v>0</v>
      </c>
      <c r="I266" s="72">
        <v>0</v>
      </c>
      <c r="J266" s="87">
        <f>E248</f>
        <v>3650000</v>
      </c>
      <c r="K266" s="68">
        <f t="shared" si="44"/>
        <v>0</v>
      </c>
      <c r="L266" s="69">
        <f t="shared" si="40"/>
        <v>0</v>
      </c>
      <c r="M266" s="70" t="str">
        <f t="shared" si="42"/>
        <v/>
      </c>
    </row>
    <row r="267" spans="1:13" ht="13" x14ac:dyDescent="0.25">
      <c r="A267" s="14" t="str">
        <f t="shared" si="43"/>
        <v>LARGE USE SERVICE CLASSIFICATION</v>
      </c>
      <c r="C267" s="60"/>
      <c r="D267" s="61" t="s">
        <v>65</v>
      </c>
      <c r="E267" s="62"/>
      <c r="F267" s="71">
        <v>0.40139999999999998</v>
      </c>
      <c r="G267" s="86">
        <f>IF($E249&gt;0, $E249, $E248)</f>
        <v>5000</v>
      </c>
      <c r="H267" s="65">
        <f t="shared" si="41"/>
        <v>2007</v>
      </c>
      <c r="I267" s="72">
        <v>0.47610000000000002</v>
      </c>
      <c r="J267" s="87">
        <f>IF($E249&gt;0, $E249, $E248)</f>
        <v>5000</v>
      </c>
      <c r="K267" s="68">
        <f t="shared" si="44"/>
        <v>2380.5</v>
      </c>
      <c r="L267" s="69">
        <f t="shared" si="40"/>
        <v>373.5</v>
      </c>
      <c r="M267" s="70">
        <f t="shared" si="42"/>
        <v>0.18609865470852019</v>
      </c>
    </row>
    <row r="268" spans="1:13" ht="13" x14ac:dyDescent="0.25">
      <c r="A268" s="14" t="str">
        <f t="shared" si="43"/>
        <v>LARGE USE SERVICE CLASSIFICATION</v>
      </c>
      <c r="C268" s="60"/>
      <c r="D268" s="83" t="s">
        <v>66</v>
      </c>
      <c r="E268" s="62"/>
      <c r="F268" s="88">
        <f>IF(OR(ISNUMBER(SEARCH("RESIDENTIAL", E246))=TRUE, ISNUMBER(SEARCH("GENERAL SERVICE LESS THAN 50", E246))=TRUE), SME, 0)</f>
        <v>0</v>
      </c>
      <c r="G268" s="64">
        <v>1</v>
      </c>
      <c r="H268" s="65">
        <f>G268*F268</f>
        <v>0</v>
      </c>
      <c r="I268" s="89">
        <f>IF(OR(ISNUMBER(SEARCH("RESIDENTIAL", E246))=TRUE, ISNUMBER(SEARCH("GENERAL SERVICE LESS THAN 50", E246))=TRUE), SME, 0)</f>
        <v>0</v>
      </c>
      <c r="J268" s="73">
        <v>1</v>
      </c>
      <c r="K268" s="68">
        <f>J268*I268</f>
        <v>0</v>
      </c>
      <c r="L268" s="69">
        <f t="shared" si="40"/>
        <v>0</v>
      </c>
      <c r="M268" s="70" t="str">
        <f>IF(ISERROR(L268/H268), "", L268/H268)</f>
        <v/>
      </c>
    </row>
    <row r="269" spans="1:13" ht="13" x14ac:dyDescent="0.25">
      <c r="A269" s="14" t="str">
        <f t="shared" si="43"/>
        <v>LARGE USE SERVICE CLASSIFICATION</v>
      </c>
      <c r="C269" s="60"/>
      <c r="D269" s="61" t="s">
        <v>67</v>
      </c>
      <c r="E269" s="62"/>
      <c r="F269" s="63">
        <v>0</v>
      </c>
      <c r="G269" s="64">
        <v>1</v>
      </c>
      <c r="H269" s="65">
        <f t="shared" si="41"/>
        <v>0</v>
      </c>
      <c r="I269" s="66">
        <v>0</v>
      </c>
      <c r="J269" s="73">
        <v>1</v>
      </c>
      <c r="K269" s="68">
        <f>J269*I269</f>
        <v>0</v>
      </c>
      <c r="L269" s="69">
        <f>K269-H269</f>
        <v>0</v>
      </c>
      <c r="M269" s="70" t="str">
        <f>IF(ISERROR(L269/H269), "", L269/H269)</f>
        <v/>
      </c>
    </row>
    <row r="270" spans="1:13" ht="13" x14ac:dyDescent="0.25">
      <c r="A270" s="14" t="str">
        <f t="shared" si="43"/>
        <v>LARGE USE SERVICE CLASSIFICATION</v>
      </c>
      <c r="C270" s="60"/>
      <c r="D270" s="61" t="s">
        <v>68</v>
      </c>
      <c r="E270" s="62"/>
      <c r="F270" s="71">
        <v>0</v>
      </c>
      <c r="G270" s="86">
        <f>IF($E249&gt;0, $E249, $E248)</f>
        <v>5000</v>
      </c>
      <c r="H270" s="65">
        <f>G270*F270</f>
        <v>0</v>
      </c>
      <c r="I270" s="72">
        <v>0</v>
      </c>
      <c r="J270" s="87">
        <f>IF($E249&gt;0, $E249, $E248)</f>
        <v>5000</v>
      </c>
      <c r="K270" s="68">
        <f>J270*I270</f>
        <v>0</v>
      </c>
      <c r="L270" s="69">
        <f t="shared" si="40"/>
        <v>0</v>
      </c>
      <c r="M270" s="70" t="str">
        <f>IF(ISERROR(L270/H270), "", L270/H270)</f>
        <v/>
      </c>
    </row>
    <row r="271" spans="1:13" ht="26" x14ac:dyDescent="0.25">
      <c r="A271" s="14" t="str">
        <f t="shared" si="43"/>
        <v>LARGE USE SERVICE CLASSIFICATION</v>
      </c>
      <c r="B271" s="14" t="s">
        <v>69</v>
      </c>
      <c r="C271" s="60">
        <f>B33</f>
        <v>4</v>
      </c>
      <c r="D271" s="90" t="s">
        <v>70</v>
      </c>
      <c r="E271" s="91"/>
      <c r="F271" s="92"/>
      <c r="G271" s="93"/>
      <c r="H271" s="94">
        <f>SUM(H262:H270)</f>
        <v>9645.0600000000013</v>
      </c>
      <c r="I271" s="95"/>
      <c r="J271" s="96"/>
      <c r="K271" s="94">
        <f>SUM(K262:K270)</f>
        <v>12481.560000000001</v>
      </c>
      <c r="L271" s="81">
        <f t="shared" si="40"/>
        <v>2836.5</v>
      </c>
      <c r="M271" s="82">
        <f>IF((H271)=0,"",(L271/H271))</f>
        <v>0.29408837270063637</v>
      </c>
    </row>
    <row r="272" spans="1:13" ht="13" x14ac:dyDescent="0.25">
      <c r="A272" s="14" t="str">
        <f t="shared" si="43"/>
        <v>LARGE USE SERVICE CLASSIFICATION</v>
      </c>
      <c r="C272" s="60"/>
      <c r="D272" s="97" t="s">
        <v>71</v>
      </c>
      <c r="E272" s="62"/>
      <c r="F272" s="71">
        <v>4.3548999999999998</v>
      </c>
      <c r="G272" s="84">
        <f>IF($E249&gt;0, $E249, $E248*$E250)</f>
        <v>5000</v>
      </c>
      <c r="H272" s="65">
        <f>G272*F272</f>
        <v>21774.5</v>
      </c>
      <c r="I272" s="98">
        <v>4.2476000000000003</v>
      </c>
      <c r="J272" s="85">
        <f>IF($E249&gt;0, $E249, $E248*$E251)</f>
        <v>5000</v>
      </c>
      <c r="K272" s="68">
        <f>J272*I272</f>
        <v>21238</v>
      </c>
      <c r="L272" s="69">
        <f t="shared" si="40"/>
        <v>-536.5</v>
      </c>
      <c r="M272" s="70">
        <f>IF(ISERROR(L272/H272), "", L272/H272)</f>
        <v>-2.4638912489379779E-2</v>
      </c>
    </row>
    <row r="273" spans="1:13" ht="25" x14ac:dyDescent="0.25">
      <c r="A273" s="14" t="str">
        <f t="shared" si="43"/>
        <v>LARGE USE SERVICE CLASSIFICATION</v>
      </c>
      <c r="C273" s="60"/>
      <c r="D273" s="99" t="s">
        <v>72</v>
      </c>
      <c r="E273" s="62"/>
      <c r="F273" s="71">
        <v>3.2570000000000001</v>
      </c>
      <c r="G273" s="84">
        <f>IF($E249&gt;0, $E249, $E248*$E250)</f>
        <v>5000</v>
      </c>
      <c r="H273" s="65">
        <f>G273*F273</f>
        <v>16285</v>
      </c>
      <c r="I273" s="98">
        <v>3.1865999999999999</v>
      </c>
      <c r="J273" s="85">
        <f>IF($E249&gt;0, $E249, $E248*$E251)</f>
        <v>5000</v>
      </c>
      <c r="K273" s="68">
        <f>J273*I273</f>
        <v>15933</v>
      </c>
      <c r="L273" s="69">
        <f t="shared" si="40"/>
        <v>-352</v>
      </c>
      <c r="M273" s="70">
        <f>IF(ISERROR(L273/H273), "", L273/H273)</f>
        <v>-2.1614983113294444E-2</v>
      </c>
    </row>
    <row r="274" spans="1:13" ht="26" x14ac:dyDescent="0.25">
      <c r="A274" s="14" t="str">
        <f t="shared" si="43"/>
        <v>LARGE USE SERVICE CLASSIFICATION</v>
      </c>
      <c r="B274" s="14" t="s">
        <v>73</v>
      </c>
      <c r="C274" s="60">
        <f>B33</f>
        <v>4</v>
      </c>
      <c r="D274" s="90" t="s">
        <v>74</v>
      </c>
      <c r="E274" s="75"/>
      <c r="F274" s="92"/>
      <c r="G274" s="93"/>
      <c r="H274" s="94">
        <f>SUM(H271:H273)</f>
        <v>47704.56</v>
      </c>
      <c r="I274" s="95"/>
      <c r="J274" s="80"/>
      <c r="K274" s="94">
        <f>SUM(K271:K273)</f>
        <v>49652.56</v>
      </c>
      <c r="L274" s="81">
        <f t="shared" si="40"/>
        <v>1948</v>
      </c>
      <c r="M274" s="82">
        <f>IF((H274)=0,"",(L274/H274))</f>
        <v>4.0834670731686867E-2</v>
      </c>
    </row>
    <row r="275" spans="1:13" ht="25" x14ac:dyDescent="0.25">
      <c r="A275" s="14" t="str">
        <f t="shared" si="43"/>
        <v>LARGE USE SERVICE CLASSIFICATION</v>
      </c>
      <c r="C275" s="60"/>
      <c r="D275" s="100" t="s">
        <v>75</v>
      </c>
      <c r="E275" s="62"/>
      <c r="F275" s="71">
        <f>IF(AND('[2]1. Information Sheet'!$F$26:$H$26&gt;='[2]18. Regulatory Charges'!$D$14,'[2]1. Information Sheet'!$F$26:$H$26&lt;'[2]18. Regulatory Charges'!$E$14),'[2]18. Regulatory Charges'!$D$15+'[2]18. Regulatory Charges'!$D$16,'[2]18. Regulatory Charges'!$E$15+'[2]18. Regulatory Charges'!$E$16)</f>
        <v>4.5000000000000005E-3</v>
      </c>
      <c r="G275" s="84">
        <f>E248*E250</f>
        <v>3850020</v>
      </c>
      <c r="H275" s="101">
        <f t="shared" ref="H275:H281" si="45">G275*F275</f>
        <v>17325.090000000004</v>
      </c>
      <c r="I275" s="72">
        <f>'[2]18. Regulatory Charges'!$E$15+'[2]18. Regulatory Charges'!$E$16</f>
        <v>4.5000000000000005E-3</v>
      </c>
      <c r="J275" s="85">
        <f>E248*E251</f>
        <v>3850020</v>
      </c>
      <c r="K275" s="68">
        <f t="shared" ref="K275:K281" si="46">J275*I275</f>
        <v>17325.090000000004</v>
      </c>
      <c r="L275" s="69">
        <f t="shared" si="40"/>
        <v>0</v>
      </c>
      <c r="M275" s="70">
        <f t="shared" ref="M275:M283" si="47">IF(ISERROR(L275/H275), "", L275/H275)</f>
        <v>0</v>
      </c>
    </row>
    <row r="276" spans="1:13" ht="25" x14ac:dyDescent="0.25">
      <c r="A276" s="14" t="str">
        <f t="shared" si="43"/>
        <v>LARGE USE SERVICE CLASSIFICATION</v>
      </c>
      <c r="C276" s="60"/>
      <c r="D276" s="100" t="s">
        <v>76</v>
      </c>
      <c r="E276" s="62"/>
      <c r="F276" s="71">
        <f>IF(AND('[2]1. Information Sheet'!$F$26:$H$26&gt;='[2]18. Regulatory Charges'!$D$14,'[2]1. Information Sheet'!$F$26:$H$26&lt;'[2]18. Regulatory Charges'!$D$14),'[2]18. Regulatory Charges'!$D$17,'[2]18. Regulatory Charges'!$E$17)</f>
        <v>6.9999999999999999E-4</v>
      </c>
      <c r="G276" s="84">
        <f>E248*E250</f>
        <v>3850020</v>
      </c>
      <c r="H276" s="101">
        <f t="shared" si="45"/>
        <v>2695.0140000000001</v>
      </c>
      <c r="I276" s="72">
        <f>'[2]18. Regulatory Charges'!$E$17</f>
        <v>6.9999999999999999E-4</v>
      </c>
      <c r="J276" s="85">
        <f>E248*E251</f>
        <v>3850020</v>
      </c>
      <c r="K276" s="68">
        <f t="shared" si="46"/>
        <v>2695.0140000000001</v>
      </c>
      <c r="L276" s="69">
        <f t="shared" si="40"/>
        <v>0</v>
      </c>
      <c r="M276" s="70">
        <f t="shared" si="47"/>
        <v>0</v>
      </c>
    </row>
    <row r="277" spans="1:13" ht="13" x14ac:dyDescent="0.25">
      <c r="A277" s="14" t="str">
        <f t="shared" si="43"/>
        <v>LARGE USE SERVICE CLASSIFICATION</v>
      </c>
      <c r="C277" s="60"/>
      <c r="D277" s="102" t="s">
        <v>77</v>
      </c>
      <c r="E277" s="62"/>
      <c r="F277" s="88">
        <f>IF(AND('[2]1. Information Sheet'!$F$26:$H$26&gt;='[2]18. Regulatory Charges'!$D$14,'[2]1. Information Sheet'!$F$26:$H$26&lt;'[2]18. Regulatory Charges'!$D$14),'[2]18. Regulatory Charges'!$D$18,'[2]18. Regulatory Charges'!$E$18)</f>
        <v>0.25</v>
      </c>
      <c r="G277" s="64">
        <v>1</v>
      </c>
      <c r="H277" s="101">
        <f t="shared" si="45"/>
        <v>0.25</v>
      </c>
      <c r="I277" s="89">
        <f>'[2]18. Regulatory Charges'!$E$18</f>
        <v>0.25</v>
      </c>
      <c r="J277" s="67">
        <v>1</v>
      </c>
      <c r="K277" s="68">
        <f t="shared" si="46"/>
        <v>0.25</v>
      </c>
      <c r="L277" s="69">
        <f t="shared" si="40"/>
        <v>0</v>
      </c>
      <c r="M277" s="70">
        <f t="shared" si="47"/>
        <v>0</v>
      </c>
    </row>
    <row r="278" spans="1:13" ht="25" customHeight="1" x14ac:dyDescent="0.25">
      <c r="A278" s="14" t="str">
        <f t="shared" si="43"/>
        <v>LARGE USE SERVICE CLASSIFICATION</v>
      </c>
      <c r="C278" s="60"/>
      <c r="D278" s="100" t="s">
        <v>78</v>
      </c>
      <c r="E278" s="62"/>
      <c r="F278" s="71"/>
      <c r="G278" s="84"/>
      <c r="H278" s="101"/>
      <c r="I278" s="72"/>
      <c r="J278" s="85"/>
      <c r="K278" s="68"/>
      <c r="L278" s="69"/>
      <c r="M278" s="70"/>
    </row>
    <row r="279" spans="1:13" ht="13" customHeight="1" x14ac:dyDescent="0.25">
      <c r="A279" s="14" t="str">
        <f t="shared" si="43"/>
        <v>LARGE USE SERVICE CLASSIFICATION</v>
      </c>
      <c r="B279" s="14" t="s">
        <v>14</v>
      </c>
      <c r="C279" s="60"/>
      <c r="D279" s="102" t="s">
        <v>79</v>
      </c>
      <c r="E279" s="62"/>
      <c r="F279" s="103">
        <f>OffPeak</f>
        <v>7.3999999999999996E-2</v>
      </c>
      <c r="G279" s="104">
        <f>IF(AND(E248*12&gt;=150000),OffPeakPer*E248*E250,OffPeakPer*E248)</f>
        <v>2425512.6</v>
      </c>
      <c r="H279" s="101">
        <f t="shared" si="45"/>
        <v>179487.93239999999</v>
      </c>
      <c r="I279" s="105">
        <f>OffPeak</f>
        <v>7.3999999999999996E-2</v>
      </c>
      <c r="J279" s="106">
        <f>IF(AND(E248*12&gt;=150000),OffPeakPer*E248*E251,OffPeakPer*E248)</f>
        <v>2425512.6</v>
      </c>
      <c r="K279" s="68">
        <f t="shared" si="46"/>
        <v>179487.93239999999</v>
      </c>
      <c r="L279" s="69">
        <f>K279-H279</f>
        <v>0</v>
      </c>
      <c r="M279" s="70">
        <f t="shared" si="47"/>
        <v>0</v>
      </c>
    </row>
    <row r="280" spans="1:13" ht="13" customHeight="1" x14ac:dyDescent="0.25">
      <c r="A280" s="14" t="str">
        <f t="shared" si="43"/>
        <v>LARGE USE SERVICE CLASSIFICATION</v>
      </c>
      <c r="B280" s="14" t="s">
        <v>14</v>
      </c>
      <c r="C280" s="60"/>
      <c r="D280" s="102" t="s">
        <v>80</v>
      </c>
      <c r="E280" s="62"/>
      <c r="F280" s="103">
        <f>MidPeak</f>
        <v>0.10199999999999999</v>
      </c>
      <c r="G280" s="104">
        <f>IF(AND(E248*12&gt;=150000),MidPeakPer*E248*E250,MidPeakPer*E248)</f>
        <v>693003.6</v>
      </c>
      <c r="H280" s="101">
        <f t="shared" si="45"/>
        <v>70686.367199999993</v>
      </c>
      <c r="I280" s="105">
        <f>MidPeak</f>
        <v>0.10199999999999999</v>
      </c>
      <c r="J280" s="106">
        <f>IF(AND(E248*12&gt;=150000),MidPeakPer*E248*E251,MidPeakPer*E248)</f>
        <v>693003.6</v>
      </c>
      <c r="K280" s="68">
        <f t="shared" si="46"/>
        <v>70686.367199999993</v>
      </c>
      <c r="L280" s="69">
        <f>K280-H280</f>
        <v>0</v>
      </c>
      <c r="M280" s="70">
        <f t="shared" si="47"/>
        <v>0</v>
      </c>
    </row>
    <row r="281" spans="1:13" ht="13" customHeight="1" x14ac:dyDescent="0.25">
      <c r="A281" s="14" t="str">
        <f t="shared" si="43"/>
        <v>LARGE USE SERVICE CLASSIFICATION</v>
      </c>
      <c r="B281" s="14" t="s">
        <v>14</v>
      </c>
      <c r="C281" s="60"/>
      <c r="D281" s="14" t="s">
        <v>81</v>
      </c>
      <c r="E281" s="62"/>
      <c r="F281" s="103">
        <f>OnPeak</f>
        <v>0.151</v>
      </c>
      <c r="G281" s="104">
        <f>IF(AND(E248*12&gt;=150000),OnPeakPer*E248*E250,OnPeakPer*E248)</f>
        <v>731503.79999999993</v>
      </c>
      <c r="H281" s="101">
        <f t="shared" si="45"/>
        <v>110457.07379999998</v>
      </c>
      <c r="I281" s="105">
        <f>OnPeak</f>
        <v>0.151</v>
      </c>
      <c r="J281" s="106">
        <f>IF(AND(E248*12&gt;=150000),OnPeakPer*E248*E251,OnPeakPer*E248)</f>
        <v>731503.79999999993</v>
      </c>
      <c r="K281" s="68">
        <f t="shared" si="46"/>
        <v>110457.07379999998</v>
      </c>
      <c r="L281" s="69">
        <f>K281-H281</f>
        <v>0</v>
      </c>
      <c r="M281" s="70">
        <f t="shared" si="47"/>
        <v>0</v>
      </c>
    </row>
    <row r="282" spans="1:13" ht="13" customHeight="1" x14ac:dyDescent="0.25">
      <c r="A282" s="14" t="str">
        <f t="shared" si="43"/>
        <v>LARGE USE SERVICE CLASSIFICATION</v>
      </c>
      <c r="B282" s="14" t="s">
        <v>24</v>
      </c>
      <c r="C282" s="60"/>
      <c r="D282" s="102" t="s">
        <v>82</v>
      </c>
      <c r="E282" s="62"/>
      <c r="F282" s="107">
        <v>0.1076</v>
      </c>
      <c r="G282" s="104">
        <f>IF(AND(E248*12&gt;=150000),E248*E250,E248)</f>
        <v>3850020</v>
      </c>
      <c r="H282" s="101">
        <f>G282*F282</f>
        <v>414262.152</v>
      </c>
      <c r="I282" s="108">
        <f>F282</f>
        <v>0.1076</v>
      </c>
      <c r="J282" s="106">
        <f>IF(AND(E248*12&gt;=150000),E248*E251,E248)</f>
        <v>3850020</v>
      </c>
      <c r="K282" s="68">
        <f>J282*I282</f>
        <v>414262.152</v>
      </c>
      <c r="L282" s="69">
        <f>K282-H282</f>
        <v>0</v>
      </c>
      <c r="M282" s="70">
        <f t="shared" si="47"/>
        <v>0</v>
      </c>
    </row>
    <row r="283" spans="1:13" ht="13.5" thickBot="1" x14ac:dyDescent="0.3">
      <c r="A283" s="14" t="str">
        <f t="shared" si="43"/>
        <v>LARGE USE SERVICE CLASSIFICATION</v>
      </c>
      <c r="B283" s="14" t="s">
        <v>18</v>
      </c>
      <c r="C283" s="60"/>
      <c r="D283" s="102" t="s">
        <v>83</v>
      </c>
      <c r="E283" s="62"/>
      <c r="F283" s="107">
        <v>0.1076</v>
      </c>
      <c r="G283" s="104">
        <f>IF(AND(E248*12&gt;=150000),E248*E250,E248)</f>
        <v>3850020</v>
      </c>
      <c r="H283" s="101">
        <f>G283*F283</f>
        <v>414262.152</v>
      </c>
      <c r="I283" s="108">
        <f>F283</f>
        <v>0.1076</v>
      </c>
      <c r="J283" s="106">
        <f>IF(AND(E248*12&gt;=150000),E248*E251,E248)</f>
        <v>3850020</v>
      </c>
      <c r="K283" s="68">
        <f>J283*I283</f>
        <v>414262.152</v>
      </c>
      <c r="L283" s="69">
        <f>K283-H283</f>
        <v>0</v>
      </c>
      <c r="M283" s="70">
        <f t="shared" si="47"/>
        <v>0</v>
      </c>
    </row>
    <row r="284" spans="1:13" ht="13" thickBot="1" x14ac:dyDescent="0.3">
      <c r="A284" s="14" t="str">
        <f t="shared" si="43"/>
        <v>LARGE USE SERVICE CLASSIFICATION</v>
      </c>
      <c r="C284" s="60"/>
      <c r="D284" s="109"/>
      <c r="E284" s="110"/>
      <c r="F284" s="111"/>
      <c r="G284" s="112"/>
      <c r="H284" s="113"/>
      <c r="I284" s="111"/>
      <c r="J284" s="114"/>
      <c r="K284" s="113"/>
      <c r="L284" s="115"/>
      <c r="M284" s="116"/>
    </row>
    <row r="285" spans="1:13" ht="13" customHeight="1" x14ac:dyDescent="0.25">
      <c r="A285" s="14" t="str">
        <f t="shared" si="43"/>
        <v>LARGE USE SERVICE CLASSIFICATION</v>
      </c>
      <c r="B285" s="14" t="s">
        <v>14</v>
      </c>
      <c r="C285" s="60"/>
      <c r="D285" s="117" t="s">
        <v>84</v>
      </c>
      <c r="E285" s="102"/>
      <c r="F285" s="118"/>
      <c r="G285" s="119"/>
      <c r="H285" s="120">
        <f>SUM(H275:H281,H274)</f>
        <v>428356.28739999997</v>
      </c>
      <c r="I285" s="121"/>
      <c r="J285" s="121"/>
      <c r="K285" s="120">
        <f>SUM(K275:K281,K274)</f>
        <v>430304.28739999997</v>
      </c>
      <c r="L285" s="122">
        <f>K285-H285</f>
        <v>1948</v>
      </c>
      <c r="M285" s="123">
        <f>IF((H285)=0,"",(L285/H285))</f>
        <v>4.547616218787875E-3</v>
      </c>
    </row>
    <row r="286" spans="1:13" ht="12.65" customHeight="1" x14ac:dyDescent="0.25">
      <c r="A286" s="14" t="str">
        <f t="shared" si="43"/>
        <v>LARGE USE SERVICE CLASSIFICATION</v>
      </c>
      <c r="B286" s="14" t="s">
        <v>14</v>
      </c>
      <c r="C286" s="60"/>
      <c r="D286" s="124" t="s">
        <v>85</v>
      </c>
      <c r="E286" s="102"/>
      <c r="F286" s="118">
        <v>0.13</v>
      </c>
      <c r="G286" s="125"/>
      <c r="H286" s="126">
        <f>H285*F286</f>
        <v>55686.317362000002</v>
      </c>
      <c r="I286" s="127">
        <v>0.13</v>
      </c>
      <c r="J286" s="64"/>
      <c r="K286" s="126">
        <f>K285*I286</f>
        <v>55939.557362</v>
      </c>
      <c r="L286" s="69">
        <f>K286-H286</f>
        <v>253.23999999999796</v>
      </c>
      <c r="M286" s="128">
        <f>IF((H286)=0,"",(L286/H286))</f>
        <v>4.5476162187878377E-3</v>
      </c>
    </row>
    <row r="287" spans="1:13" ht="14.5" customHeight="1" x14ac:dyDescent="0.35">
      <c r="A287" s="14" t="str">
        <f t="shared" si="43"/>
        <v>LARGE USE SERVICE CLASSIFICATION</v>
      </c>
      <c r="B287" s="14" t="s">
        <v>14</v>
      </c>
      <c r="C287" s="60"/>
      <c r="D287" s="124" t="s">
        <v>86</v>
      </c>
      <c r="E287"/>
      <c r="F287" s="129">
        <v>0.11700000000000001</v>
      </c>
      <c r="G287" s="125"/>
      <c r="H287" s="126">
        <f>IF(OR(ISNUMBER(SEARCH("[DGEN]", E246))=TRUE, ISNUMBER(SEARCH("STREET LIGHT", E246))=TRUE), 0, IF(AND(E248=0, E249=0),0, IF(AND(E249=0, E248*12&gt;250000), 0, IF(AND(E248=0, E249&gt;=50), 0, IF(E248*12&lt;=250000, F287*H285*-1, IF(E249&lt;50, F287*H285*-1, 0))))))</f>
        <v>0</v>
      </c>
      <c r="I287" s="129">
        <v>0.11700000000000001</v>
      </c>
      <c r="J287" s="64"/>
      <c r="K287" s="126">
        <f>IF(OR(ISNUMBER(SEARCH("[DGEN]", E246))=TRUE, ISNUMBER(SEARCH("STREET LIGHT", E246))=TRUE), 0, IF(AND(E248=0, E249=0),0, IF(AND(E249=0, E248*12&gt;250000), 0, IF(AND(E248=0, E249&gt;=50), 0, IF(E248*12&lt;=250000, I287*K285*-1, IF(E249&lt;50, I287*K285*-1, 0))))))</f>
        <v>0</v>
      </c>
      <c r="L287" s="69">
        <f>K287-H287</f>
        <v>0</v>
      </c>
      <c r="M287" s="128"/>
    </row>
    <row r="288" spans="1:13" ht="13" customHeight="1" thickBot="1" x14ac:dyDescent="0.3">
      <c r="A288" s="14" t="str">
        <f t="shared" si="43"/>
        <v>LARGE USE SERVICE CLASSIFICATION</v>
      </c>
      <c r="B288" s="14" t="s">
        <v>87</v>
      </c>
      <c r="C288" s="60"/>
      <c r="D288" s="195" t="s">
        <v>88</v>
      </c>
      <c r="E288" s="195"/>
      <c r="F288" s="130"/>
      <c r="G288" s="131"/>
      <c r="H288" s="132">
        <f>H285+H286+H287</f>
        <v>484042.60476199997</v>
      </c>
      <c r="I288" s="133"/>
      <c r="J288" s="133"/>
      <c r="K288" s="134">
        <f>K285+K286+K287</f>
        <v>486243.84476199996</v>
      </c>
      <c r="L288" s="135">
        <f>K288-H288</f>
        <v>2201.2399999999907</v>
      </c>
      <c r="M288" s="136">
        <f>IF((H288)=0,"",(L288/H288))</f>
        <v>4.547616218787855E-3</v>
      </c>
    </row>
    <row r="289" spans="1:15" ht="13" customHeight="1" thickBot="1" x14ac:dyDescent="0.3">
      <c r="A289" s="14" t="str">
        <f t="shared" si="43"/>
        <v>LARGE USE SERVICE CLASSIFICATION</v>
      </c>
      <c r="B289" s="14" t="s">
        <v>14</v>
      </c>
      <c r="C289" s="60"/>
      <c r="D289" s="109"/>
      <c r="E289" s="110"/>
      <c r="F289" s="111"/>
      <c r="G289" s="112"/>
      <c r="H289" s="113"/>
      <c r="I289" s="111"/>
      <c r="J289" s="114"/>
      <c r="K289" s="113"/>
      <c r="L289" s="115"/>
      <c r="M289" s="116"/>
    </row>
    <row r="290" spans="1:15" ht="13" customHeight="1" x14ac:dyDescent="0.25">
      <c r="A290" s="14" t="str">
        <f t="shared" si="43"/>
        <v>LARGE USE SERVICE CLASSIFICATION</v>
      </c>
      <c r="B290" s="14" t="s">
        <v>24</v>
      </c>
      <c r="C290" s="60"/>
      <c r="D290" s="117" t="s">
        <v>89</v>
      </c>
      <c r="E290" s="102"/>
      <c r="F290" s="118"/>
      <c r="G290" s="119"/>
      <c r="H290" s="120">
        <f>SUM(H282,H275:H278,H274)</f>
        <v>481987.06600000005</v>
      </c>
      <c r="I290" s="121"/>
      <c r="J290" s="121"/>
      <c r="K290" s="120">
        <f>SUM(K282,K275:K278,K274)</f>
        <v>483935.06600000005</v>
      </c>
      <c r="L290" s="122">
        <f>K290-H290</f>
        <v>1948</v>
      </c>
      <c r="M290" s="123">
        <f>IF((H290)=0,"",(L290/H290))</f>
        <v>4.0416022283884271E-3</v>
      </c>
    </row>
    <row r="291" spans="1:15" ht="12.65" customHeight="1" x14ac:dyDescent="0.25">
      <c r="A291" s="14" t="str">
        <f t="shared" si="43"/>
        <v>LARGE USE SERVICE CLASSIFICATION</v>
      </c>
      <c r="B291" s="14" t="s">
        <v>24</v>
      </c>
      <c r="C291" s="60"/>
      <c r="D291" s="124" t="s">
        <v>85</v>
      </c>
      <c r="E291" s="102"/>
      <c r="F291" s="118">
        <v>0.13</v>
      </c>
      <c r="G291" s="119"/>
      <c r="H291" s="126">
        <f>H290*F291</f>
        <v>62658.318580000006</v>
      </c>
      <c r="I291" s="118">
        <v>0.13</v>
      </c>
      <c r="J291" s="127"/>
      <c r="K291" s="126">
        <f>K290*I291</f>
        <v>62911.558580000012</v>
      </c>
      <c r="L291" s="69">
        <f>K291-H291</f>
        <v>253.24000000000524</v>
      </c>
      <c r="M291" s="128">
        <f>IF((H291)=0,"",(L291/H291))</f>
        <v>4.0416022283885104E-3</v>
      </c>
    </row>
    <row r="292" spans="1:15" ht="14.5" customHeight="1" x14ac:dyDescent="0.35">
      <c r="A292" s="14" t="str">
        <f t="shared" si="43"/>
        <v>LARGE USE SERVICE CLASSIFICATION</v>
      </c>
      <c r="B292" s="14" t="s">
        <v>24</v>
      </c>
      <c r="C292" s="60"/>
      <c r="D292" s="124" t="s">
        <v>86</v>
      </c>
      <c r="E292"/>
      <c r="F292" s="129">
        <v>0.11700000000000001</v>
      </c>
      <c r="G292" s="119"/>
      <c r="H292" s="126">
        <f>IF(OR(ISNUMBER(SEARCH("[DGEN]", E246))=TRUE, ISNUMBER(SEARCH("STREET LIGHT", E246))=TRUE), 0, IF(AND(E248=0, E249=0),0, IF(AND(E249=0, E248*12&gt;250000), 0, IF(AND(E248=0, E249&gt;=50), 0, IF(E248*12&lt;=250000, F292*H290*-1, IF(E249&lt;50, F292*H290*-1, 0))))))</f>
        <v>0</v>
      </c>
      <c r="I292" s="129">
        <v>0.11700000000000001</v>
      </c>
      <c r="J292" s="127"/>
      <c r="K292" s="126">
        <f>IF(OR(ISNUMBER(SEARCH("[DGEN]", E246))=TRUE, ISNUMBER(SEARCH("STREET LIGHT", E246))=TRUE), 0, IF(AND(E248=0, E249=0),0, IF(AND(E249=0, E248*12&gt;250000), 0, IF(AND(E248=0, E249&gt;=50), 0, IF(E248*12&lt;=250000, I292*K290*-1, IF(E249&lt;50, I292*K290*-1, 0))))))</f>
        <v>0</v>
      </c>
      <c r="L292" s="69"/>
      <c r="M292" s="128"/>
    </row>
    <row r="293" spans="1:15" ht="13" customHeight="1" thickBot="1" x14ac:dyDescent="0.3">
      <c r="A293" s="14" t="str">
        <f t="shared" si="43"/>
        <v>LARGE USE SERVICE CLASSIFICATION</v>
      </c>
      <c r="B293" s="14" t="s">
        <v>90</v>
      </c>
      <c r="C293" s="60"/>
      <c r="D293" s="195" t="s">
        <v>89</v>
      </c>
      <c r="E293" s="195"/>
      <c r="F293" s="137"/>
      <c r="G293" s="138"/>
      <c r="H293" s="132">
        <f>SUM(H290,H291)</f>
        <v>544645.38458000007</v>
      </c>
      <c r="I293" s="139"/>
      <c r="J293" s="139"/>
      <c r="K293" s="132">
        <f>SUM(K290,K291)</f>
        <v>546846.62458000006</v>
      </c>
      <c r="L293" s="140">
        <f>K293-H293</f>
        <v>2201.2399999999907</v>
      </c>
      <c r="M293" s="141">
        <f>IF((H293)=0,"",(L293/H293))</f>
        <v>4.0416022283884098E-3</v>
      </c>
    </row>
    <row r="294" spans="1:15" ht="13" customHeight="1" thickBot="1" x14ac:dyDescent="0.3">
      <c r="A294" s="14" t="str">
        <f t="shared" si="43"/>
        <v>LARGE USE SERVICE CLASSIFICATION</v>
      </c>
      <c r="B294" s="14" t="s">
        <v>24</v>
      </c>
      <c r="C294" s="60"/>
      <c r="D294" s="109"/>
      <c r="E294" s="110"/>
      <c r="F294" s="142"/>
      <c r="G294" s="143"/>
      <c r="H294" s="144"/>
      <c r="I294" s="142"/>
      <c r="J294" s="112"/>
      <c r="K294" s="144"/>
      <c r="L294" s="145"/>
      <c r="M294" s="116"/>
    </row>
    <row r="295" spans="1:15" ht="13" x14ac:dyDescent="0.25">
      <c r="A295" s="14" t="str">
        <f t="shared" si="43"/>
        <v>LARGE USE SERVICE CLASSIFICATION</v>
      </c>
      <c r="B295" s="14" t="s">
        <v>18</v>
      </c>
      <c r="C295" s="60"/>
      <c r="D295" s="117" t="s">
        <v>91</v>
      </c>
      <c r="E295" s="102"/>
      <c r="F295" s="118"/>
      <c r="G295" s="119"/>
      <c r="H295" s="120">
        <f>SUM(H283,H275:H278,H274)</f>
        <v>481987.06600000005</v>
      </c>
      <c r="I295" s="121"/>
      <c r="J295" s="121"/>
      <c r="K295" s="120">
        <f>SUM(K283,K275:K278,K274)</f>
        <v>483935.06600000005</v>
      </c>
      <c r="L295" s="122">
        <f>K295-H295</f>
        <v>1948</v>
      </c>
      <c r="M295" s="123">
        <f>IF((H295)=0,"",(L295/H295))</f>
        <v>4.0416022283884271E-3</v>
      </c>
    </row>
    <row r="296" spans="1:15" x14ac:dyDescent="0.25">
      <c r="A296" s="14" t="str">
        <f t="shared" si="43"/>
        <v>LARGE USE SERVICE CLASSIFICATION</v>
      </c>
      <c r="B296" s="14" t="s">
        <v>18</v>
      </c>
      <c r="C296" s="60"/>
      <c r="D296" s="124" t="s">
        <v>85</v>
      </c>
      <c r="E296" s="102"/>
      <c r="F296" s="118">
        <v>0.13</v>
      </c>
      <c r="G296" s="119"/>
      <c r="H296" s="126">
        <f>H295*F296</f>
        <v>62658.318580000006</v>
      </c>
      <c r="I296" s="118">
        <v>0.13</v>
      </c>
      <c r="J296" s="127"/>
      <c r="K296" s="126">
        <f>K295*I296</f>
        <v>62911.558580000012</v>
      </c>
      <c r="L296" s="69">
        <f>K296-H296</f>
        <v>253.24000000000524</v>
      </c>
      <c r="M296" s="128">
        <f>IF((H296)=0,"",(L296/H296))</f>
        <v>4.0416022283885104E-3</v>
      </c>
    </row>
    <row r="297" spans="1:15" ht="14.5" x14ac:dyDescent="0.35">
      <c r="A297" s="14" t="str">
        <f t="shared" si="43"/>
        <v>LARGE USE SERVICE CLASSIFICATION</v>
      </c>
      <c r="B297" s="14" t="s">
        <v>18</v>
      </c>
      <c r="C297" s="60"/>
      <c r="D297" s="124" t="s">
        <v>86</v>
      </c>
      <c r="E297"/>
      <c r="F297" s="129">
        <v>0.11700000000000001</v>
      </c>
      <c r="G297" s="119"/>
      <c r="H297" s="126">
        <f>IF(OR(ISNUMBER(SEARCH("[DGEN]", E246))=TRUE, ISNUMBER(SEARCH("STREET LIGHT", E246))=TRUE), 0, IF(AND(E248=0, E249=0),0, IF(AND(E249=0, E248*12&gt;250000), 0, IF(AND(E248=0, E249&gt;=50), 0, IF(E248*12&lt;=250000, F297*H295*-1, IF(E249&lt;50, F297*H295*-1, 0))))))</f>
        <v>0</v>
      </c>
      <c r="I297" s="129">
        <v>0.11700000000000001</v>
      </c>
      <c r="J297" s="127"/>
      <c r="K297" s="126">
        <f>IF(OR(ISNUMBER(SEARCH("[DGEN]", E246))=TRUE, ISNUMBER(SEARCH("STREET LIGHT", E246))=TRUE), 0, IF(AND(E248=0, E249=0),0, IF(AND(E249=0, E248*12&gt;250000), 0, IF(AND(E248=0, E249&gt;=50), 0, IF(E248*12&lt;=250000, I297*K295*-1, IF(E249&lt;50, I297*K295*-1, 0))))))</f>
        <v>0</v>
      </c>
      <c r="L297" s="69"/>
      <c r="M297" s="128"/>
    </row>
    <row r="298" spans="1:15" ht="13.5" thickBot="1" x14ac:dyDescent="0.3">
      <c r="A298" s="14" t="str">
        <f t="shared" si="43"/>
        <v>LARGE USE SERVICE CLASSIFICATION</v>
      </c>
      <c r="B298" s="14" t="s">
        <v>92</v>
      </c>
      <c r="C298" s="60">
        <f>B33</f>
        <v>4</v>
      </c>
      <c r="D298" s="195" t="s">
        <v>91</v>
      </c>
      <c r="E298" s="195"/>
      <c r="F298" s="137"/>
      <c r="G298" s="138"/>
      <c r="H298" s="132">
        <f>SUM(H295,H296)</f>
        <v>544645.38458000007</v>
      </c>
      <c r="I298" s="139"/>
      <c r="J298" s="139"/>
      <c r="K298" s="132">
        <f>SUM(K295,K296)</f>
        <v>546846.62458000006</v>
      </c>
      <c r="L298" s="140">
        <f>K298-H298</f>
        <v>2201.2399999999907</v>
      </c>
      <c r="M298" s="141">
        <f>IF((H298)=0,"",(L298/H298))</f>
        <v>4.0416022283884098E-3</v>
      </c>
    </row>
    <row r="299" spans="1:15" ht="13" thickBot="1" x14ac:dyDescent="0.3">
      <c r="A299" s="14" t="str">
        <f t="shared" si="43"/>
        <v>LARGE USE SERVICE CLASSIFICATION</v>
      </c>
      <c r="B299" s="14" t="s">
        <v>18</v>
      </c>
      <c r="C299" s="60"/>
      <c r="D299" s="109"/>
      <c r="E299" s="110"/>
      <c r="F299" s="146"/>
      <c r="G299" s="143"/>
      <c r="H299" s="147"/>
      <c r="I299" s="146"/>
      <c r="J299" s="112"/>
      <c r="K299" s="147"/>
      <c r="L299" s="145"/>
      <c r="M299" s="148"/>
    </row>
    <row r="302" spans="1:15" ht="13" x14ac:dyDescent="0.25">
      <c r="C302" s="14"/>
      <c r="D302" s="46" t="s">
        <v>38</v>
      </c>
      <c r="E302" s="192" t="str">
        <f>D34</f>
        <v>UNMETERED SCATTERED LOAD SERVICE CLASSIFICATION</v>
      </c>
      <c r="F302" s="192"/>
      <c r="G302" s="192"/>
      <c r="H302" s="192"/>
      <c r="I302" s="192"/>
      <c r="J302" s="192"/>
      <c r="K302" s="14" t="str">
        <f>IF(N34="DEMAND - INTERVAL","RTSR - INTERVAL METERED","")</f>
        <v/>
      </c>
      <c r="O302" s="14" t="s">
        <v>26</v>
      </c>
    </row>
    <row r="303" spans="1:15" ht="13" x14ac:dyDescent="0.25">
      <c r="C303" s="14"/>
      <c r="D303" s="46" t="s">
        <v>39</v>
      </c>
      <c r="E303" s="193" t="str">
        <f>H34</f>
        <v>RPP</v>
      </c>
      <c r="F303" s="193"/>
      <c r="G303" s="193"/>
      <c r="H303" s="47"/>
      <c r="I303" s="47"/>
    </row>
    <row r="304" spans="1:15" ht="15.5" x14ac:dyDescent="0.3">
      <c r="C304" s="14"/>
      <c r="D304" s="46" t="s">
        <v>40</v>
      </c>
      <c r="E304" s="48">
        <f>K34</f>
        <v>35000</v>
      </c>
      <c r="F304" s="49" t="s">
        <v>36</v>
      </c>
      <c r="J304" s="50"/>
      <c r="K304" s="50"/>
      <c r="L304" s="50"/>
      <c r="M304" s="50"/>
    </row>
    <row r="305" spans="1:13" ht="15.5" x14ac:dyDescent="0.35">
      <c r="C305" s="14"/>
      <c r="D305" s="46" t="s">
        <v>41</v>
      </c>
      <c r="E305" s="48">
        <f>L34</f>
        <v>0</v>
      </c>
      <c r="F305" s="51" t="s">
        <v>37</v>
      </c>
      <c r="G305" s="52"/>
      <c r="H305" s="53"/>
      <c r="I305" s="53"/>
      <c r="J305" s="53"/>
    </row>
    <row r="306" spans="1:13" ht="13" x14ac:dyDescent="0.3">
      <c r="C306" s="14"/>
      <c r="D306" s="46" t="s">
        <v>42</v>
      </c>
      <c r="E306" s="54">
        <f>I34</f>
        <v>1.0548</v>
      </c>
    </row>
    <row r="307" spans="1:13" ht="13" x14ac:dyDescent="0.3">
      <c r="C307" s="14"/>
      <c r="D307" s="46" t="s">
        <v>43</v>
      </c>
      <c r="E307" s="54">
        <f>J34</f>
        <v>1.0548</v>
      </c>
    </row>
    <row r="308" spans="1:13" x14ac:dyDescent="0.25">
      <c r="C308" s="14"/>
    </row>
    <row r="309" spans="1:13" ht="13" x14ac:dyDescent="0.3">
      <c r="C309" s="14"/>
      <c r="E309" s="49"/>
      <c r="F309" s="184" t="s">
        <v>44</v>
      </c>
      <c r="G309" s="194"/>
      <c r="H309" s="185"/>
      <c r="I309" s="184" t="s">
        <v>45</v>
      </c>
      <c r="J309" s="194"/>
      <c r="K309" s="185"/>
      <c r="L309" s="184" t="s">
        <v>46</v>
      </c>
      <c r="M309" s="185"/>
    </row>
    <row r="310" spans="1:13" ht="13" x14ac:dyDescent="0.3">
      <c r="C310" s="14"/>
      <c r="E310" s="186"/>
      <c r="F310" s="55" t="s">
        <v>47</v>
      </c>
      <c r="G310" s="55" t="s">
        <v>48</v>
      </c>
      <c r="H310" s="56" t="s">
        <v>49</v>
      </c>
      <c r="I310" s="55" t="s">
        <v>47</v>
      </c>
      <c r="J310" s="57" t="s">
        <v>48</v>
      </c>
      <c r="K310" s="56" t="s">
        <v>49</v>
      </c>
      <c r="L310" s="188" t="s">
        <v>50</v>
      </c>
      <c r="M310" s="190" t="s">
        <v>51</v>
      </c>
    </row>
    <row r="311" spans="1:13" ht="13" x14ac:dyDescent="0.3">
      <c r="C311" s="14"/>
      <c r="E311" s="187"/>
      <c r="F311" s="58" t="s">
        <v>52</v>
      </c>
      <c r="G311" s="58"/>
      <c r="H311" s="59" t="s">
        <v>52</v>
      </c>
      <c r="I311" s="58" t="s">
        <v>52</v>
      </c>
      <c r="J311" s="59"/>
      <c r="K311" s="59" t="s">
        <v>52</v>
      </c>
      <c r="L311" s="189"/>
      <c r="M311" s="191"/>
    </row>
    <row r="312" spans="1:13" ht="13" x14ac:dyDescent="0.25">
      <c r="A312" s="14" t="str">
        <f>$E302</f>
        <v>UNMETERED SCATTERED LOAD SERVICE CLASSIFICATION</v>
      </c>
      <c r="C312" s="60"/>
      <c r="D312" s="61" t="s">
        <v>53</v>
      </c>
      <c r="E312" s="62"/>
      <c r="F312" s="63">
        <v>2.13</v>
      </c>
      <c r="G312" s="64">
        <v>11</v>
      </c>
      <c r="H312" s="65">
        <f>G312*F312</f>
        <v>23.43</v>
      </c>
      <c r="I312" s="66">
        <v>2.13</v>
      </c>
      <c r="J312" s="67">
        <v>11</v>
      </c>
      <c r="K312" s="68">
        <f>J312*I312</f>
        <v>23.43</v>
      </c>
      <c r="L312" s="69">
        <f t="shared" ref="L312:L333" si="48">K312-H312</f>
        <v>0</v>
      </c>
      <c r="M312" s="70">
        <f>IF(ISERROR(L312/H312), "", L312/H312)</f>
        <v>0</v>
      </c>
    </row>
    <row r="313" spans="1:13" ht="13" x14ac:dyDescent="0.25">
      <c r="A313" s="14" t="str">
        <f>A312</f>
        <v>UNMETERED SCATTERED LOAD SERVICE CLASSIFICATION</v>
      </c>
      <c r="C313" s="60"/>
      <c r="D313" s="61" t="s">
        <v>54</v>
      </c>
      <c r="E313" s="62"/>
      <c r="F313" s="71">
        <v>2.81E-2</v>
      </c>
      <c r="G313" s="64">
        <f>IF($E305&gt;0, $E305, $E304)</f>
        <v>35000</v>
      </c>
      <c r="H313" s="65">
        <f t="shared" ref="H313:H325" si="49">G313*F313</f>
        <v>983.5</v>
      </c>
      <c r="I313" s="72">
        <v>2.81E-2</v>
      </c>
      <c r="J313" s="67">
        <f>IF($E305&gt;0, $E305, $E304)</f>
        <v>35000</v>
      </c>
      <c r="K313" s="68">
        <f>J313*I313</f>
        <v>983.5</v>
      </c>
      <c r="L313" s="69">
        <f t="shared" si="48"/>
        <v>0</v>
      </c>
      <c r="M313" s="70">
        <f t="shared" ref="M313:M323" si="50">IF(ISERROR(L313/H313), "", L313/H313)</f>
        <v>0</v>
      </c>
    </row>
    <row r="314" spans="1:13" ht="13" customHeight="1" x14ac:dyDescent="0.25">
      <c r="A314" s="14" t="str">
        <f t="shared" ref="A314:A355" si="51">A313</f>
        <v>UNMETERED SCATTERED LOAD SERVICE CLASSIFICATION</v>
      </c>
      <c r="C314" s="60"/>
      <c r="D314" s="61" t="s">
        <v>55</v>
      </c>
      <c r="E314" s="62"/>
      <c r="F314" s="71"/>
      <c r="G314" s="64">
        <f>IF($E305&gt;0, $E305, $E304)</f>
        <v>35000</v>
      </c>
      <c r="H314" s="65">
        <v>0</v>
      </c>
      <c r="I314" s="72"/>
      <c r="J314" s="67">
        <f>IF($E305&gt;0, $E305, $E304)</f>
        <v>35000</v>
      </c>
      <c r="K314" s="68">
        <v>0</v>
      </c>
      <c r="L314" s="69"/>
      <c r="M314" s="70"/>
    </row>
    <row r="315" spans="1:13" ht="13" customHeight="1" x14ac:dyDescent="0.25">
      <c r="A315" s="14" t="str">
        <f t="shared" si="51"/>
        <v>UNMETERED SCATTERED LOAD SERVICE CLASSIFICATION</v>
      </c>
      <c r="C315" s="60"/>
      <c r="D315" s="61" t="s">
        <v>56</v>
      </c>
      <c r="E315" s="62"/>
      <c r="F315" s="71"/>
      <c r="G315" s="64">
        <f>IF($E305&gt;0, $E305, $E304)</f>
        <v>35000</v>
      </c>
      <c r="H315" s="65">
        <v>0</v>
      </c>
      <c r="I315" s="72"/>
      <c r="J315" s="73">
        <f>IF($E305&gt;0, $E305, $E304)</f>
        <v>35000</v>
      </c>
      <c r="K315" s="68">
        <v>0</v>
      </c>
      <c r="L315" s="69">
        <f>K315-H315</f>
        <v>0</v>
      </c>
      <c r="M315" s="70" t="str">
        <f>IF(ISERROR(L315/H315), "", L315/H315)</f>
        <v/>
      </c>
    </row>
    <row r="316" spans="1:13" ht="13" x14ac:dyDescent="0.25">
      <c r="A316" s="14" t="str">
        <f t="shared" si="51"/>
        <v>UNMETERED SCATTERED LOAD SERVICE CLASSIFICATION</v>
      </c>
      <c r="C316" s="60"/>
      <c r="D316" s="61" t="s">
        <v>57</v>
      </c>
      <c r="E316" s="62"/>
      <c r="F316" s="63">
        <v>0</v>
      </c>
      <c r="G316" s="64">
        <v>11</v>
      </c>
      <c r="H316" s="65">
        <f t="shared" si="49"/>
        <v>0</v>
      </c>
      <c r="I316" s="66">
        <v>0</v>
      </c>
      <c r="J316" s="67">
        <v>11</v>
      </c>
      <c r="K316" s="68">
        <f t="shared" ref="K316:K323" si="52">J316*I316</f>
        <v>0</v>
      </c>
      <c r="L316" s="69">
        <f t="shared" si="48"/>
        <v>0</v>
      </c>
      <c r="M316" s="70" t="str">
        <f t="shared" si="50"/>
        <v/>
      </c>
    </row>
    <row r="317" spans="1:13" ht="13" x14ac:dyDescent="0.25">
      <c r="A317" s="14" t="str">
        <f t="shared" si="51"/>
        <v>UNMETERED SCATTERED LOAD SERVICE CLASSIFICATION</v>
      </c>
      <c r="C317" s="60"/>
      <c r="D317" s="61" t="s">
        <v>58</v>
      </c>
      <c r="E317" s="62"/>
      <c r="F317" s="71">
        <v>-1.1000000000000001E-3</v>
      </c>
      <c r="G317" s="64">
        <f>IF($E305&gt;0, $E305, $E304)</f>
        <v>35000</v>
      </c>
      <c r="H317" s="65">
        <f t="shared" si="49"/>
        <v>-38.5</v>
      </c>
      <c r="I317" s="72">
        <v>0</v>
      </c>
      <c r="J317" s="67">
        <f>IF($E305&gt;0, $E305, $E304)</f>
        <v>35000</v>
      </c>
      <c r="K317" s="68">
        <f t="shared" si="52"/>
        <v>0</v>
      </c>
      <c r="L317" s="69">
        <f t="shared" si="48"/>
        <v>38.5</v>
      </c>
      <c r="M317" s="70">
        <f t="shared" si="50"/>
        <v>-1</v>
      </c>
    </row>
    <row r="318" spans="1:13" ht="13" x14ac:dyDescent="0.25">
      <c r="A318" s="14" t="str">
        <f t="shared" si="51"/>
        <v>UNMETERED SCATTERED LOAD SERVICE CLASSIFICATION</v>
      </c>
      <c r="B318" s="14" t="s">
        <v>59</v>
      </c>
      <c r="C318" s="60">
        <f>B34</f>
        <v>5</v>
      </c>
      <c r="D318" s="74" t="s">
        <v>60</v>
      </c>
      <c r="E318" s="75"/>
      <c r="F318" s="76"/>
      <c r="G318" s="77"/>
      <c r="H318" s="78">
        <f>SUM(H312:H317)</f>
        <v>968.43</v>
      </c>
      <c r="I318" s="79"/>
      <c r="J318" s="80"/>
      <c r="K318" s="78">
        <f>SUM(K312:K317)</f>
        <v>1006.93</v>
      </c>
      <c r="L318" s="81">
        <f t="shared" si="48"/>
        <v>38.5</v>
      </c>
      <c r="M318" s="82">
        <f>IF((H318)=0,"",(L318/H318))</f>
        <v>3.9755067480354803E-2</v>
      </c>
    </row>
    <row r="319" spans="1:13" ht="13" x14ac:dyDescent="0.25">
      <c r="A319" s="14" t="str">
        <f t="shared" si="51"/>
        <v>UNMETERED SCATTERED LOAD SERVICE CLASSIFICATION</v>
      </c>
      <c r="C319" s="60"/>
      <c r="D319" s="83" t="s">
        <v>61</v>
      </c>
      <c r="E319" s="62"/>
      <c r="F319" s="71">
        <f>IF((E304*12&gt;=150000), 0, IF(E303="RPP",(F335*OffPeakPer+F336*MidPeakPer+F337*OnPeakPer),IF(E303="Non-RPP (Retailer)",F338,F339)))</f>
        <v>0</v>
      </c>
      <c r="G319" s="84">
        <f>IF(F319=0, 0, $E304*E306-E304)</f>
        <v>0</v>
      </c>
      <c r="H319" s="65">
        <f>G319*F319</f>
        <v>0</v>
      </c>
      <c r="I319" s="72">
        <f>IF((E304*12&gt;=150000), 0, IF(E303="RPP",(I335*OffPeakPer+I336*MidPeakPer+I337*OnPeakPer),IF(E303="Non-RPP (Retailer)",I338,I339)))</f>
        <v>0</v>
      </c>
      <c r="J319" s="85">
        <f>IF(I319=0, 0, E304*E307-E304)</f>
        <v>0</v>
      </c>
      <c r="K319" s="68">
        <f>J319*I319</f>
        <v>0</v>
      </c>
      <c r="L319" s="69">
        <f>K319-H319</f>
        <v>0</v>
      </c>
      <c r="M319" s="70" t="str">
        <f>IF(ISERROR(L319/H319), "", L319/H319)</f>
        <v/>
      </c>
    </row>
    <row r="320" spans="1:13" ht="25" x14ac:dyDescent="0.25">
      <c r="A320" s="14" t="str">
        <f t="shared" si="51"/>
        <v>UNMETERED SCATTERED LOAD SERVICE CLASSIFICATION</v>
      </c>
      <c r="C320" s="60"/>
      <c r="D320" s="83" t="s">
        <v>62</v>
      </c>
      <c r="E320" s="62"/>
      <c r="F320" s="71">
        <v>2.0000000000000001E-4</v>
      </c>
      <c r="G320" s="86">
        <f>IF($E305&gt;0, $E305, $E304)</f>
        <v>35000</v>
      </c>
      <c r="H320" s="65">
        <f t="shared" si="49"/>
        <v>7</v>
      </c>
      <c r="I320" s="72">
        <v>3.7000000000000002E-3</v>
      </c>
      <c r="J320" s="87">
        <f>IF($E305&gt;0, $E305, $E304)</f>
        <v>35000</v>
      </c>
      <c r="K320" s="68">
        <f t="shared" si="52"/>
        <v>129.5</v>
      </c>
      <c r="L320" s="69">
        <f t="shared" si="48"/>
        <v>122.5</v>
      </c>
      <c r="M320" s="70">
        <f t="shared" si="50"/>
        <v>17.5</v>
      </c>
    </row>
    <row r="321" spans="1:13" ht="13" x14ac:dyDescent="0.25">
      <c r="A321" s="14" t="str">
        <f t="shared" si="51"/>
        <v>UNMETERED SCATTERED LOAD SERVICE CLASSIFICATION</v>
      </c>
      <c r="C321" s="60"/>
      <c r="D321" s="83" t="s">
        <v>63</v>
      </c>
      <c r="E321" s="62"/>
      <c r="F321" s="71">
        <v>-2.0000000000000001E-4</v>
      </c>
      <c r="G321" s="86">
        <f>IF($E305&gt;0, $E305, $E304)</f>
        <v>35000</v>
      </c>
      <c r="H321" s="65">
        <f>G321*F321</f>
        <v>-7</v>
      </c>
      <c r="I321" s="72">
        <v>-4.0000000000000002E-4</v>
      </c>
      <c r="J321" s="87">
        <f>IF($E305&gt;0, $E305, $E304)</f>
        <v>35000</v>
      </c>
      <c r="K321" s="68">
        <f>J321*I321</f>
        <v>-14</v>
      </c>
      <c r="L321" s="69">
        <f t="shared" si="48"/>
        <v>-7</v>
      </c>
      <c r="M321" s="70">
        <f t="shared" si="50"/>
        <v>1</v>
      </c>
    </row>
    <row r="322" spans="1:13" ht="13" x14ac:dyDescent="0.25">
      <c r="A322" s="14" t="str">
        <f t="shared" si="51"/>
        <v>UNMETERED SCATTERED LOAD SERVICE CLASSIFICATION</v>
      </c>
      <c r="C322" s="60"/>
      <c r="D322" s="83" t="s">
        <v>64</v>
      </c>
      <c r="E322" s="62"/>
      <c r="F322" s="71">
        <v>0</v>
      </c>
      <c r="G322" s="86">
        <f>E304</f>
        <v>35000</v>
      </c>
      <c r="H322" s="65">
        <f>G322*F322</f>
        <v>0</v>
      </c>
      <c r="I322" s="72">
        <v>0</v>
      </c>
      <c r="J322" s="87">
        <f>E304</f>
        <v>35000</v>
      </c>
      <c r="K322" s="68">
        <f t="shared" si="52"/>
        <v>0</v>
      </c>
      <c r="L322" s="69">
        <f t="shared" si="48"/>
        <v>0</v>
      </c>
      <c r="M322" s="70" t="str">
        <f t="shared" si="50"/>
        <v/>
      </c>
    </row>
    <row r="323" spans="1:13" ht="13" x14ac:dyDescent="0.25">
      <c r="A323" s="14" t="str">
        <f t="shared" si="51"/>
        <v>UNMETERED SCATTERED LOAD SERVICE CLASSIFICATION</v>
      </c>
      <c r="C323" s="60"/>
      <c r="D323" s="61" t="s">
        <v>65</v>
      </c>
      <c r="E323" s="62"/>
      <c r="F323" s="71">
        <v>8.9999999999999998E-4</v>
      </c>
      <c r="G323" s="86">
        <f>IF($E305&gt;0, $E305, $E304)</f>
        <v>35000</v>
      </c>
      <c r="H323" s="65">
        <f t="shared" si="49"/>
        <v>31.5</v>
      </c>
      <c r="I323" s="72">
        <v>2.5000000000000001E-3</v>
      </c>
      <c r="J323" s="87">
        <f>IF($E305&gt;0, $E305, $E304)</f>
        <v>35000</v>
      </c>
      <c r="K323" s="68">
        <f t="shared" si="52"/>
        <v>87.5</v>
      </c>
      <c r="L323" s="69">
        <f t="shared" si="48"/>
        <v>56</v>
      </c>
      <c r="M323" s="70">
        <f t="shared" si="50"/>
        <v>1.7777777777777777</v>
      </c>
    </row>
    <row r="324" spans="1:13" ht="13" x14ac:dyDescent="0.25">
      <c r="A324" s="14" t="str">
        <f t="shared" si="51"/>
        <v>UNMETERED SCATTERED LOAD SERVICE CLASSIFICATION</v>
      </c>
      <c r="C324" s="60"/>
      <c r="D324" s="83" t="s">
        <v>66</v>
      </c>
      <c r="E324" s="62"/>
      <c r="F324" s="88">
        <f>IF(OR(ISNUMBER(SEARCH("RESIDENTIAL", E302))=TRUE, ISNUMBER(SEARCH("GENERAL SERVICE LESS THAN 50", E302))=TRUE), SME, 0)</f>
        <v>0</v>
      </c>
      <c r="G324" s="64">
        <v>11</v>
      </c>
      <c r="H324" s="65">
        <f>G324*F324</f>
        <v>0</v>
      </c>
      <c r="I324" s="89">
        <f>IF(OR(ISNUMBER(SEARCH("RESIDENTIAL", E302))=TRUE, ISNUMBER(SEARCH("GENERAL SERVICE LESS THAN 50", E302))=TRUE), SME, 0)</f>
        <v>0</v>
      </c>
      <c r="J324" s="73">
        <v>11</v>
      </c>
      <c r="K324" s="68">
        <f>J324*I324</f>
        <v>0</v>
      </c>
      <c r="L324" s="69">
        <f t="shared" si="48"/>
        <v>0</v>
      </c>
      <c r="M324" s="70" t="str">
        <f>IF(ISERROR(L324/H324), "", L324/H324)</f>
        <v/>
      </c>
    </row>
    <row r="325" spans="1:13" ht="13" x14ac:dyDescent="0.25">
      <c r="A325" s="14" t="str">
        <f t="shared" si="51"/>
        <v>UNMETERED SCATTERED LOAD SERVICE CLASSIFICATION</v>
      </c>
      <c r="C325" s="60"/>
      <c r="D325" s="61" t="s">
        <v>67</v>
      </c>
      <c r="E325" s="62"/>
      <c r="F325" s="63">
        <v>0</v>
      </c>
      <c r="G325" s="64">
        <v>11</v>
      </c>
      <c r="H325" s="65">
        <f t="shared" si="49"/>
        <v>0</v>
      </c>
      <c r="I325" s="66">
        <v>0</v>
      </c>
      <c r="J325" s="73">
        <v>11</v>
      </c>
      <c r="K325" s="68">
        <f>J325*I325</f>
        <v>0</v>
      </c>
      <c r="L325" s="69">
        <f>K325-H325</f>
        <v>0</v>
      </c>
      <c r="M325" s="70" t="str">
        <f>IF(ISERROR(L325/H325), "", L325/H325)</f>
        <v/>
      </c>
    </row>
    <row r="326" spans="1:13" ht="13" x14ac:dyDescent="0.25">
      <c r="A326" s="14" t="str">
        <f t="shared" si="51"/>
        <v>UNMETERED SCATTERED LOAD SERVICE CLASSIFICATION</v>
      </c>
      <c r="C326" s="60"/>
      <c r="D326" s="61" t="s">
        <v>68</v>
      </c>
      <c r="E326" s="62"/>
      <c r="F326" s="71">
        <v>0</v>
      </c>
      <c r="G326" s="86">
        <f>IF($E305&gt;0, $E305, $E304)</f>
        <v>35000</v>
      </c>
      <c r="H326" s="65">
        <f>G326*F326</f>
        <v>0</v>
      </c>
      <c r="I326" s="72">
        <v>0</v>
      </c>
      <c r="J326" s="87">
        <f>IF($E305&gt;0, $E305, $E304)</f>
        <v>35000</v>
      </c>
      <c r="K326" s="68">
        <f>J326*I326</f>
        <v>0</v>
      </c>
      <c r="L326" s="69">
        <f t="shared" si="48"/>
        <v>0</v>
      </c>
      <c r="M326" s="70" t="str">
        <f>IF(ISERROR(L326/H326), "", L326/H326)</f>
        <v/>
      </c>
    </row>
    <row r="327" spans="1:13" ht="26" x14ac:dyDescent="0.25">
      <c r="A327" s="14" t="str">
        <f t="shared" si="51"/>
        <v>UNMETERED SCATTERED LOAD SERVICE CLASSIFICATION</v>
      </c>
      <c r="B327" s="14" t="s">
        <v>69</v>
      </c>
      <c r="C327" s="60">
        <f>B34</f>
        <v>5</v>
      </c>
      <c r="D327" s="90" t="s">
        <v>70</v>
      </c>
      <c r="E327" s="91"/>
      <c r="F327" s="92"/>
      <c r="G327" s="93"/>
      <c r="H327" s="94">
        <f>SUM(H318:H326)</f>
        <v>999.93</v>
      </c>
      <c r="I327" s="95"/>
      <c r="J327" s="96"/>
      <c r="K327" s="94">
        <f>SUM(K318:K326)</f>
        <v>1209.9299999999998</v>
      </c>
      <c r="L327" s="81">
        <f t="shared" si="48"/>
        <v>209.99999999999989</v>
      </c>
      <c r="M327" s="82">
        <f>IF((H327)=0,"",(L327/H327))</f>
        <v>0.21001470102907194</v>
      </c>
    </row>
    <row r="328" spans="1:13" ht="13" x14ac:dyDescent="0.25">
      <c r="A328" s="14" t="str">
        <f t="shared" si="51"/>
        <v>UNMETERED SCATTERED LOAD SERVICE CLASSIFICATION</v>
      </c>
      <c r="C328" s="60"/>
      <c r="D328" s="97" t="s">
        <v>71</v>
      </c>
      <c r="E328" s="62"/>
      <c r="F328" s="71">
        <v>9.1999999999999998E-3</v>
      </c>
      <c r="G328" s="84">
        <f>IF($E305&gt;0, $E305, $E304*$E306)</f>
        <v>36918</v>
      </c>
      <c r="H328" s="65">
        <f>G328*F328</f>
        <v>339.6456</v>
      </c>
      <c r="I328" s="98">
        <v>8.9999999999999993E-3</v>
      </c>
      <c r="J328" s="85">
        <f>IF($E305&gt;0, $E305, $E304*$E307)</f>
        <v>36918</v>
      </c>
      <c r="K328" s="68">
        <f>J328*I328</f>
        <v>332.262</v>
      </c>
      <c r="L328" s="69">
        <f t="shared" si="48"/>
        <v>-7.3836000000000013</v>
      </c>
      <c r="M328" s="70">
        <f>IF(ISERROR(L328/H328), "", L328/H328)</f>
        <v>-2.1739130434782612E-2</v>
      </c>
    </row>
    <row r="329" spans="1:13" ht="25" x14ac:dyDescent="0.25">
      <c r="A329" s="14" t="str">
        <f t="shared" si="51"/>
        <v>UNMETERED SCATTERED LOAD SERVICE CLASSIFICATION</v>
      </c>
      <c r="C329" s="60"/>
      <c r="D329" s="99" t="s">
        <v>72</v>
      </c>
      <c r="E329" s="62"/>
      <c r="F329" s="71">
        <v>6.8999999999999999E-3</v>
      </c>
      <c r="G329" s="84">
        <f>IF($E305&gt;0, $E305, $E304*$E306)</f>
        <v>36918</v>
      </c>
      <c r="H329" s="65">
        <f>G329*F329</f>
        <v>254.73419999999999</v>
      </c>
      <c r="I329" s="98">
        <v>6.7999999999999996E-3</v>
      </c>
      <c r="J329" s="85">
        <f>IF($E305&gt;0, $E305, $E304*$E307)</f>
        <v>36918</v>
      </c>
      <c r="K329" s="68">
        <f>J329*I329</f>
        <v>251.04239999999999</v>
      </c>
      <c r="L329" s="69">
        <f t="shared" si="48"/>
        <v>-3.6918000000000006</v>
      </c>
      <c r="M329" s="70">
        <f>IF(ISERROR(L329/H329), "", L329/H329)</f>
        <v>-1.4492753623188409E-2</v>
      </c>
    </row>
    <row r="330" spans="1:13" ht="26" x14ac:dyDescent="0.25">
      <c r="A330" s="14" t="str">
        <f t="shared" si="51"/>
        <v>UNMETERED SCATTERED LOAD SERVICE CLASSIFICATION</v>
      </c>
      <c r="B330" s="14" t="s">
        <v>73</v>
      </c>
      <c r="C330" s="60">
        <f>B34</f>
        <v>5</v>
      </c>
      <c r="D330" s="90" t="s">
        <v>74</v>
      </c>
      <c r="E330" s="75"/>
      <c r="F330" s="92"/>
      <c r="G330" s="93"/>
      <c r="H330" s="94">
        <f>SUM(H327:H329)</f>
        <v>1594.3098</v>
      </c>
      <c r="I330" s="95"/>
      <c r="J330" s="80"/>
      <c r="K330" s="94">
        <f>SUM(K327:K329)</f>
        <v>1793.2343999999998</v>
      </c>
      <c r="L330" s="81">
        <f t="shared" si="48"/>
        <v>198.92459999999983</v>
      </c>
      <c r="M330" s="82">
        <f>IF((H330)=0,"",(L330/H330))</f>
        <v>0.1247716096332092</v>
      </c>
    </row>
    <row r="331" spans="1:13" ht="25" x14ac:dyDescent="0.25">
      <c r="A331" s="14" t="str">
        <f t="shared" si="51"/>
        <v>UNMETERED SCATTERED LOAD SERVICE CLASSIFICATION</v>
      </c>
      <c r="C331" s="60"/>
      <c r="D331" s="100" t="s">
        <v>75</v>
      </c>
      <c r="E331" s="62"/>
      <c r="F331" s="71">
        <f>IF(AND('[2]1. Information Sheet'!$F$26:$H$26&gt;='[2]18. Regulatory Charges'!$D$14,'[2]1. Information Sheet'!$F$26:$H$26&lt;'[2]18. Regulatory Charges'!$E$14),'[2]18. Regulatory Charges'!$D$15+'[2]18. Regulatory Charges'!$D$16,'[2]18. Regulatory Charges'!$E$15+'[2]18. Regulatory Charges'!$E$16)</f>
        <v>4.5000000000000005E-3</v>
      </c>
      <c r="G331" s="84">
        <f>E304*E306</f>
        <v>36918</v>
      </c>
      <c r="H331" s="101">
        <f t="shared" ref="H331:H337" si="53">G331*F331</f>
        <v>166.13100000000003</v>
      </c>
      <c r="I331" s="72">
        <f>'[2]18. Regulatory Charges'!$E$15+'[2]18. Regulatory Charges'!$E$16</f>
        <v>4.5000000000000005E-3</v>
      </c>
      <c r="J331" s="85">
        <f>E304*E307</f>
        <v>36918</v>
      </c>
      <c r="K331" s="68">
        <f t="shared" ref="K331:K337" si="54">J331*I331</f>
        <v>166.13100000000003</v>
      </c>
      <c r="L331" s="69">
        <f t="shared" si="48"/>
        <v>0</v>
      </c>
      <c r="M331" s="70">
        <f t="shared" ref="M331:M339" si="55">IF(ISERROR(L331/H331), "", L331/H331)</f>
        <v>0</v>
      </c>
    </row>
    <row r="332" spans="1:13" ht="25" x14ac:dyDescent="0.25">
      <c r="A332" s="14" t="str">
        <f t="shared" si="51"/>
        <v>UNMETERED SCATTERED LOAD SERVICE CLASSIFICATION</v>
      </c>
      <c r="C332" s="60"/>
      <c r="D332" s="100" t="s">
        <v>76</v>
      </c>
      <c r="E332" s="62"/>
      <c r="F332" s="71">
        <f>IF(AND('[2]1. Information Sheet'!$F$26:$H$26&gt;='[2]18. Regulatory Charges'!$D$14,'[2]1. Information Sheet'!$F$26:$H$26&lt;'[2]18. Regulatory Charges'!$D$14),'[2]18. Regulatory Charges'!$D$17,'[2]18. Regulatory Charges'!$E$17)</f>
        <v>6.9999999999999999E-4</v>
      </c>
      <c r="G332" s="84">
        <f>E304*E306</f>
        <v>36918</v>
      </c>
      <c r="H332" s="101">
        <f t="shared" si="53"/>
        <v>25.842600000000001</v>
      </c>
      <c r="I332" s="72">
        <f>'[2]18. Regulatory Charges'!$E$17</f>
        <v>6.9999999999999999E-4</v>
      </c>
      <c r="J332" s="85">
        <f>E304*E307</f>
        <v>36918</v>
      </c>
      <c r="K332" s="68">
        <f t="shared" si="54"/>
        <v>25.842600000000001</v>
      </c>
      <c r="L332" s="69">
        <f t="shared" si="48"/>
        <v>0</v>
      </c>
      <c r="M332" s="70">
        <f t="shared" si="55"/>
        <v>0</v>
      </c>
    </row>
    <row r="333" spans="1:13" ht="13" x14ac:dyDescent="0.25">
      <c r="A333" s="14" t="str">
        <f t="shared" si="51"/>
        <v>UNMETERED SCATTERED LOAD SERVICE CLASSIFICATION</v>
      </c>
      <c r="C333" s="60"/>
      <c r="D333" s="102" t="s">
        <v>77</v>
      </c>
      <c r="E333" s="62"/>
      <c r="F333" s="88">
        <f>IF(AND('[2]1. Information Sheet'!$F$26:$H$26&gt;='[2]18. Regulatory Charges'!$D$14,'[2]1. Information Sheet'!$F$26:$H$26&lt;'[2]18. Regulatory Charges'!$D$14),'[2]18. Regulatory Charges'!$D$18,'[2]18. Regulatory Charges'!$E$18)</f>
        <v>0.25</v>
      </c>
      <c r="G333" s="64">
        <v>11</v>
      </c>
      <c r="H333" s="101">
        <f t="shared" si="53"/>
        <v>2.75</v>
      </c>
      <c r="I333" s="89">
        <f>'[2]18. Regulatory Charges'!$E$18</f>
        <v>0.25</v>
      </c>
      <c r="J333" s="67">
        <v>11</v>
      </c>
      <c r="K333" s="68">
        <f t="shared" si="54"/>
        <v>2.75</v>
      </c>
      <c r="L333" s="69">
        <f t="shared" si="48"/>
        <v>0</v>
      </c>
      <c r="M333" s="70">
        <f t="shared" si="55"/>
        <v>0</v>
      </c>
    </row>
    <row r="334" spans="1:13" ht="25" customHeight="1" x14ac:dyDescent="0.25">
      <c r="A334" s="14" t="str">
        <f t="shared" si="51"/>
        <v>UNMETERED SCATTERED LOAD SERVICE CLASSIFICATION</v>
      </c>
      <c r="C334" s="60"/>
      <c r="D334" s="100" t="s">
        <v>78</v>
      </c>
      <c r="E334" s="62"/>
      <c r="F334" s="71"/>
      <c r="G334" s="84"/>
      <c r="H334" s="101"/>
      <c r="I334" s="72"/>
      <c r="J334" s="85"/>
      <c r="K334" s="68"/>
      <c r="L334" s="69"/>
      <c r="M334" s="70"/>
    </row>
    <row r="335" spans="1:13" ht="13" x14ac:dyDescent="0.25">
      <c r="A335" s="14" t="str">
        <f t="shared" si="51"/>
        <v>UNMETERED SCATTERED LOAD SERVICE CLASSIFICATION</v>
      </c>
      <c r="B335" s="14" t="s">
        <v>14</v>
      </c>
      <c r="C335" s="60"/>
      <c r="D335" s="102" t="s">
        <v>79</v>
      </c>
      <c r="E335" s="62"/>
      <c r="F335" s="103">
        <f>OffPeak</f>
        <v>7.3999999999999996E-2</v>
      </c>
      <c r="G335" s="104">
        <f>IF(AND(E304*12&gt;=150000),OffPeakPer*E304*E306,OffPeakPer*E304)</f>
        <v>23258.34</v>
      </c>
      <c r="H335" s="101">
        <f t="shared" si="53"/>
        <v>1721.11716</v>
      </c>
      <c r="I335" s="105">
        <f>OffPeak</f>
        <v>7.3999999999999996E-2</v>
      </c>
      <c r="J335" s="106">
        <f>IF(AND(E304*12&gt;=150000),OffPeakPer*E304*E307,OffPeakPer*E304)</f>
        <v>23258.34</v>
      </c>
      <c r="K335" s="68">
        <f t="shared" si="54"/>
        <v>1721.11716</v>
      </c>
      <c r="L335" s="69">
        <f>K335-H335</f>
        <v>0</v>
      </c>
      <c r="M335" s="70">
        <f t="shared" si="55"/>
        <v>0</v>
      </c>
    </row>
    <row r="336" spans="1:13" ht="13" x14ac:dyDescent="0.25">
      <c r="A336" s="14" t="str">
        <f t="shared" si="51"/>
        <v>UNMETERED SCATTERED LOAD SERVICE CLASSIFICATION</v>
      </c>
      <c r="B336" s="14" t="s">
        <v>14</v>
      </c>
      <c r="C336" s="60"/>
      <c r="D336" s="102" t="s">
        <v>80</v>
      </c>
      <c r="E336" s="62"/>
      <c r="F336" s="103">
        <f>MidPeak</f>
        <v>0.10199999999999999</v>
      </c>
      <c r="G336" s="104">
        <f>IF(AND(E304*12&gt;=150000),MidPeakPer*E304*E306,MidPeakPer*E304)</f>
        <v>6645.24</v>
      </c>
      <c r="H336" s="101">
        <f t="shared" si="53"/>
        <v>677.81447999999989</v>
      </c>
      <c r="I336" s="105">
        <f>MidPeak</f>
        <v>0.10199999999999999</v>
      </c>
      <c r="J336" s="106">
        <f>IF(AND(E304*12&gt;=150000),MidPeakPer*E304*E307,MidPeakPer*E304)</f>
        <v>6645.24</v>
      </c>
      <c r="K336" s="68">
        <f t="shared" si="54"/>
        <v>677.81447999999989</v>
      </c>
      <c r="L336" s="69">
        <f>K336-H336</f>
        <v>0</v>
      </c>
      <c r="M336" s="70">
        <f t="shared" si="55"/>
        <v>0</v>
      </c>
    </row>
    <row r="337" spans="1:13" ht="13" x14ac:dyDescent="0.25">
      <c r="A337" s="14" t="str">
        <f t="shared" si="51"/>
        <v>UNMETERED SCATTERED LOAD SERVICE CLASSIFICATION</v>
      </c>
      <c r="B337" s="14" t="s">
        <v>14</v>
      </c>
      <c r="C337" s="60"/>
      <c r="D337" s="14" t="s">
        <v>81</v>
      </c>
      <c r="E337" s="62"/>
      <c r="F337" s="103">
        <f>OnPeak</f>
        <v>0.151</v>
      </c>
      <c r="G337" s="104">
        <f>IF(AND(E304*12&gt;=150000),OnPeakPer*E304*E306,OnPeakPer*E304)</f>
        <v>7014.42</v>
      </c>
      <c r="H337" s="101">
        <f t="shared" si="53"/>
        <v>1059.17742</v>
      </c>
      <c r="I337" s="105">
        <f>OnPeak</f>
        <v>0.151</v>
      </c>
      <c r="J337" s="106">
        <f>IF(AND(E304*12&gt;=150000),OnPeakPer*E304*E307,OnPeakPer*E304)</f>
        <v>7014.42</v>
      </c>
      <c r="K337" s="68">
        <f t="shared" si="54"/>
        <v>1059.17742</v>
      </c>
      <c r="L337" s="69">
        <f>K337-H337</f>
        <v>0</v>
      </c>
      <c r="M337" s="70">
        <f t="shared" si="55"/>
        <v>0</v>
      </c>
    </row>
    <row r="338" spans="1:13" ht="13.5" customHeight="1" x14ac:dyDescent="0.25">
      <c r="A338" s="14" t="str">
        <f t="shared" si="51"/>
        <v>UNMETERED SCATTERED LOAD SERVICE CLASSIFICATION</v>
      </c>
      <c r="B338" s="14" t="s">
        <v>24</v>
      </c>
      <c r="C338" s="60"/>
      <c r="D338" s="102" t="s">
        <v>82</v>
      </c>
      <c r="E338" s="62"/>
      <c r="F338" s="107">
        <v>0.1076</v>
      </c>
      <c r="G338" s="104">
        <f>IF(AND(E304*12&gt;=150000),E304*E306,E304)</f>
        <v>36918</v>
      </c>
      <c r="H338" s="101">
        <f>G338*F338</f>
        <v>3972.3768</v>
      </c>
      <c r="I338" s="108">
        <f>F338</f>
        <v>0.1076</v>
      </c>
      <c r="J338" s="106">
        <f>IF(AND(E304*12&gt;=150000),E304*E307,E304)</f>
        <v>36918</v>
      </c>
      <c r="K338" s="68">
        <f>J338*I338</f>
        <v>3972.3768</v>
      </c>
      <c r="L338" s="69">
        <f>K338-H338</f>
        <v>0</v>
      </c>
      <c r="M338" s="70">
        <f t="shared" si="55"/>
        <v>0</v>
      </c>
    </row>
    <row r="339" spans="1:13" ht="13.5" customHeight="1" thickBot="1" x14ac:dyDescent="0.3">
      <c r="A339" s="14" t="str">
        <f t="shared" si="51"/>
        <v>UNMETERED SCATTERED LOAD SERVICE CLASSIFICATION</v>
      </c>
      <c r="B339" s="14" t="s">
        <v>18</v>
      </c>
      <c r="C339" s="60"/>
      <c r="D339" s="102" t="s">
        <v>83</v>
      </c>
      <c r="E339" s="62"/>
      <c r="F339" s="107">
        <v>0.1076</v>
      </c>
      <c r="G339" s="104">
        <f>IF(AND(E304*12&gt;=150000),E304*E306,E304)</f>
        <v>36918</v>
      </c>
      <c r="H339" s="101">
        <f>G339*F339</f>
        <v>3972.3768</v>
      </c>
      <c r="I339" s="108">
        <f>F339</f>
        <v>0.1076</v>
      </c>
      <c r="J339" s="106">
        <f>IF(AND(E304*12&gt;=150000),E304*E307,E304)</f>
        <v>36918</v>
      </c>
      <c r="K339" s="68">
        <f>J339*I339</f>
        <v>3972.3768</v>
      </c>
      <c r="L339" s="69">
        <f>K339-H339</f>
        <v>0</v>
      </c>
      <c r="M339" s="70">
        <f t="shared" si="55"/>
        <v>0</v>
      </c>
    </row>
    <row r="340" spans="1:13" ht="13" thickBot="1" x14ac:dyDescent="0.3">
      <c r="A340" s="14" t="str">
        <f t="shared" si="51"/>
        <v>UNMETERED SCATTERED LOAD SERVICE CLASSIFICATION</v>
      </c>
      <c r="C340" s="60"/>
      <c r="D340" s="109"/>
      <c r="E340" s="110"/>
      <c r="F340" s="111"/>
      <c r="G340" s="112"/>
      <c r="H340" s="113"/>
      <c r="I340" s="111"/>
      <c r="J340" s="114"/>
      <c r="K340" s="113"/>
      <c r="L340" s="115"/>
      <c r="M340" s="116"/>
    </row>
    <row r="341" spans="1:13" ht="13" x14ac:dyDescent="0.25">
      <c r="A341" s="14" t="str">
        <f t="shared" si="51"/>
        <v>UNMETERED SCATTERED LOAD SERVICE CLASSIFICATION</v>
      </c>
      <c r="B341" s="14" t="s">
        <v>14</v>
      </c>
      <c r="C341" s="60"/>
      <c r="D341" s="117" t="s">
        <v>84</v>
      </c>
      <c r="E341" s="102"/>
      <c r="F341" s="118"/>
      <c r="G341" s="119"/>
      <c r="H341" s="120">
        <f>SUM(H331:H337,H330)</f>
        <v>5247.14246</v>
      </c>
      <c r="I341" s="121"/>
      <c r="J341" s="121"/>
      <c r="K341" s="120">
        <f>SUM(K331:K337,K330)</f>
        <v>5446.0670599999994</v>
      </c>
      <c r="L341" s="122">
        <f>K341-H341</f>
        <v>198.92459999999937</v>
      </c>
      <c r="M341" s="123">
        <f>IF((H341)=0,"",(L341/H341))</f>
        <v>3.7911034723459629E-2</v>
      </c>
    </row>
    <row r="342" spans="1:13" x14ac:dyDescent="0.25">
      <c r="A342" s="14" t="str">
        <f t="shared" si="51"/>
        <v>UNMETERED SCATTERED LOAD SERVICE CLASSIFICATION</v>
      </c>
      <c r="B342" s="14" t="s">
        <v>14</v>
      </c>
      <c r="C342" s="60"/>
      <c r="D342" s="124" t="s">
        <v>85</v>
      </c>
      <c r="E342" s="102"/>
      <c r="F342" s="118">
        <v>0.13</v>
      </c>
      <c r="G342" s="125"/>
      <c r="H342" s="126">
        <f>H341*F342</f>
        <v>682.12851980000005</v>
      </c>
      <c r="I342" s="127">
        <v>0.13</v>
      </c>
      <c r="J342" s="64"/>
      <c r="K342" s="126">
        <f>K341*I342</f>
        <v>707.9887177999999</v>
      </c>
      <c r="L342" s="69">
        <f>K342-H342</f>
        <v>25.860197999999855</v>
      </c>
      <c r="M342" s="128">
        <f>IF((H342)=0,"",(L342/H342))</f>
        <v>3.7911034723459532E-2</v>
      </c>
    </row>
    <row r="343" spans="1:13" ht="14.5" x14ac:dyDescent="0.35">
      <c r="A343" s="14" t="str">
        <f t="shared" si="51"/>
        <v>UNMETERED SCATTERED LOAD SERVICE CLASSIFICATION</v>
      </c>
      <c r="B343" s="14" t="s">
        <v>14</v>
      </c>
      <c r="C343" s="60"/>
      <c r="D343" s="124" t="s">
        <v>86</v>
      </c>
      <c r="E343"/>
      <c r="F343" s="129">
        <v>0.11700000000000001</v>
      </c>
      <c r="G343" s="125"/>
      <c r="H343" s="126">
        <f>IF(OR(ISNUMBER(SEARCH("[DGEN]", E302))=TRUE, ISNUMBER(SEARCH("STREET LIGHT", E302))=TRUE), 0, IF(AND(E304=0, E305=0),0, IF(AND(E305=0, E304*12&gt;250000), 0, IF(AND(E304=0, E305&gt;=50), 0, IF(E304*12&lt;=250000, F343*H341*-1, IF(E305&lt;50, F343*H341*-1, 0))))))</f>
        <v>0</v>
      </c>
      <c r="I343" s="129">
        <v>0.11700000000000001</v>
      </c>
      <c r="J343" s="64"/>
      <c r="K343" s="126">
        <f>IF(OR(ISNUMBER(SEARCH("[DGEN]", E302))=TRUE, ISNUMBER(SEARCH("STREET LIGHT", E302))=TRUE), 0, IF(AND(E304=0, E305=0),0, IF(AND(E305=0, E304*12&gt;250000), 0, IF(AND(E304=0, E305&gt;=50), 0, IF(E304*12&lt;=250000, I343*K341*-1, IF(E305&lt;50, I343*K341*-1, 0))))))</f>
        <v>0</v>
      </c>
      <c r="L343" s="69">
        <f>K343-H343</f>
        <v>0</v>
      </c>
      <c r="M343" s="128"/>
    </row>
    <row r="344" spans="1:13" ht="13.5" thickBot="1" x14ac:dyDescent="0.3">
      <c r="A344" s="14" t="str">
        <f t="shared" si="51"/>
        <v>UNMETERED SCATTERED LOAD SERVICE CLASSIFICATION</v>
      </c>
      <c r="B344" s="14" t="s">
        <v>87</v>
      </c>
      <c r="C344" s="60">
        <f>B34</f>
        <v>5</v>
      </c>
      <c r="D344" s="195" t="s">
        <v>88</v>
      </c>
      <c r="E344" s="195"/>
      <c r="F344" s="130"/>
      <c r="G344" s="131"/>
      <c r="H344" s="132">
        <f>H341+H342+H343</f>
        <v>5929.2709797999996</v>
      </c>
      <c r="I344" s="133"/>
      <c r="J344" s="133"/>
      <c r="K344" s="134">
        <f>K341+K342+K343</f>
        <v>6154.0557777999993</v>
      </c>
      <c r="L344" s="135">
        <f>K344-H344</f>
        <v>224.78479799999968</v>
      </c>
      <c r="M344" s="136">
        <f>IF((H344)=0,"",(L344/H344))</f>
        <v>3.7911034723459698E-2</v>
      </c>
    </row>
    <row r="345" spans="1:13" ht="13" thickBot="1" x14ac:dyDescent="0.3">
      <c r="A345" s="14" t="str">
        <f t="shared" si="51"/>
        <v>UNMETERED SCATTERED LOAD SERVICE CLASSIFICATION</v>
      </c>
      <c r="B345" s="14" t="s">
        <v>14</v>
      </c>
      <c r="C345" s="60"/>
      <c r="D345" s="109"/>
      <c r="E345" s="110"/>
      <c r="F345" s="111"/>
      <c r="G345" s="112"/>
      <c r="H345" s="113"/>
      <c r="I345" s="111"/>
      <c r="J345" s="114"/>
      <c r="K345" s="113"/>
      <c r="L345" s="115"/>
      <c r="M345" s="116"/>
    </row>
    <row r="346" spans="1:13" ht="13" customHeight="1" x14ac:dyDescent="0.25">
      <c r="A346" s="14" t="str">
        <f t="shared" si="51"/>
        <v>UNMETERED SCATTERED LOAD SERVICE CLASSIFICATION</v>
      </c>
      <c r="B346" s="14" t="s">
        <v>24</v>
      </c>
      <c r="C346" s="60"/>
      <c r="D346" s="117" t="s">
        <v>89</v>
      </c>
      <c r="E346" s="102"/>
      <c r="F346" s="118"/>
      <c r="G346" s="119"/>
      <c r="H346" s="120">
        <f>SUM(H338,H331:H334,H330)</f>
        <v>5761.4102000000003</v>
      </c>
      <c r="I346" s="121"/>
      <c r="J346" s="121"/>
      <c r="K346" s="120">
        <f>SUM(K338,K331:K334,K330)</f>
        <v>5960.3348000000005</v>
      </c>
      <c r="L346" s="122">
        <f>K346-H346</f>
        <v>198.92460000000028</v>
      </c>
      <c r="M346" s="123">
        <f>IF((H346)=0,"",(L346/H346))</f>
        <v>3.4527067696030436E-2</v>
      </c>
    </row>
    <row r="347" spans="1:13" ht="12.65" customHeight="1" x14ac:dyDescent="0.25">
      <c r="A347" s="14" t="str">
        <f t="shared" si="51"/>
        <v>UNMETERED SCATTERED LOAD SERVICE CLASSIFICATION</v>
      </c>
      <c r="B347" s="14" t="s">
        <v>24</v>
      </c>
      <c r="C347" s="60"/>
      <c r="D347" s="124" t="s">
        <v>85</v>
      </c>
      <c r="E347" s="102"/>
      <c r="F347" s="118">
        <v>0.13</v>
      </c>
      <c r="G347" s="119"/>
      <c r="H347" s="126">
        <f>H346*F347</f>
        <v>748.98332600000003</v>
      </c>
      <c r="I347" s="118">
        <v>0.13</v>
      </c>
      <c r="J347" s="127"/>
      <c r="K347" s="126">
        <f>K346*I347</f>
        <v>774.84352400000012</v>
      </c>
      <c r="L347" s="69">
        <f>K347-H347</f>
        <v>25.860198000000082</v>
      </c>
      <c r="M347" s="128">
        <f>IF((H347)=0,"",(L347/H347))</f>
        <v>3.4527067696030499E-2</v>
      </c>
    </row>
    <row r="348" spans="1:13" ht="14.5" customHeight="1" x14ac:dyDescent="0.35">
      <c r="A348" s="14" t="str">
        <f t="shared" si="51"/>
        <v>UNMETERED SCATTERED LOAD SERVICE CLASSIFICATION</v>
      </c>
      <c r="B348" s="14" t="s">
        <v>24</v>
      </c>
      <c r="C348" s="60"/>
      <c r="D348" s="124" t="s">
        <v>86</v>
      </c>
      <c r="E348"/>
      <c r="F348" s="129">
        <v>0.11700000000000001</v>
      </c>
      <c r="G348" s="119"/>
      <c r="H348" s="126">
        <f>IF(OR(ISNUMBER(SEARCH("[DGEN]", E302))=TRUE, ISNUMBER(SEARCH("STREET LIGHT", E302))=TRUE), 0, IF(AND(E304=0, E305=0),0, IF(AND(E305=0, E304*12&gt;250000), 0, IF(AND(E304=0, E305&gt;=50), 0, IF(E304*12&lt;=250000, F348*H346*-1, IF(E305&lt;50, F348*H346*-1, 0))))))</f>
        <v>0</v>
      </c>
      <c r="I348" s="129">
        <v>0.11700000000000001</v>
      </c>
      <c r="J348" s="127"/>
      <c r="K348" s="126">
        <f>IF(OR(ISNUMBER(SEARCH("[DGEN]", E302))=TRUE, ISNUMBER(SEARCH("STREET LIGHT", E302))=TRUE), 0, IF(AND(E304=0, E305=0),0, IF(AND(E305=0, E304*12&gt;250000), 0, IF(AND(E304=0, E305&gt;=50), 0, IF(E304*12&lt;=250000, I348*K346*-1, IF(E305&lt;50, I348*K346*-1, 0))))))</f>
        <v>0</v>
      </c>
      <c r="L348" s="69"/>
      <c r="M348" s="128"/>
    </row>
    <row r="349" spans="1:13" ht="13" customHeight="1" thickBot="1" x14ac:dyDescent="0.3">
      <c r="A349" s="14" t="str">
        <f t="shared" si="51"/>
        <v>UNMETERED SCATTERED LOAD SERVICE CLASSIFICATION</v>
      </c>
      <c r="B349" s="14" t="s">
        <v>90</v>
      </c>
      <c r="C349" s="60"/>
      <c r="D349" s="195" t="s">
        <v>89</v>
      </c>
      <c r="E349" s="195"/>
      <c r="F349" s="137"/>
      <c r="G349" s="138"/>
      <c r="H349" s="132">
        <f>SUM(H346,H347)</f>
        <v>6510.3935259999998</v>
      </c>
      <c r="I349" s="139"/>
      <c r="J349" s="139"/>
      <c r="K349" s="132">
        <f>SUM(K346,K347)</f>
        <v>6735.1783240000004</v>
      </c>
      <c r="L349" s="140">
        <f>K349-H349</f>
        <v>224.78479800000059</v>
      </c>
      <c r="M349" s="141">
        <f>IF((H349)=0,"",(L349/H349))</f>
        <v>3.4527067696030485E-2</v>
      </c>
    </row>
    <row r="350" spans="1:13" ht="13" customHeight="1" thickBot="1" x14ac:dyDescent="0.3">
      <c r="A350" s="14" t="str">
        <f t="shared" si="51"/>
        <v>UNMETERED SCATTERED LOAD SERVICE CLASSIFICATION</v>
      </c>
      <c r="B350" s="14" t="s">
        <v>24</v>
      </c>
      <c r="C350" s="60"/>
      <c r="D350" s="109"/>
      <c r="E350" s="110"/>
      <c r="F350" s="142"/>
      <c r="G350" s="143"/>
      <c r="H350" s="144"/>
      <c r="I350" s="142"/>
      <c r="J350" s="112"/>
      <c r="K350" s="144"/>
      <c r="L350" s="145"/>
      <c r="M350" s="116"/>
    </row>
    <row r="351" spans="1:13" ht="13" customHeight="1" x14ac:dyDescent="0.25">
      <c r="A351" s="14" t="str">
        <f t="shared" si="51"/>
        <v>UNMETERED SCATTERED LOAD SERVICE CLASSIFICATION</v>
      </c>
      <c r="B351" s="14" t="s">
        <v>18</v>
      </c>
      <c r="C351" s="60"/>
      <c r="D351" s="117" t="s">
        <v>91</v>
      </c>
      <c r="E351" s="102"/>
      <c r="F351" s="118"/>
      <c r="G351" s="119"/>
      <c r="H351" s="120">
        <f>SUM(H339,H331:H334,H330)</f>
        <v>5761.4102000000003</v>
      </c>
      <c r="I351" s="121"/>
      <c r="J351" s="121"/>
      <c r="K351" s="120">
        <f>SUM(K339,K331:K334,K330)</f>
        <v>5960.3348000000005</v>
      </c>
      <c r="L351" s="122">
        <f>K351-H351</f>
        <v>198.92460000000028</v>
      </c>
      <c r="M351" s="123">
        <f>IF((H351)=0,"",(L351/H351))</f>
        <v>3.4527067696030436E-2</v>
      </c>
    </row>
    <row r="352" spans="1:13" ht="12.65" customHeight="1" x14ac:dyDescent="0.25">
      <c r="A352" s="14" t="str">
        <f t="shared" si="51"/>
        <v>UNMETERED SCATTERED LOAD SERVICE CLASSIFICATION</v>
      </c>
      <c r="B352" s="14" t="s">
        <v>18</v>
      </c>
      <c r="C352" s="60"/>
      <c r="D352" s="124" t="s">
        <v>85</v>
      </c>
      <c r="E352" s="102"/>
      <c r="F352" s="118">
        <v>0.13</v>
      </c>
      <c r="G352" s="119"/>
      <c r="H352" s="126">
        <f>H351*F352</f>
        <v>748.98332600000003</v>
      </c>
      <c r="I352" s="118">
        <v>0.13</v>
      </c>
      <c r="J352" s="127"/>
      <c r="K352" s="126">
        <f>K351*I352</f>
        <v>774.84352400000012</v>
      </c>
      <c r="L352" s="69">
        <f>K352-H352</f>
        <v>25.860198000000082</v>
      </c>
      <c r="M352" s="128">
        <f>IF((H352)=0,"",(L352/H352))</f>
        <v>3.4527067696030499E-2</v>
      </c>
    </row>
    <row r="353" spans="1:15" ht="14.5" customHeight="1" x14ac:dyDescent="0.35">
      <c r="A353" s="14" t="str">
        <f t="shared" si="51"/>
        <v>UNMETERED SCATTERED LOAD SERVICE CLASSIFICATION</v>
      </c>
      <c r="B353" s="14" t="s">
        <v>18</v>
      </c>
      <c r="C353" s="60"/>
      <c r="D353" s="124" t="s">
        <v>86</v>
      </c>
      <c r="E353"/>
      <c r="F353" s="129">
        <v>0.11700000000000001</v>
      </c>
      <c r="G353" s="119"/>
      <c r="H353" s="126">
        <f>IF(OR(ISNUMBER(SEARCH("[DGEN]", E302))=TRUE, ISNUMBER(SEARCH("STREET LIGHT", E302))=TRUE), 0, IF(AND(E304=0, E305=0),0, IF(AND(E305=0, E304*12&gt;250000), 0, IF(AND(E304=0, E305&gt;=50), 0, IF(E304*12&lt;=250000, F353*H351*-1, IF(E305&lt;50, F353*H351*-1, 0))))))</f>
        <v>0</v>
      </c>
      <c r="I353" s="129">
        <v>0.11700000000000001</v>
      </c>
      <c r="J353" s="127"/>
      <c r="K353" s="126">
        <f>IF(OR(ISNUMBER(SEARCH("[DGEN]", E302))=TRUE, ISNUMBER(SEARCH("STREET LIGHT", E302))=TRUE), 0, IF(AND(E304=0, E305=0),0, IF(AND(E305=0, E304*12&gt;250000), 0, IF(AND(E304=0, E305&gt;=50), 0, IF(E304*12&lt;=250000, I353*K351*-1, IF(E305&lt;50, I353*K351*-1, 0))))))</f>
        <v>0</v>
      </c>
      <c r="L353" s="69"/>
      <c r="M353" s="128"/>
    </row>
    <row r="354" spans="1:15" ht="13" customHeight="1" thickBot="1" x14ac:dyDescent="0.3">
      <c r="A354" s="14" t="str">
        <f t="shared" si="51"/>
        <v>UNMETERED SCATTERED LOAD SERVICE CLASSIFICATION</v>
      </c>
      <c r="B354" s="14" t="s">
        <v>92</v>
      </c>
      <c r="C354" s="60"/>
      <c r="D354" s="195" t="s">
        <v>91</v>
      </c>
      <c r="E354" s="195"/>
      <c r="F354" s="137"/>
      <c r="G354" s="138"/>
      <c r="H354" s="132">
        <f>SUM(H351,H352)</f>
        <v>6510.3935259999998</v>
      </c>
      <c r="I354" s="139"/>
      <c r="J354" s="139"/>
      <c r="K354" s="132">
        <f>SUM(K351,K352)</f>
        <v>6735.1783240000004</v>
      </c>
      <c r="L354" s="140">
        <f>K354-H354</f>
        <v>224.78479800000059</v>
      </c>
      <c r="M354" s="141">
        <f>IF((H354)=0,"",(L354/H354))</f>
        <v>3.4527067696030485E-2</v>
      </c>
    </row>
    <row r="355" spans="1:15" ht="13" customHeight="1" thickBot="1" x14ac:dyDescent="0.3">
      <c r="A355" s="14" t="str">
        <f t="shared" si="51"/>
        <v>UNMETERED SCATTERED LOAD SERVICE CLASSIFICATION</v>
      </c>
      <c r="B355" s="14" t="s">
        <v>18</v>
      </c>
      <c r="C355" s="60"/>
      <c r="D355" s="109"/>
      <c r="E355" s="110"/>
      <c r="F355" s="146"/>
      <c r="G355" s="143"/>
      <c r="H355" s="147"/>
      <c r="I355" s="146"/>
      <c r="J355" s="112"/>
      <c r="K355" s="147"/>
      <c r="L355" s="145"/>
      <c r="M355" s="148"/>
    </row>
    <row r="358" spans="1:15" ht="13" x14ac:dyDescent="0.25">
      <c r="C358" s="14"/>
      <c r="D358" s="46" t="s">
        <v>38</v>
      </c>
      <c r="E358" s="192" t="str">
        <f>D35</f>
        <v>SENTINEL LIGHTING SERVICE CLASSIFICATION</v>
      </c>
      <c r="F358" s="192"/>
      <c r="G358" s="192"/>
      <c r="H358" s="192"/>
      <c r="I358" s="192"/>
      <c r="J358" s="192"/>
      <c r="K358" s="14" t="str">
        <f>IF(N35="DEMAND - INTERVAL","RTSR - INTERVAL METERED","")</f>
        <v/>
      </c>
      <c r="O358" s="14" t="s">
        <v>26</v>
      </c>
    </row>
    <row r="359" spans="1:15" ht="13" x14ac:dyDescent="0.25">
      <c r="C359" s="14"/>
      <c r="D359" s="46" t="s">
        <v>39</v>
      </c>
      <c r="E359" s="193" t="str">
        <f>H35</f>
        <v>Non-RPP (Other)</v>
      </c>
      <c r="F359" s="193"/>
      <c r="G359" s="193"/>
      <c r="H359" s="47"/>
      <c r="I359" s="47"/>
    </row>
    <row r="360" spans="1:15" ht="15.5" x14ac:dyDescent="0.3">
      <c r="C360" s="14"/>
      <c r="D360" s="46" t="s">
        <v>40</v>
      </c>
      <c r="E360" s="48">
        <f>K35</f>
        <v>730</v>
      </c>
      <c r="F360" s="49" t="s">
        <v>36</v>
      </c>
      <c r="J360" s="50"/>
      <c r="K360" s="50"/>
      <c r="L360" s="50"/>
      <c r="M360" s="50"/>
    </row>
    <row r="361" spans="1:15" ht="15.5" x14ac:dyDescent="0.35">
      <c r="C361" s="14"/>
      <c r="D361" s="46" t="s">
        <v>41</v>
      </c>
      <c r="E361" s="48">
        <f>L35</f>
        <v>1</v>
      </c>
      <c r="F361" s="51" t="s">
        <v>37</v>
      </c>
      <c r="G361" s="52"/>
      <c r="H361" s="53"/>
      <c r="I361" s="53"/>
      <c r="J361" s="53"/>
    </row>
    <row r="362" spans="1:15" ht="13" x14ac:dyDescent="0.3">
      <c r="C362" s="14"/>
      <c r="D362" s="46" t="s">
        <v>42</v>
      </c>
      <c r="E362" s="54">
        <f>I35</f>
        <v>1.0548</v>
      </c>
    </row>
    <row r="363" spans="1:15" ht="13" x14ac:dyDescent="0.3">
      <c r="C363" s="14"/>
      <c r="D363" s="46" t="s">
        <v>43</v>
      </c>
      <c r="E363" s="54">
        <f>J35</f>
        <v>1.0548</v>
      </c>
    </row>
    <row r="364" spans="1:15" x14ac:dyDescent="0.25">
      <c r="C364" s="14"/>
    </row>
    <row r="365" spans="1:15" ht="13" x14ac:dyDescent="0.3">
      <c r="C365" s="14"/>
      <c r="E365" s="49"/>
      <c r="F365" s="184" t="s">
        <v>44</v>
      </c>
      <c r="G365" s="194"/>
      <c r="H365" s="185"/>
      <c r="I365" s="184" t="s">
        <v>45</v>
      </c>
      <c r="J365" s="194"/>
      <c r="K365" s="185"/>
      <c r="L365" s="184" t="s">
        <v>46</v>
      </c>
      <c r="M365" s="185"/>
    </row>
    <row r="366" spans="1:15" ht="13" x14ac:dyDescent="0.3">
      <c r="C366" s="14"/>
      <c r="E366" s="186"/>
      <c r="F366" s="55" t="s">
        <v>47</v>
      </c>
      <c r="G366" s="55" t="s">
        <v>48</v>
      </c>
      <c r="H366" s="56" t="s">
        <v>49</v>
      </c>
      <c r="I366" s="55" t="s">
        <v>47</v>
      </c>
      <c r="J366" s="57" t="s">
        <v>48</v>
      </c>
      <c r="K366" s="56" t="s">
        <v>49</v>
      </c>
      <c r="L366" s="188" t="s">
        <v>50</v>
      </c>
      <c r="M366" s="190" t="s">
        <v>51</v>
      </c>
    </row>
    <row r="367" spans="1:15" ht="13" x14ac:dyDescent="0.3">
      <c r="C367" s="14"/>
      <c r="E367" s="187"/>
      <c r="F367" s="58" t="s">
        <v>52</v>
      </c>
      <c r="G367" s="58"/>
      <c r="H367" s="59" t="s">
        <v>52</v>
      </c>
      <c r="I367" s="58" t="s">
        <v>52</v>
      </c>
      <c r="J367" s="59"/>
      <c r="K367" s="59" t="s">
        <v>52</v>
      </c>
      <c r="L367" s="189"/>
      <c r="M367" s="191"/>
    </row>
    <row r="368" spans="1:15" ht="13" x14ac:dyDescent="0.25">
      <c r="A368" s="14" t="str">
        <f>$E358</f>
        <v>SENTINEL LIGHTING SERVICE CLASSIFICATION</v>
      </c>
      <c r="C368" s="60"/>
      <c r="D368" s="61" t="s">
        <v>53</v>
      </c>
      <c r="E368" s="62"/>
      <c r="F368" s="63">
        <v>11.83</v>
      </c>
      <c r="G368" s="64">
        <v>130</v>
      </c>
      <c r="H368" s="65">
        <f>G368*F368</f>
        <v>1537.9</v>
      </c>
      <c r="I368" s="66">
        <v>11.83</v>
      </c>
      <c r="J368" s="67">
        <v>130</v>
      </c>
      <c r="K368" s="68">
        <f>J368*I368</f>
        <v>1537.9</v>
      </c>
      <c r="L368" s="69">
        <f t="shared" ref="L368:L389" si="56">K368-H368</f>
        <v>0</v>
      </c>
      <c r="M368" s="70">
        <f>IF(ISERROR(L368/H368), "", L368/H368)</f>
        <v>0</v>
      </c>
    </row>
    <row r="369" spans="1:13" ht="13" x14ac:dyDescent="0.25">
      <c r="A369" s="14" t="str">
        <f>A368</f>
        <v>SENTINEL LIGHTING SERVICE CLASSIFICATION</v>
      </c>
      <c r="C369" s="60"/>
      <c r="D369" s="61" t="s">
        <v>54</v>
      </c>
      <c r="E369" s="62"/>
      <c r="F369" s="71">
        <v>4.7157</v>
      </c>
      <c r="G369" s="64">
        <f>IF($E361&gt;0, $E361, $E360)</f>
        <v>1</v>
      </c>
      <c r="H369" s="65">
        <f t="shared" ref="H369:H381" si="57">G369*F369</f>
        <v>4.7157</v>
      </c>
      <c r="I369" s="72">
        <v>4.7157</v>
      </c>
      <c r="J369" s="67">
        <f>IF($E361&gt;0, $E361, $E360)</f>
        <v>1</v>
      </c>
      <c r="K369" s="68">
        <f>J369*I369</f>
        <v>4.7157</v>
      </c>
      <c r="L369" s="69">
        <f t="shared" si="56"/>
        <v>0</v>
      </c>
      <c r="M369" s="70">
        <f t="shared" ref="M369:M379" si="58">IF(ISERROR(L369/H369), "", L369/H369)</f>
        <v>0</v>
      </c>
    </row>
    <row r="370" spans="1:13" ht="13" customHeight="1" x14ac:dyDescent="0.25">
      <c r="A370" s="14" t="str">
        <f t="shared" ref="A370:A411" si="59">A369</f>
        <v>SENTINEL LIGHTING SERVICE CLASSIFICATION</v>
      </c>
      <c r="C370" s="60"/>
      <c r="D370" s="61" t="s">
        <v>55</v>
      </c>
      <c r="E370" s="62"/>
      <c r="F370" s="71"/>
      <c r="G370" s="64">
        <f>IF($E361&gt;0, $E361, $E360)</f>
        <v>1</v>
      </c>
      <c r="H370" s="65">
        <v>0</v>
      </c>
      <c r="I370" s="72"/>
      <c r="J370" s="67">
        <f>IF($E361&gt;0, $E361, $E360)</f>
        <v>1</v>
      </c>
      <c r="K370" s="68">
        <v>0</v>
      </c>
      <c r="L370" s="69"/>
      <c r="M370" s="70"/>
    </row>
    <row r="371" spans="1:13" ht="13" customHeight="1" x14ac:dyDescent="0.25">
      <c r="A371" s="14" t="str">
        <f t="shared" si="59"/>
        <v>SENTINEL LIGHTING SERVICE CLASSIFICATION</v>
      </c>
      <c r="C371" s="60"/>
      <c r="D371" s="61" t="s">
        <v>56</v>
      </c>
      <c r="E371" s="62"/>
      <c r="F371" s="71"/>
      <c r="G371" s="64">
        <f>IF($E361&gt;0, $E361, $E360)</f>
        <v>1</v>
      </c>
      <c r="H371" s="65">
        <v>0</v>
      </c>
      <c r="I371" s="72"/>
      <c r="J371" s="73">
        <f>IF($E361&gt;0, $E361, $E360)</f>
        <v>1</v>
      </c>
      <c r="K371" s="68">
        <v>0</v>
      </c>
      <c r="L371" s="69">
        <f>K371-H371</f>
        <v>0</v>
      </c>
      <c r="M371" s="70" t="str">
        <f>IF(ISERROR(L371/H371), "", L371/H371)</f>
        <v/>
      </c>
    </row>
    <row r="372" spans="1:13" ht="13" x14ac:dyDescent="0.25">
      <c r="A372" s="14" t="str">
        <f t="shared" si="59"/>
        <v>SENTINEL LIGHTING SERVICE CLASSIFICATION</v>
      </c>
      <c r="C372" s="60"/>
      <c r="D372" s="61" t="s">
        <v>57</v>
      </c>
      <c r="E372" s="62"/>
      <c r="F372" s="63">
        <v>0</v>
      </c>
      <c r="G372" s="64">
        <v>130</v>
      </c>
      <c r="H372" s="65">
        <f t="shared" si="57"/>
        <v>0</v>
      </c>
      <c r="I372" s="66">
        <v>0</v>
      </c>
      <c r="J372" s="67">
        <v>130</v>
      </c>
      <c r="K372" s="68">
        <f t="shared" ref="K372:K379" si="60">J372*I372</f>
        <v>0</v>
      </c>
      <c r="L372" s="69">
        <f t="shared" si="56"/>
        <v>0</v>
      </c>
      <c r="M372" s="70" t="str">
        <f t="shared" si="58"/>
        <v/>
      </c>
    </row>
    <row r="373" spans="1:13" ht="13" x14ac:dyDescent="0.25">
      <c r="A373" s="14" t="str">
        <f t="shared" si="59"/>
        <v>SENTINEL LIGHTING SERVICE CLASSIFICATION</v>
      </c>
      <c r="C373" s="60"/>
      <c r="D373" s="61" t="s">
        <v>58</v>
      </c>
      <c r="E373" s="62"/>
      <c r="F373" s="71">
        <v>-0.68520000000000003</v>
      </c>
      <c r="G373" s="64">
        <f>IF($E361&gt;0, $E361, $E360)</f>
        <v>1</v>
      </c>
      <c r="H373" s="65">
        <f t="shared" si="57"/>
        <v>-0.68520000000000003</v>
      </c>
      <c r="I373" s="72">
        <v>0</v>
      </c>
      <c r="J373" s="67">
        <f>IF($E361&gt;0, $E361, $E360)</f>
        <v>1</v>
      </c>
      <c r="K373" s="68">
        <f t="shared" si="60"/>
        <v>0</v>
      </c>
      <c r="L373" s="69">
        <f t="shared" si="56"/>
        <v>0.68520000000000003</v>
      </c>
      <c r="M373" s="70">
        <f t="shared" si="58"/>
        <v>-1</v>
      </c>
    </row>
    <row r="374" spans="1:13" ht="13" x14ac:dyDescent="0.25">
      <c r="A374" s="14" t="str">
        <f t="shared" si="59"/>
        <v>SENTINEL LIGHTING SERVICE CLASSIFICATION</v>
      </c>
      <c r="B374" s="14" t="s">
        <v>59</v>
      </c>
      <c r="C374" s="60">
        <f>B35</f>
        <v>6</v>
      </c>
      <c r="D374" s="74" t="s">
        <v>60</v>
      </c>
      <c r="E374" s="75"/>
      <c r="F374" s="76"/>
      <c r="G374" s="77"/>
      <c r="H374" s="78">
        <f>SUM(H368:H373)</f>
        <v>1541.9305000000002</v>
      </c>
      <c r="I374" s="79"/>
      <c r="J374" s="80"/>
      <c r="K374" s="78">
        <f>SUM(K368:K373)</f>
        <v>1542.6157000000001</v>
      </c>
      <c r="L374" s="81">
        <f t="shared" si="56"/>
        <v>0.68519999999989523</v>
      </c>
      <c r="M374" s="82">
        <f>IF((H374)=0,"",(L374/H374))</f>
        <v>4.4437800536398697E-4</v>
      </c>
    </row>
    <row r="375" spans="1:13" ht="13" x14ac:dyDescent="0.25">
      <c r="A375" s="14" t="str">
        <f t="shared" si="59"/>
        <v>SENTINEL LIGHTING SERVICE CLASSIFICATION</v>
      </c>
      <c r="C375" s="60"/>
      <c r="D375" s="83" t="s">
        <v>61</v>
      </c>
      <c r="E375" s="62"/>
      <c r="F375" s="71">
        <f>IF((E360*12&gt;=150000), 0, IF(E359="RPP",(F391*OffPeakPer+F392*MidPeakPer+F393*OnPeakPer),IF(E359="Non-RPP (Retailer)",F394,F395)))</f>
        <v>0.1076</v>
      </c>
      <c r="G375" s="84">
        <f>IF(F375=0, 0, $E360*E362-E360)</f>
        <v>40.004000000000019</v>
      </c>
      <c r="H375" s="65">
        <f>G375*F375</f>
        <v>4.304430400000002</v>
      </c>
      <c r="I375" s="72">
        <f>IF((E360*12&gt;=150000), 0, IF(E359="RPP",(I391*OffPeakPer+I392*MidPeakPer+I393*OnPeakPer),IF(E359="Non-RPP (Retailer)",I394,I395)))</f>
        <v>0.1076</v>
      </c>
      <c r="J375" s="85">
        <f>IF(I375=0, 0, E360*E363-E360)</f>
        <v>40.004000000000019</v>
      </c>
      <c r="K375" s="68">
        <f>J375*I375</f>
        <v>4.304430400000002</v>
      </c>
      <c r="L375" s="69">
        <f>K375-H375</f>
        <v>0</v>
      </c>
      <c r="M375" s="70">
        <f>IF(ISERROR(L375/H375), "", L375/H375)</f>
        <v>0</v>
      </c>
    </row>
    <row r="376" spans="1:13" ht="25" x14ac:dyDescent="0.25">
      <c r="A376" s="14" t="str">
        <f t="shared" si="59"/>
        <v>SENTINEL LIGHTING SERVICE CLASSIFICATION</v>
      </c>
      <c r="C376" s="60"/>
      <c r="D376" s="83" t="s">
        <v>62</v>
      </c>
      <c r="E376" s="62"/>
      <c r="F376" s="71">
        <v>1.0230999999999999</v>
      </c>
      <c r="G376" s="86">
        <f>IF($E361&gt;0, $E361, $E360)</f>
        <v>1</v>
      </c>
      <c r="H376" s="65">
        <f t="shared" si="57"/>
        <v>1.0230999999999999</v>
      </c>
      <c r="I376" s="72">
        <v>1.2081999999999999</v>
      </c>
      <c r="J376" s="87">
        <f>IF($E361&gt;0, $E361, $E360)</f>
        <v>1</v>
      </c>
      <c r="K376" s="68">
        <f t="shared" si="60"/>
        <v>1.2081999999999999</v>
      </c>
      <c r="L376" s="69">
        <f t="shared" si="56"/>
        <v>0.18510000000000004</v>
      </c>
      <c r="M376" s="70">
        <f t="shared" si="58"/>
        <v>0.18092073111132836</v>
      </c>
    </row>
    <row r="377" spans="1:13" ht="13" x14ac:dyDescent="0.25">
      <c r="A377" s="14" t="str">
        <f t="shared" si="59"/>
        <v>SENTINEL LIGHTING SERVICE CLASSIFICATION</v>
      </c>
      <c r="C377" s="60"/>
      <c r="D377" s="83" t="s">
        <v>63</v>
      </c>
      <c r="E377" s="62"/>
      <c r="F377" s="71">
        <v>-6.4699999999999994E-2</v>
      </c>
      <c r="G377" s="86">
        <f>IF($E361&gt;0, $E361, $E360)</f>
        <v>1</v>
      </c>
      <c r="H377" s="65">
        <f>G377*F377</f>
        <v>-6.4699999999999994E-2</v>
      </c>
      <c r="I377" s="72">
        <v>-0.1227</v>
      </c>
      <c r="J377" s="87">
        <f>IF($E361&gt;0, $E361, $E360)</f>
        <v>1</v>
      </c>
      <c r="K377" s="68">
        <f>J377*I377</f>
        <v>-0.1227</v>
      </c>
      <c r="L377" s="69">
        <f t="shared" si="56"/>
        <v>-5.800000000000001E-2</v>
      </c>
      <c r="M377" s="70">
        <f t="shared" si="58"/>
        <v>0.8964451313755798</v>
      </c>
    </row>
    <row r="378" spans="1:13" ht="13" x14ac:dyDescent="0.25">
      <c r="A378" s="14" t="str">
        <f t="shared" si="59"/>
        <v>SENTINEL LIGHTING SERVICE CLASSIFICATION</v>
      </c>
      <c r="C378" s="60"/>
      <c r="D378" s="83" t="s">
        <v>64</v>
      </c>
      <c r="E378" s="62"/>
      <c r="F378" s="71">
        <v>1.1900000000000001E-2</v>
      </c>
      <c r="G378" s="86">
        <f>E360</f>
        <v>730</v>
      </c>
      <c r="H378" s="65">
        <f>G378*F378</f>
        <v>8.6870000000000012</v>
      </c>
      <c r="I378" s="72">
        <v>-6.7000000000000002E-3</v>
      </c>
      <c r="J378" s="87">
        <f>E360</f>
        <v>730</v>
      </c>
      <c r="K378" s="68">
        <f t="shared" si="60"/>
        <v>-4.891</v>
      </c>
      <c r="L378" s="69">
        <f t="shared" si="56"/>
        <v>-13.578000000000001</v>
      </c>
      <c r="M378" s="70">
        <f t="shared" si="58"/>
        <v>-1.5630252100840336</v>
      </c>
    </row>
    <row r="379" spans="1:13" ht="13" x14ac:dyDescent="0.25">
      <c r="A379" s="14" t="str">
        <f t="shared" si="59"/>
        <v>SENTINEL LIGHTING SERVICE CLASSIFICATION</v>
      </c>
      <c r="C379" s="60"/>
      <c r="D379" s="61" t="s">
        <v>65</v>
      </c>
      <c r="E379" s="62"/>
      <c r="F379" s="71">
        <v>0.26019999999999999</v>
      </c>
      <c r="G379" s="86">
        <f>IF($E361&gt;0, $E361, $E360)</f>
        <v>1</v>
      </c>
      <c r="H379" s="65">
        <f t="shared" si="57"/>
        <v>0.26019999999999999</v>
      </c>
      <c r="I379" s="72">
        <v>0.37840000000000001</v>
      </c>
      <c r="J379" s="87">
        <f>IF($E361&gt;0, $E361, $E360)</f>
        <v>1</v>
      </c>
      <c r="K379" s="68">
        <f t="shared" si="60"/>
        <v>0.37840000000000001</v>
      </c>
      <c r="L379" s="69">
        <f t="shared" si="56"/>
        <v>0.11820000000000003</v>
      </c>
      <c r="M379" s="70">
        <f t="shared" si="58"/>
        <v>0.45426594926979258</v>
      </c>
    </row>
    <row r="380" spans="1:13" ht="13" x14ac:dyDescent="0.25">
      <c r="A380" s="14" t="str">
        <f t="shared" si="59"/>
        <v>SENTINEL LIGHTING SERVICE CLASSIFICATION</v>
      </c>
      <c r="C380" s="60"/>
      <c r="D380" s="83" t="s">
        <v>66</v>
      </c>
      <c r="E380" s="62"/>
      <c r="F380" s="88">
        <f>IF(OR(ISNUMBER(SEARCH("RESIDENTIAL", E358))=TRUE, ISNUMBER(SEARCH("GENERAL SERVICE LESS THAN 50", E358))=TRUE), SME, 0)</f>
        <v>0</v>
      </c>
      <c r="G380" s="64">
        <v>130</v>
      </c>
      <c r="H380" s="65">
        <f>G380*F380</f>
        <v>0</v>
      </c>
      <c r="I380" s="89">
        <f>IF(OR(ISNUMBER(SEARCH("RESIDENTIAL", E358))=TRUE, ISNUMBER(SEARCH("GENERAL SERVICE LESS THAN 50", E358))=TRUE), SME, 0)</f>
        <v>0</v>
      </c>
      <c r="J380" s="73">
        <v>130</v>
      </c>
      <c r="K380" s="68">
        <f>J380*I380</f>
        <v>0</v>
      </c>
      <c r="L380" s="69">
        <f t="shared" si="56"/>
        <v>0</v>
      </c>
      <c r="M380" s="70" t="str">
        <f>IF(ISERROR(L380/H380), "", L380/H380)</f>
        <v/>
      </c>
    </row>
    <row r="381" spans="1:13" ht="13" x14ac:dyDescent="0.25">
      <c r="A381" s="14" t="str">
        <f t="shared" si="59"/>
        <v>SENTINEL LIGHTING SERVICE CLASSIFICATION</v>
      </c>
      <c r="C381" s="60"/>
      <c r="D381" s="61" t="s">
        <v>67</v>
      </c>
      <c r="E381" s="62"/>
      <c r="F381" s="63">
        <v>0</v>
      </c>
      <c r="G381" s="64">
        <v>130</v>
      </c>
      <c r="H381" s="65">
        <f t="shared" si="57"/>
        <v>0</v>
      </c>
      <c r="I381" s="66">
        <v>0</v>
      </c>
      <c r="J381" s="73">
        <v>130</v>
      </c>
      <c r="K381" s="68">
        <f>J381*I381</f>
        <v>0</v>
      </c>
      <c r="L381" s="69">
        <f>K381-H381</f>
        <v>0</v>
      </c>
      <c r="M381" s="70" t="str">
        <f>IF(ISERROR(L381/H381), "", L381/H381)</f>
        <v/>
      </c>
    </row>
    <row r="382" spans="1:13" ht="13" x14ac:dyDescent="0.25">
      <c r="A382" s="14" t="str">
        <f t="shared" si="59"/>
        <v>SENTINEL LIGHTING SERVICE CLASSIFICATION</v>
      </c>
      <c r="C382" s="60"/>
      <c r="D382" s="61" t="s">
        <v>68</v>
      </c>
      <c r="E382" s="62"/>
      <c r="F382" s="71">
        <v>0</v>
      </c>
      <c r="G382" s="86">
        <f>IF($E361&gt;0, $E361, $E360)</f>
        <v>1</v>
      </c>
      <c r="H382" s="65">
        <f>G382*F382</f>
        <v>0</v>
      </c>
      <c r="I382" s="72">
        <v>0</v>
      </c>
      <c r="J382" s="87">
        <f>IF($E361&gt;0, $E361, $E360)</f>
        <v>1</v>
      </c>
      <c r="K382" s="68">
        <f>J382*I382</f>
        <v>0</v>
      </c>
      <c r="L382" s="69">
        <f t="shared" si="56"/>
        <v>0</v>
      </c>
      <c r="M382" s="70" t="str">
        <f>IF(ISERROR(L382/H382), "", L382/H382)</f>
        <v/>
      </c>
    </row>
    <row r="383" spans="1:13" ht="26" x14ac:dyDescent="0.25">
      <c r="A383" s="14" t="str">
        <f t="shared" si="59"/>
        <v>SENTINEL LIGHTING SERVICE CLASSIFICATION</v>
      </c>
      <c r="B383" s="14" t="s">
        <v>69</v>
      </c>
      <c r="C383" s="60">
        <f>B35</f>
        <v>6</v>
      </c>
      <c r="D383" s="90" t="s">
        <v>70</v>
      </c>
      <c r="E383" s="91"/>
      <c r="F383" s="92"/>
      <c r="G383" s="93"/>
      <c r="H383" s="94">
        <f>SUM(H374:H382)</f>
        <v>1556.1405304000002</v>
      </c>
      <c r="I383" s="95"/>
      <c r="J383" s="96"/>
      <c r="K383" s="94">
        <f>SUM(K374:K382)</f>
        <v>1543.4930304000002</v>
      </c>
      <c r="L383" s="81">
        <f t="shared" si="56"/>
        <v>-12.647500000000036</v>
      </c>
      <c r="M383" s="82">
        <f>IF((H383)=0,"",(L383/H383))</f>
        <v>-8.1274793329552588E-3</v>
      </c>
    </row>
    <row r="384" spans="1:13" ht="13" x14ac:dyDescent="0.25">
      <c r="A384" s="14" t="str">
        <f t="shared" si="59"/>
        <v>SENTINEL LIGHTING SERVICE CLASSIFICATION</v>
      </c>
      <c r="C384" s="60"/>
      <c r="D384" s="97" t="s">
        <v>71</v>
      </c>
      <c r="E384" s="62"/>
      <c r="F384" s="71">
        <v>2.8067000000000002</v>
      </c>
      <c r="G384" s="84">
        <f>IF($E361&gt;0, $E361, $E360*$E362)</f>
        <v>1</v>
      </c>
      <c r="H384" s="65">
        <f>G384*F384</f>
        <v>2.8067000000000002</v>
      </c>
      <c r="I384" s="98">
        <v>2.7374999999999998</v>
      </c>
      <c r="J384" s="85">
        <f>IF($E361&gt;0, $E361, $E360*$E363)</f>
        <v>1</v>
      </c>
      <c r="K384" s="68">
        <f>J384*I384</f>
        <v>2.7374999999999998</v>
      </c>
      <c r="L384" s="69">
        <f t="shared" si="56"/>
        <v>-6.9200000000000372E-2</v>
      </c>
      <c r="M384" s="70">
        <f>IF(ISERROR(L384/H384), "", L384/H384)</f>
        <v>-2.4655289129582914E-2</v>
      </c>
    </row>
    <row r="385" spans="1:13" ht="25" x14ac:dyDescent="0.25">
      <c r="A385" s="14" t="str">
        <f t="shared" si="59"/>
        <v>SENTINEL LIGHTING SERVICE CLASSIFICATION</v>
      </c>
      <c r="C385" s="60"/>
      <c r="D385" s="99" t="s">
        <v>72</v>
      </c>
      <c r="E385" s="62"/>
      <c r="F385" s="71">
        <v>2.1112000000000002</v>
      </c>
      <c r="G385" s="84">
        <f>IF($E361&gt;0, $E361, $E360*$E362)</f>
        <v>1</v>
      </c>
      <c r="H385" s="65">
        <f>G385*F385</f>
        <v>2.1112000000000002</v>
      </c>
      <c r="I385" s="98">
        <v>2.0655999999999999</v>
      </c>
      <c r="J385" s="85">
        <f>IF($E361&gt;0, $E361, $E360*$E363)</f>
        <v>1</v>
      </c>
      <c r="K385" s="68">
        <f>J385*I385</f>
        <v>2.0655999999999999</v>
      </c>
      <c r="L385" s="69">
        <f t="shared" si="56"/>
        <v>-4.5600000000000307E-2</v>
      </c>
      <c r="M385" s="70">
        <f>IF(ISERROR(L385/H385), "", L385/H385)</f>
        <v>-2.1599090564607949E-2</v>
      </c>
    </row>
    <row r="386" spans="1:13" ht="26" x14ac:dyDescent="0.25">
      <c r="A386" s="14" t="str">
        <f t="shared" si="59"/>
        <v>SENTINEL LIGHTING SERVICE CLASSIFICATION</v>
      </c>
      <c r="B386" s="14" t="s">
        <v>73</v>
      </c>
      <c r="C386" s="60">
        <f>B35</f>
        <v>6</v>
      </c>
      <c r="D386" s="90" t="s">
        <v>74</v>
      </c>
      <c r="E386" s="75"/>
      <c r="F386" s="92"/>
      <c r="G386" s="93"/>
      <c r="H386" s="94">
        <f>SUM(H383:H385)</f>
        <v>1561.0584304000004</v>
      </c>
      <c r="I386" s="95"/>
      <c r="J386" s="80"/>
      <c r="K386" s="94">
        <f>SUM(K383:K385)</f>
        <v>1548.2961304</v>
      </c>
      <c r="L386" s="81">
        <f t="shared" si="56"/>
        <v>-12.762300000000323</v>
      </c>
      <c r="M386" s="82">
        <f>IF((H386)=0,"",(L386/H386))</f>
        <v>-8.1754146747281941E-3</v>
      </c>
    </row>
    <row r="387" spans="1:13" ht="25" x14ac:dyDescent="0.25">
      <c r="A387" s="14" t="str">
        <f t="shared" si="59"/>
        <v>SENTINEL LIGHTING SERVICE CLASSIFICATION</v>
      </c>
      <c r="C387" s="60"/>
      <c r="D387" s="100" t="s">
        <v>75</v>
      </c>
      <c r="E387" s="62"/>
      <c r="F387" s="71">
        <f>IF(AND('[2]1. Information Sheet'!$F$26:$H$26&gt;='[2]18. Regulatory Charges'!$D$14,'[2]1. Information Sheet'!$F$26:$H$26&lt;'[2]18. Regulatory Charges'!$E$14),'[2]18. Regulatory Charges'!$D$15+'[2]18. Regulatory Charges'!$D$16,'[2]18. Regulatory Charges'!$E$15+'[2]18. Regulatory Charges'!$E$16)</f>
        <v>4.5000000000000005E-3</v>
      </c>
      <c r="G387" s="84">
        <f>E360*E362</f>
        <v>770.00400000000002</v>
      </c>
      <c r="H387" s="101">
        <f t="shared" ref="H387:H393" si="61">G387*F387</f>
        <v>3.4650180000000006</v>
      </c>
      <c r="I387" s="72">
        <f>'[2]18. Regulatory Charges'!$E$15+'[2]18. Regulatory Charges'!$E$16</f>
        <v>4.5000000000000005E-3</v>
      </c>
      <c r="J387" s="85">
        <f>E360*E363</f>
        <v>770.00400000000002</v>
      </c>
      <c r="K387" s="68">
        <f t="shared" ref="K387:K393" si="62">J387*I387</f>
        <v>3.4650180000000006</v>
      </c>
      <c r="L387" s="69">
        <f t="shared" si="56"/>
        <v>0</v>
      </c>
      <c r="M387" s="70">
        <f t="shared" ref="M387:M395" si="63">IF(ISERROR(L387/H387), "", L387/H387)</f>
        <v>0</v>
      </c>
    </row>
    <row r="388" spans="1:13" ht="25" x14ac:dyDescent="0.25">
      <c r="A388" s="14" t="str">
        <f t="shared" si="59"/>
        <v>SENTINEL LIGHTING SERVICE CLASSIFICATION</v>
      </c>
      <c r="C388" s="60"/>
      <c r="D388" s="100" t="s">
        <v>76</v>
      </c>
      <c r="E388" s="62"/>
      <c r="F388" s="71">
        <f>IF(AND('[2]1. Information Sheet'!$F$26:$H$26&gt;='[2]18. Regulatory Charges'!$D$14,'[2]1. Information Sheet'!$F$26:$H$26&lt;'[2]18. Regulatory Charges'!$D$14),'[2]18. Regulatory Charges'!$D$17,'[2]18. Regulatory Charges'!$E$17)</f>
        <v>6.9999999999999999E-4</v>
      </c>
      <c r="G388" s="84">
        <f>E360*E362</f>
        <v>770.00400000000002</v>
      </c>
      <c r="H388" s="101">
        <f t="shared" si="61"/>
        <v>0.5390028</v>
      </c>
      <c r="I388" s="72">
        <f>'[2]18. Regulatory Charges'!$E$17</f>
        <v>6.9999999999999999E-4</v>
      </c>
      <c r="J388" s="85">
        <f>E360*E363</f>
        <v>770.00400000000002</v>
      </c>
      <c r="K388" s="68">
        <f t="shared" si="62"/>
        <v>0.5390028</v>
      </c>
      <c r="L388" s="69">
        <f t="shared" si="56"/>
        <v>0</v>
      </c>
      <c r="M388" s="70">
        <f t="shared" si="63"/>
        <v>0</v>
      </c>
    </row>
    <row r="389" spans="1:13" ht="13" x14ac:dyDescent="0.25">
      <c r="A389" s="14" t="str">
        <f t="shared" si="59"/>
        <v>SENTINEL LIGHTING SERVICE CLASSIFICATION</v>
      </c>
      <c r="C389" s="60"/>
      <c r="D389" s="102" t="s">
        <v>77</v>
      </c>
      <c r="E389" s="62"/>
      <c r="F389" s="88">
        <f>IF(AND('[2]1. Information Sheet'!$F$26:$H$26&gt;='[2]18. Regulatory Charges'!$D$14,'[2]1. Information Sheet'!$F$26:$H$26&lt;'[2]18. Regulatory Charges'!$D$14),'[2]18. Regulatory Charges'!$D$18,'[2]18. Regulatory Charges'!$E$18)</f>
        <v>0.25</v>
      </c>
      <c r="G389" s="64">
        <v>130</v>
      </c>
      <c r="H389" s="101">
        <f t="shared" si="61"/>
        <v>32.5</v>
      </c>
      <c r="I389" s="89">
        <f>'[2]18. Regulatory Charges'!$E$18</f>
        <v>0.25</v>
      </c>
      <c r="J389" s="67">
        <v>130</v>
      </c>
      <c r="K389" s="68">
        <f t="shared" si="62"/>
        <v>32.5</v>
      </c>
      <c r="L389" s="69">
        <f t="shared" si="56"/>
        <v>0</v>
      </c>
      <c r="M389" s="70">
        <f t="shared" si="63"/>
        <v>0</v>
      </c>
    </row>
    <row r="390" spans="1:13" ht="25" customHeight="1" x14ac:dyDescent="0.25">
      <c r="A390" s="14" t="str">
        <f t="shared" si="59"/>
        <v>SENTINEL LIGHTING SERVICE CLASSIFICATION</v>
      </c>
      <c r="C390" s="60"/>
      <c r="D390" s="100" t="s">
        <v>78</v>
      </c>
      <c r="E390" s="62"/>
      <c r="F390" s="71"/>
      <c r="G390" s="84"/>
      <c r="H390" s="101"/>
      <c r="I390" s="72"/>
      <c r="J390" s="85"/>
      <c r="K390" s="68"/>
      <c r="L390" s="69"/>
      <c r="M390" s="70"/>
    </row>
    <row r="391" spans="1:13" ht="13" customHeight="1" x14ac:dyDescent="0.25">
      <c r="A391" s="14" t="str">
        <f t="shared" si="59"/>
        <v>SENTINEL LIGHTING SERVICE CLASSIFICATION</v>
      </c>
      <c r="B391" s="14" t="s">
        <v>14</v>
      </c>
      <c r="C391" s="60"/>
      <c r="D391" s="102" t="s">
        <v>79</v>
      </c>
      <c r="E391" s="62"/>
      <c r="F391" s="103">
        <f>OffPeak</f>
        <v>7.3999999999999996E-2</v>
      </c>
      <c r="G391" s="104">
        <f>IF(AND(E360*12&gt;=150000),OffPeakPer*E360*E362,OffPeakPer*E360)</f>
        <v>459.9</v>
      </c>
      <c r="H391" s="101">
        <f t="shared" si="61"/>
        <v>34.032599999999995</v>
      </c>
      <c r="I391" s="105">
        <f>OffPeak</f>
        <v>7.3999999999999996E-2</v>
      </c>
      <c r="J391" s="106">
        <f>IF(AND(E360*12&gt;=150000),OffPeakPer*E360*E363,OffPeakPer*E360)</f>
        <v>459.9</v>
      </c>
      <c r="K391" s="68">
        <f t="shared" si="62"/>
        <v>34.032599999999995</v>
      </c>
      <c r="L391" s="69">
        <f>K391-H391</f>
        <v>0</v>
      </c>
      <c r="M391" s="70">
        <f t="shared" si="63"/>
        <v>0</v>
      </c>
    </row>
    <row r="392" spans="1:13" ht="13" customHeight="1" x14ac:dyDescent="0.25">
      <c r="A392" s="14" t="str">
        <f t="shared" si="59"/>
        <v>SENTINEL LIGHTING SERVICE CLASSIFICATION</v>
      </c>
      <c r="B392" s="14" t="s">
        <v>14</v>
      </c>
      <c r="C392" s="60"/>
      <c r="D392" s="102" t="s">
        <v>80</v>
      </c>
      <c r="E392" s="62"/>
      <c r="F392" s="103">
        <f>MidPeak</f>
        <v>0.10199999999999999</v>
      </c>
      <c r="G392" s="104">
        <f>IF(AND(E360*12&gt;=150000),MidPeakPer*E360*E362,MidPeakPer*E360)</f>
        <v>131.4</v>
      </c>
      <c r="H392" s="101">
        <f t="shared" si="61"/>
        <v>13.402799999999999</v>
      </c>
      <c r="I392" s="105">
        <f>MidPeak</f>
        <v>0.10199999999999999</v>
      </c>
      <c r="J392" s="106">
        <f>IF(AND(E360*12&gt;=150000),MidPeakPer*E360*E363,MidPeakPer*E360)</f>
        <v>131.4</v>
      </c>
      <c r="K392" s="68">
        <f t="shared" si="62"/>
        <v>13.402799999999999</v>
      </c>
      <c r="L392" s="69">
        <f>K392-H392</f>
        <v>0</v>
      </c>
      <c r="M392" s="70">
        <f t="shared" si="63"/>
        <v>0</v>
      </c>
    </row>
    <row r="393" spans="1:13" ht="13" customHeight="1" x14ac:dyDescent="0.25">
      <c r="A393" s="14" t="str">
        <f t="shared" si="59"/>
        <v>SENTINEL LIGHTING SERVICE CLASSIFICATION</v>
      </c>
      <c r="B393" s="14" t="s">
        <v>14</v>
      </c>
      <c r="C393" s="60"/>
      <c r="D393" s="14" t="s">
        <v>81</v>
      </c>
      <c r="E393" s="62"/>
      <c r="F393" s="103">
        <f>OnPeak</f>
        <v>0.151</v>
      </c>
      <c r="G393" s="104">
        <f>IF(AND(E360*12&gt;=150000),OnPeakPer*E360*E362,OnPeakPer*E360)</f>
        <v>138.69999999999999</v>
      </c>
      <c r="H393" s="101">
        <f t="shared" si="61"/>
        <v>20.943699999999996</v>
      </c>
      <c r="I393" s="105">
        <f>OnPeak</f>
        <v>0.151</v>
      </c>
      <c r="J393" s="106">
        <f>IF(AND(E360*12&gt;=150000),OnPeakPer*E360*E363,OnPeakPer*E360)</f>
        <v>138.69999999999999</v>
      </c>
      <c r="K393" s="68">
        <f t="shared" si="62"/>
        <v>20.943699999999996</v>
      </c>
      <c r="L393" s="69">
        <f>K393-H393</f>
        <v>0</v>
      </c>
      <c r="M393" s="70">
        <f t="shared" si="63"/>
        <v>0</v>
      </c>
    </row>
    <row r="394" spans="1:13" ht="13" customHeight="1" x14ac:dyDescent="0.25">
      <c r="A394" s="14" t="str">
        <f t="shared" si="59"/>
        <v>SENTINEL LIGHTING SERVICE CLASSIFICATION</v>
      </c>
      <c r="B394" s="14" t="s">
        <v>24</v>
      </c>
      <c r="C394" s="60"/>
      <c r="D394" s="102" t="s">
        <v>82</v>
      </c>
      <c r="E394" s="62"/>
      <c r="F394" s="107">
        <v>0.1076</v>
      </c>
      <c r="G394" s="104">
        <f>IF(AND(E360*12&gt;=150000),E360*E362,E360)</f>
        <v>730</v>
      </c>
      <c r="H394" s="101">
        <f>G394*F394</f>
        <v>78.548000000000002</v>
      </c>
      <c r="I394" s="108">
        <f>F394</f>
        <v>0.1076</v>
      </c>
      <c r="J394" s="106">
        <f>IF(AND(E360*12&gt;=150000),E360*E363,E360)</f>
        <v>730</v>
      </c>
      <c r="K394" s="68">
        <f>J394*I394</f>
        <v>78.548000000000002</v>
      </c>
      <c r="L394" s="69">
        <f>K394-H394</f>
        <v>0</v>
      </c>
      <c r="M394" s="70">
        <f t="shared" si="63"/>
        <v>0</v>
      </c>
    </row>
    <row r="395" spans="1:13" ht="13.5" thickBot="1" x14ac:dyDescent="0.3">
      <c r="A395" s="14" t="str">
        <f t="shared" si="59"/>
        <v>SENTINEL LIGHTING SERVICE CLASSIFICATION</v>
      </c>
      <c r="B395" s="14" t="s">
        <v>18</v>
      </c>
      <c r="C395" s="60"/>
      <c r="D395" s="102" t="s">
        <v>83</v>
      </c>
      <c r="E395" s="62"/>
      <c r="F395" s="107">
        <v>0.1076</v>
      </c>
      <c r="G395" s="104">
        <f>IF(AND(E360*12&gt;=150000),E360*E362,E360)</f>
        <v>730</v>
      </c>
      <c r="H395" s="101">
        <f>G395*F395</f>
        <v>78.548000000000002</v>
      </c>
      <c r="I395" s="108">
        <f>F395</f>
        <v>0.1076</v>
      </c>
      <c r="J395" s="106">
        <f>IF(AND(E360*12&gt;=150000),E360*E363,E360)</f>
        <v>730</v>
      </c>
      <c r="K395" s="68">
        <f>J395*I395</f>
        <v>78.548000000000002</v>
      </c>
      <c r="L395" s="69">
        <f>K395-H395</f>
        <v>0</v>
      </c>
      <c r="M395" s="70">
        <f t="shared" si="63"/>
        <v>0</v>
      </c>
    </row>
    <row r="396" spans="1:13" ht="13" thickBot="1" x14ac:dyDescent="0.3">
      <c r="A396" s="14" t="str">
        <f t="shared" si="59"/>
        <v>SENTINEL LIGHTING SERVICE CLASSIFICATION</v>
      </c>
      <c r="C396" s="60"/>
      <c r="D396" s="109"/>
      <c r="E396" s="110"/>
      <c r="F396" s="111"/>
      <c r="G396" s="112"/>
      <c r="H396" s="113"/>
      <c r="I396" s="111"/>
      <c r="J396" s="114"/>
      <c r="K396" s="113"/>
      <c r="L396" s="115"/>
      <c r="M396" s="116"/>
    </row>
    <row r="397" spans="1:13" ht="13" customHeight="1" x14ac:dyDescent="0.25">
      <c r="A397" s="14" t="str">
        <f t="shared" si="59"/>
        <v>SENTINEL LIGHTING SERVICE CLASSIFICATION</v>
      </c>
      <c r="B397" s="14" t="s">
        <v>14</v>
      </c>
      <c r="C397" s="60"/>
      <c r="D397" s="117" t="s">
        <v>84</v>
      </c>
      <c r="E397" s="102"/>
      <c r="F397" s="118"/>
      <c r="G397" s="119"/>
      <c r="H397" s="120">
        <f>SUM(H387:H393,H386)</f>
        <v>1665.9415512000003</v>
      </c>
      <c r="I397" s="121"/>
      <c r="J397" s="121"/>
      <c r="K397" s="120">
        <f>SUM(K387:K393,K386)</f>
        <v>1653.1792512</v>
      </c>
      <c r="L397" s="122">
        <f>K397-H397</f>
        <v>-12.762300000000323</v>
      </c>
      <c r="M397" s="123">
        <f>IF((H397)=0,"",(L397/H397))</f>
        <v>-7.6607129408636605E-3</v>
      </c>
    </row>
    <row r="398" spans="1:13" ht="12.65" customHeight="1" x14ac:dyDescent="0.25">
      <c r="A398" s="14" t="str">
        <f t="shared" si="59"/>
        <v>SENTINEL LIGHTING SERVICE CLASSIFICATION</v>
      </c>
      <c r="B398" s="14" t="s">
        <v>14</v>
      </c>
      <c r="C398" s="60"/>
      <c r="D398" s="124" t="s">
        <v>85</v>
      </c>
      <c r="E398" s="102"/>
      <c r="F398" s="118">
        <v>0.13</v>
      </c>
      <c r="G398" s="125"/>
      <c r="H398" s="126">
        <f>H397*F398</f>
        <v>216.57240165600004</v>
      </c>
      <c r="I398" s="127">
        <v>0.13</v>
      </c>
      <c r="J398" s="64"/>
      <c r="K398" s="126">
        <f>K397*I398</f>
        <v>214.91330265600001</v>
      </c>
      <c r="L398" s="69">
        <f>K398-H398</f>
        <v>-1.6590990000000261</v>
      </c>
      <c r="M398" s="128">
        <f>IF((H398)=0,"",(L398/H398))</f>
        <v>-7.6607129408635868E-3</v>
      </c>
    </row>
    <row r="399" spans="1:13" ht="14.5" customHeight="1" x14ac:dyDescent="0.35">
      <c r="A399" s="14" t="str">
        <f t="shared" si="59"/>
        <v>SENTINEL LIGHTING SERVICE CLASSIFICATION</v>
      </c>
      <c r="B399" s="14" t="s">
        <v>14</v>
      </c>
      <c r="C399" s="60"/>
      <c r="D399" s="124" t="s">
        <v>86</v>
      </c>
      <c r="E399"/>
      <c r="F399" s="129">
        <v>0.11700000000000001</v>
      </c>
      <c r="G399" s="125"/>
      <c r="H399" s="126">
        <f>IF(OR(ISNUMBER(SEARCH("[DGEN]", E358))=TRUE, ISNUMBER(SEARCH("STREET LIGHT", E358))=TRUE), 0, IF(AND(E360=0, E361=0),0, IF(AND(E361=0, E360*12&gt;250000), 0, IF(AND(E360=0, E361&gt;=50), 0, IF(E360*12&lt;=250000, F399*H397*-1, IF(E361&lt;50, F399*H397*-1, 0))))))</f>
        <v>-194.91516149040004</v>
      </c>
      <c r="I399" s="129">
        <v>0.11700000000000001</v>
      </c>
      <c r="J399" s="64"/>
      <c r="K399" s="126">
        <f>IF(OR(ISNUMBER(SEARCH("[DGEN]", E358))=TRUE, ISNUMBER(SEARCH("STREET LIGHT", E358))=TRUE), 0, IF(AND(E360=0, E361=0),0, IF(AND(E361=0, E360*12&gt;250000), 0, IF(AND(E360=0, E361&gt;=50), 0, IF(E360*12&lt;=250000, I399*K397*-1, IF(E361&lt;50, I399*K397*-1, 0))))))</f>
        <v>-193.42197239040001</v>
      </c>
      <c r="L399" s="69">
        <f>K399-H399</f>
        <v>1.4931891000000235</v>
      </c>
      <c r="M399" s="128"/>
    </row>
    <row r="400" spans="1:13" ht="13" customHeight="1" thickBot="1" x14ac:dyDescent="0.3">
      <c r="A400" s="14" t="str">
        <f t="shared" si="59"/>
        <v>SENTINEL LIGHTING SERVICE CLASSIFICATION</v>
      </c>
      <c r="B400" s="14" t="s">
        <v>87</v>
      </c>
      <c r="C400" s="60"/>
      <c r="D400" s="195" t="s">
        <v>88</v>
      </c>
      <c r="E400" s="195"/>
      <c r="F400" s="130"/>
      <c r="G400" s="131"/>
      <c r="H400" s="132">
        <f>H397+H398+H399</f>
        <v>1687.5987913656002</v>
      </c>
      <c r="I400" s="133"/>
      <c r="J400" s="133"/>
      <c r="K400" s="134">
        <f>K397+K398+K399</f>
        <v>1674.6705814656</v>
      </c>
      <c r="L400" s="135">
        <f>K400-H400</f>
        <v>-12.928209900000184</v>
      </c>
      <c r="M400" s="136">
        <f>IF((H400)=0,"",(L400/H400))</f>
        <v>-7.6607129408635764E-3</v>
      </c>
    </row>
    <row r="401" spans="1:15" ht="13" customHeight="1" thickBot="1" x14ac:dyDescent="0.3">
      <c r="A401" s="14" t="str">
        <f t="shared" si="59"/>
        <v>SENTINEL LIGHTING SERVICE CLASSIFICATION</v>
      </c>
      <c r="B401" s="14" t="s">
        <v>14</v>
      </c>
      <c r="C401" s="60"/>
      <c r="D401" s="109"/>
      <c r="E401" s="110"/>
      <c r="F401" s="111"/>
      <c r="G401" s="112"/>
      <c r="H401" s="113"/>
      <c r="I401" s="111"/>
      <c r="J401" s="114"/>
      <c r="K401" s="113"/>
      <c r="L401" s="115"/>
      <c r="M401" s="116"/>
    </row>
    <row r="402" spans="1:15" ht="13" customHeight="1" x14ac:dyDescent="0.25">
      <c r="A402" s="14" t="str">
        <f t="shared" si="59"/>
        <v>SENTINEL LIGHTING SERVICE CLASSIFICATION</v>
      </c>
      <c r="B402" s="14" t="s">
        <v>24</v>
      </c>
      <c r="C402" s="60"/>
      <c r="D402" s="117" t="s">
        <v>89</v>
      </c>
      <c r="E402" s="102"/>
      <c r="F402" s="118"/>
      <c r="G402" s="119"/>
      <c r="H402" s="120">
        <f>SUM(H394,H387:H390,H386)</f>
        <v>1676.1104512000004</v>
      </c>
      <c r="I402" s="121"/>
      <c r="J402" s="121"/>
      <c r="K402" s="120">
        <f>SUM(K394,K387:K390,K386)</f>
        <v>1663.3481512000001</v>
      </c>
      <c r="L402" s="122">
        <f>K402-H402</f>
        <v>-12.762300000000323</v>
      </c>
      <c r="M402" s="123">
        <f>IF((H402)=0,"",(L402/H402))</f>
        <v>-7.6142356793153084E-3</v>
      </c>
    </row>
    <row r="403" spans="1:15" ht="12.65" customHeight="1" x14ac:dyDescent="0.25">
      <c r="A403" s="14" t="str">
        <f t="shared" si="59"/>
        <v>SENTINEL LIGHTING SERVICE CLASSIFICATION</v>
      </c>
      <c r="B403" s="14" t="s">
        <v>24</v>
      </c>
      <c r="C403" s="60"/>
      <c r="D403" s="124" t="s">
        <v>85</v>
      </c>
      <c r="E403" s="102"/>
      <c r="F403" s="118">
        <v>0.13</v>
      </c>
      <c r="G403" s="119"/>
      <c r="H403" s="126">
        <f>H402*F403</f>
        <v>217.89435865600007</v>
      </c>
      <c r="I403" s="118">
        <v>0.13</v>
      </c>
      <c r="J403" s="127"/>
      <c r="K403" s="126">
        <f>K402*I403</f>
        <v>216.23525965600001</v>
      </c>
      <c r="L403" s="69">
        <f>K403-H403</f>
        <v>-1.6590990000000545</v>
      </c>
      <c r="M403" s="128">
        <f>IF((H403)=0,"",(L403/H403))</f>
        <v>-7.6142356793153657E-3</v>
      </c>
    </row>
    <row r="404" spans="1:15" ht="14.5" customHeight="1" x14ac:dyDescent="0.35">
      <c r="A404" s="14" t="str">
        <f t="shared" si="59"/>
        <v>SENTINEL LIGHTING SERVICE CLASSIFICATION</v>
      </c>
      <c r="B404" s="14" t="s">
        <v>24</v>
      </c>
      <c r="C404" s="60"/>
      <c r="D404" s="124" t="s">
        <v>86</v>
      </c>
      <c r="E404"/>
      <c r="F404" s="129">
        <v>0.11700000000000001</v>
      </c>
      <c r="G404" s="119"/>
      <c r="H404" s="126">
        <f>IF(OR(ISNUMBER(SEARCH("[DGEN]", E358))=TRUE, ISNUMBER(SEARCH("STREET LIGHT", E358))=TRUE), 0, IF(AND(E360=0, E361=0),0, IF(AND(E361=0, E360*12&gt;250000), 0, IF(AND(E360=0, E361&gt;=50), 0, IF(E360*12&lt;=250000, F404*H402*-1, IF(E361&lt;50, F404*H402*-1, 0))))))</f>
        <v>-196.10492279040005</v>
      </c>
      <c r="I404" s="129">
        <v>0.11700000000000001</v>
      </c>
      <c r="J404" s="127"/>
      <c r="K404" s="126">
        <f>IF(OR(ISNUMBER(SEARCH("[DGEN]", E358))=TRUE, ISNUMBER(SEARCH("STREET LIGHT", E358))=TRUE), 0, IF(AND(E360=0, E361=0),0, IF(AND(E361=0, E360*12&gt;250000), 0, IF(AND(E360=0, E361&gt;=50), 0, IF(E360*12&lt;=250000, I404*K402*-1, IF(E361&lt;50, I404*K402*-1, 0))))))</f>
        <v>-194.61173369040003</v>
      </c>
      <c r="L404" s="69"/>
      <c r="M404" s="128"/>
    </row>
    <row r="405" spans="1:15" ht="13" customHeight="1" thickBot="1" x14ac:dyDescent="0.3">
      <c r="A405" s="14" t="str">
        <f t="shared" si="59"/>
        <v>SENTINEL LIGHTING SERVICE CLASSIFICATION</v>
      </c>
      <c r="B405" s="14" t="s">
        <v>90</v>
      </c>
      <c r="C405" s="60"/>
      <c r="D405" s="195" t="s">
        <v>89</v>
      </c>
      <c r="E405" s="195"/>
      <c r="F405" s="137"/>
      <c r="G405" s="138"/>
      <c r="H405" s="132">
        <f>SUM(H402,H403)</f>
        <v>1894.0048098560005</v>
      </c>
      <c r="I405" s="139"/>
      <c r="J405" s="139"/>
      <c r="K405" s="132">
        <f>SUM(K402,K403)</f>
        <v>1879.583410856</v>
      </c>
      <c r="L405" s="140">
        <f>K405-H405</f>
        <v>-14.42139900000052</v>
      </c>
      <c r="M405" s="141">
        <f>IF((H405)=0,"",(L405/H405))</f>
        <v>-7.61423567931539E-3</v>
      </c>
    </row>
    <row r="406" spans="1:15" ht="13" customHeight="1" thickBot="1" x14ac:dyDescent="0.3">
      <c r="A406" s="14" t="str">
        <f t="shared" si="59"/>
        <v>SENTINEL LIGHTING SERVICE CLASSIFICATION</v>
      </c>
      <c r="B406" s="14" t="s">
        <v>24</v>
      </c>
      <c r="C406" s="60"/>
      <c r="D406" s="109"/>
      <c r="E406" s="110"/>
      <c r="F406" s="142"/>
      <c r="G406" s="143"/>
      <c r="H406" s="144"/>
      <c r="I406" s="142"/>
      <c r="J406" s="112"/>
      <c r="K406" s="144"/>
      <c r="L406" s="145"/>
      <c r="M406" s="116"/>
    </row>
    <row r="407" spans="1:15" ht="13" x14ac:dyDescent="0.25">
      <c r="A407" s="14" t="str">
        <f t="shared" si="59"/>
        <v>SENTINEL LIGHTING SERVICE CLASSIFICATION</v>
      </c>
      <c r="B407" s="14" t="s">
        <v>18</v>
      </c>
      <c r="C407" s="60"/>
      <c r="D407" s="117" t="s">
        <v>91</v>
      </c>
      <c r="E407" s="102"/>
      <c r="F407" s="118"/>
      <c r="G407" s="119"/>
      <c r="H407" s="120">
        <f>SUM(H395,H387:H390,H386)</f>
        <v>1676.1104512000004</v>
      </c>
      <c r="I407" s="121"/>
      <c r="J407" s="121"/>
      <c r="K407" s="120">
        <f>SUM(K395,K387:K390,K386)</f>
        <v>1663.3481512000001</v>
      </c>
      <c r="L407" s="122">
        <f>K407-H407</f>
        <v>-12.762300000000323</v>
      </c>
      <c r="M407" s="123">
        <f>IF((H407)=0,"",(L407/H407))</f>
        <v>-7.6142356793153084E-3</v>
      </c>
    </row>
    <row r="408" spans="1:15" x14ac:dyDescent="0.25">
      <c r="A408" s="14" t="str">
        <f t="shared" si="59"/>
        <v>SENTINEL LIGHTING SERVICE CLASSIFICATION</v>
      </c>
      <c r="B408" s="14" t="s">
        <v>18</v>
      </c>
      <c r="C408" s="60"/>
      <c r="D408" s="124" t="s">
        <v>85</v>
      </c>
      <c r="E408" s="102"/>
      <c r="F408" s="118">
        <v>0.13</v>
      </c>
      <c r="G408" s="119"/>
      <c r="H408" s="126">
        <f>H407*F408</f>
        <v>217.89435865600007</v>
      </c>
      <c r="I408" s="118">
        <v>0.13</v>
      </c>
      <c r="J408" s="127"/>
      <c r="K408" s="126">
        <f>K407*I408</f>
        <v>216.23525965600001</v>
      </c>
      <c r="L408" s="69">
        <f>K408-H408</f>
        <v>-1.6590990000000545</v>
      </c>
      <c r="M408" s="128">
        <f>IF((H408)=0,"",(L408/H408))</f>
        <v>-7.6142356793153657E-3</v>
      </c>
    </row>
    <row r="409" spans="1:15" ht="14.5" x14ac:dyDescent="0.35">
      <c r="A409" s="14" t="str">
        <f t="shared" si="59"/>
        <v>SENTINEL LIGHTING SERVICE CLASSIFICATION</v>
      </c>
      <c r="B409" s="14" t="s">
        <v>18</v>
      </c>
      <c r="C409" s="60"/>
      <c r="D409" s="124" t="s">
        <v>86</v>
      </c>
      <c r="E409"/>
      <c r="F409" s="129">
        <v>0.11700000000000001</v>
      </c>
      <c r="G409" s="119"/>
      <c r="H409" s="126">
        <f>IF(OR(ISNUMBER(SEARCH("[DGEN]", E358))=TRUE, ISNUMBER(SEARCH("STREET LIGHT", E358))=TRUE), 0, IF(AND(E360=0, E361=0),0, IF(AND(E361=0, E360*12&gt;250000), 0, IF(AND(E360=0, E361&gt;=50), 0, IF(E360*12&lt;=250000, F409*H407*-1, IF(E361&lt;50, F409*H407*-1, 0))))))</f>
        <v>-196.10492279040005</v>
      </c>
      <c r="I409" s="129">
        <v>0.11700000000000001</v>
      </c>
      <c r="J409" s="127"/>
      <c r="K409" s="126">
        <f>IF(OR(ISNUMBER(SEARCH("[DGEN]", E358))=TRUE, ISNUMBER(SEARCH("STREET LIGHT", E358))=TRUE), 0, IF(AND(E360=0, E361=0),0, IF(AND(E361=0, E360*12&gt;250000), 0, IF(AND(E360=0, E361&gt;=50), 0, IF(E360*12&lt;=250000, I409*K407*-1, IF(E361&lt;50, I409*K407*-1, 0))))))</f>
        <v>-194.61173369040003</v>
      </c>
      <c r="L409" s="69"/>
      <c r="M409" s="128"/>
    </row>
    <row r="410" spans="1:15" ht="13.5" thickBot="1" x14ac:dyDescent="0.3">
      <c r="A410" s="14" t="str">
        <f t="shared" si="59"/>
        <v>SENTINEL LIGHTING SERVICE CLASSIFICATION</v>
      </c>
      <c r="B410" s="14" t="s">
        <v>92</v>
      </c>
      <c r="C410" s="60">
        <f>B35</f>
        <v>6</v>
      </c>
      <c r="D410" s="195" t="s">
        <v>91</v>
      </c>
      <c r="E410" s="195"/>
      <c r="F410" s="137"/>
      <c r="G410" s="138"/>
      <c r="H410" s="132">
        <f>SUM(H407,H408)</f>
        <v>1894.0048098560005</v>
      </c>
      <c r="I410" s="139"/>
      <c r="J410" s="139"/>
      <c r="K410" s="132">
        <f>SUM(K407,K408)</f>
        <v>1879.583410856</v>
      </c>
      <c r="L410" s="140">
        <f>K410-H410</f>
        <v>-14.42139900000052</v>
      </c>
      <c r="M410" s="141">
        <f>IF((H410)=0,"",(L410/H410))</f>
        <v>-7.61423567931539E-3</v>
      </c>
    </row>
    <row r="411" spans="1:15" ht="13" thickBot="1" x14ac:dyDescent="0.3">
      <c r="A411" s="14" t="str">
        <f t="shared" si="59"/>
        <v>SENTINEL LIGHTING SERVICE CLASSIFICATION</v>
      </c>
      <c r="B411" s="14" t="s">
        <v>18</v>
      </c>
      <c r="C411" s="60"/>
      <c r="D411" s="109"/>
      <c r="E411" s="110"/>
      <c r="F411" s="146"/>
      <c r="G411" s="143"/>
      <c r="H411" s="147"/>
      <c r="I411" s="146"/>
      <c r="J411" s="112"/>
      <c r="K411" s="147"/>
      <c r="L411" s="145"/>
      <c r="M411" s="148"/>
    </row>
    <row r="414" spans="1:15" ht="13" x14ac:dyDescent="0.25">
      <c r="C414" s="14"/>
      <c r="D414" s="46" t="s">
        <v>38</v>
      </c>
      <c r="E414" s="192" t="str">
        <f>D36</f>
        <v>STREET LIGHTING SERVICE CLASSIFICATION</v>
      </c>
      <c r="F414" s="192"/>
      <c r="G414" s="192"/>
      <c r="H414" s="192"/>
      <c r="I414" s="192"/>
      <c r="J414" s="192"/>
      <c r="K414" s="14" t="str">
        <f>IF(N36="DEMAND - INTERVAL","RTSR - INTERVAL METERED","")</f>
        <v/>
      </c>
      <c r="O414" s="14" t="s">
        <v>26</v>
      </c>
    </row>
    <row r="415" spans="1:15" ht="13" x14ac:dyDescent="0.25">
      <c r="C415" s="14"/>
      <c r="D415" s="46" t="s">
        <v>39</v>
      </c>
      <c r="E415" s="193" t="str">
        <f>H36</f>
        <v>Non-RPP (Other)</v>
      </c>
      <c r="F415" s="193"/>
      <c r="G415" s="193"/>
      <c r="H415" s="47"/>
      <c r="I415" s="47"/>
    </row>
    <row r="416" spans="1:15" ht="15.5" x14ac:dyDescent="0.3">
      <c r="C416" s="14"/>
      <c r="D416" s="46" t="s">
        <v>40</v>
      </c>
      <c r="E416" s="48">
        <f>K36</f>
        <v>1095000</v>
      </c>
      <c r="F416" s="49" t="s">
        <v>36</v>
      </c>
      <c r="J416" s="50"/>
      <c r="K416" s="50"/>
      <c r="L416" s="50"/>
      <c r="M416" s="50"/>
    </row>
    <row r="417" spans="1:13" ht="15.5" x14ac:dyDescent="0.35">
      <c r="C417" s="14"/>
      <c r="D417" s="46" t="s">
        <v>41</v>
      </c>
      <c r="E417" s="48">
        <f>L36</f>
        <v>1500</v>
      </c>
      <c r="F417" s="51" t="s">
        <v>37</v>
      </c>
      <c r="G417" s="52"/>
      <c r="H417" s="53"/>
      <c r="I417" s="53"/>
      <c r="J417" s="53"/>
    </row>
    <row r="418" spans="1:13" ht="13" x14ac:dyDescent="0.3">
      <c r="C418" s="14"/>
      <c r="D418" s="46" t="s">
        <v>42</v>
      </c>
      <c r="E418" s="54">
        <f>I36</f>
        <v>1.0548</v>
      </c>
    </row>
    <row r="419" spans="1:13" ht="13" x14ac:dyDescent="0.3">
      <c r="C419" s="14"/>
      <c r="D419" s="46" t="s">
        <v>43</v>
      </c>
      <c r="E419" s="54">
        <f>J36</f>
        <v>1.0548</v>
      </c>
    </row>
    <row r="420" spans="1:13" x14ac:dyDescent="0.25">
      <c r="C420" s="14"/>
    </row>
    <row r="421" spans="1:13" ht="13" x14ac:dyDescent="0.3">
      <c r="C421" s="14"/>
      <c r="E421" s="49"/>
      <c r="F421" s="184" t="s">
        <v>44</v>
      </c>
      <c r="G421" s="194"/>
      <c r="H421" s="185"/>
      <c r="I421" s="184" t="s">
        <v>45</v>
      </c>
      <c r="J421" s="194"/>
      <c r="K421" s="185"/>
      <c r="L421" s="184" t="s">
        <v>46</v>
      </c>
      <c r="M421" s="185"/>
    </row>
    <row r="422" spans="1:13" ht="13" x14ac:dyDescent="0.3">
      <c r="C422" s="14"/>
      <c r="E422" s="186"/>
      <c r="F422" s="55" t="s">
        <v>47</v>
      </c>
      <c r="G422" s="55" t="s">
        <v>48</v>
      </c>
      <c r="H422" s="56" t="s">
        <v>49</v>
      </c>
      <c r="I422" s="55" t="s">
        <v>47</v>
      </c>
      <c r="J422" s="57" t="s">
        <v>48</v>
      </c>
      <c r="K422" s="56" t="s">
        <v>49</v>
      </c>
      <c r="L422" s="188" t="s">
        <v>50</v>
      </c>
      <c r="M422" s="190" t="s">
        <v>51</v>
      </c>
    </row>
    <row r="423" spans="1:13" ht="13" x14ac:dyDescent="0.3">
      <c r="C423" s="14"/>
      <c r="E423" s="187"/>
      <c r="F423" s="58" t="s">
        <v>52</v>
      </c>
      <c r="G423" s="58"/>
      <c r="H423" s="59" t="s">
        <v>52</v>
      </c>
      <c r="I423" s="58" t="s">
        <v>52</v>
      </c>
      <c r="J423" s="59"/>
      <c r="K423" s="59" t="s">
        <v>52</v>
      </c>
      <c r="L423" s="189"/>
      <c r="M423" s="191"/>
    </row>
    <row r="424" spans="1:13" ht="13" x14ac:dyDescent="0.25">
      <c r="A424" s="14" t="str">
        <f>$E414</f>
        <v>STREET LIGHTING SERVICE CLASSIFICATION</v>
      </c>
      <c r="C424" s="60"/>
      <c r="D424" s="61" t="s">
        <v>53</v>
      </c>
      <c r="E424" s="62"/>
      <c r="F424" s="63">
        <v>3.22</v>
      </c>
      <c r="G424" s="64">
        <v>7</v>
      </c>
      <c r="H424" s="65">
        <f>G424*F424</f>
        <v>22.540000000000003</v>
      </c>
      <c r="I424" s="66">
        <v>3.22</v>
      </c>
      <c r="J424" s="67">
        <v>7</v>
      </c>
      <c r="K424" s="68">
        <f>J424*I424</f>
        <v>22.540000000000003</v>
      </c>
      <c r="L424" s="69">
        <f t="shared" ref="L424:L445" si="64">K424-H424</f>
        <v>0</v>
      </c>
      <c r="M424" s="70">
        <f>IF(ISERROR(L424/H424), "", L424/H424)</f>
        <v>0</v>
      </c>
    </row>
    <row r="425" spans="1:13" ht="13" x14ac:dyDescent="0.25">
      <c r="A425" s="14" t="str">
        <f>A424</f>
        <v>STREET LIGHTING SERVICE CLASSIFICATION</v>
      </c>
      <c r="C425" s="60"/>
      <c r="D425" s="61" t="s">
        <v>54</v>
      </c>
      <c r="E425" s="62"/>
      <c r="F425" s="71">
        <v>13.4579</v>
      </c>
      <c r="G425" s="64">
        <f>IF($E417&gt;0, $E417, $E416)</f>
        <v>1500</v>
      </c>
      <c r="H425" s="65">
        <f t="shared" ref="H425:H437" si="65">G425*F425</f>
        <v>20186.850000000002</v>
      </c>
      <c r="I425" s="72">
        <v>13.4579</v>
      </c>
      <c r="J425" s="67">
        <f>IF($E417&gt;0, $E417, $E416)</f>
        <v>1500</v>
      </c>
      <c r="K425" s="68">
        <f>J425*I425</f>
        <v>20186.850000000002</v>
      </c>
      <c r="L425" s="69">
        <f t="shared" si="64"/>
        <v>0</v>
      </c>
      <c r="M425" s="70">
        <f t="shared" ref="M425:M435" si="66">IF(ISERROR(L425/H425), "", L425/H425)</f>
        <v>0</v>
      </c>
    </row>
    <row r="426" spans="1:13" ht="13" customHeight="1" x14ac:dyDescent="0.25">
      <c r="A426" s="14" t="str">
        <f t="shared" ref="A426:A467" si="67">A425</f>
        <v>STREET LIGHTING SERVICE CLASSIFICATION</v>
      </c>
      <c r="C426" s="60"/>
      <c r="D426" s="61" t="s">
        <v>55</v>
      </c>
      <c r="E426" s="62"/>
      <c r="F426" s="71"/>
      <c r="G426" s="64">
        <f>IF($E417&gt;0, $E417, $E416)</f>
        <v>1500</v>
      </c>
      <c r="H426" s="65">
        <v>0</v>
      </c>
      <c r="I426" s="72"/>
      <c r="J426" s="67">
        <f>IF($E417&gt;0, $E417, $E416)</f>
        <v>1500</v>
      </c>
      <c r="K426" s="68">
        <v>0</v>
      </c>
      <c r="L426" s="69"/>
      <c r="M426" s="70"/>
    </row>
    <row r="427" spans="1:13" ht="13" customHeight="1" x14ac:dyDescent="0.25">
      <c r="A427" s="14" t="str">
        <f t="shared" si="67"/>
        <v>STREET LIGHTING SERVICE CLASSIFICATION</v>
      </c>
      <c r="C427" s="60"/>
      <c r="D427" s="61" t="s">
        <v>56</v>
      </c>
      <c r="E427" s="62"/>
      <c r="F427" s="71"/>
      <c r="G427" s="64">
        <f>IF($E417&gt;0, $E417, $E416)</f>
        <v>1500</v>
      </c>
      <c r="H427" s="65">
        <v>0</v>
      </c>
      <c r="I427" s="72"/>
      <c r="J427" s="73">
        <f>IF($E417&gt;0, $E417, $E416)</f>
        <v>1500</v>
      </c>
      <c r="K427" s="68">
        <v>0</v>
      </c>
      <c r="L427" s="69">
        <f>K427-H427</f>
        <v>0</v>
      </c>
      <c r="M427" s="70" t="str">
        <f>IF(ISERROR(L427/H427), "", L427/H427)</f>
        <v/>
      </c>
    </row>
    <row r="428" spans="1:13" ht="13" x14ac:dyDescent="0.25">
      <c r="A428" s="14" t="str">
        <f t="shared" si="67"/>
        <v>STREET LIGHTING SERVICE CLASSIFICATION</v>
      </c>
      <c r="C428" s="60"/>
      <c r="D428" s="61" t="s">
        <v>57</v>
      </c>
      <c r="E428" s="62"/>
      <c r="F428" s="63">
        <v>0</v>
      </c>
      <c r="G428" s="64">
        <v>7</v>
      </c>
      <c r="H428" s="65">
        <f t="shared" si="65"/>
        <v>0</v>
      </c>
      <c r="I428" s="66">
        <v>0</v>
      </c>
      <c r="J428" s="67">
        <v>7</v>
      </c>
      <c r="K428" s="68">
        <f t="shared" ref="K428:K435" si="68">J428*I428</f>
        <v>0</v>
      </c>
      <c r="L428" s="69">
        <f t="shared" si="64"/>
        <v>0</v>
      </c>
      <c r="M428" s="70" t="str">
        <f t="shared" si="66"/>
        <v/>
      </c>
    </row>
    <row r="429" spans="1:13" ht="13" x14ac:dyDescent="0.25">
      <c r="A429" s="14" t="str">
        <f t="shared" si="67"/>
        <v>STREET LIGHTING SERVICE CLASSIFICATION</v>
      </c>
      <c r="C429" s="60"/>
      <c r="D429" s="61" t="s">
        <v>58</v>
      </c>
      <c r="E429" s="62"/>
      <c r="F429" s="71">
        <v>-0.54139999999999999</v>
      </c>
      <c r="G429" s="64">
        <f>IF($E417&gt;0, $E417, $E416)</f>
        <v>1500</v>
      </c>
      <c r="H429" s="65">
        <f t="shared" si="65"/>
        <v>-812.1</v>
      </c>
      <c r="I429" s="72">
        <v>0</v>
      </c>
      <c r="J429" s="67">
        <f>IF($E417&gt;0, $E417, $E416)</f>
        <v>1500</v>
      </c>
      <c r="K429" s="68">
        <f t="shared" si="68"/>
        <v>0</v>
      </c>
      <c r="L429" s="69">
        <f t="shared" si="64"/>
        <v>812.1</v>
      </c>
      <c r="M429" s="70">
        <f t="shared" si="66"/>
        <v>-1</v>
      </c>
    </row>
    <row r="430" spans="1:13" ht="13" x14ac:dyDescent="0.25">
      <c r="A430" s="14" t="str">
        <f t="shared" si="67"/>
        <v>STREET LIGHTING SERVICE CLASSIFICATION</v>
      </c>
      <c r="B430" s="14" t="s">
        <v>59</v>
      </c>
      <c r="C430" s="60">
        <f>B36</f>
        <v>7</v>
      </c>
      <c r="D430" s="74" t="s">
        <v>60</v>
      </c>
      <c r="E430" s="75"/>
      <c r="F430" s="76"/>
      <c r="G430" s="77"/>
      <c r="H430" s="78">
        <f>SUM(H424:H429)</f>
        <v>19397.290000000005</v>
      </c>
      <c r="I430" s="79"/>
      <c r="J430" s="80"/>
      <c r="K430" s="78">
        <f>SUM(K424:K429)</f>
        <v>20209.390000000003</v>
      </c>
      <c r="L430" s="81">
        <f t="shared" si="64"/>
        <v>812.09999999999854</v>
      </c>
      <c r="M430" s="82">
        <f>IF((H430)=0,"",(L430/H430))</f>
        <v>4.1866673128050279E-2</v>
      </c>
    </row>
    <row r="431" spans="1:13" ht="13" x14ac:dyDescent="0.25">
      <c r="A431" s="14" t="str">
        <f t="shared" si="67"/>
        <v>STREET LIGHTING SERVICE CLASSIFICATION</v>
      </c>
      <c r="C431" s="60"/>
      <c r="D431" s="83" t="s">
        <v>61</v>
      </c>
      <c r="E431" s="62"/>
      <c r="F431" s="71">
        <f>IF((E416*12&gt;=150000), 0, IF(E415="RPP",(F447*OffPeakPer+F448*MidPeakPer+F449*OnPeakPer),IF(E415="Non-RPP (Retailer)",F450,F451)))</f>
        <v>0</v>
      </c>
      <c r="G431" s="84">
        <f>IF(F431=0, 0, $E416*E418-E416)</f>
        <v>0</v>
      </c>
      <c r="H431" s="65">
        <f>G431*F431</f>
        <v>0</v>
      </c>
      <c r="I431" s="72">
        <f>IF((E416*12&gt;=150000), 0, IF(E415="RPP",(I447*OffPeakPer+I448*MidPeakPer+I449*OnPeakPer),IF(E415="Non-RPP (Retailer)",I450,I451)))</f>
        <v>0</v>
      </c>
      <c r="J431" s="85">
        <f>IF(I431=0, 0, E416*E419-E416)</f>
        <v>0</v>
      </c>
      <c r="K431" s="68">
        <f>J431*I431</f>
        <v>0</v>
      </c>
      <c r="L431" s="69">
        <f>K431-H431</f>
        <v>0</v>
      </c>
      <c r="M431" s="70" t="str">
        <f>IF(ISERROR(L431/H431), "", L431/H431)</f>
        <v/>
      </c>
    </row>
    <row r="432" spans="1:13" ht="25" x14ac:dyDescent="0.25">
      <c r="A432" s="14" t="str">
        <f t="shared" si="67"/>
        <v>STREET LIGHTING SERVICE CLASSIFICATION</v>
      </c>
      <c r="C432" s="60"/>
      <c r="D432" s="83" t="s">
        <v>62</v>
      </c>
      <c r="E432" s="62"/>
      <c r="F432" s="71">
        <v>-0.2079</v>
      </c>
      <c r="G432" s="86">
        <f>IF($E417&gt;0, $E417, $E416)</f>
        <v>1500</v>
      </c>
      <c r="H432" s="65">
        <f t="shared" si="65"/>
        <v>-311.85000000000002</v>
      </c>
      <c r="I432" s="72">
        <v>1.3340000000000001</v>
      </c>
      <c r="J432" s="87">
        <f>IF($E417&gt;0, $E417, $E416)</f>
        <v>1500</v>
      </c>
      <c r="K432" s="68">
        <f t="shared" si="68"/>
        <v>2001</v>
      </c>
      <c r="L432" s="69">
        <f t="shared" si="64"/>
        <v>2312.85</v>
      </c>
      <c r="M432" s="70">
        <f t="shared" si="66"/>
        <v>-7.4165464165464154</v>
      </c>
    </row>
    <row r="433" spans="1:13" ht="13" x14ac:dyDescent="0.25">
      <c r="A433" s="14" t="str">
        <f t="shared" si="67"/>
        <v>STREET LIGHTING SERVICE CLASSIFICATION</v>
      </c>
      <c r="C433" s="60"/>
      <c r="D433" s="83" t="s">
        <v>63</v>
      </c>
      <c r="E433" s="62"/>
      <c r="F433" s="71">
        <v>-4.9500000000000002E-2</v>
      </c>
      <c r="G433" s="86">
        <f>IF($E417&gt;0, $E417, $E416)</f>
        <v>1500</v>
      </c>
      <c r="H433" s="65">
        <f>G433*F433</f>
        <v>-74.25</v>
      </c>
      <c r="I433" s="72">
        <v>-0.13569999999999999</v>
      </c>
      <c r="J433" s="87">
        <f>IF($E417&gt;0, $E417, $E416)</f>
        <v>1500</v>
      </c>
      <c r="K433" s="68">
        <f>J433*I433</f>
        <v>-203.54999999999998</v>
      </c>
      <c r="L433" s="69">
        <f t="shared" si="64"/>
        <v>-129.29999999999998</v>
      </c>
      <c r="M433" s="70">
        <f t="shared" si="66"/>
        <v>1.7414141414141411</v>
      </c>
    </row>
    <row r="434" spans="1:13" ht="13" x14ac:dyDescent="0.25">
      <c r="A434" s="14" t="str">
        <f t="shared" si="67"/>
        <v>STREET LIGHTING SERVICE CLASSIFICATION</v>
      </c>
      <c r="C434" s="60"/>
      <c r="D434" s="83" t="s">
        <v>64</v>
      </c>
      <c r="E434" s="62"/>
      <c r="F434" s="71">
        <v>5.7000000000000002E-3</v>
      </c>
      <c r="G434" s="86">
        <f>E416</f>
        <v>1095000</v>
      </c>
      <c r="H434" s="65">
        <f>G434*F434</f>
        <v>6241.5</v>
      </c>
      <c r="I434" s="72">
        <v>-6.7000000000000002E-3</v>
      </c>
      <c r="J434" s="87">
        <f>E416</f>
        <v>1095000</v>
      </c>
      <c r="K434" s="68">
        <f t="shared" si="68"/>
        <v>-7336.5</v>
      </c>
      <c r="L434" s="69">
        <f t="shared" si="64"/>
        <v>-13578</v>
      </c>
      <c r="M434" s="70">
        <f t="shared" si="66"/>
        <v>-2.1754385964912282</v>
      </c>
    </row>
    <row r="435" spans="1:13" ht="13" x14ac:dyDescent="0.25">
      <c r="A435" s="14" t="str">
        <f t="shared" si="67"/>
        <v>STREET LIGHTING SERVICE CLASSIFICATION</v>
      </c>
      <c r="C435" s="60"/>
      <c r="D435" s="61" t="s">
        <v>65</v>
      </c>
      <c r="E435" s="62"/>
      <c r="F435" s="71">
        <v>0.25409999999999999</v>
      </c>
      <c r="G435" s="86">
        <f>IF($E417&gt;0, $E417, $E416)</f>
        <v>1500</v>
      </c>
      <c r="H435" s="65">
        <f t="shared" si="65"/>
        <v>381.15</v>
      </c>
      <c r="I435" s="72">
        <v>0.25790000000000002</v>
      </c>
      <c r="J435" s="87">
        <f>IF($E417&gt;0, $E417, $E416)</f>
        <v>1500</v>
      </c>
      <c r="K435" s="68">
        <f t="shared" si="68"/>
        <v>386.85</v>
      </c>
      <c r="L435" s="69">
        <f t="shared" si="64"/>
        <v>5.7000000000000455</v>
      </c>
      <c r="M435" s="70">
        <f t="shared" si="66"/>
        <v>1.495474222746962E-2</v>
      </c>
    </row>
    <row r="436" spans="1:13" ht="13" x14ac:dyDescent="0.25">
      <c r="A436" s="14" t="str">
        <f t="shared" si="67"/>
        <v>STREET LIGHTING SERVICE CLASSIFICATION</v>
      </c>
      <c r="C436" s="60"/>
      <c r="D436" s="83" t="s">
        <v>66</v>
      </c>
      <c r="E436" s="62"/>
      <c r="F436" s="88">
        <f>IF(OR(ISNUMBER(SEARCH("RESIDENTIAL", E414))=TRUE, ISNUMBER(SEARCH("GENERAL SERVICE LESS THAN 50", E414))=TRUE), SME, 0)</f>
        <v>0</v>
      </c>
      <c r="G436" s="64">
        <v>7</v>
      </c>
      <c r="H436" s="65">
        <f>G436*F436</f>
        <v>0</v>
      </c>
      <c r="I436" s="89">
        <f>IF(OR(ISNUMBER(SEARCH("RESIDENTIAL", E414))=TRUE, ISNUMBER(SEARCH("GENERAL SERVICE LESS THAN 50", E414))=TRUE), SME, 0)</f>
        <v>0</v>
      </c>
      <c r="J436" s="73">
        <v>7</v>
      </c>
      <c r="K436" s="68">
        <f>J436*I436</f>
        <v>0</v>
      </c>
      <c r="L436" s="69">
        <f t="shared" si="64"/>
        <v>0</v>
      </c>
      <c r="M436" s="70" t="str">
        <f>IF(ISERROR(L436/H436), "", L436/H436)</f>
        <v/>
      </c>
    </row>
    <row r="437" spans="1:13" ht="13" x14ac:dyDescent="0.25">
      <c r="A437" s="14" t="str">
        <f t="shared" si="67"/>
        <v>STREET LIGHTING SERVICE CLASSIFICATION</v>
      </c>
      <c r="C437" s="60"/>
      <c r="D437" s="61" t="s">
        <v>67</v>
      </c>
      <c r="E437" s="62"/>
      <c r="F437" s="63">
        <v>0</v>
      </c>
      <c r="G437" s="64">
        <v>7</v>
      </c>
      <c r="H437" s="65">
        <f t="shared" si="65"/>
        <v>0</v>
      </c>
      <c r="I437" s="66">
        <v>0</v>
      </c>
      <c r="J437" s="73">
        <v>7</v>
      </c>
      <c r="K437" s="68">
        <f>J437*I437</f>
        <v>0</v>
      </c>
      <c r="L437" s="69">
        <f>K437-H437</f>
        <v>0</v>
      </c>
      <c r="M437" s="70" t="str">
        <f>IF(ISERROR(L437/H437), "", L437/H437)</f>
        <v/>
      </c>
    </row>
    <row r="438" spans="1:13" ht="13" x14ac:dyDescent="0.25">
      <c r="A438" s="14" t="str">
        <f t="shared" si="67"/>
        <v>STREET LIGHTING SERVICE CLASSIFICATION</v>
      </c>
      <c r="C438" s="60"/>
      <c r="D438" s="61" t="s">
        <v>68</v>
      </c>
      <c r="E438" s="62"/>
      <c r="F438" s="71">
        <v>0</v>
      </c>
      <c r="G438" s="86">
        <f>IF($E417&gt;0, $E417, $E416)</f>
        <v>1500</v>
      </c>
      <c r="H438" s="65">
        <f>G438*F438</f>
        <v>0</v>
      </c>
      <c r="I438" s="72">
        <v>0</v>
      </c>
      <c r="J438" s="87">
        <f>IF($E417&gt;0, $E417, $E416)</f>
        <v>1500</v>
      </c>
      <c r="K438" s="68">
        <f>J438*I438</f>
        <v>0</v>
      </c>
      <c r="L438" s="69">
        <f t="shared" si="64"/>
        <v>0</v>
      </c>
      <c r="M438" s="70" t="str">
        <f>IF(ISERROR(L438/H438), "", L438/H438)</f>
        <v/>
      </c>
    </row>
    <row r="439" spans="1:13" ht="26" x14ac:dyDescent="0.25">
      <c r="A439" s="14" t="str">
        <f t="shared" si="67"/>
        <v>STREET LIGHTING SERVICE CLASSIFICATION</v>
      </c>
      <c r="B439" s="14" t="s">
        <v>69</v>
      </c>
      <c r="C439" s="60">
        <f>B36</f>
        <v>7</v>
      </c>
      <c r="D439" s="90" t="s">
        <v>70</v>
      </c>
      <c r="E439" s="91"/>
      <c r="F439" s="92"/>
      <c r="G439" s="93"/>
      <c r="H439" s="94">
        <f>SUM(H430:H438)</f>
        <v>25633.840000000007</v>
      </c>
      <c r="I439" s="95"/>
      <c r="J439" s="96"/>
      <c r="K439" s="94">
        <f>SUM(K430:K438)</f>
        <v>15057.190000000004</v>
      </c>
      <c r="L439" s="81">
        <f t="shared" si="64"/>
        <v>-10576.650000000003</v>
      </c>
      <c r="M439" s="82">
        <f>IF((H439)=0,"",(L439/H439))</f>
        <v>-0.41260497841915217</v>
      </c>
    </row>
    <row r="440" spans="1:13" ht="13" x14ac:dyDescent="0.25">
      <c r="A440" s="14" t="str">
        <f t="shared" si="67"/>
        <v>STREET LIGHTING SERVICE CLASSIFICATION</v>
      </c>
      <c r="C440" s="60"/>
      <c r="D440" s="97" t="s">
        <v>71</v>
      </c>
      <c r="E440" s="62"/>
      <c r="F440" s="71">
        <v>2.786</v>
      </c>
      <c r="G440" s="84">
        <f>IF($E417&gt;0, $E417, $E416*$E418)</f>
        <v>1500</v>
      </c>
      <c r="H440" s="65">
        <f>G440*F440</f>
        <v>4179</v>
      </c>
      <c r="I440" s="98">
        <v>2.7174</v>
      </c>
      <c r="J440" s="85">
        <f>IF($E417&gt;0, $E417, $E416*$E419)</f>
        <v>1500</v>
      </c>
      <c r="K440" s="68">
        <f>J440*I440</f>
        <v>4076.1</v>
      </c>
      <c r="L440" s="69">
        <f t="shared" si="64"/>
        <v>-102.90000000000009</v>
      </c>
      <c r="M440" s="70">
        <f>IF(ISERROR(L440/H440), "", L440/H440)</f>
        <v>-2.462311557788947E-2</v>
      </c>
    </row>
    <row r="441" spans="1:13" ht="25" x14ac:dyDescent="0.25">
      <c r="A441" s="14" t="str">
        <f t="shared" si="67"/>
        <v>STREET LIGHTING SERVICE CLASSIFICATION</v>
      </c>
      <c r="C441" s="60"/>
      <c r="D441" s="99" t="s">
        <v>72</v>
      </c>
      <c r="E441" s="62"/>
      <c r="F441" s="71">
        <v>2.0617999999999999</v>
      </c>
      <c r="G441" s="84">
        <f>IF($E417&gt;0, $E417, $E416*$E418)</f>
        <v>1500</v>
      </c>
      <c r="H441" s="65">
        <f>G441*F441</f>
        <v>3092.7</v>
      </c>
      <c r="I441" s="98">
        <v>2.0173000000000001</v>
      </c>
      <c r="J441" s="85">
        <f>IF($E417&gt;0, $E417, $E416*$E419)</f>
        <v>1500</v>
      </c>
      <c r="K441" s="68">
        <f>J441*I441</f>
        <v>3025.9500000000003</v>
      </c>
      <c r="L441" s="69">
        <f t="shared" si="64"/>
        <v>-66.749999999999545</v>
      </c>
      <c r="M441" s="70">
        <f>IF(ISERROR(L441/H441), "", L441/H441)</f>
        <v>-2.1583082743233922E-2</v>
      </c>
    </row>
    <row r="442" spans="1:13" ht="26" x14ac:dyDescent="0.25">
      <c r="A442" s="14" t="str">
        <f t="shared" si="67"/>
        <v>STREET LIGHTING SERVICE CLASSIFICATION</v>
      </c>
      <c r="B442" s="14" t="s">
        <v>73</v>
      </c>
      <c r="C442" s="60">
        <f>B36</f>
        <v>7</v>
      </c>
      <c r="D442" s="90" t="s">
        <v>74</v>
      </c>
      <c r="E442" s="75"/>
      <c r="F442" s="92"/>
      <c r="G442" s="93"/>
      <c r="H442" s="94">
        <f>SUM(H439:H441)</f>
        <v>32905.540000000008</v>
      </c>
      <c r="I442" s="95"/>
      <c r="J442" s="80"/>
      <c r="K442" s="94">
        <f>SUM(K439:K441)</f>
        <v>22159.240000000005</v>
      </c>
      <c r="L442" s="81">
        <f t="shared" si="64"/>
        <v>-10746.300000000003</v>
      </c>
      <c r="M442" s="82">
        <f>IF((H442)=0,"",(L442/H442))</f>
        <v>-0.32658026581542199</v>
      </c>
    </row>
    <row r="443" spans="1:13" ht="25" x14ac:dyDescent="0.25">
      <c r="A443" s="14" t="str">
        <f t="shared" si="67"/>
        <v>STREET LIGHTING SERVICE CLASSIFICATION</v>
      </c>
      <c r="C443" s="60"/>
      <c r="D443" s="100" t="s">
        <v>75</v>
      </c>
      <c r="E443" s="62"/>
      <c r="F443" s="71">
        <f>IF(AND('[2]1. Information Sheet'!$F$26:$H$26&gt;='[2]18. Regulatory Charges'!$D$14,'[2]1. Information Sheet'!$F$26:$H$26&lt;'[2]18. Regulatory Charges'!$E$14),'[2]18. Regulatory Charges'!$D$15+'[2]18. Regulatory Charges'!$D$16,'[2]18. Regulatory Charges'!$E$15+'[2]18. Regulatory Charges'!$E$16)</f>
        <v>4.5000000000000005E-3</v>
      </c>
      <c r="G443" s="84">
        <f>E416*E418</f>
        <v>1155006</v>
      </c>
      <c r="H443" s="101">
        <f t="shared" ref="H443:H449" si="69">G443*F443</f>
        <v>5197.527000000001</v>
      </c>
      <c r="I443" s="72">
        <f>'[2]18. Regulatory Charges'!$E$15+'[2]18. Regulatory Charges'!$E$16</f>
        <v>4.5000000000000005E-3</v>
      </c>
      <c r="J443" s="85">
        <f>E416*E419</f>
        <v>1155006</v>
      </c>
      <c r="K443" s="68">
        <f t="shared" ref="K443:K449" si="70">J443*I443</f>
        <v>5197.527000000001</v>
      </c>
      <c r="L443" s="69">
        <f t="shared" si="64"/>
        <v>0</v>
      </c>
      <c r="M443" s="70">
        <f t="shared" ref="M443:M451" si="71">IF(ISERROR(L443/H443), "", L443/H443)</f>
        <v>0</v>
      </c>
    </row>
    <row r="444" spans="1:13" ht="25" x14ac:dyDescent="0.25">
      <c r="A444" s="14" t="str">
        <f t="shared" si="67"/>
        <v>STREET LIGHTING SERVICE CLASSIFICATION</v>
      </c>
      <c r="C444" s="60"/>
      <c r="D444" s="100" t="s">
        <v>76</v>
      </c>
      <c r="E444" s="62"/>
      <c r="F444" s="71">
        <f>IF(AND('[2]1. Information Sheet'!$F$26:$H$26&gt;='[2]18. Regulatory Charges'!$D$14,'[2]1. Information Sheet'!$F$26:$H$26&lt;'[2]18. Regulatory Charges'!$D$14),'[2]18. Regulatory Charges'!$D$17,'[2]18. Regulatory Charges'!$E$17)</f>
        <v>6.9999999999999999E-4</v>
      </c>
      <c r="G444" s="84">
        <f>E416*E418</f>
        <v>1155006</v>
      </c>
      <c r="H444" s="101">
        <f t="shared" si="69"/>
        <v>808.50419999999997</v>
      </c>
      <c r="I444" s="72">
        <f>'[2]18. Regulatory Charges'!$E$17</f>
        <v>6.9999999999999999E-4</v>
      </c>
      <c r="J444" s="85">
        <f>E416*E419</f>
        <v>1155006</v>
      </c>
      <c r="K444" s="68">
        <f t="shared" si="70"/>
        <v>808.50419999999997</v>
      </c>
      <c r="L444" s="69">
        <f t="shared" si="64"/>
        <v>0</v>
      </c>
      <c r="M444" s="70">
        <f t="shared" si="71"/>
        <v>0</v>
      </c>
    </row>
    <row r="445" spans="1:13" ht="13" x14ac:dyDescent="0.25">
      <c r="A445" s="14" t="str">
        <f t="shared" si="67"/>
        <v>STREET LIGHTING SERVICE CLASSIFICATION</v>
      </c>
      <c r="C445" s="60"/>
      <c r="D445" s="102" t="s">
        <v>77</v>
      </c>
      <c r="E445" s="62"/>
      <c r="F445" s="88">
        <f>IF(AND('[2]1. Information Sheet'!$F$26:$H$26&gt;='[2]18. Regulatory Charges'!$D$14,'[2]1. Information Sheet'!$F$26:$H$26&lt;'[2]18. Regulatory Charges'!$D$14),'[2]18. Regulatory Charges'!$D$18,'[2]18. Regulatory Charges'!$E$18)</f>
        <v>0.25</v>
      </c>
      <c r="G445" s="64">
        <v>7</v>
      </c>
      <c r="H445" s="101">
        <f t="shared" si="69"/>
        <v>1.75</v>
      </c>
      <c r="I445" s="89">
        <f>'[2]18. Regulatory Charges'!$E$18</f>
        <v>0.25</v>
      </c>
      <c r="J445" s="67">
        <v>7</v>
      </c>
      <c r="K445" s="68">
        <f t="shared" si="70"/>
        <v>1.75</v>
      </c>
      <c r="L445" s="69">
        <f t="shared" si="64"/>
        <v>0</v>
      </c>
      <c r="M445" s="70">
        <f t="shared" si="71"/>
        <v>0</v>
      </c>
    </row>
    <row r="446" spans="1:13" ht="25" customHeight="1" x14ac:dyDescent="0.25">
      <c r="A446" s="14" t="str">
        <f t="shared" si="67"/>
        <v>STREET LIGHTING SERVICE CLASSIFICATION</v>
      </c>
      <c r="C446" s="60"/>
      <c r="D446" s="100" t="s">
        <v>78</v>
      </c>
      <c r="E446" s="62"/>
      <c r="F446" s="71"/>
      <c r="G446" s="84"/>
      <c r="H446" s="101"/>
      <c r="I446" s="72"/>
      <c r="J446" s="85"/>
      <c r="K446" s="68"/>
      <c r="L446" s="69"/>
      <c r="M446" s="70"/>
    </row>
    <row r="447" spans="1:13" ht="13" customHeight="1" x14ac:dyDescent="0.25">
      <c r="A447" s="14" t="str">
        <f t="shared" si="67"/>
        <v>STREET LIGHTING SERVICE CLASSIFICATION</v>
      </c>
      <c r="B447" s="14" t="s">
        <v>14</v>
      </c>
      <c r="C447" s="60"/>
      <c r="D447" s="102" t="s">
        <v>79</v>
      </c>
      <c r="E447" s="62"/>
      <c r="F447" s="103">
        <f>OffPeak</f>
        <v>7.3999999999999996E-2</v>
      </c>
      <c r="G447" s="104">
        <f>IF(AND(E416*12&gt;=150000),OffPeakPer*E416*E418,OffPeakPer*E416)</f>
        <v>727653.78</v>
      </c>
      <c r="H447" s="101">
        <f t="shared" si="69"/>
        <v>53846.379719999997</v>
      </c>
      <c r="I447" s="105">
        <f>OffPeak</f>
        <v>7.3999999999999996E-2</v>
      </c>
      <c r="J447" s="106">
        <f>IF(AND(E416*12&gt;=150000),OffPeakPer*E416*E419,OffPeakPer*E416)</f>
        <v>727653.78</v>
      </c>
      <c r="K447" s="68">
        <f t="shared" si="70"/>
        <v>53846.379719999997</v>
      </c>
      <c r="L447" s="69">
        <f>K447-H447</f>
        <v>0</v>
      </c>
      <c r="M447" s="70">
        <f t="shared" si="71"/>
        <v>0</v>
      </c>
    </row>
    <row r="448" spans="1:13" ht="13" customHeight="1" x14ac:dyDescent="0.25">
      <c r="A448" s="14" t="str">
        <f t="shared" si="67"/>
        <v>STREET LIGHTING SERVICE CLASSIFICATION</v>
      </c>
      <c r="B448" s="14" t="s">
        <v>14</v>
      </c>
      <c r="C448" s="60"/>
      <c r="D448" s="102" t="s">
        <v>80</v>
      </c>
      <c r="E448" s="62"/>
      <c r="F448" s="103">
        <f>MidPeak</f>
        <v>0.10199999999999999</v>
      </c>
      <c r="G448" s="104">
        <f>IF(AND(E416*12&gt;=150000),MidPeakPer*E416*E418,MidPeakPer*E416)</f>
        <v>207901.08</v>
      </c>
      <c r="H448" s="101">
        <f t="shared" si="69"/>
        <v>21205.910159999996</v>
      </c>
      <c r="I448" s="105">
        <f>MidPeak</f>
        <v>0.10199999999999999</v>
      </c>
      <c r="J448" s="106">
        <f>IF(AND(E416*12&gt;=150000),MidPeakPer*E416*E419,MidPeakPer*E416)</f>
        <v>207901.08</v>
      </c>
      <c r="K448" s="68">
        <f t="shared" si="70"/>
        <v>21205.910159999996</v>
      </c>
      <c r="L448" s="69">
        <f>K448-H448</f>
        <v>0</v>
      </c>
      <c r="M448" s="70">
        <f t="shared" si="71"/>
        <v>0</v>
      </c>
    </row>
    <row r="449" spans="1:13" ht="13" customHeight="1" x14ac:dyDescent="0.25">
      <c r="A449" s="14" t="str">
        <f t="shared" si="67"/>
        <v>STREET LIGHTING SERVICE CLASSIFICATION</v>
      </c>
      <c r="B449" s="14" t="s">
        <v>14</v>
      </c>
      <c r="C449" s="60"/>
      <c r="D449" s="14" t="s">
        <v>81</v>
      </c>
      <c r="E449" s="62"/>
      <c r="F449" s="103">
        <f>OnPeak</f>
        <v>0.151</v>
      </c>
      <c r="G449" s="104">
        <f>IF(AND(E416*12&gt;=150000),OnPeakPer*E416*E418,OnPeakPer*E416)</f>
        <v>219451.13999999998</v>
      </c>
      <c r="H449" s="101">
        <f t="shared" si="69"/>
        <v>33137.122139999999</v>
      </c>
      <c r="I449" s="105">
        <f>OnPeak</f>
        <v>0.151</v>
      </c>
      <c r="J449" s="106">
        <f>IF(AND(E416*12&gt;=150000),OnPeakPer*E416*E419,OnPeakPer*E416)</f>
        <v>219451.13999999998</v>
      </c>
      <c r="K449" s="68">
        <f t="shared" si="70"/>
        <v>33137.122139999999</v>
      </c>
      <c r="L449" s="69">
        <f>K449-H449</f>
        <v>0</v>
      </c>
      <c r="M449" s="70">
        <f t="shared" si="71"/>
        <v>0</v>
      </c>
    </row>
    <row r="450" spans="1:13" ht="13" customHeight="1" x14ac:dyDescent="0.25">
      <c r="A450" s="14" t="str">
        <f t="shared" si="67"/>
        <v>STREET LIGHTING SERVICE CLASSIFICATION</v>
      </c>
      <c r="B450" s="14" t="s">
        <v>24</v>
      </c>
      <c r="C450" s="60"/>
      <c r="D450" s="102" t="s">
        <v>82</v>
      </c>
      <c r="E450" s="62"/>
      <c r="F450" s="107">
        <v>0.1076</v>
      </c>
      <c r="G450" s="104">
        <f>IF(AND(E416*12&gt;=150000),E416*E418,E416)</f>
        <v>1155006</v>
      </c>
      <c r="H450" s="101">
        <f>G450*F450</f>
        <v>124278.6456</v>
      </c>
      <c r="I450" s="108">
        <f>F450</f>
        <v>0.1076</v>
      </c>
      <c r="J450" s="106">
        <f>IF(AND(E416*12&gt;=150000),E416*E419,E416)</f>
        <v>1155006</v>
      </c>
      <c r="K450" s="68">
        <f>J450*I450</f>
        <v>124278.6456</v>
      </c>
      <c r="L450" s="69">
        <f>K450-H450</f>
        <v>0</v>
      </c>
      <c r="M450" s="70">
        <f t="shared" si="71"/>
        <v>0</v>
      </c>
    </row>
    <row r="451" spans="1:13" ht="13.5" thickBot="1" x14ac:dyDescent="0.3">
      <c r="A451" s="14" t="str">
        <f t="shared" si="67"/>
        <v>STREET LIGHTING SERVICE CLASSIFICATION</v>
      </c>
      <c r="B451" s="14" t="s">
        <v>18</v>
      </c>
      <c r="C451" s="60"/>
      <c r="D451" s="102" t="s">
        <v>83</v>
      </c>
      <c r="E451" s="62"/>
      <c r="F451" s="107">
        <v>0.1076</v>
      </c>
      <c r="G451" s="104">
        <f>IF(AND(E416*12&gt;=150000),E416*E418,E416)</f>
        <v>1155006</v>
      </c>
      <c r="H451" s="101">
        <f>G451*F451</f>
        <v>124278.6456</v>
      </c>
      <c r="I451" s="108">
        <f>F451</f>
        <v>0.1076</v>
      </c>
      <c r="J451" s="106">
        <f>IF(AND(E416*12&gt;=150000),E416*E419,E416)</f>
        <v>1155006</v>
      </c>
      <c r="K451" s="68">
        <f>J451*I451</f>
        <v>124278.6456</v>
      </c>
      <c r="L451" s="69">
        <f>K451-H451</f>
        <v>0</v>
      </c>
      <c r="M451" s="70">
        <f t="shared" si="71"/>
        <v>0</v>
      </c>
    </row>
    <row r="452" spans="1:13" ht="13" thickBot="1" x14ac:dyDescent="0.3">
      <c r="A452" s="14" t="str">
        <f t="shared" si="67"/>
        <v>STREET LIGHTING SERVICE CLASSIFICATION</v>
      </c>
      <c r="C452" s="60"/>
      <c r="D452" s="109"/>
      <c r="E452" s="110"/>
      <c r="F452" s="111"/>
      <c r="G452" s="112"/>
      <c r="H452" s="113"/>
      <c r="I452" s="111"/>
      <c r="J452" s="114"/>
      <c r="K452" s="113"/>
      <c r="L452" s="115"/>
      <c r="M452" s="116"/>
    </row>
    <row r="453" spans="1:13" ht="13" customHeight="1" x14ac:dyDescent="0.25">
      <c r="A453" s="14" t="str">
        <f t="shared" si="67"/>
        <v>STREET LIGHTING SERVICE CLASSIFICATION</v>
      </c>
      <c r="B453" s="14" t="s">
        <v>14</v>
      </c>
      <c r="C453" s="60"/>
      <c r="D453" s="117" t="s">
        <v>84</v>
      </c>
      <c r="E453" s="102"/>
      <c r="F453" s="118"/>
      <c r="G453" s="119"/>
      <c r="H453" s="120">
        <f>SUM(H443:H449,H442)</f>
        <v>147102.73321999999</v>
      </c>
      <c r="I453" s="121"/>
      <c r="J453" s="121"/>
      <c r="K453" s="120">
        <f>SUM(K443:K449,K442)</f>
        <v>136356.43322000001</v>
      </c>
      <c r="L453" s="122">
        <f>K453-H453</f>
        <v>-10746.299999999988</v>
      </c>
      <c r="M453" s="123">
        <f>IF((H453)=0,"",(L453/H453))</f>
        <v>-7.3053027396359271E-2</v>
      </c>
    </row>
    <row r="454" spans="1:13" ht="12.65" customHeight="1" x14ac:dyDescent="0.25">
      <c r="A454" s="14" t="str">
        <f t="shared" si="67"/>
        <v>STREET LIGHTING SERVICE CLASSIFICATION</v>
      </c>
      <c r="B454" s="14" t="s">
        <v>14</v>
      </c>
      <c r="C454" s="60"/>
      <c r="D454" s="124" t="s">
        <v>85</v>
      </c>
      <c r="E454" s="102"/>
      <c r="F454" s="118">
        <v>0.13</v>
      </c>
      <c r="G454" s="125"/>
      <c r="H454" s="126">
        <f>H453*F454</f>
        <v>19123.355318599999</v>
      </c>
      <c r="I454" s="127">
        <v>0.13</v>
      </c>
      <c r="J454" s="64"/>
      <c r="K454" s="126">
        <f>K453*I454</f>
        <v>17726.336318600002</v>
      </c>
      <c r="L454" s="69">
        <f>K454-H454</f>
        <v>-1397.0189999999966</v>
      </c>
      <c r="M454" s="128">
        <f>IF((H454)=0,"",(L454/H454))</f>
        <v>-7.3053027396359174E-2</v>
      </c>
    </row>
    <row r="455" spans="1:13" ht="14.5" customHeight="1" x14ac:dyDescent="0.35">
      <c r="A455" s="14" t="str">
        <f t="shared" si="67"/>
        <v>STREET LIGHTING SERVICE CLASSIFICATION</v>
      </c>
      <c r="B455" s="14" t="s">
        <v>14</v>
      </c>
      <c r="C455" s="60"/>
      <c r="D455" s="124" t="s">
        <v>86</v>
      </c>
      <c r="E455"/>
      <c r="F455" s="129">
        <v>0.11700000000000001</v>
      </c>
      <c r="G455" s="125"/>
      <c r="H455" s="126">
        <f>IF(OR(ISNUMBER(SEARCH("[DGEN]", E414))=TRUE, ISNUMBER(SEARCH("STREET LIGHT", E414))=TRUE), 0, IF(AND(E416=0, E417=0),0, IF(AND(E417=0, E416*12&gt;250000), 0, IF(AND(E416=0, E417&gt;=50), 0, IF(E416*12&lt;=250000, F455*H453*-1, IF(E417&lt;50, F455*H453*-1, 0))))))</f>
        <v>0</v>
      </c>
      <c r="I455" s="129">
        <v>0.11700000000000001</v>
      </c>
      <c r="J455" s="64"/>
      <c r="K455" s="126">
        <f>IF(OR(ISNUMBER(SEARCH("[DGEN]", E414))=TRUE, ISNUMBER(SEARCH("STREET LIGHT", E414))=TRUE), 0, IF(AND(E416=0, E417=0),0, IF(AND(E417=0, E416*12&gt;250000), 0, IF(AND(E416=0, E417&gt;=50), 0, IF(E416*12&lt;=250000, I455*K453*-1, IF(E417&lt;50, I455*K453*-1, 0))))))</f>
        <v>0</v>
      </c>
      <c r="L455" s="69">
        <f>K455-H455</f>
        <v>0</v>
      </c>
      <c r="M455" s="128"/>
    </row>
    <row r="456" spans="1:13" ht="13" customHeight="1" thickBot="1" x14ac:dyDescent="0.3">
      <c r="A456" s="14" t="str">
        <f t="shared" si="67"/>
        <v>STREET LIGHTING SERVICE CLASSIFICATION</v>
      </c>
      <c r="B456" s="14" t="s">
        <v>87</v>
      </c>
      <c r="C456" s="60"/>
      <c r="D456" s="195" t="s">
        <v>88</v>
      </c>
      <c r="E456" s="195"/>
      <c r="F456" s="130"/>
      <c r="G456" s="131"/>
      <c r="H456" s="132">
        <f>H453+H454+H455</f>
        <v>166226.08853859999</v>
      </c>
      <c r="I456" s="133"/>
      <c r="J456" s="133"/>
      <c r="K456" s="134">
        <f>K453+K454+K455</f>
        <v>154082.7695386</v>
      </c>
      <c r="L456" s="135">
        <f>K456-H456</f>
        <v>-12143.318999999989</v>
      </c>
      <c r="M456" s="136">
        <f>IF((H456)=0,"",(L456/H456))</f>
        <v>-7.3053027396359285E-2</v>
      </c>
    </row>
    <row r="457" spans="1:13" ht="13" customHeight="1" thickBot="1" x14ac:dyDescent="0.3">
      <c r="A457" s="14" t="str">
        <f t="shared" si="67"/>
        <v>STREET LIGHTING SERVICE CLASSIFICATION</v>
      </c>
      <c r="B457" s="14" t="s">
        <v>14</v>
      </c>
      <c r="C457" s="60"/>
      <c r="D457" s="109"/>
      <c r="E457" s="110"/>
      <c r="F457" s="111"/>
      <c r="G457" s="112"/>
      <c r="H457" s="113"/>
      <c r="I457" s="111"/>
      <c r="J457" s="114"/>
      <c r="K457" s="113"/>
      <c r="L457" s="115"/>
      <c r="M457" s="116"/>
    </row>
    <row r="458" spans="1:13" ht="13" customHeight="1" x14ac:dyDescent="0.25">
      <c r="A458" s="14" t="str">
        <f t="shared" si="67"/>
        <v>STREET LIGHTING SERVICE CLASSIFICATION</v>
      </c>
      <c r="B458" s="14" t="s">
        <v>24</v>
      </c>
      <c r="C458" s="60"/>
      <c r="D458" s="117" t="s">
        <v>89</v>
      </c>
      <c r="E458" s="102"/>
      <c r="F458" s="118"/>
      <c r="G458" s="119"/>
      <c r="H458" s="120">
        <f>SUM(H450,H443:H446,H442)</f>
        <v>163191.96679999999</v>
      </c>
      <c r="I458" s="121"/>
      <c r="J458" s="121"/>
      <c r="K458" s="120">
        <f>SUM(K450,K443:K446,K442)</f>
        <v>152445.66680000001</v>
      </c>
      <c r="L458" s="122">
        <f>K458-H458</f>
        <v>-10746.299999999988</v>
      </c>
      <c r="M458" s="123">
        <f>IF((H458)=0,"",(L458/H458))</f>
        <v>-6.5850667840593666E-2</v>
      </c>
    </row>
    <row r="459" spans="1:13" ht="12.65" customHeight="1" x14ac:dyDescent="0.25">
      <c r="A459" s="14" t="str">
        <f t="shared" si="67"/>
        <v>STREET LIGHTING SERVICE CLASSIFICATION</v>
      </c>
      <c r="B459" s="14" t="s">
        <v>24</v>
      </c>
      <c r="C459" s="60"/>
      <c r="D459" s="124" t="s">
        <v>85</v>
      </c>
      <c r="E459" s="102"/>
      <c r="F459" s="118">
        <v>0.13</v>
      </c>
      <c r="G459" s="119"/>
      <c r="H459" s="126">
        <f>H458*F459</f>
        <v>21214.955684</v>
      </c>
      <c r="I459" s="118">
        <v>0.13</v>
      </c>
      <c r="J459" s="127"/>
      <c r="K459" s="126">
        <f>K458*I459</f>
        <v>19817.936684</v>
      </c>
      <c r="L459" s="69">
        <f>K459-H459</f>
        <v>-1397.0190000000002</v>
      </c>
      <c r="M459" s="128">
        <f>IF((H459)=0,"",(L459/H459))</f>
        <v>-6.5850667840593735E-2</v>
      </c>
    </row>
    <row r="460" spans="1:13" ht="14.5" customHeight="1" x14ac:dyDescent="0.35">
      <c r="A460" s="14" t="str">
        <f t="shared" si="67"/>
        <v>STREET LIGHTING SERVICE CLASSIFICATION</v>
      </c>
      <c r="B460" s="14" t="s">
        <v>24</v>
      </c>
      <c r="C460" s="60"/>
      <c r="D460" s="124" t="s">
        <v>86</v>
      </c>
      <c r="E460"/>
      <c r="F460" s="129">
        <v>0.11700000000000001</v>
      </c>
      <c r="G460" s="119"/>
      <c r="H460" s="126">
        <f>IF(OR(ISNUMBER(SEARCH("[DGEN]", E414))=TRUE, ISNUMBER(SEARCH("STREET LIGHT", E414))=TRUE), 0, IF(AND(E416=0, E417=0),0, IF(AND(E417=0, E416*12&gt;250000), 0, IF(AND(E416=0, E417&gt;=50), 0, IF(E416*12&lt;=250000, F460*H458*-1, IF(E417&lt;50, F460*H458*-1, 0))))))</f>
        <v>0</v>
      </c>
      <c r="I460" s="129">
        <v>0.11700000000000001</v>
      </c>
      <c r="J460" s="127"/>
      <c r="K460" s="126">
        <f>IF(OR(ISNUMBER(SEARCH("[DGEN]", E414))=TRUE, ISNUMBER(SEARCH("STREET LIGHT", E414))=TRUE), 0, IF(AND(E416=0, E417=0),0, IF(AND(E417=0, E416*12&gt;250000), 0, IF(AND(E416=0, E417&gt;=50), 0, IF(E416*12&lt;=250000, I460*K458*-1, IF(E417&lt;50, I460*K458*-1, 0))))))</f>
        <v>0</v>
      </c>
      <c r="L460" s="69"/>
      <c r="M460" s="128"/>
    </row>
    <row r="461" spans="1:13" ht="13" customHeight="1" thickBot="1" x14ac:dyDescent="0.3">
      <c r="A461" s="14" t="str">
        <f t="shared" si="67"/>
        <v>STREET LIGHTING SERVICE CLASSIFICATION</v>
      </c>
      <c r="B461" s="14" t="s">
        <v>90</v>
      </c>
      <c r="C461" s="60"/>
      <c r="D461" s="195" t="s">
        <v>89</v>
      </c>
      <c r="E461" s="195"/>
      <c r="F461" s="137"/>
      <c r="G461" s="138"/>
      <c r="H461" s="132">
        <f>SUM(H458,H459)</f>
        <v>184406.92248399998</v>
      </c>
      <c r="I461" s="139"/>
      <c r="J461" s="139"/>
      <c r="K461" s="132">
        <f>SUM(K458,K459)</f>
        <v>172263.60348400002</v>
      </c>
      <c r="L461" s="140">
        <f>K461-H461</f>
        <v>-12143.318999999959</v>
      </c>
      <c r="M461" s="141">
        <f>IF((H461)=0,"",(L461/H461))</f>
        <v>-6.5850667840593513E-2</v>
      </c>
    </row>
    <row r="462" spans="1:13" ht="13" customHeight="1" thickBot="1" x14ac:dyDescent="0.3">
      <c r="A462" s="14" t="str">
        <f t="shared" si="67"/>
        <v>STREET LIGHTING SERVICE CLASSIFICATION</v>
      </c>
      <c r="B462" s="14" t="s">
        <v>24</v>
      </c>
      <c r="C462" s="60"/>
      <c r="D462" s="109"/>
      <c r="E462" s="110"/>
      <c r="F462" s="142"/>
      <c r="G462" s="143"/>
      <c r="H462" s="144"/>
      <c r="I462" s="142"/>
      <c r="J462" s="112"/>
      <c r="K462" s="144"/>
      <c r="L462" s="145"/>
      <c r="M462" s="116"/>
    </row>
    <row r="463" spans="1:13" ht="13" x14ac:dyDescent="0.25">
      <c r="A463" s="14" t="str">
        <f t="shared" si="67"/>
        <v>STREET LIGHTING SERVICE CLASSIFICATION</v>
      </c>
      <c r="B463" s="14" t="s">
        <v>18</v>
      </c>
      <c r="C463" s="60"/>
      <c r="D463" s="117" t="s">
        <v>91</v>
      </c>
      <c r="E463" s="102"/>
      <c r="F463" s="118"/>
      <c r="G463" s="119"/>
      <c r="H463" s="120">
        <f>SUM(H451,H443:H446,H442)</f>
        <v>163191.96679999999</v>
      </c>
      <c r="I463" s="121"/>
      <c r="J463" s="121"/>
      <c r="K463" s="120">
        <f>SUM(K451,K443:K446,K442)</f>
        <v>152445.66680000001</v>
      </c>
      <c r="L463" s="122">
        <f>K463-H463</f>
        <v>-10746.299999999988</v>
      </c>
      <c r="M463" s="123">
        <f>IF((H463)=0,"",(L463/H463))</f>
        <v>-6.5850667840593666E-2</v>
      </c>
    </row>
    <row r="464" spans="1:13" x14ac:dyDescent="0.25">
      <c r="A464" s="14" t="str">
        <f t="shared" si="67"/>
        <v>STREET LIGHTING SERVICE CLASSIFICATION</v>
      </c>
      <c r="B464" s="14" t="s">
        <v>18</v>
      </c>
      <c r="C464" s="60"/>
      <c r="D464" s="124" t="s">
        <v>85</v>
      </c>
      <c r="E464" s="102"/>
      <c r="F464" s="118">
        <v>0.13</v>
      </c>
      <c r="G464" s="119"/>
      <c r="H464" s="126">
        <f>H463*F464</f>
        <v>21214.955684</v>
      </c>
      <c r="I464" s="118">
        <v>0.13</v>
      </c>
      <c r="J464" s="127"/>
      <c r="K464" s="126">
        <f>K463*I464</f>
        <v>19817.936684</v>
      </c>
      <c r="L464" s="69">
        <f>K464-H464</f>
        <v>-1397.0190000000002</v>
      </c>
      <c r="M464" s="128">
        <f>IF((H464)=0,"",(L464/H464))</f>
        <v>-6.5850667840593735E-2</v>
      </c>
    </row>
    <row r="465" spans="1:15" ht="14.5" x14ac:dyDescent="0.35">
      <c r="A465" s="14" t="str">
        <f t="shared" si="67"/>
        <v>STREET LIGHTING SERVICE CLASSIFICATION</v>
      </c>
      <c r="B465" s="14" t="s">
        <v>18</v>
      </c>
      <c r="C465" s="60"/>
      <c r="D465" s="124" t="s">
        <v>86</v>
      </c>
      <c r="E465"/>
      <c r="F465" s="129">
        <v>0.11700000000000001</v>
      </c>
      <c r="G465" s="119"/>
      <c r="H465" s="126">
        <f>IF(OR(ISNUMBER(SEARCH("[DGEN]", E414))=TRUE, ISNUMBER(SEARCH("STREET LIGHT", E414))=TRUE), 0, IF(AND(E416=0, E417=0),0, IF(AND(E417=0, E416*12&gt;250000), 0, IF(AND(E416=0, E417&gt;=50), 0, IF(E416*12&lt;=250000, F465*H463*-1, IF(E417&lt;50, F465*H463*-1, 0))))))</f>
        <v>0</v>
      </c>
      <c r="I465" s="129">
        <v>0.11700000000000001</v>
      </c>
      <c r="J465" s="127"/>
      <c r="K465" s="126">
        <f>IF(OR(ISNUMBER(SEARCH("[DGEN]", E414))=TRUE, ISNUMBER(SEARCH("STREET LIGHT", E414))=TRUE), 0, IF(AND(E416=0, E417=0),0, IF(AND(E417=0, E416*12&gt;250000), 0, IF(AND(E416=0, E417&gt;=50), 0, IF(E416*12&lt;=250000, I465*K463*-1, IF(E417&lt;50, I465*K463*-1, 0))))))</f>
        <v>0</v>
      </c>
      <c r="L465" s="69"/>
      <c r="M465" s="128"/>
    </row>
    <row r="466" spans="1:15" ht="13.5" thickBot="1" x14ac:dyDescent="0.3">
      <c r="A466" s="14" t="str">
        <f t="shared" si="67"/>
        <v>STREET LIGHTING SERVICE CLASSIFICATION</v>
      </c>
      <c r="B466" s="14" t="s">
        <v>92</v>
      </c>
      <c r="C466" s="60">
        <f>B36</f>
        <v>7</v>
      </c>
      <c r="D466" s="195" t="s">
        <v>91</v>
      </c>
      <c r="E466" s="195"/>
      <c r="F466" s="137"/>
      <c r="G466" s="138"/>
      <c r="H466" s="132">
        <f>SUM(H463,H464)</f>
        <v>184406.92248399998</v>
      </c>
      <c r="I466" s="139"/>
      <c r="J466" s="139"/>
      <c r="K466" s="132">
        <f>SUM(K463,K464)</f>
        <v>172263.60348400002</v>
      </c>
      <c r="L466" s="140">
        <f>K466-H466</f>
        <v>-12143.318999999959</v>
      </c>
      <c r="M466" s="141">
        <f>IF((H466)=0,"",(L466/H466))</f>
        <v>-6.5850667840593513E-2</v>
      </c>
    </row>
    <row r="467" spans="1:15" ht="13" thickBot="1" x14ac:dyDescent="0.3">
      <c r="A467" s="14" t="str">
        <f t="shared" si="67"/>
        <v>STREET LIGHTING SERVICE CLASSIFICATION</v>
      </c>
      <c r="B467" s="14" t="s">
        <v>18</v>
      </c>
      <c r="C467" s="60"/>
      <c r="D467" s="109"/>
      <c r="E467" s="110"/>
      <c r="F467" s="146"/>
      <c r="G467" s="143"/>
      <c r="H467" s="147"/>
      <c r="I467" s="146"/>
      <c r="J467" s="112"/>
      <c r="K467" s="147"/>
      <c r="L467" s="145"/>
      <c r="M467" s="148"/>
    </row>
    <row r="470" spans="1:15" ht="13" x14ac:dyDescent="0.25">
      <c r="C470" s="14"/>
      <c r="D470" s="46" t="s">
        <v>38</v>
      </c>
      <c r="E470" s="192" t="str">
        <f>D37</f>
        <v>RESIDENTIAL SERVICE CLASSIFICATION</v>
      </c>
      <c r="F470" s="192"/>
      <c r="G470" s="192"/>
      <c r="H470" s="192"/>
      <c r="I470" s="192"/>
      <c r="J470" s="192"/>
      <c r="K470" s="14" t="str">
        <f>IF(N37="DEMAND - INTERVAL","RTSR - INTERVAL METERED","")</f>
        <v/>
      </c>
      <c r="O470" s="14" t="s">
        <v>26</v>
      </c>
    </row>
    <row r="471" spans="1:15" ht="13" x14ac:dyDescent="0.25">
      <c r="C471" s="14"/>
      <c r="D471" s="46" t="s">
        <v>39</v>
      </c>
      <c r="E471" s="193" t="str">
        <f>H37</f>
        <v>RPP</v>
      </c>
      <c r="F471" s="193"/>
      <c r="G471" s="193"/>
      <c r="H471" s="47"/>
      <c r="I471" s="47"/>
    </row>
    <row r="472" spans="1:15" ht="15.5" x14ac:dyDescent="0.3">
      <c r="C472" s="14"/>
      <c r="D472" s="46" t="s">
        <v>40</v>
      </c>
      <c r="E472" s="48">
        <f>K37</f>
        <v>313</v>
      </c>
      <c r="F472" s="49" t="s">
        <v>36</v>
      </c>
      <c r="J472" s="50"/>
      <c r="K472" s="50"/>
      <c r="L472" s="50"/>
      <c r="M472" s="50"/>
    </row>
    <row r="473" spans="1:15" ht="15.5" x14ac:dyDescent="0.35">
      <c r="C473" s="14"/>
      <c r="D473" s="46" t="s">
        <v>41</v>
      </c>
      <c r="E473" s="48">
        <f>L37</f>
        <v>0</v>
      </c>
      <c r="F473" s="51" t="s">
        <v>37</v>
      </c>
      <c r="G473" s="52"/>
      <c r="H473" s="53"/>
      <c r="I473" s="53"/>
      <c r="J473" s="53"/>
    </row>
    <row r="474" spans="1:15" ht="13" x14ac:dyDescent="0.3">
      <c r="C474" s="14"/>
      <c r="D474" s="46" t="s">
        <v>42</v>
      </c>
      <c r="E474" s="54">
        <f>I37</f>
        <v>1.0548</v>
      </c>
    </row>
    <row r="475" spans="1:15" ht="13" x14ac:dyDescent="0.3">
      <c r="C475" s="14"/>
      <c r="D475" s="46" t="s">
        <v>43</v>
      </c>
      <c r="E475" s="54">
        <f>J37</f>
        <v>1.0548</v>
      </c>
    </row>
    <row r="476" spans="1:15" x14ac:dyDescent="0.25">
      <c r="C476" s="14"/>
    </row>
    <row r="477" spans="1:15" ht="13" x14ac:dyDescent="0.3">
      <c r="C477" s="14"/>
      <c r="E477" s="49"/>
      <c r="F477" s="184" t="s">
        <v>44</v>
      </c>
      <c r="G477" s="194"/>
      <c r="H477" s="185"/>
      <c r="I477" s="184" t="s">
        <v>45</v>
      </c>
      <c r="J477" s="194"/>
      <c r="K477" s="185"/>
      <c r="L477" s="184" t="s">
        <v>46</v>
      </c>
      <c r="M477" s="185"/>
    </row>
    <row r="478" spans="1:15" ht="13" x14ac:dyDescent="0.3">
      <c r="C478" s="14"/>
      <c r="E478" s="186"/>
      <c r="F478" s="55" t="s">
        <v>47</v>
      </c>
      <c r="G478" s="55" t="s">
        <v>48</v>
      </c>
      <c r="H478" s="56" t="s">
        <v>49</v>
      </c>
      <c r="I478" s="55" t="s">
        <v>47</v>
      </c>
      <c r="J478" s="57" t="s">
        <v>48</v>
      </c>
      <c r="K478" s="56" t="s">
        <v>49</v>
      </c>
      <c r="L478" s="188" t="s">
        <v>50</v>
      </c>
      <c r="M478" s="190" t="s">
        <v>51</v>
      </c>
    </row>
    <row r="479" spans="1:15" ht="13" x14ac:dyDescent="0.3">
      <c r="C479" s="14"/>
      <c r="E479" s="187"/>
      <c r="F479" s="58" t="s">
        <v>52</v>
      </c>
      <c r="G479" s="58"/>
      <c r="H479" s="59" t="s">
        <v>52</v>
      </c>
      <c r="I479" s="58" t="s">
        <v>52</v>
      </c>
      <c r="J479" s="59"/>
      <c r="K479" s="59" t="s">
        <v>52</v>
      </c>
      <c r="L479" s="189"/>
      <c r="M479" s="191"/>
    </row>
    <row r="480" spans="1:15" ht="13" x14ac:dyDescent="0.25">
      <c r="A480" s="14" t="str">
        <f>$E470</f>
        <v>RESIDENTIAL SERVICE CLASSIFICATION</v>
      </c>
      <c r="C480" s="60"/>
      <c r="D480" s="61" t="s">
        <v>53</v>
      </c>
      <c r="E480" s="62"/>
      <c r="F480" s="63">
        <v>22.62</v>
      </c>
      <c r="G480" s="64">
        <v>1</v>
      </c>
      <c r="H480" s="65">
        <f>G480*F480</f>
        <v>22.62</v>
      </c>
      <c r="I480" s="66">
        <v>22.62</v>
      </c>
      <c r="J480" s="67">
        <f>G480</f>
        <v>1</v>
      </c>
      <c r="K480" s="68">
        <f>J480*I480</f>
        <v>22.62</v>
      </c>
      <c r="L480" s="69">
        <f t="shared" ref="L480:L501" si="72">K480-H480</f>
        <v>0</v>
      </c>
      <c r="M480" s="70">
        <f>IF(ISERROR(L480/H480), "", L480/H480)</f>
        <v>0</v>
      </c>
    </row>
    <row r="481" spans="1:13" ht="13" x14ac:dyDescent="0.25">
      <c r="A481" s="14" t="str">
        <f>A480</f>
        <v>RESIDENTIAL SERVICE CLASSIFICATION</v>
      </c>
      <c r="C481" s="60"/>
      <c r="D481" s="61" t="s">
        <v>54</v>
      </c>
      <c r="E481" s="62"/>
      <c r="F481" s="71">
        <v>0</v>
      </c>
      <c r="G481" s="64">
        <f>IF($E473&gt;0, $E473, $E472)</f>
        <v>313</v>
      </c>
      <c r="H481" s="65">
        <f t="shared" ref="H481:H493" si="73">G481*F481</f>
        <v>0</v>
      </c>
      <c r="I481" s="72">
        <v>0</v>
      </c>
      <c r="J481" s="67">
        <f>IF($E473&gt;0, $E473, $E472)</f>
        <v>313</v>
      </c>
      <c r="K481" s="68">
        <f>J481*I481</f>
        <v>0</v>
      </c>
      <c r="L481" s="69">
        <f t="shared" si="72"/>
        <v>0</v>
      </c>
      <c r="M481" s="70" t="str">
        <f t="shared" ref="M481:M491" si="74">IF(ISERROR(L481/H481), "", L481/H481)</f>
        <v/>
      </c>
    </row>
    <row r="482" spans="1:13" ht="13" customHeight="1" x14ac:dyDescent="0.25">
      <c r="A482" s="14" t="str">
        <f t="shared" ref="A482:A523" si="75">A481</f>
        <v>RESIDENTIAL SERVICE CLASSIFICATION</v>
      </c>
      <c r="C482" s="60"/>
      <c r="D482" s="61" t="s">
        <v>55</v>
      </c>
      <c r="E482" s="62"/>
      <c r="F482" s="71"/>
      <c r="G482" s="64">
        <f>IF($E473&gt;0, $E473, $E472)</f>
        <v>313</v>
      </c>
      <c r="H482" s="65">
        <v>0</v>
      </c>
      <c r="I482" s="72"/>
      <c r="J482" s="67">
        <f>IF($E473&gt;0, $E473, $E472)</f>
        <v>313</v>
      </c>
      <c r="K482" s="68">
        <v>0</v>
      </c>
      <c r="L482" s="69"/>
      <c r="M482" s="70"/>
    </row>
    <row r="483" spans="1:13" ht="13" customHeight="1" x14ac:dyDescent="0.25">
      <c r="A483" s="14" t="str">
        <f t="shared" si="75"/>
        <v>RESIDENTIAL SERVICE CLASSIFICATION</v>
      </c>
      <c r="C483" s="60"/>
      <c r="D483" s="61" t="s">
        <v>56</v>
      </c>
      <c r="E483" s="62"/>
      <c r="F483" s="71"/>
      <c r="G483" s="64">
        <f>IF($E473&gt;0, $E473, $E472)</f>
        <v>313</v>
      </c>
      <c r="H483" s="65">
        <v>0</v>
      </c>
      <c r="I483" s="72"/>
      <c r="J483" s="73">
        <f>IF($E473&gt;0, $E473, $E472)</f>
        <v>313</v>
      </c>
      <c r="K483" s="68">
        <v>0</v>
      </c>
      <c r="L483" s="69">
        <f>K483-H483</f>
        <v>0</v>
      </c>
      <c r="M483" s="70" t="str">
        <f>IF(ISERROR(L483/H483), "", L483/H483)</f>
        <v/>
      </c>
    </row>
    <row r="484" spans="1:13" ht="13" x14ac:dyDescent="0.25">
      <c r="A484" s="14" t="str">
        <f t="shared" si="75"/>
        <v>RESIDENTIAL SERVICE CLASSIFICATION</v>
      </c>
      <c r="C484" s="60"/>
      <c r="D484" s="61" t="s">
        <v>57</v>
      </c>
      <c r="E484" s="62"/>
      <c r="F484" s="63">
        <v>-1.1200000000000001</v>
      </c>
      <c r="G484" s="64">
        <v>1</v>
      </c>
      <c r="H484" s="65">
        <f t="shared" si="73"/>
        <v>-1.1200000000000001</v>
      </c>
      <c r="I484" s="66">
        <v>-0.23</v>
      </c>
      <c r="J484" s="67">
        <f>G484</f>
        <v>1</v>
      </c>
      <c r="K484" s="68">
        <f t="shared" ref="K484:K491" si="76">J484*I484</f>
        <v>-0.23</v>
      </c>
      <c r="L484" s="69">
        <f t="shared" si="72"/>
        <v>0.89000000000000012</v>
      </c>
      <c r="M484" s="70">
        <f t="shared" si="74"/>
        <v>-0.79464285714285721</v>
      </c>
    </row>
    <row r="485" spans="1:13" ht="13" x14ac:dyDescent="0.25">
      <c r="A485" s="14" t="str">
        <f t="shared" si="75"/>
        <v>RESIDENTIAL SERVICE CLASSIFICATION</v>
      </c>
      <c r="C485" s="60"/>
      <c r="D485" s="61" t="s">
        <v>58</v>
      </c>
      <c r="E485" s="62"/>
      <c r="F485" s="71">
        <v>5.9999999999999995E-4</v>
      </c>
      <c r="G485" s="64">
        <f>IF($E473&gt;0, $E473, $E472)</f>
        <v>313</v>
      </c>
      <c r="H485" s="65">
        <f t="shared" si="73"/>
        <v>0.18779999999999999</v>
      </c>
      <c r="I485" s="72">
        <v>0</v>
      </c>
      <c r="J485" s="67">
        <f>IF($E473&gt;0, $E473, $E472)</f>
        <v>313</v>
      </c>
      <c r="K485" s="68">
        <f t="shared" si="76"/>
        <v>0</v>
      </c>
      <c r="L485" s="69">
        <f t="shared" si="72"/>
        <v>-0.18779999999999999</v>
      </c>
      <c r="M485" s="70">
        <f t="shared" si="74"/>
        <v>-1</v>
      </c>
    </row>
    <row r="486" spans="1:13" ht="13" x14ac:dyDescent="0.25">
      <c r="A486" s="14" t="str">
        <f t="shared" si="75"/>
        <v>RESIDENTIAL SERVICE CLASSIFICATION</v>
      </c>
      <c r="B486" s="14" t="s">
        <v>59</v>
      </c>
      <c r="C486" s="60">
        <f>B37</f>
        <v>8</v>
      </c>
      <c r="D486" s="74" t="s">
        <v>60</v>
      </c>
      <c r="E486" s="75"/>
      <c r="F486" s="76"/>
      <c r="G486" s="77"/>
      <c r="H486" s="78">
        <f>SUM(H480:H485)</f>
        <v>21.687799999999999</v>
      </c>
      <c r="I486" s="79"/>
      <c r="J486" s="80"/>
      <c r="K486" s="78">
        <f>SUM(K480:K485)</f>
        <v>22.39</v>
      </c>
      <c r="L486" s="81">
        <f t="shared" si="72"/>
        <v>0.70220000000000127</v>
      </c>
      <c r="M486" s="82">
        <f>IF((H486)=0,"",(L486/H486))</f>
        <v>3.2377650107433729E-2</v>
      </c>
    </row>
    <row r="487" spans="1:13" ht="13" x14ac:dyDescent="0.25">
      <c r="A487" s="14" t="str">
        <f t="shared" si="75"/>
        <v>RESIDENTIAL SERVICE CLASSIFICATION</v>
      </c>
      <c r="C487" s="60"/>
      <c r="D487" s="83" t="s">
        <v>61</v>
      </c>
      <c r="E487" s="62"/>
      <c r="F487" s="71">
        <f>IF((E472*12&gt;=150000), 0, IF(E471="RPP",(F503*OffPeakPer+F504*MidPeakPer+F505*OnPeakPer),IF(E471="Non-RPP (Retailer)",F506,F507)))</f>
        <v>9.3670000000000003E-2</v>
      </c>
      <c r="G487" s="84">
        <f>IF(F487=0, 0, $E472*E474-E472)</f>
        <v>17.1524</v>
      </c>
      <c r="H487" s="65">
        <f>G487*F487</f>
        <v>1.606665308</v>
      </c>
      <c r="I487" s="72">
        <f>IF((E472*12&gt;=150000), 0, IF(E471="RPP",(I503*OffPeakPer+I504*MidPeakPer+I505*OnPeakPer),IF(E471="Non-RPP (Retailer)",I506,I507)))</f>
        <v>9.3670000000000003E-2</v>
      </c>
      <c r="J487" s="85">
        <f>IF(I487=0, 0, E472*E475-E472)</f>
        <v>17.1524</v>
      </c>
      <c r="K487" s="68">
        <f>J487*I487</f>
        <v>1.606665308</v>
      </c>
      <c r="L487" s="69">
        <f>K487-H487</f>
        <v>0</v>
      </c>
      <c r="M487" s="70">
        <f>IF(ISERROR(L487/H487), "", L487/H487)</f>
        <v>0</v>
      </c>
    </row>
    <row r="488" spans="1:13" ht="25" x14ac:dyDescent="0.25">
      <c r="A488" s="14" t="str">
        <f t="shared" si="75"/>
        <v>RESIDENTIAL SERVICE CLASSIFICATION</v>
      </c>
      <c r="C488" s="60"/>
      <c r="D488" s="83" t="s">
        <v>62</v>
      </c>
      <c r="E488" s="62"/>
      <c r="F488" s="71">
        <v>-5.9999999999999995E-4</v>
      </c>
      <c r="G488" s="86">
        <f>IF($E473&gt;0, $E473, $E472)</f>
        <v>313</v>
      </c>
      <c r="H488" s="65">
        <f t="shared" si="73"/>
        <v>-0.18779999999999999</v>
      </c>
      <c r="I488" s="72">
        <v>3.3E-3</v>
      </c>
      <c r="J488" s="87">
        <f>IF($E473&gt;0, $E473, $E472)</f>
        <v>313</v>
      </c>
      <c r="K488" s="68">
        <f t="shared" si="76"/>
        <v>1.0328999999999999</v>
      </c>
      <c r="L488" s="69">
        <f t="shared" si="72"/>
        <v>1.2206999999999999</v>
      </c>
      <c r="M488" s="70">
        <f t="shared" si="74"/>
        <v>-6.5</v>
      </c>
    </row>
    <row r="489" spans="1:13" ht="13" x14ac:dyDescent="0.25">
      <c r="A489" s="14" t="str">
        <f t="shared" si="75"/>
        <v>RESIDENTIAL SERVICE CLASSIFICATION</v>
      </c>
      <c r="C489" s="60"/>
      <c r="D489" s="83" t="s">
        <v>63</v>
      </c>
      <c r="E489" s="62"/>
      <c r="F489" s="71">
        <v>-2.0000000000000001E-4</v>
      </c>
      <c r="G489" s="86">
        <f>IF($E473&gt;0, $E473, $E472)</f>
        <v>313</v>
      </c>
      <c r="H489" s="65">
        <f>G489*F489</f>
        <v>-6.2600000000000003E-2</v>
      </c>
      <c r="I489" s="72">
        <v>-4.0000000000000002E-4</v>
      </c>
      <c r="J489" s="87">
        <f>IF($E473&gt;0, $E473, $E472)</f>
        <v>313</v>
      </c>
      <c r="K489" s="68">
        <f>J489*I489</f>
        <v>-0.12520000000000001</v>
      </c>
      <c r="L489" s="69">
        <f t="shared" si="72"/>
        <v>-6.2600000000000003E-2</v>
      </c>
      <c r="M489" s="70">
        <f t="shared" si="74"/>
        <v>1</v>
      </c>
    </row>
    <row r="490" spans="1:13" ht="13" x14ac:dyDescent="0.25">
      <c r="A490" s="14" t="str">
        <f t="shared" si="75"/>
        <v>RESIDENTIAL SERVICE CLASSIFICATION</v>
      </c>
      <c r="C490" s="60"/>
      <c r="D490" s="83" t="s">
        <v>64</v>
      </c>
      <c r="E490" s="62"/>
      <c r="F490" s="71">
        <v>0</v>
      </c>
      <c r="G490" s="86">
        <f>E472</f>
        <v>313</v>
      </c>
      <c r="H490" s="65">
        <f>G490*F490</f>
        <v>0</v>
      </c>
      <c r="I490" s="72">
        <v>0</v>
      </c>
      <c r="J490" s="87">
        <f>E472</f>
        <v>313</v>
      </c>
      <c r="K490" s="68">
        <f t="shared" si="76"/>
        <v>0</v>
      </c>
      <c r="L490" s="69">
        <f t="shared" si="72"/>
        <v>0</v>
      </c>
      <c r="M490" s="70" t="str">
        <f t="shared" si="74"/>
        <v/>
      </c>
    </row>
    <row r="491" spans="1:13" ht="13" x14ac:dyDescent="0.25">
      <c r="A491" s="14" t="str">
        <f t="shared" si="75"/>
        <v>RESIDENTIAL SERVICE CLASSIFICATION</v>
      </c>
      <c r="C491" s="60"/>
      <c r="D491" s="61" t="s">
        <v>65</v>
      </c>
      <c r="E491" s="62"/>
      <c r="F491" s="71">
        <v>1E-3</v>
      </c>
      <c r="G491" s="86">
        <f>IF($E473&gt;0, $E473, $E472)</f>
        <v>313</v>
      </c>
      <c r="H491" s="65">
        <f t="shared" si="73"/>
        <v>0.313</v>
      </c>
      <c r="I491" s="72">
        <v>2.0999999999999999E-3</v>
      </c>
      <c r="J491" s="87">
        <f>IF($E473&gt;0, $E473, $E472)</f>
        <v>313</v>
      </c>
      <c r="K491" s="68">
        <f t="shared" si="76"/>
        <v>0.6573</v>
      </c>
      <c r="L491" s="69">
        <f t="shared" si="72"/>
        <v>0.34429999999999999</v>
      </c>
      <c r="M491" s="70">
        <f t="shared" si="74"/>
        <v>1.1000000000000001</v>
      </c>
    </row>
    <row r="492" spans="1:13" ht="13" x14ac:dyDescent="0.25">
      <c r="A492" s="14" t="str">
        <f t="shared" si="75"/>
        <v>RESIDENTIAL SERVICE CLASSIFICATION</v>
      </c>
      <c r="C492" s="60"/>
      <c r="D492" s="83" t="s">
        <v>66</v>
      </c>
      <c r="E492" s="62"/>
      <c r="F492" s="88">
        <f>IF(OR(ISNUMBER(SEARCH("RESIDENTIAL", E470))=TRUE, ISNUMBER(SEARCH("GENERAL SERVICE LESS THAN 50", E470))=TRUE), SME, 0)</f>
        <v>0.42</v>
      </c>
      <c r="G492" s="64">
        <v>1</v>
      </c>
      <c r="H492" s="65">
        <f>G492*F492</f>
        <v>0.42</v>
      </c>
      <c r="I492" s="89">
        <f>IF(OR(ISNUMBER(SEARCH("RESIDENTIAL", E470))=TRUE, ISNUMBER(SEARCH("GENERAL SERVICE LESS THAN 50", E470))=TRUE), SME, 0)</f>
        <v>0.42</v>
      </c>
      <c r="J492" s="73">
        <v>1</v>
      </c>
      <c r="K492" s="68">
        <f>J492*I492</f>
        <v>0.42</v>
      </c>
      <c r="L492" s="69">
        <f t="shared" si="72"/>
        <v>0</v>
      </c>
      <c r="M492" s="70">
        <f>IF(ISERROR(L492/H492), "", L492/H492)</f>
        <v>0</v>
      </c>
    </row>
    <row r="493" spans="1:13" ht="13" x14ac:dyDescent="0.25">
      <c r="A493" s="14" t="str">
        <f t="shared" si="75"/>
        <v>RESIDENTIAL SERVICE CLASSIFICATION</v>
      </c>
      <c r="C493" s="60"/>
      <c r="D493" s="61" t="s">
        <v>67</v>
      </c>
      <c r="E493" s="62"/>
      <c r="F493" s="63">
        <v>0</v>
      </c>
      <c r="G493" s="64">
        <v>1</v>
      </c>
      <c r="H493" s="65">
        <f t="shared" si="73"/>
        <v>0</v>
      </c>
      <c r="I493" s="66">
        <v>0</v>
      </c>
      <c r="J493" s="73">
        <v>1</v>
      </c>
      <c r="K493" s="68">
        <f>J493*I493</f>
        <v>0</v>
      </c>
      <c r="L493" s="69">
        <f>K493-H493</f>
        <v>0</v>
      </c>
      <c r="M493" s="70" t="str">
        <f>IF(ISERROR(L493/H493), "", L493/H493)</f>
        <v/>
      </c>
    </row>
    <row r="494" spans="1:13" ht="13" x14ac:dyDescent="0.25">
      <c r="A494" s="14" t="str">
        <f t="shared" si="75"/>
        <v>RESIDENTIAL SERVICE CLASSIFICATION</v>
      </c>
      <c r="C494" s="60"/>
      <c r="D494" s="61" t="s">
        <v>68</v>
      </c>
      <c r="E494" s="62"/>
      <c r="F494" s="71">
        <v>0</v>
      </c>
      <c r="G494" s="86">
        <f>IF($E473&gt;0, $E473, $E472)</f>
        <v>313</v>
      </c>
      <c r="H494" s="65">
        <f>G494*F494</f>
        <v>0</v>
      </c>
      <c r="I494" s="72">
        <v>0</v>
      </c>
      <c r="J494" s="87">
        <f>IF($E473&gt;0, $E473, $E472)</f>
        <v>313</v>
      </c>
      <c r="K494" s="68">
        <f>J494*I494</f>
        <v>0</v>
      </c>
      <c r="L494" s="69">
        <f t="shared" si="72"/>
        <v>0</v>
      </c>
      <c r="M494" s="70" t="str">
        <f>IF(ISERROR(L494/H494), "", L494/H494)</f>
        <v/>
      </c>
    </row>
    <row r="495" spans="1:13" ht="26" x14ac:dyDescent="0.25">
      <c r="A495" s="14" t="str">
        <f t="shared" si="75"/>
        <v>RESIDENTIAL SERVICE CLASSIFICATION</v>
      </c>
      <c r="B495" s="14" t="s">
        <v>69</v>
      </c>
      <c r="C495" s="60">
        <f>B37</f>
        <v>8</v>
      </c>
      <c r="D495" s="90" t="s">
        <v>70</v>
      </c>
      <c r="E495" s="91"/>
      <c r="F495" s="92"/>
      <c r="G495" s="93"/>
      <c r="H495" s="94">
        <f>SUM(H486:H494)</f>
        <v>23.777065308000001</v>
      </c>
      <c r="I495" s="95"/>
      <c r="J495" s="96"/>
      <c r="K495" s="94">
        <f>SUM(K486:K494)</f>
        <v>25.981665308000004</v>
      </c>
      <c r="L495" s="81">
        <f t="shared" si="72"/>
        <v>2.2046000000000028</v>
      </c>
      <c r="M495" s="82">
        <f>IF((H495)=0,"",(L495/H495))</f>
        <v>9.2719600650558245E-2</v>
      </c>
    </row>
    <row r="496" spans="1:13" ht="13" x14ac:dyDescent="0.25">
      <c r="A496" s="14" t="str">
        <f t="shared" si="75"/>
        <v>RESIDENTIAL SERVICE CLASSIFICATION</v>
      </c>
      <c r="C496" s="60"/>
      <c r="D496" s="97" t="s">
        <v>71</v>
      </c>
      <c r="E496" s="62"/>
      <c r="F496" s="71">
        <v>9.9000000000000008E-3</v>
      </c>
      <c r="G496" s="84">
        <f>IF($E473&gt;0, $E473, $E472*$E474)</f>
        <v>330.1524</v>
      </c>
      <c r="H496" s="65">
        <f>G496*F496</f>
        <v>3.2685087600000005</v>
      </c>
      <c r="I496" s="98">
        <v>9.7000000000000003E-3</v>
      </c>
      <c r="J496" s="85">
        <f>IF($E473&gt;0, $E473, $E472*$E475)</f>
        <v>330.1524</v>
      </c>
      <c r="K496" s="68">
        <f>J496*I496</f>
        <v>3.2024782800000002</v>
      </c>
      <c r="L496" s="69">
        <f t="shared" si="72"/>
        <v>-6.6030480000000225E-2</v>
      </c>
      <c r="M496" s="70">
        <f>IF(ISERROR(L496/H496), "", L496/H496)</f>
        <v>-2.0202020202020266E-2</v>
      </c>
    </row>
    <row r="497" spans="1:13" ht="25" x14ac:dyDescent="0.25">
      <c r="A497" s="14" t="str">
        <f t="shared" si="75"/>
        <v>RESIDENTIAL SERVICE CLASSIFICATION</v>
      </c>
      <c r="C497" s="60"/>
      <c r="D497" s="99" t="s">
        <v>72</v>
      </c>
      <c r="E497" s="62"/>
      <c r="F497" s="71">
        <v>7.4999999999999997E-3</v>
      </c>
      <c r="G497" s="84">
        <f>IF($E473&gt;0, $E473, $E472*$E474)</f>
        <v>330.1524</v>
      </c>
      <c r="H497" s="65">
        <f>G497*F497</f>
        <v>2.476143</v>
      </c>
      <c r="I497" s="98">
        <v>7.3000000000000001E-3</v>
      </c>
      <c r="J497" s="85">
        <f>IF($E473&gt;0, $E473, $E472*$E475)</f>
        <v>330.1524</v>
      </c>
      <c r="K497" s="68">
        <f>J497*I497</f>
        <v>2.4101125200000002</v>
      </c>
      <c r="L497" s="69">
        <f t="shared" si="72"/>
        <v>-6.603047999999978E-2</v>
      </c>
      <c r="M497" s="70">
        <f>IF(ISERROR(L497/H497), "", L497/H497)</f>
        <v>-2.6666666666666578E-2</v>
      </c>
    </row>
    <row r="498" spans="1:13" ht="26" x14ac:dyDescent="0.25">
      <c r="A498" s="14" t="str">
        <f t="shared" si="75"/>
        <v>RESIDENTIAL SERVICE CLASSIFICATION</v>
      </c>
      <c r="B498" s="14" t="s">
        <v>73</v>
      </c>
      <c r="C498" s="60">
        <f>B37</f>
        <v>8</v>
      </c>
      <c r="D498" s="90" t="s">
        <v>74</v>
      </c>
      <c r="E498" s="75"/>
      <c r="F498" s="92"/>
      <c r="G498" s="93"/>
      <c r="H498" s="94">
        <f>SUM(H495:H497)</f>
        <v>29.521717068000001</v>
      </c>
      <c r="I498" s="95"/>
      <c r="J498" s="80"/>
      <c r="K498" s="94">
        <f>SUM(K495:K497)</f>
        <v>31.594256108000003</v>
      </c>
      <c r="L498" s="81">
        <f t="shared" si="72"/>
        <v>2.0725390400000023</v>
      </c>
      <c r="M498" s="82">
        <f>IF((H498)=0,"",(L498/H498))</f>
        <v>7.0203878562555777E-2</v>
      </c>
    </row>
    <row r="499" spans="1:13" ht="25" x14ac:dyDescent="0.25">
      <c r="A499" s="14" t="str">
        <f t="shared" si="75"/>
        <v>RESIDENTIAL SERVICE CLASSIFICATION</v>
      </c>
      <c r="C499" s="60"/>
      <c r="D499" s="100" t="s">
        <v>75</v>
      </c>
      <c r="E499" s="62"/>
      <c r="F499" s="71">
        <f>IF(AND('[2]1. Information Sheet'!$F$26:$H$26&gt;='[2]18. Regulatory Charges'!$D$14,'[2]1. Information Sheet'!$F$26:$H$26&lt;'[2]18. Regulatory Charges'!$E$14),'[2]18. Regulatory Charges'!$D$15+'[2]18. Regulatory Charges'!$D$16,'[2]18. Regulatory Charges'!$E$15+'[2]18. Regulatory Charges'!$E$16)</f>
        <v>4.5000000000000005E-3</v>
      </c>
      <c r="G499" s="84">
        <f>E472*E474</f>
        <v>330.1524</v>
      </c>
      <c r="H499" s="101">
        <f t="shared" ref="H499:H505" si="77">G499*F499</f>
        <v>1.4856858000000002</v>
      </c>
      <c r="I499" s="72">
        <f>'[2]18. Regulatory Charges'!$E$15+'[2]18. Regulatory Charges'!$E$16</f>
        <v>4.5000000000000005E-3</v>
      </c>
      <c r="J499" s="85">
        <f>E472*E475</f>
        <v>330.1524</v>
      </c>
      <c r="K499" s="68">
        <f t="shared" ref="K499:K505" si="78">J499*I499</f>
        <v>1.4856858000000002</v>
      </c>
      <c r="L499" s="69">
        <f t="shared" si="72"/>
        <v>0</v>
      </c>
      <c r="M499" s="70">
        <f t="shared" ref="M499:M507" si="79">IF(ISERROR(L499/H499), "", L499/H499)</f>
        <v>0</v>
      </c>
    </row>
    <row r="500" spans="1:13" ht="25" x14ac:dyDescent="0.25">
      <c r="A500" s="14" t="str">
        <f t="shared" si="75"/>
        <v>RESIDENTIAL SERVICE CLASSIFICATION</v>
      </c>
      <c r="C500" s="60"/>
      <c r="D500" s="100" t="s">
        <v>76</v>
      </c>
      <c r="E500" s="62"/>
      <c r="F500" s="71">
        <f>IF(AND('[2]1. Information Sheet'!$F$26:$H$26&gt;='[2]18. Regulatory Charges'!$D$14,'[2]1. Information Sheet'!$F$26:$H$26&lt;'[2]18. Regulatory Charges'!$D$14),'[2]18. Regulatory Charges'!$D$17,'[2]18. Regulatory Charges'!$E$17)</f>
        <v>6.9999999999999999E-4</v>
      </c>
      <c r="G500" s="84">
        <f>E472*E474</f>
        <v>330.1524</v>
      </c>
      <c r="H500" s="101">
        <f t="shared" si="77"/>
        <v>0.23110668000000001</v>
      </c>
      <c r="I500" s="72">
        <f>'[2]18. Regulatory Charges'!$E$17</f>
        <v>6.9999999999999999E-4</v>
      </c>
      <c r="J500" s="85">
        <f>E472*E475</f>
        <v>330.1524</v>
      </c>
      <c r="K500" s="68">
        <f t="shared" si="78"/>
        <v>0.23110668000000001</v>
      </c>
      <c r="L500" s="69">
        <f t="shared" si="72"/>
        <v>0</v>
      </c>
      <c r="M500" s="70">
        <f t="shared" si="79"/>
        <v>0</v>
      </c>
    </row>
    <row r="501" spans="1:13" ht="13" x14ac:dyDescent="0.25">
      <c r="A501" s="14" t="str">
        <f t="shared" si="75"/>
        <v>RESIDENTIAL SERVICE CLASSIFICATION</v>
      </c>
      <c r="C501" s="60"/>
      <c r="D501" s="102" t="s">
        <v>77</v>
      </c>
      <c r="E501" s="62"/>
      <c r="F501" s="88">
        <f>IF(AND('[2]1. Information Sheet'!$F$26:$H$26&gt;='[2]18. Regulatory Charges'!$D$14,'[2]1. Information Sheet'!$F$26:$H$26&lt;'[2]18. Regulatory Charges'!$D$14),'[2]18. Regulatory Charges'!$D$18,'[2]18. Regulatory Charges'!$E$18)</f>
        <v>0.25</v>
      </c>
      <c r="G501" s="64">
        <v>1</v>
      </c>
      <c r="H501" s="101">
        <f t="shared" si="77"/>
        <v>0.25</v>
      </c>
      <c r="I501" s="89">
        <f>'[2]18. Regulatory Charges'!$E$18</f>
        <v>0.25</v>
      </c>
      <c r="J501" s="67">
        <v>1</v>
      </c>
      <c r="K501" s="68">
        <f t="shared" si="78"/>
        <v>0.25</v>
      </c>
      <c r="L501" s="69">
        <f t="shared" si="72"/>
        <v>0</v>
      </c>
      <c r="M501" s="70">
        <f t="shared" si="79"/>
        <v>0</v>
      </c>
    </row>
    <row r="502" spans="1:13" ht="25" customHeight="1" x14ac:dyDescent="0.25">
      <c r="A502" s="14" t="str">
        <f t="shared" si="75"/>
        <v>RESIDENTIAL SERVICE CLASSIFICATION</v>
      </c>
      <c r="C502" s="60"/>
      <c r="D502" s="100" t="s">
        <v>78</v>
      </c>
      <c r="E502" s="62"/>
      <c r="F502" s="71"/>
      <c r="G502" s="84"/>
      <c r="H502" s="101"/>
      <c r="I502" s="72"/>
      <c r="J502" s="85"/>
      <c r="K502" s="68"/>
      <c r="L502" s="69"/>
      <c r="M502" s="70"/>
    </row>
    <row r="503" spans="1:13" ht="13" x14ac:dyDescent="0.25">
      <c r="A503" s="14" t="str">
        <f t="shared" si="75"/>
        <v>RESIDENTIAL SERVICE CLASSIFICATION</v>
      </c>
      <c r="B503" s="14" t="s">
        <v>14</v>
      </c>
      <c r="C503" s="60"/>
      <c r="D503" s="102" t="s">
        <v>79</v>
      </c>
      <c r="E503" s="62"/>
      <c r="F503" s="103">
        <f>OffPeak</f>
        <v>7.3999999999999996E-2</v>
      </c>
      <c r="G503" s="104">
        <f>IF(AND(E472*12&gt;=150000),OffPeakPer*E472*E474,OffPeakPer*E472)</f>
        <v>197.19</v>
      </c>
      <c r="H503" s="101">
        <f t="shared" si="77"/>
        <v>14.592059999999998</v>
      </c>
      <c r="I503" s="105">
        <f>OffPeak</f>
        <v>7.3999999999999996E-2</v>
      </c>
      <c r="J503" s="106">
        <f>IF(AND(E472*12&gt;=150000),OffPeakPer*E472*E475,OffPeakPer*E472)</f>
        <v>197.19</v>
      </c>
      <c r="K503" s="68">
        <f t="shared" si="78"/>
        <v>14.592059999999998</v>
      </c>
      <c r="L503" s="69">
        <f>K503-H503</f>
        <v>0</v>
      </c>
      <c r="M503" s="70">
        <f t="shared" si="79"/>
        <v>0</v>
      </c>
    </row>
    <row r="504" spans="1:13" ht="13" x14ac:dyDescent="0.25">
      <c r="A504" s="14" t="str">
        <f t="shared" si="75"/>
        <v>RESIDENTIAL SERVICE CLASSIFICATION</v>
      </c>
      <c r="B504" s="14" t="s">
        <v>14</v>
      </c>
      <c r="C504" s="60"/>
      <c r="D504" s="102" t="s">
        <v>80</v>
      </c>
      <c r="E504" s="62"/>
      <c r="F504" s="103">
        <f>MidPeak</f>
        <v>0.10199999999999999</v>
      </c>
      <c r="G504" s="104">
        <f>IF(AND(E472*12&gt;=150000),MidPeakPer*E472*E474,MidPeakPer*E472)</f>
        <v>56.339999999999996</v>
      </c>
      <c r="H504" s="101">
        <f t="shared" si="77"/>
        <v>5.7466799999999996</v>
      </c>
      <c r="I504" s="105">
        <f>MidPeak</f>
        <v>0.10199999999999999</v>
      </c>
      <c r="J504" s="106">
        <f>IF(AND(E472*12&gt;=150000),MidPeakPer*E472*E475,MidPeakPer*E472)</f>
        <v>56.339999999999996</v>
      </c>
      <c r="K504" s="68">
        <f t="shared" si="78"/>
        <v>5.7466799999999996</v>
      </c>
      <c r="L504" s="69">
        <f>K504-H504</f>
        <v>0</v>
      </c>
      <c r="M504" s="70">
        <f t="shared" si="79"/>
        <v>0</v>
      </c>
    </row>
    <row r="505" spans="1:13" ht="13" x14ac:dyDescent="0.25">
      <c r="A505" s="14" t="str">
        <f t="shared" si="75"/>
        <v>RESIDENTIAL SERVICE CLASSIFICATION</v>
      </c>
      <c r="B505" s="14" t="s">
        <v>14</v>
      </c>
      <c r="C505" s="60"/>
      <c r="D505" s="14" t="s">
        <v>81</v>
      </c>
      <c r="E505" s="62"/>
      <c r="F505" s="103">
        <f>OnPeak</f>
        <v>0.151</v>
      </c>
      <c r="G505" s="104">
        <f>IF(AND(E472*12&gt;=150000),OnPeakPer*E472*E474,OnPeakPer*E472)</f>
        <v>59.47</v>
      </c>
      <c r="H505" s="101">
        <f t="shared" si="77"/>
        <v>8.9799699999999998</v>
      </c>
      <c r="I505" s="105">
        <f>OnPeak</f>
        <v>0.151</v>
      </c>
      <c r="J505" s="106">
        <f>IF(AND(E472*12&gt;=150000),OnPeakPer*E472*E475,OnPeakPer*E472)</f>
        <v>59.47</v>
      </c>
      <c r="K505" s="68">
        <f t="shared" si="78"/>
        <v>8.9799699999999998</v>
      </c>
      <c r="L505" s="69">
        <f>K505-H505</f>
        <v>0</v>
      </c>
      <c r="M505" s="70">
        <f t="shared" si="79"/>
        <v>0</v>
      </c>
    </row>
    <row r="506" spans="1:13" ht="13.5" customHeight="1" x14ac:dyDescent="0.25">
      <c r="A506" s="14" t="str">
        <f t="shared" si="75"/>
        <v>RESIDENTIAL SERVICE CLASSIFICATION</v>
      </c>
      <c r="B506" s="14" t="s">
        <v>24</v>
      </c>
      <c r="C506" s="60"/>
      <c r="D506" s="102" t="s">
        <v>82</v>
      </c>
      <c r="E506" s="62"/>
      <c r="F506" s="107">
        <v>0.1076</v>
      </c>
      <c r="G506" s="104">
        <f>IF(AND(E472*12&gt;=150000),E472*E474,E472)</f>
        <v>313</v>
      </c>
      <c r="H506" s="101">
        <f>G506*F506</f>
        <v>33.678800000000003</v>
      </c>
      <c r="I506" s="108">
        <f>F506</f>
        <v>0.1076</v>
      </c>
      <c r="J506" s="106">
        <f>IF(AND(E472*12&gt;=150000),E472*E475,E472)</f>
        <v>313</v>
      </c>
      <c r="K506" s="68">
        <f>J506*I506</f>
        <v>33.678800000000003</v>
      </c>
      <c r="L506" s="69">
        <f>K506-H506</f>
        <v>0</v>
      </c>
      <c r="M506" s="70">
        <f t="shared" si="79"/>
        <v>0</v>
      </c>
    </row>
    <row r="507" spans="1:13" ht="13.5" customHeight="1" thickBot="1" x14ac:dyDescent="0.3">
      <c r="A507" s="14" t="str">
        <f t="shared" si="75"/>
        <v>RESIDENTIAL SERVICE CLASSIFICATION</v>
      </c>
      <c r="B507" s="14" t="s">
        <v>18</v>
      </c>
      <c r="C507" s="60"/>
      <c r="D507" s="102" t="s">
        <v>83</v>
      </c>
      <c r="E507" s="62"/>
      <c r="F507" s="107">
        <v>0.1076</v>
      </c>
      <c r="G507" s="104">
        <f>IF(AND(E472*12&gt;=150000),E472*E474,E472)</f>
        <v>313</v>
      </c>
      <c r="H507" s="101">
        <f>G507*F507</f>
        <v>33.678800000000003</v>
      </c>
      <c r="I507" s="108">
        <f>F507</f>
        <v>0.1076</v>
      </c>
      <c r="J507" s="106">
        <f>IF(AND(E472*12&gt;=150000),E472*E475,E472)</f>
        <v>313</v>
      </c>
      <c r="K507" s="68">
        <f>J507*I507</f>
        <v>33.678800000000003</v>
      </c>
      <c r="L507" s="69">
        <f>K507-H507</f>
        <v>0</v>
      </c>
      <c r="M507" s="70">
        <f t="shared" si="79"/>
        <v>0</v>
      </c>
    </row>
    <row r="508" spans="1:13" ht="13" thickBot="1" x14ac:dyDescent="0.3">
      <c r="A508" s="14" t="str">
        <f t="shared" si="75"/>
        <v>RESIDENTIAL SERVICE CLASSIFICATION</v>
      </c>
      <c r="C508" s="60"/>
      <c r="D508" s="109"/>
      <c r="E508" s="110"/>
      <c r="F508" s="111"/>
      <c r="G508" s="112"/>
      <c r="H508" s="113"/>
      <c r="I508" s="111"/>
      <c r="J508" s="114"/>
      <c r="K508" s="113"/>
      <c r="L508" s="115"/>
      <c r="M508" s="116"/>
    </row>
    <row r="509" spans="1:13" ht="13" x14ac:dyDescent="0.25">
      <c r="A509" s="14" t="str">
        <f t="shared" si="75"/>
        <v>RESIDENTIAL SERVICE CLASSIFICATION</v>
      </c>
      <c r="B509" s="14" t="s">
        <v>14</v>
      </c>
      <c r="C509" s="60"/>
      <c r="D509" s="117" t="s">
        <v>84</v>
      </c>
      <c r="E509" s="102"/>
      <c r="F509" s="118"/>
      <c r="G509" s="119"/>
      <c r="H509" s="120">
        <f>SUM(H499:H505,H498)</f>
        <v>60.807219547999999</v>
      </c>
      <c r="I509" s="121"/>
      <c r="J509" s="121"/>
      <c r="K509" s="120">
        <f>SUM(K499:K505,K498)</f>
        <v>62.879758588000001</v>
      </c>
      <c r="L509" s="122">
        <f>K509-H509</f>
        <v>2.0725390400000023</v>
      </c>
      <c r="M509" s="123">
        <f>IF((H509)=0,"",(L509/H509))</f>
        <v>3.4083765964072435E-2</v>
      </c>
    </row>
    <row r="510" spans="1:13" x14ac:dyDescent="0.25">
      <c r="A510" s="14" t="str">
        <f t="shared" si="75"/>
        <v>RESIDENTIAL SERVICE CLASSIFICATION</v>
      </c>
      <c r="B510" s="14" t="s">
        <v>14</v>
      </c>
      <c r="C510" s="60"/>
      <c r="D510" s="124" t="s">
        <v>85</v>
      </c>
      <c r="E510" s="102"/>
      <c r="F510" s="118">
        <v>0.13</v>
      </c>
      <c r="G510" s="125"/>
      <c r="H510" s="126">
        <f>H509*F510</f>
        <v>7.9049385412399999</v>
      </c>
      <c r="I510" s="127">
        <v>0.13</v>
      </c>
      <c r="J510" s="64"/>
      <c r="K510" s="126">
        <f>K509*I510</f>
        <v>8.1743686164400007</v>
      </c>
      <c r="L510" s="69">
        <f>K510-H510</f>
        <v>0.26943007520000073</v>
      </c>
      <c r="M510" s="128">
        <f>IF((H510)=0,"",(L510/H510))</f>
        <v>3.408376596407249E-2</v>
      </c>
    </row>
    <row r="511" spans="1:13" ht="14.5" x14ac:dyDescent="0.35">
      <c r="A511" s="14" t="str">
        <f t="shared" si="75"/>
        <v>RESIDENTIAL SERVICE CLASSIFICATION</v>
      </c>
      <c r="B511" s="14" t="s">
        <v>14</v>
      </c>
      <c r="C511" s="60"/>
      <c r="D511" s="124" t="s">
        <v>86</v>
      </c>
      <c r="E511"/>
      <c r="F511" s="129">
        <v>0.11700000000000001</v>
      </c>
      <c r="G511" s="125"/>
      <c r="H511" s="126">
        <f>IF(OR(ISNUMBER(SEARCH("[DGEN]", E470))=TRUE, ISNUMBER(SEARCH("STREET LIGHT", E470))=TRUE), 0, IF(AND(E472=0, E473=0),0, IF(AND(E473=0, E472*12&gt;250000), 0, IF(AND(E472=0, E473&gt;=50), 0, IF(E472*12&lt;=250000, F511*H509*-1, IF(E473&lt;50, F511*H509*-1, 0))))))</f>
        <v>-7.1144446871160003</v>
      </c>
      <c r="I511" s="129">
        <v>0.11700000000000001</v>
      </c>
      <c r="J511" s="64"/>
      <c r="K511" s="126">
        <f>IF(OR(ISNUMBER(SEARCH("[DGEN]", E470))=TRUE, ISNUMBER(SEARCH("STREET LIGHT", E470))=TRUE), 0, IF(AND(E472=0, E473=0),0, IF(AND(E473=0, E472*12&gt;250000), 0, IF(AND(E472=0, E473&gt;=50), 0, IF(E472*12&lt;=250000, I511*K509*-1, IF(E473&lt;50, I511*K509*-1, 0))))))</f>
        <v>-7.3569317547960003</v>
      </c>
      <c r="L511" s="69">
        <f>K511-H511</f>
        <v>-0.24248706767999995</v>
      </c>
      <c r="M511" s="128"/>
    </row>
    <row r="512" spans="1:13" ht="13.5" thickBot="1" x14ac:dyDescent="0.3">
      <c r="A512" s="14" t="str">
        <f t="shared" si="75"/>
        <v>RESIDENTIAL SERVICE CLASSIFICATION</v>
      </c>
      <c r="B512" s="14" t="s">
        <v>87</v>
      </c>
      <c r="C512" s="60">
        <f>B37</f>
        <v>8</v>
      </c>
      <c r="D512" s="195" t="s">
        <v>88</v>
      </c>
      <c r="E512" s="195"/>
      <c r="F512" s="130"/>
      <c r="G512" s="131"/>
      <c r="H512" s="132">
        <f>H509+H510+H511</f>
        <v>61.597713402124008</v>
      </c>
      <c r="I512" s="133"/>
      <c r="J512" s="133"/>
      <c r="K512" s="134">
        <f>K509+K510+K511</f>
        <v>63.697195449644006</v>
      </c>
      <c r="L512" s="135">
        <f>K512-H512</f>
        <v>2.0994820475199987</v>
      </c>
      <c r="M512" s="136">
        <f>IF((H512)=0,"",(L512/H512))</f>
        <v>3.4083765964072373E-2</v>
      </c>
    </row>
    <row r="513" spans="1:15" ht="13" thickBot="1" x14ac:dyDescent="0.3">
      <c r="A513" s="14" t="str">
        <f t="shared" si="75"/>
        <v>RESIDENTIAL SERVICE CLASSIFICATION</v>
      </c>
      <c r="B513" s="14" t="s">
        <v>14</v>
      </c>
      <c r="C513" s="60"/>
      <c r="D513" s="109"/>
      <c r="E513" s="110"/>
      <c r="F513" s="111"/>
      <c r="G513" s="112"/>
      <c r="H513" s="113"/>
      <c r="I513" s="111"/>
      <c r="J513" s="114"/>
      <c r="K513" s="113"/>
      <c r="L513" s="115"/>
      <c r="M513" s="116"/>
    </row>
    <row r="514" spans="1:15" ht="13" customHeight="1" x14ac:dyDescent="0.25">
      <c r="A514" s="14" t="str">
        <f t="shared" si="75"/>
        <v>RESIDENTIAL SERVICE CLASSIFICATION</v>
      </c>
      <c r="B514" s="14" t="s">
        <v>24</v>
      </c>
      <c r="C514" s="60"/>
      <c r="D514" s="117" t="s">
        <v>89</v>
      </c>
      <c r="E514" s="102"/>
      <c r="F514" s="118"/>
      <c r="G514" s="119"/>
      <c r="H514" s="120">
        <f>SUM(H506,H499:H502,H498)</f>
        <v>65.167309548000006</v>
      </c>
      <c r="I514" s="121"/>
      <c r="J514" s="121"/>
      <c r="K514" s="120">
        <f>SUM(K506,K499:K502,K498)</f>
        <v>67.239848588000001</v>
      </c>
      <c r="L514" s="122">
        <f>K514-H514</f>
        <v>2.0725390399999952</v>
      </c>
      <c r="M514" s="123">
        <f>IF((H514)=0,"",(L514/H514))</f>
        <v>3.1803354386963516E-2</v>
      </c>
    </row>
    <row r="515" spans="1:15" ht="12.65" customHeight="1" x14ac:dyDescent="0.25">
      <c r="A515" s="14" t="str">
        <f t="shared" si="75"/>
        <v>RESIDENTIAL SERVICE CLASSIFICATION</v>
      </c>
      <c r="B515" s="14" t="s">
        <v>24</v>
      </c>
      <c r="C515" s="60"/>
      <c r="D515" s="124" t="s">
        <v>85</v>
      </c>
      <c r="E515" s="102"/>
      <c r="F515" s="118">
        <v>0.13</v>
      </c>
      <c r="G515" s="119"/>
      <c r="H515" s="126">
        <f>H514*F515</f>
        <v>8.4717502412400005</v>
      </c>
      <c r="I515" s="118">
        <v>0.13</v>
      </c>
      <c r="J515" s="127"/>
      <c r="K515" s="126">
        <f>K514*I515</f>
        <v>8.7411803164400013</v>
      </c>
      <c r="L515" s="69">
        <f>K515-H515</f>
        <v>0.26943007520000073</v>
      </c>
      <c r="M515" s="128">
        <f>IF((H515)=0,"",(L515/H515))</f>
        <v>3.1803354386963675E-2</v>
      </c>
    </row>
    <row r="516" spans="1:15" ht="14.5" customHeight="1" x14ac:dyDescent="0.35">
      <c r="A516" s="14" t="str">
        <f t="shared" si="75"/>
        <v>RESIDENTIAL SERVICE CLASSIFICATION</v>
      </c>
      <c r="B516" s="14" t="s">
        <v>24</v>
      </c>
      <c r="C516" s="60"/>
      <c r="D516" s="124" t="s">
        <v>86</v>
      </c>
      <c r="E516"/>
      <c r="F516" s="129">
        <v>0.11700000000000001</v>
      </c>
      <c r="G516" s="119"/>
      <c r="H516" s="126">
        <f>IF(OR(ISNUMBER(SEARCH("[DGEN]", E470))=TRUE, ISNUMBER(SEARCH("STREET LIGHT", E470))=TRUE), 0, IF(AND(E472=0, E473=0),0, IF(AND(E473=0, E472*12&gt;250000), 0, IF(AND(E472=0, E473&gt;=50), 0, IF(E472*12&lt;=250000, F516*H514*-1, IF(E473&lt;50, F516*H514*-1, 0))))))</f>
        <v>-7.6245752171160008</v>
      </c>
      <c r="I516" s="129">
        <v>0.11700000000000001</v>
      </c>
      <c r="J516" s="127"/>
      <c r="K516" s="126">
        <f>IF(OR(ISNUMBER(SEARCH("[DGEN]", E470))=TRUE, ISNUMBER(SEARCH("STREET LIGHT", E470))=TRUE), 0, IF(AND(E472=0, E473=0),0, IF(AND(E473=0, E472*12&gt;250000), 0, IF(AND(E472=0, E473&gt;=50), 0, IF(E472*12&lt;=250000, I516*K514*-1, IF(E473&lt;50, I516*K514*-1, 0))))))</f>
        <v>-7.8670622847960008</v>
      </c>
      <c r="L516" s="69"/>
      <c r="M516" s="128"/>
    </row>
    <row r="517" spans="1:15" ht="13" customHeight="1" thickBot="1" x14ac:dyDescent="0.3">
      <c r="A517" s="14" t="str">
        <f t="shared" si="75"/>
        <v>RESIDENTIAL SERVICE CLASSIFICATION</v>
      </c>
      <c r="B517" s="14" t="s">
        <v>90</v>
      </c>
      <c r="C517" s="60"/>
      <c r="D517" s="195" t="s">
        <v>89</v>
      </c>
      <c r="E517" s="195"/>
      <c r="F517" s="137"/>
      <c r="G517" s="138"/>
      <c r="H517" s="132">
        <f>SUM(H514,H515)</f>
        <v>73.639059789240008</v>
      </c>
      <c r="I517" s="139"/>
      <c r="J517" s="139"/>
      <c r="K517" s="132">
        <f>SUM(K514,K515)</f>
        <v>75.981028904439995</v>
      </c>
      <c r="L517" s="140">
        <f>K517-H517</f>
        <v>2.3419691151999871</v>
      </c>
      <c r="M517" s="141">
        <f>IF((H517)=0,"",(L517/H517))</f>
        <v>3.1803354386963412E-2</v>
      </c>
    </row>
    <row r="518" spans="1:15" ht="13" customHeight="1" thickBot="1" x14ac:dyDescent="0.3">
      <c r="A518" s="14" t="str">
        <f t="shared" si="75"/>
        <v>RESIDENTIAL SERVICE CLASSIFICATION</v>
      </c>
      <c r="B518" s="14" t="s">
        <v>24</v>
      </c>
      <c r="C518" s="60"/>
      <c r="D518" s="109"/>
      <c r="E518" s="110"/>
      <c r="F518" s="142"/>
      <c r="G518" s="143"/>
      <c r="H518" s="144"/>
      <c r="I518" s="142"/>
      <c r="J518" s="112"/>
      <c r="K518" s="144"/>
      <c r="L518" s="145"/>
      <c r="M518" s="116"/>
    </row>
    <row r="519" spans="1:15" ht="13" customHeight="1" x14ac:dyDescent="0.25">
      <c r="A519" s="14" t="str">
        <f t="shared" si="75"/>
        <v>RESIDENTIAL SERVICE CLASSIFICATION</v>
      </c>
      <c r="B519" s="14" t="s">
        <v>18</v>
      </c>
      <c r="C519" s="60"/>
      <c r="D519" s="117" t="s">
        <v>91</v>
      </c>
      <c r="E519" s="102"/>
      <c r="F519" s="118"/>
      <c r="G519" s="119"/>
      <c r="H519" s="120">
        <f>SUM(H507,H499:H502,H498)</f>
        <v>65.167309548000006</v>
      </c>
      <c r="I519" s="121"/>
      <c r="J519" s="121"/>
      <c r="K519" s="120">
        <f>SUM(K507,K499:K502,K498)</f>
        <v>67.239848588000001</v>
      </c>
      <c r="L519" s="122">
        <f>K519-H519</f>
        <v>2.0725390399999952</v>
      </c>
      <c r="M519" s="123">
        <f>IF((H519)=0,"",(L519/H519))</f>
        <v>3.1803354386963516E-2</v>
      </c>
    </row>
    <row r="520" spans="1:15" ht="12.65" customHeight="1" x14ac:dyDescent="0.25">
      <c r="A520" s="14" t="str">
        <f t="shared" si="75"/>
        <v>RESIDENTIAL SERVICE CLASSIFICATION</v>
      </c>
      <c r="B520" s="14" t="s">
        <v>18</v>
      </c>
      <c r="C520" s="60"/>
      <c r="D520" s="124" t="s">
        <v>85</v>
      </c>
      <c r="E520" s="102"/>
      <c r="F520" s="118">
        <v>0.13</v>
      </c>
      <c r="G520" s="119"/>
      <c r="H520" s="126">
        <f>H519*F520</f>
        <v>8.4717502412400005</v>
      </c>
      <c r="I520" s="118">
        <v>0.13</v>
      </c>
      <c r="J520" s="127"/>
      <c r="K520" s="126">
        <f>K519*I520</f>
        <v>8.7411803164400013</v>
      </c>
      <c r="L520" s="69">
        <f>K520-H520</f>
        <v>0.26943007520000073</v>
      </c>
      <c r="M520" s="128">
        <f>IF((H520)=0,"",(L520/H520))</f>
        <v>3.1803354386963675E-2</v>
      </c>
    </row>
    <row r="521" spans="1:15" ht="14.5" customHeight="1" x14ac:dyDescent="0.35">
      <c r="A521" s="14" t="str">
        <f t="shared" si="75"/>
        <v>RESIDENTIAL SERVICE CLASSIFICATION</v>
      </c>
      <c r="B521" s="14" t="s">
        <v>18</v>
      </c>
      <c r="C521" s="60"/>
      <c r="D521" s="124" t="s">
        <v>86</v>
      </c>
      <c r="E521"/>
      <c r="F521" s="129">
        <v>0.11700000000000001</v>
      </c>
      <c r="G521" s="119"/>
      <c r="H521" s="126">
        <f>IF(OR(ISNUMBER(SEARCH("[DGEN]", E470))=TRUE, ISNUMBER(SEARCH("STREET LIGHT", E470))=TRUE), 0, IF(AND(E472=0, E473=0),0, IF(AND(E473=0, E472*12&gt;250000), 0, IF(AND(E472=0, E473&gt;=50), 0, IF(E472*12&lt;=250000, F521*H519*-1, IF(E473&lt;50, F521*H519*-1, 0))))))</f>
        <v>-7.6245752171160008</v>
      </c>
      <c r="I521" s="129">
        <v>0.11700000000000001</v>
      </c>
      <c r="J521" s="127"/>
      <c r="K521" s="126">
        <f>IF(OR(ISNUMBER(SEARCH("[DGEN]", E470))=TRUE, ISNUMBER(SEARCH("STREET LIGHT", E470))=TRUE), 0, IF(AND(E472=0, E473=0),0, IF(AND(E473=0, E472*12&gt;250000), 0, IF(AND(E472=0, E473&gt;=50), 0, IF(E472*12&lt;=250000, I521*K519*-1, IF(E473&lt;50, I521*K519*-1, 0))))))</f>
        <v>-7.8670622847960008</v>
      </c>
      <c r="L521" s="69"/>
      <c r="M521" s="128"/>
    </row>
    <row r="522" spans="1:15" ht="13" customHeight="1" thickBot="1" x14ac:dyDescent="0.3">
      <c r="A522" s="14" t="str">
        <f t="shared" si="75"/>
        <v>RESIDENTIAL SERVICE CLASSIFICATION</v>
      </c>
      <c r="B522" s="14" t="s">
        <v>92</v>
      </c>
      <c r="C522" s="60"/>
      <c r="D522" s="195" t="s">
        <v>91</v>
      </c>
      <c r="E522" s="195"/>
      <c r="F522" s="137"/>
      <c r="G522" s="138"/>
      <c r="H522" s="132">
        <f>SUM(H519,H520)</f>
        <v>73.639059789240008</v>
      </c>
      <c r="I522" s="139"/>
      <c r="J522" s="139"/>
      <c r="K522" s="132">
        <f>SUM(K519,K520)</f>
        <v>75.981028904439995</v>
      </c>
      <c r="L522" s="140">
        <f>K522-H522</f>
        <v>2.3419691151999871</v>
      </c>
      <c r="M522" s="141">
        <f>IF((H522)=0,"",(L522/H522))</f>
        <v>3.1803354386963412E-2</v>
      </c>
    </row>
    <row r="523" spans="1:15" ht="13" customHeight="1" thickBot="1" x14ac:dyDescent="0.3">
      <c r="A523" s="14" t="str">
        <f t="shared" si="75"/>
        <v>RESIDENTIAL SERVICE CLASSIFICATION</v>
      </c>
      <c r="B523" s="14" t="s">
        <v>18</v>
      </c>
      <c r="C523" s="60"/>
      <c r="D523" s="109"/>
      <c r="E523" s="110"/>
      <c r="F523" s="146"/>
      <c r="G523" s="143"/>
      <c r="H523" s="147"/>
      <c r="I523" s="146"/>
      <c r="J523" s="112"/>
      <c r="K523" s="147"/>
      <c r="L523" s="145"/>
      <c r="M523" s="148"/>
    </row>
    <row r="526" spans="1:15" ht="13" x14ac:dyDescent="0.25">
      <c r="C526" s="14"/>
      <c r="D526" s="46" t="s">
        <v>38</v>
      </c>
      <c r="E526" s="192" t="str">
        <f>D38</f>
        <v>RESIDENTIAL SERVICE CLASSIFICATION</v>
      </c>
      <c r="F526" s="192"/>
      <c r="G526" s="192"/>
      <c r="H526" s="192"/>
      <c r="I526" s="192"/>
      <c r="J526" s="192"/>
      <c r="K526" s="14" t="str">
        <f>IF(N38="DEMAND - INTERVAL","RTSR - INTERVAL METERED","")</f>
        <v/>
      </c>
      <c r="O526" s="14" t="s">
        <v>26</v>
      </c>
    </row>
    <row r="527" spans="1:15" ht="13" x14ac:dyDescent="0.25">
      <c r="C527" s="14"/>
      <c r="D527" s="46" t="s">
        <v>39</v>
      </c>
      <c r="E527" s="193" t="str">
        <f>H38</f>
        <v>Non-RPP (Retailer)</v>
      </c>
      <c r="F527" s="193"/>
      <c r="G527" s="193"/>
      <c r="H527" s="47"/>
      <c r="I527" s="47"/>
    </row>
    <row r="528" spans="1:15" ht="15.5" x14ac:dyDescent="0.3">
      <c r="C528" s="14"/>
      <c r="D528" s="46" t="s">
        <v>40</v>
      </c>
      <c r="E528" s="48">
        <f>K38</f>
        <v>750</v>
      </c>
      <c r="F528" s="49" t="s">
        <v>36</v>
      </c>
      <c r="J528" s="50"/>
      <c r="K528" s="50"/>
      <c r="L528" s="50"/>
      <c r="M528" s="50"/>
    </row>
    <row r="529" spans="1:13" ht="15.5" x14ac:dyDescent="0.35">
      <c r="C529" s="14"/>
      <c r="D529" s="46" t="s">
        <v>41</v>
      </c>
      <c r="E529" s="48">
        <f>L38</f>
        <v>0</v>
      </c>
      <c r="F529" s="51" t="s">
        <v>37</v>
      </c>
      <c r="G529" s="52"/>
      <c r="H529" s="53"/>
      <c r="I529" s="53"/>
      <c r="J529" s="53"/>
    </row>
    <row r="530" spans="1:13" ht="13" x14ac:dyDescent="0.3">
      <c r="C530" s="14"/>
      <c r="D530" s="46" t="s">
        <v>42</v>
      </c>
      <c r="E530" s="54">
        <f>I38</f>
        <v>1.0548</v>
      </c>
    </row>
    <row r="531" spans="1:13" ht="13" x14ac:dyDescent="0.3">
      <c r="C531" s="14"/>
      <c r="D531" s="46" t="s">
        <v>43</v>
      </c>
      <c r="E531" s="54">
        <f>J38</f>
        <v>1.0548</v>
      </c>
    </row>
    <row r="532" spans="1:13" x14ac:dyDescent="0.25">
      <c r="C532" s="14"/>
    </row>
    <row r="533" spans="1:13" ht="13" x14ac:dyDescent="0.3">
      <c r="C533" s="14"/>
      <c r="E533" s="49"/>
      <c r="F533" s="184" t="s">
        <v>44</v>
      </c>
      <c r="G533" s="194"/>
      <c r="H533" s="185"/>
      <c r="I533" s="184" t="s">
        <v>45</v>
      </c>
      <c r="J533" s="194"/>
      <c r="K533" s="185"/>
      <c r="L533" s="184" t="s">
        <v>46</v>
      </c>
      <c r="M533" s="185"/>
    </row>
    <row r="534" spans="1:13" ht="13" x14ac:dyDescent="0.3">
      <c r="C534" s="14"/>
      <c r="E534" s="186"/>
      <c r="F534" s="55" t="s">
        <v>47</v>
      </c>
      <c r="G534" s="55" t="s">
        <v>48</v>
      </c>
      <c r="H534" s="56" t="s">
        <v>49</v>
      </c>
      <c r="I534" s="55" t="s">
        <v>47</v>
      </c>
      <c r="J534" s="57" t="s">
        <v>48</v>
      </c>
      <c r="K534" s="56" t="s">
        <v>49</v>
      </c>
      <c r="L534" s="188" t="s">
        <v>50</v>
      </c>
      <c r="M534" s="190" t="s">
        <v>51</v>
      </c>
    </row>
    <row r="535" spans="1:13" ht="13" x14ac:dyDescent="0.3">
      <c r="C535" s="14"/>
      <c r="E535" s="187"/>
      <c r="F535" s="58" t="s">
        <v>52</v>
      </c>
      <c r="G535" s="58"/>
      <c r="H535" s="59" t="s">
        <v>52</v>
      </c>
      <c r="I535" s="58" t="s">
        <v>52</v>
      </c>
      <c r="J535" s="59"/>
      <c r="K535" s="59" t="s">
        <v>52</v>
      </c>
      <c r="L535" s="189"/>
      <c r="M535" s="191"/>
    </row>
    <row r="536" spans="1:13" ht="13" x14ac:dyDescent="0.25">
      <c r="A536" s="14" t="str">
        <f>$E526</f>
        <v>RESIDENTIAL SERVICE CLASSIFICATION</v>
      </c>
      <c r="C536" s="60"/>
      <c r="D536" s="61" t="s">
        <v>53</v>
      </c>
      <c r="E536" s="62"/>
      <c r="F536" s="63">
        <v>22.62</v>
      </c>
      <c r="G536" s="64">
        <v>1</v>
      </c>
      <c r="H536" s="65">
        <f>G536*F536</f>
        <v>22.62</v>
      </c>
      <c r="I536" s="66">
        <v>22.62</v>
      </c>
      <c r="J536" s="67">
        <f>G536</f>
        <v>1</v>
      </c>
      <c r="K536" s="68">
        <f>J536*I536</f>
        <v>22.62</v>
      </c>
      <c r="L536" s="69">
        <f t="shared" ref="L536:L556" si="80">K536-H536</f>
        <v>0</v>
      </c>
      <c r="M536" s="70">
        <f>IF(ISERROR(L536/H536), "", L536/H536)</f>
        <v>0</v>
      </c>
    </row>
    <row r="537" spans="1:13" ht="13" x14ac:dyDescent="0.25">
      <c r="A537" s="14" t="str">
        <f>A536</f>
        <v>RESIDENTIAL SERVICE CLASSIFICATION</v>
      </c>
      <c r="C537" s="60"/>
      <c r="D537" s="61" t="s">
        <v>54</v>
      </c>
      <c r="E537" s="62"/>
      <c r="F537" s="71">
        <v>0</v>
      </c>
      <c r="G537" s="64">
        <f>IF($E529&gt;0, $E529, $E528)</f>
        <v>750</v>
      </c>
      <c r="H537" s="65">
        <f t="shared" ref="H537:H549" si="81">G537*F537</f>
        <v>0</v>
      </c>
      <c r="I537" s="72">
        <v>0</v>
      </c>
      <c r="J537" s="67">
        <f>IF($E529&gt;0, $E529, $E528)</f>
        <v>750</v>
      </c>
      <c r="K537" s="68">
        <f>J537*I537</f>
        <v>0</v>
      </c>
      <c r="L537" s="69">
        <f t="shared" si="80"/>
        <v>0</v>
      </c>
      <c r="M537" s="70" t="str">
        <f t="shared" ref="M537:M547" si="82">IF(ISERROR(L537/H537), "", L537/H537)</f>
        <v/>
      </c>
    </row>
    <row r="538" spans="1:13" ht="13" customHeight="1" x14ac:dyDescent="0.25">
      <c r="A538" s="14" t="str">
        <f t="shared" ref="A538:A579" si="83">A537</f>
        <v>RESIDENTIAL SERVICE CLASSIFICATION</v>
      </c>
      <c r="C538" s="60"/>
      <c r="D538" s="61" t="s">
        <v>55</v>
      </c>
      <c r="E538" s="62"/>
      <c r="F538" s="71"/>
      <c r="G538" s="64">
        <f>IF($E529&gt;0, $E529, $E528)</f>
        <v>750</v>
      </c>
      <c r="H538" s="65">
        <v>0</v>
      </c>
      <c r="I538" s="72"/>
      <c r="J538" s="67">
        <f>IF($E529&gt;0, $E529, $E528)</f>
        <v>750</v>
      </c>
      <c r="K538" s="68">
        <v>0</v>
      </c>
      <c r="L538" s="69"/>
      <c r="M538" s="70"/>
    </row>
    <row r="539" spans="1:13" ht="13" customHeight="1" x14ac:dyDescent="0.25">
      <c r="A539" s="14" t="str">
        <f t="shared" si="83"/>
        <v>RESIDENTIAL SERVICE CLASSIFICATION</v>
      </c>
      <c r="C539" s="60"/>
      <c r="D539" s="61" t="s">
        <v>56</v>
      </c>
      <c r="E539" s="62"/>
      <c r="F539" s="71"/>
      <c r="G539" s="64">
        <f>IF($E529&gt;0, $E529, $E528)</f>
        <v>750</v>
      </c>
      <c r="H539" s="65">
        <v>0</v>
      </c>
      <c r="I539" s="72"/>
      <c r="J539" s="73">
        <f>IF($E529&gt;0, $E529, $E528)</f>
        <v>750</v>
      </c>
      <c r="K539" s="68">
        <v>0</v>
      </c>
      <c r="L539" s="69">
        <f>K539-H539</f>
        <v>0</v>
      </c>
      <c r="M539" s="70" t="str">
        <f>IF(ISERROR(L539/H539), "", L539/H539)</f>
        <v/>
      </c>
    </row>
    <row r="540" spans="1:13" ht="13" x14ac:dyDescent="0.25">
      <c r="A540" s="14" t="str">
        <f t="shared" si="83"/>
        <v>RESIDENTIAL SERVICE CLASSIFICATION</v>
      </c>
      <c r="C540" s="60"/>
      <c r="D540" s="61" t="s">
        <v>57</v>
      </c>
      <c r="E540" s="62"/>
      <c r="F540" s="63">
        <v>-1.1200000000000001</v>
      </c>
      <c r="G540" s="64">
        <v>1</v>
      </c>
      <c r="H540" s="65">
        <f t="shared" si="81"/>
        <v>-1.1200000000000001</v>
      </c>
      <c r="I540" s="66">
        <v>-0.23</v>
      </c>
      <c r="J540" s="67">
        <f>G540</f>
        <v>1</v>
      </c>
      <c r="K540" s="68">
        <f t="shared" ref="K540:K547" si="84">J540*I540</f>
        <v>-0.23</v>
      </c>
      <c r="L540" s="69">
        <f t="shared" si="80"/>
        <v>0.89000000000000012</v>
      </c>
      <c r="M540" s="70">
        <f t="shared" si="82"/>
        <v>-0.79464285714285721</v>
      </c>
    </row>
    <row r="541" spans="1:13" ht="13" x14ac:dyDescent="0.25">
      <c r="A541" s="14" t="str">
        <f t="shared" si="83"/>
        <v>RESIDENTIAL SERVICE CLASSIFICATION</v>
      </c>
      <c r="C541" s="60"/>
      <c r="D541" s="61" t="s">
        <v>58</v>
      </c>
      <c r="E541" s="62"/>
      <c r="F541" s="71">
        <v>5.9999999999999995E-4</v>
      </c>
      <c r="G541" s="64">
        <f>IF($E529&gt;0, $E529, $E528)</f>
        <v>750</v>
      </c>
      <c r="H541" s="65">
        <f t="shared" si="81"/>
        <v>0.44999999999999996</v>
      </c>
      <c r="I541" s="72">
        <v>0</v>
      </c>
      <c r="J541" s="67">
        <f>IF($E529&gt;0, $E529, $E528)</f>
        <v>750</v>
      </c>
      <c r="K541" s="68">
        <f t="shared" si="84"/>
        <v>0</v>
      </c>
      <c r="L541" s="69">
        <f t="shared" si="80"/>
        <v>-0.44999999999999996</v>
      </c>
      <c r="M541" s="70">
        <f t="shared" si="82"/>
        <v>-1</v>
      </c>
    </row>
    <row r="542" spans="1:13" ht="13" x14ac:dyDescent="0.25">
      <c r="A542" s="14" t="str">
        <f t="shared" si="83"/>
        <v>RESIDENTIAL SERVICE CLASSIFICATION</v>
      </c>
      <c r="B542" s="14" t="s">
        <v>59</v>
      </c>
      <c r="C542" s="60">
        <f>B38</f>
        <v>9</v>
      </c>
      <c r="D542" s="74" t="s">
        <v>60</v>
      </c>
      <c r="E542" s="75"/>
      <c r="F542" s="76"/>
      <c r="G542" s="77"/>
      <c r="H542" s="78">
        <f>SUM(H536:H541)</f>
        <v>21.95</v>
      </c>
      <c r="I542" s="79"/>
      <c r="J542" s="80"/>
      <c r="K542" s="78">
        <f>SUM(K536:K541)</f>
        <v>22.39</v>
      </c>
      <c r="L542" s="81">
        <f t="shared" si="80"/>
        <v>0.44000000000000128</v>
      </c>
      <c r="M542" s="82">
        <f>IF((H542)=0,"",(L542/H542))</f>
        <v>2.0045558086560424E-2</v>
      </c>
    </row>
    <row r="543" spans="1:13" ht="13" x14ac:dyDescent="0.25">
      <c r="A543" s="14" t="str">
        <f t="shared" si="83"/>
        <v>RESIDENTIAL SERVICE CLASSIFICATION</v>
      </c>
      <c r="C543" s="60"/>
      <c r="D543" s="83" t="s">
        <v>61</v>
      </c>
      <c r="E543" s="62"/>
      <c r="F543" s="71">
        <f>IF((E528*12&gt;=150000), 0, IF(E527="RPP",(F559*OffPeakPer+F560*MidPeakPer+F561*OnPeakPer),IF(E527="Non-RPP (Retailer)",F562,F563)))</f>
        <v>0.1076</v>
      </c>
      <c r="G543" s="84">
        <f>IF(F543=0, 0, $E528*E530-E528)</f>
        <v>41.100000000000023</v>
      </c>
      <c r="H543" s="65">
        <f>G543*F543</f>
        <v>4.4223600000000021</v>
      </c>
      <c r="I543" s="72">
        <f>IF((E528*12&gt;=150000), 0, IF(E527="RPP",(I559*OffPeakPer+I560*MidPeakPer+I561*OnPeakPer),IF(E527="Non-RPP (Retailer)",I562,I563)))</f>
        <v>0.1076</v>
      </c>
      <c r="J543" s="85">
        <f>IF(I543=0, 0, E528*E531-E528)</f>
        <v>41.100000000000023</v>
      </c>
      <c r="K543" s="68">
        <f>J543*I543</f>
        <v>4.4223600000000021</v>
      </c>
      <c r="L543" s="69">
        <f>K543-H543</f>
        <v>0</v>
      </c>
      <c r="M543" s="70">
        <f>IF(ISERROR(L543/H543), "", L543/H543)</f>
        <v>0</v>
      </c>
    </row>
    <row r="544" spans="1:13" ht="25" x14ac:dyDescent="0.25">
      <c r="A544" s="14" t="str">
        <f t="shared" si="83"/>
        <v>RESIDENTIAL SERVICE CLASSIFICATION</v>
      </c>
      <c r="C544" s="60"/>
      <c r="D544" s="83" t="s">
        <v>62</v>
      </c>
      <c r="E544" s="62"/>
      <c r="F544" s="71">
        <v>-5.9999999999999995E-4</v>
      </c>
      <c r="G544" s="86">
        <f>IF($E529&gt;0, $E529, $E528)</f>
        <v>750</v>
      </c>
      <c r="H544" s="65">
        <f t="shared" si="81"/>
        <v>-0.44999999999999996</v>
      </c>
      <c r="I544" s="72">
        <v>3.3E-3</v>
      </c>
      <c r="J544" s="87">
        <f>IF($E529&gt;0, $E529, $E528)</f>
        <v>750</v>
      </c>
      <c r="K544" s="68">
        <f t="shared" si="84"/>
        <v>2.4750000000000001</v>
      </c>
      <c r="L544" s="69">
        <f t="shared" si="80"/>
        <v>2.9249999999999998</v>
      </c>
      <c r="M544" s="70">
        <f t="shared" si="82"/>
        <v>-6.5</v>
      </c>
    </row>
    <row r="545" spans="1:13" ht="13" x14ac:dyDescent="0.25">
      <c r="A545" s="14" t="str">
        <f t="shared" si="83"/>
        <v>RESIDENTIAL SERVICE CLASSIFICATION</v>
      </c>
      <c r="C545" s="60"/>
      <c r="D545" s="83" t="s">
        <v>63</v>
      </c>
      <c r="E545" s="62"/>
      <c r="F545" s="71">
        <v>-2.0000000000000001E-4</v>
      </c>
      <c r="G545" s="86">
        <f>IF($E529&gt;0, $E529, $E528)</f>
        <v>750</v>
      </c>
      <c r="H545" s="65">
        <f>G545*F545</f>
        <v>-0.15</v>
      </c>
      <c r="I545" s="72">
        <v>-4.0000000000000002E-4</v>
      </c>
      <c r="J545" s="87">
        <f>IF($E529&gt;0, $E529, $E528)</f>
        <v>750</v>
      </c>
      <c r="K545" s="68">
        <f>J545*I545</f>
        <v>-0.3</v>
      </c>
      <c r="L545" s="69">
        <f t="shared" si="80"/>
        <v>-0.15</v>
      </c>
      <c r="M545" s="70">
        <f t="shared" si="82"/>
        <v>1</v>
      </c>
    </row>
    <row r="546" spans="1:13" ht="13" x14ac:dyDescent="0.25">
      <c r="A546" s="14" t="str">
        <f t="shared" si="83"/>
        <v>RESIDENTIAL SERVICE CLASSIFICATION</v>
      </c>
      <c r="C546" s="60"/>
      <c r="D546" s="83" t="s">
        <v>64</v>
      </c>
      <c r="E546" s="62"/>
      <c r="F546" s="71">
        <v>9.7000000000000003E-3</v>
      </c>
      <c r="G546" s="86">
        <f>E528</f>
        <v>750</v>
      </c>
      <c r="H546" s="65">
        <f>G546*F546</f>
        <v>7.2750000000000004</v>
      </c>
      <c r="I546" s="72">
        <v>-6.7000000000000002E-3</v>
      </c>
      <c r="J546" s="87">
        <f>E528</f>
        <v>750</v>
      </c>
      <c r="K546" s="68">
        <f t="shared" si="84"/>
        <v>-5.0250000000000004</v>
      </c>
      <c r="L546" s="69">
        <f t="shared" si="80"/>
        <v>-12.3</v>
      </c>
      <c r="M546" s="70">
        <f t="shared" si="82"/>
        <v>-1.6907216494845361</v>
      </c>
    </row>
    <row r="547" spans="1:13" ht="13" x14ac:dyDescent="0.25">
      <c r="A547" s="14" t="str">
        <f t="shared" si="83"/>
        <v>RESIDENTIAL SERVICE CLASSIFICATION</v>
      </c>
      <c r="C547" s="60"/>
      <c r="D547" s="61" t="s">
        <v>65</v>
      </c>
      <c r="E547" s="62"/>
      <c r="F547" s="71">
        <v>1E-3</v>
      </c>
      <c r="G547" s="86">
        <f>IF($E529&gt;0, $E529, $E528)</f>
        <v>750</v>
      </c>
      <c r="H547" s="65">
        <f t="shared" si="81"/>
        <v>0.75</v>
      </c>
      <c r="I547" s="72">
        <v>2.0999999999999999E-3</v>
      </c>
      <c r="J547" s="87">
        <f>IF($E529&gt;0, $E529, $E528)</f>
        <v>750</v>
      </c>
      <c r="K547" s="68">
        <f t="shared" si="84"/>
        <v>1.575</v>
      </c>
      <c r="L547" s="69">
        <f t="shared" si="80"/>
        <v>0.82499999999999996</v>
      </c>
      <c r="M547" s="70">
        <f t="shared" si="82"/>
        <v>1.0999999999999999</v>
      </c>
    </row>
    <row r="548" spans="1:13" ht="13" x14ac:dyDescent="0.25">
      <c r="A548" s="14" t="str">
        <f t="shared" si="83"/>
        <v>RESIDENTIAL SERVICE CLASSIFICATION</v>
      </c>
      <c r="C548" s="60"/>
      <c r="D548" s="83" t="s">
        <v>66</v>
      </c>
      <c r="E548" s="62"/>
      <c r="F548" s="88">
        <f>IF(OR(ISNUMBER(SEARCH("RESIDENTIAL", E526))=TRUE, ISNUMBER(SEARCH("GENERAL SERVICE LESS THAN 50", E526))=TRUE), SME, 0)</f>
        <v>0.42</v>
      </c>
      <c r="G548" s="64">
        <v>1</v>
      </c>
      <c r="H548" s="65">
        <f>G548*F548</f>
        <v>0.42</v>
      </c>
      <c r="I548" s="89">
        <f>IF(OR(ISNUMBER(SEARCH("RESIDENTIAL", E526))=TRUE, ISNUMBER(SEARCH("GENERAL SERVICE LESS THAN 50", E526))=TRUE), SME, 0)</f>
        <v>0.42</v>
      </c>
      <c r="J548" s="73">
        <v>1</v>
      </c>
      <c r="K548" s="68">
        <f>J548*I548</f>
        <v>0.42</v>
      </c>
      <c r="L548" s="69">
        <f t="shared" si="80"/>
        <v>0</v>
      </c>
      <c r="M548" s="70">
        <f>IF(ISERROR(L548/H548), "", L548/H548)</f>
        <v>0</v>
      </c>
    </row>
    <row r="549" spans="1:13" ht="13" x14ac:dyDescent="0.25">
      <c r="A549" s="14" t="str">
        <f t="shared" si="83"/>
        <v>RESIDENTIAL SERVICE CLASSIFICATION</v>
      </c>
      <c r="C549" s="60"/>
      <c r="D549" s="61" t="s">
        <v>67</v>
      </c>
      <c r="E549" s="62"/>
      <c r="F549" s="63">
        <v>0</v>
      </c>
      <c r="G549" s="64">
        <v>1</v>
      </c>
      <c r="H549" s="65">
        <f t="shared" si="81"/>
        <v>0</v>
      </c>
      <c r="I549" s="66">
        <v>0</v>
      </c>
      <c r="J549" s="73">
        <v>1</v>
      </c>
      <c r="K549" s="68">
        <f>J549*I549</f>
        <v>0</v>
      </c>
      <c r="L549" s="69">
        <f>K549-H549</f>
        <v>0</v>
      </c>
      <c r="M549" s="70" t="str">
        <f>IF(ISERROR(L549/H549), "", L549/H549)</f>
        <v/>
      </c>
    </row>
    <row r="550" spans="1:13" ht="13" x14ac:dyDescent="0.25">
      <c r="A550" s="14" t="str">
        <f t="shared" si="83"/>
        <v>RESIDENTIAL SERVICE CLASSIFICATION</v>
      </c>
      <c r="C550" s="60"/>
      <c r="D550" s="61" t="s">
        <v>68</v>
      </c>
      <c r="E550" s="62"/>
      <c r="F550" s="71">
        <v>0</v>
      </c>
      <c r="G550" s="86">
        <f>IF($E529&gt;0, $E529, $E528)</f>
        <v>750</v>
      </c>
      <c r="H550" s="65">
        <f>G550*F550</f>
        <v>0</v>
      </c>
      <c r="I550" s="72">
        <v>0</v>
      </c>
      <c r="J550" s="87">
        <f>IF($E529&gt;0, $E529, $E528)</f>
        <v>750</v>
      </c>
      <c r="K550" s="68">
        <f>J550*I550</f>
        <v>0</v>
      </c>
      <c r="L550" s="69">
        <f t="shared" si="80"/>
        <v>0</v>
      </c>
      <c r="M550" s="70" t="str">
        <f>IF(ISERROR(L550/H550), "", L550/H550)</f>
        <v/>
      </c>
    </row>
    <row r="551" spans="1:13" ht="26" x14ac:dyDescent="0.25">
      <c r="A551" s="14" t="str">
        <f t="shared" si="83"/>
        <v>RESIDENTIAL SERVICE CLASSIFICATION</v>
      </c>
      <c r="B551" s="14" t="s">
        <v>69</v>
      </c>
      <c r="C551" s="60">
        <f>B38</f>
        <v>9</v>
      </c>
      <c r="D551" s="90" t="s">
        <v>70</v>
      </c>
      <c r="E551" s="91"/>
      <c r="F551" s="92"/>
      <c r="G551" s="93"/>
      <c r="H551" s="94">
        <f>SUM(H542:H550)</f>
        <v>34.217360000000006</v>
      </c>
      <c r="I551" s="95"/>
      <c r="J551" s="96"/>
      <c r="K551" s="94">
        <f>SUM(K542:K550)</f>
        <v>25.957360000000005</v>
      </c>
      <c r="L551" s="81">
        <f t="shared" si="80"/>
        <v>-8.2600000000000016</v>
      </c>
      <c r="M551" s="82">
        <f>IF((H551)=0,"",(L551/H551))</f>
        <v>-0.2413979336804476</v>
      </c>
    </row>
    <row r="552" spans="1:13" ht="13" x14ac:dyDescent="0.25">
      <c r="A552" s="14" t="str">
        <f t="shared" si="83"/>
        <v>RESIDENTIAL SERVICE CLASSIFICATION</v>
      </c>
      <c r="C552" s="60"/>
      <c r="D552" s="97" t="s">
        <v>71</v>
      </c>
      <c r="E552" s="62"/>
      <c r="F552" s="71">
        <v>9.9000000000000008E-3</v>
      </c>
      <c r="G552" s="84">
        <f>IF($E529&gt;0, $E529, $E528*$E530)</f>
        <v>791.1</v>
      </c>
      <c r="H552" s="65">
        <f>G552*F552</f>
        <v>7.8318900000000005</v>
      </c>
      <c r="I552" s="98">
        <v>9.7000000000000003E-3</v>
      </c>
      <c r="J552" s="85">
        <f>IF($E529&gt;0, $E529, $E528*$E531)</f>
        <v>791.1</v>
      </c>
      <c r="K552" s="68">
        <f>J552*I552</f>
        <v>7.6736700000000004</v>
      </c>
      <c r="L552" s="69">
        <f t="shared" si="80"/>
        <v>-0.15822000000000003</v>
      </c>
      <c r="M552" s="70">
        <f>IF(ISERROR(L552/H552), "", L552/H552)</f>
        <v>-2.0202020202020204E-2</v>
      </c>
    </row>
    <row r="553" spans="1:13" ht="25" x14ac:dyDescent="0.25">
      <c r="A553" s="14" t="str">
        <f t="shared" si="83"/>
        <v>RESIDENTIAL SERVICE CLASSIFICATION</v>
      </c>
      <c r="C553" s="60"/>
      <c r="D553" s="99" t="s">
        <v>72</v>
      </c>
      <c r="E553" s="62"/>
      <c r="F553" s="71">
        <v>7.4999999999999997E-3</v>
      </c>
      <c r="G553" s="84">
        <f>IF($E529&gt;0, $E529, $E528*$E530)</f>
        <v>791.1</v>
      </c>
      <c r="H553" s="65">
        <f>G553*F553</f>
        <v>5.9332500000000001</v>
      </c>
      <c r="I553" s="98">
        <v>7.3000000000000001E-3</v>
      </c>
      <c r="J553" s="85">
        <f>IF($E529&gt;0, $E529, $E528*$E531)</f>
        <v>791.1</v>
      </c>
      <c r="K553" s="68">
        <f>J553*I553</f>
        <v>5.7750300000000001</v>
      </c>
      <c r="L553" s="69">
        <f t="shared" si="80"/>
        <v>-0.15822000000000003</v>
      </c>
      <c r="M553" s="70">
        <f>IF(ISERROR(L553/H553), "", L553/H553)</f>
        <v>-2.6666666666666672E-2</v>
      </c>
    </row>
    <row r="554" spans="1:13" ht="26" x14ac:dyDescent="0.25">
      <c r="A554" s="14" t="str">
        <f t="shared" si="83"/>
        <v>RESIDENTIAL SERVICE CLASSIFICATION</v>
      </c>
      <c r="B554" s="14" t="s">
        <v>73</v>
      </c>
      <c r="C554" s="60">
        <f>B38</f>
        <v>9</v>
      </c>
      <c r="D554" s="90" t="s">
        <v>74</v>
      </c>
      <c r="E554" s="75"/>
      <c r="F554" s="92"/>
      <c r="G554" s="93"/>
      <c r="H554" s="94">
        <f>SUM(H551:H553)</f>
        <v>47.982500000000009</v>
      </c>
      <c r="I554" s="95"/>
      <c r="J554" s="80"/>
      <c r="K554" s="94">
        <f>SUM(K551:K553)</f>
        <v>39.406060000000004</v>
      </c>
      <c r="L554" s="81">
        <f t="shared" si="80"/>
        <v>-8.5764400000000052</v>
      </c>
      <c r="M554" s="82">
        <f>IF((H554)=0,"",(L554/H554))</f>
        <v>-0.17874099932266979</v>
      </c>
    </row>
    <row r="555" spans="1:13" ht="25" x14ac:dyDescent="0.25">
      <c r="A555" s="14" t="str">
        <f t="shared" si="83"/>
        <v>RESIDENTIAL SERVICE CLASSIFICATION</v>
      </c>
      <c r="C555" s="60"/>
      <c r="D555" s="100" t="s">
        <v>75</v>
      </c>
      <c r="E555" s="62"/>
      <c r="F555" s="71">
        <f>IF(AND('[2]1. Information Sheet'!$F$26:$H$26&gt;='[2]18. Regulatory Charges'!$D$14,'[2]1. Information Sheet'!$F$26:$H$26&lt;'[2]18. Regulatory Charges'!$E$14),'[2]18. Regulatory Charges'!$D$15+'[2]18. Regulatory Charges'!$D$16,'[2]18. Regulatory Charges'!$E$15+'[2]18. Regulatory Charges'!$E$16)</f>
        <v>4.5000000000000005E-3</v>
      </c>
      <c r="G555" s="84">
        <f>E528*E530</f>
        <v>791.1</v>
      </c>
      <c r="H555" s="101">
        <f t="shared" ref="H555:H561" si="85">G555*F555</f>
        <v>3.5599500000000006</v>
      </c>
      <c r="I555" s="72">
        <f>'[2]18. Regulatory Charges'!$E$15+'[2]18. Regulatory Charges'!$E$16</f>
        <v>4.5000000000000005E-3</v>
      </c>
      <c r="J555" s="85">
        <f>E528*E531</f>
        <v>791.1</v>
      </c>
      <c r="K555" s="68">
        <f t="shared" ref="K555:K561" si="86">J555*I555</f>
        <v>3.5599500000000006</v>
      </c>
      <c r="L555" s="69">
        <f t="shared" si="80"/>
        <v>0</v>
      </c>
      <c r="M555" s="70">
        <f t="shared" ref="M555:M563" si="87">IF(ISERROR(L555/H555), "", L555/H555)</f>
        <v>0</v>
      </c>
    </row>
    <row r="556" spans="1:13" ht="25" x14ac:dyDescent="0.25">
      <c r="A556" s="14" t="str">
        <f t="shared" si="83"/>
        <v>RESIDENTIAL SERVICE CLASSIFICATION</v>
      </c>
      <c r="C556" s="60"/>
      <c r="D556" s="100" t="s">
        <v>76</v>
      </c>
      <c r="E556" s="62"/>
      <c r="F556" s="71">
        <f>IF(AND('[2]1. Information Sheet'!$F$26:$H$26&gt;='[2]18. Regulatory Charges'!$D$14,'[2]1. Information Sheet'!$F$26:$H$26&lt;'[2]18. Regulatory Charges'!$D$14),'[2]18. Regulatory Charges'!$D$17,'[2]18. Regulatory Charges'!$E$17)</f>
        <v>6.9999999999999999E-4</v>
      </c>
      <c r="G556" s="84">
        <f>E528*E530</f>
        <v>791.1</v>
      </c>
      <c r="H556" s="101">
        <f t="shared" si="85"/>
        <v>0.55376999999999998</v>
      </c>
      <c r="I556" s="72">
        <f>'[2]18. Regulatory Charges'!$E$17</f>
        <v>6.9999999999999999E-4</v>
      </c>
      <c r="J556" s="85">
        <f>E528*E531</f>
        <v>791.1</v>
      </c>
      <c r="K556" s="68">
        <f t="shared" si="86"/>
        <v>0.55376999999999998</v>
      </c>
      <c r="L556" s="69">
        <f t="shared" si="80"/>
        <v>0</v>
      </c>
      <c r="M556" s="70">
        <f t="shared" si="87"/>
        <v>0</v>
      </c>
    </row>
    <row r="557" spans="1:13" ht="13" x14ac:dyDescent="0.25">
      <c r="A557" s="14" t="str">
        <f t="shared" si="83"/>
        <v>RESIDENTIAL SERVICE CLASSIFICATION</v>
      </c>
      <c r="C557" s="60"/>
      <c r="D557" s="102" t="s">
        <v>77</v>
      </c>
      <c r="E557" s="62"/>
      <c r="F557" s="150"/>
      <c r="G557" s="151"/>
      <c r="H557" s="152"/>
      <c r="I557" s="153"/>
      <c r="J557" s="154"/>
      <c r="K557" s="155"/>
      <c r="L557" s="156"/>
      <c r="M557" s="157"/>
    </row>
    <row r="558" spans="1:13" ht="25" customHeight="1" x14ac:dyDescent="0.25">
      <c r="A558" s="14" t="str">
        <f t="shared" si="83"/>
        <v>RESIDENTIAL SERVICE CLASSIFICATION</v>
      </c>
      <c r="C558" s="60"/>
      <c r="D558" s="100" t="s">
        <v>78</v>
      </c>
      <c r="E558" s="62"/>
      <c r="F558" s="71"/>
      <c r="G558" s="84"/>
      <c r="H558" s="101"/>
      <c r="I558" s="72"/>
      <c r="J558" s="85"/>
      <c r="K558" s="68"/>
      <c r="L558" s="69"/>
      <c r="M558" s="70"/>
    </row>
    <row r="559" spans="1:13" ht="13" customHeight="1" x14ac:dyDescent="0.25">
      <c r="A559" s="14" t="str">
        <f t="shared" si="83"/>
        <v>RESIDENTIAL SERVICE CLASSIFICATION</v>
      </c>
      <c r="B559" s="14" t="s">
        <v>14</v>
      </c>
      <c r="C559" s="60"/>
      <c r="D559" s="102" t="s">
        <v>79</v>
      </c>
      <c r="E559" s="62"/>
      <c r="F559" s="103">
        <f>OffPeak</f>
        <v>7.3999999999999996E-2</v>
      </c>
      <c r="G559" s="104">
        <f>IF(AND(E528*12&gt;=150000),OffPeakPer*E528*E530,OffPeakPer*E528)</f>
        <v>472.5</v>
      </c>
      <c r="H559" s="101">
        <f t="shared" si="85"/>
        <v>34.964999999999996</v>
      </c>
      <c r="I559" s="105">
        <f>OffPeak</f>
        <v>7.3999999999999996E-2</v>
      </c>
      <c r="J559" s="106">
        <f>IF(AND(E528*12&gt;=150000),OffPeakPer*E528*E531,OffPeakPer*E528)</f>
        <v>472.5</v>
      </c>
      <c r="K559" s="68">
        <f t="shared" si="86"/>
        <v>34.964999999999996</v>
      </c>
      <c r="L559" s="69">
        <f>K559-H559</f>
        <v>0</v>
      </c>
      <c r="M559" s="70">
        <f t="shared" si="87"/>
        <v>0</v>
      </c>
    </row>
    <row r="560" spans="1:13" ht="13" customHeight="1" x14ac:dyDescent="0.25">
      <c r="A560" s="14" t="str">
        <f t="shared" si="83"/>
        <v>RESIDENTIAL SERVICE CLASSIFICATION</v>
      </c>
      <c r="B560" s="14" t="s">
        <v>14</v>
      </c>
      <c r="C560" s="60"/>
      <c r="D560" s="102" t="s">
        <v>80</v>
      </c>
      <c r="E560" s="62"/>
      <c r="F560" s="103">
        <f>MidPeak</f>
        <v>0.10199999999999999</v>
      </c>
      <c r="G560" s="104">
        <f>IF(AND(E528*12&gt;=150000),MidPeakPer*E528*E530,MidPeakPer*E528)</f>
        <v>135</v>
      </c>
      <c r="H560" s="101">
        <f t="shared" si="85"/>
        <v>13.77</v>
      </c>
      <c r="I560" s="105">
        <f>MidPeak</f>
        <v>0.10199999999999999</v>
      </c>
      <c r="J560" s="106">
        <f>IF(AND(E528*12&gt;=150000),MidPeakPer*E528*E531,MidPeakPer*E528)</f>
        <v>135</v>
      </c>
      <c r="K560" s="68">
        <f t="shared" si="86"/>
        <v>13.77</v>
      </c>
      <c r="L560" s="69">
        <f>K560-H560</f>
        <v>0</v>
      </c>
      <c r="M560" s="70">
        <f t="shared" si="87"/>
        <v>0</v>
      </c>
    </row>
    <row r="561" spans="1:13" ht="13" customHeight="1" x14ac:dyDescent="0.25">
      <c r="A561" s="14" t="str">
        <f t="shared" si="83"/>
        <v>RESIDENTIAL SERVICE CLASSIFICATION</v>
      </c>
      <c r="B561" s="14" t="s">
        <v>14</v>
      </c>
      <c r="C561" s="60"/>
      <c r="D561" s="14" t="s">
        <v>81</v>
      </c>
      <c r="E561" s="62"/>
      <c r="F561" s="103">
        <f>OnPeak</f>
        <v>0.151</v>
      </c>
      <c r="G561" s="104">
        <f>IF(AND(E528*12&gt;=150000),OnPeakPer*E528*E530,OnPeakPer*E528)</f>
        <v>142.5</v>
      </c>
      <c r="H561" s="101">
        <f t="shared" si="85"/>
        <v>21.517499999999998</v>
      </c>
      <c r="I561" s="105">
        <f>OnPeak</f>
        <v>0.151</v>
      </c>
      <c r="J561" s="106">
        <f>IF(AND(E528*12&gt;=150000),OnPeakPer*E528*E531,OnPeakPer*E528)</f>
        <v>142.5</v>
      </c>
      <c r="K561" s="68">
        <f t="shared" si="86"/>
        <v>21.517499999999998</v>
      </c>
      <c r="L561" s="69">
        <f>K561-H561</f>
        <v>0</v>
      </c>
      <c r="M561" s="70">
        <f t="shared" si="87"/>
        <v>0</v>
      </c>
    </row>
    <row r="562" spans="1:13" ht="13" x14ac:dyDescent="0.25">
      <c r="A562" s="14" t="str">
        <f t="shared" si="83"/>
        <v>RESIDENTIAL SERVICE CLASSIFICATION</v>
      </c>
      <c r="B562" s="14" t="s">
        <v>24</v>
      </c>
      <c r="C562" s="60"/>
      <c r="D562" s="102" t="s">
        <v>82</v>
      </c>
      <c r="E562" s="62"/>
      <c r="F562" s="107">
        <v>0.1076</v>
      </c>
      <c r="G562" s="104">
        <f>IF(AND(E528*12&gt;=150000),E528*E530,E528)</f>
        <v>750</v>
      </c>
      <c r="H562" s="101">
        <f>G562*F562</f>
        <v>80.7</v>
      </c>
      <c r="I562" s="108">
        <f>F562</f>
        <v>0.1076</v>
      </c>
      <c r="J562" s="106">
        <f>IF(AND(E528*12&gt;=150000),E528*E531,E528)</f>
        <v>750</v>
      </c>
      <c r="K562" s="68">
        <f>J562*I562</f>
        <v>80.7</v>
      </c>
      <c r="L562" s="69">
        <f>K562-H562</f>
        <v>0</v>
      </c>
      <c r="M562" s="70">
        <f t="shared" si="87"/>
        <v>0</v>
      </c>
    </row>
    <row r="563" spans="1:13" ht="13.5" customHeight="1" thickBot="1" x14ac:dyDescent="0.3">
      <c r="A563" s="14" t="str">
        <f t="shared" si="83"/>
        <v>RESIDENTIAL SERVICE CLASSIFICATION</v>
      </c>
      <c r="B563" s="14" t="s">
        <v>18</v>
      </c>
      <c r="C563" s="60"/>
      <c r="D563" s="102" t="s">
        <v>83</v>
      </c>
      <c r="E563" s="62"/>
      <c r="F563" s="107">
        <v>0.1076</v>
      </c>
      <c r="G563" s="104">
        <f>IF(AND(E528*12&gt;=150000),E528*E530,E528)</f>
        <v>750</v>
      </c>
      <c r="H563" s="101">
        <f>G563*F563</f>
        <v>80.7</v>
      </c>
      <c r="I563" s="108">
        <f>F563</f>
        <v>0.1076</v>
      </c>
      <c r="J563" s="106">
        <f>IF(AND(E528*12&gt;=150000),E528*E531,E528)</f>
        <v>750</v>
      </c>
      <c r="K563" s="68">
        <f>J563*I563</f>
        <v>80.7</v>
      </c>
      <c r="L563" s="69">
        <f>K563-H563</f>
        <v>0</v>
      </c>
      <c r="M563" s="70">
        <f t="shared" si="87"/>
        <v>0</v>
      </c>
    </row>
    <row r="564" spans="1:13" ht="13" thickBot="1" x14ac:dyDescent="0.3">
      <c r="A564" s="14" t="str">
        <f t="shared" si="83"/>
        <v>RESIDENTIAL SERVICE CLASSIFICATION</v>
      </c>
      <c r="C564" s="60"/>
      <c r="D564" s="109"/>
      <c r="E564" s="110"/>
      <c r="F564" s="111"/>
      <c r="G564" s="112"/>
      <c r="H564" s="113"/>
      <c r="I564" s="111"/>
      <c r="J564" s="114"/>
      <c r="K564" s="113"/>
      <c r="L564" s="115"/>
      <c r="M564" s="116"/>
    </row>
    <row r="565" spans="1:13" ht="13" customHeight="1" x14ac:dyDescent="0.25">
      <c r="A565" s="14" t="str">
        <f t="shared" si="83"/>
        <v>RESIDENTIAL SERVICE CLASSIFICATION</v>
      </c>
      <c r="B565" s="14" t="s">
        <v>14</v>
      </c>
      <c r="C565" s="60"/>
      <c r="D565" s="117" t="s">
        <v>84</v>
      </c>
      <c r="E565" s="102"/>
      <c r="F565" s="118"/>
      <c r="G565" s="119"/>
      <c r="H565" s="120">
        <f>SUM(H555:H561,H554)</f>
        <v>122.34872000000001</v>
      </c>
      <c r="I565" s="121"/>
      <c r="J565" s="121"/>
      <c r="K565" s="120">
        <f>SUM(K555:K561,K554)</f>
        <v>113.77227999999999</v>
      </c>
      <c r="L565" s="122">
        <f>K565-H565</f>
        <v>-8.5764400000000194</v>
      </c>
      <c r="M565" s="123">
        <f>IF((H565)=0,"",(L565/H565))</f>
        <v>-7.0098322238271213E-2</v>
      </c>
    </row>
    <row r="566" spans="1:13" ht="12.65" customHeight="1" x14ac:dyDescent="0.25">
      <c r="A566" s="14" t="str">
        <f t="shared" si="83"/>
        <v>RESIDENTIAL SERVICE CLASSIFICATION</v>
      </c>
      <c r="B566" s="14" t="s">
        <v>14</v>
      </c>
      <c r="C566" s="60"/>
      <c r="D566" s="124" t="s">
        <v>85</v>
      </c>
      <c r="E566" s="102"/>
      <c r="F566" s="118">
        <v>0.13</v>
      </c>
      <c r="G566" s="125"/>
      <c r="H566" s="126">
        <f>H565*F566</f>
        <v>15.905333600000002</v>
      </c>
      <c r="I566" s="127">
        <v>0.13</v>
      </c>
      <c r="J566" s="64"/>
      <c r="K566" s="126">
        <f>K565*I566</f>
        <v>14.790396400000001</v>
      </c>
      <c r="L566" s="69">
        <f>K566-H566</f>
        <v>-1.1149372000000017</v>
      </c>
      <c r="M566" s="128">
        <f>IF((H566)=0,"",(L566/H566))</f>
        <v>-7.0098322238271171E-2</v>
      </c>
    </row>
    <row r="567" spans="1:13" ht="14.5" customHeight="1" x14ac:dyDescent="0.35">
      <c r="A567" s="14" t="str">
        <f t="shared" si="83"/>
        <v>RESIDENTIAL SERVICE CLASSIFICATION</v>
      </c>
      <c r="B567" s="14" t="s">
        <v>14</v>
      </c>
      <c r="C567" s="60"/>
      <c r="D567" s="124" t="s">
        <v>86</v>
      </c>
      <c r="E567"/>
      <c r="F567" s="129">
        <v>0.11700000000000001</v>
      </c>
      <c r="G567" s="125"/>
      <c r="H567" s="126">
        <f>IF(OR(ISNUMBER(SEARCH("[DGEN]", E526))=TRUE, ISNUMBER(SEARCH("STREET LIGHT", E526))=TRUE), 0, IF(AND(E528=0, E529=0),0, IF(AND(E529=0, E528*12&gt;250000), 0, IF(AND(E528=0, E529&gt;=50), 0, IF(E528*12&lt;=250000, F567*H565*-1, IF(E529&lt;50, F567*H565*-1, 0))))))</f>
        <v>-14.314800240000002</v>
      </c>
      <c r="I567" s="129">
        <v>0.11700000000000001</v>
      </c>
      <c r="J567" s="64"/>
      <c r="K567" s="126">
        <f>IF(OR(ISNUMBER(SEARCH("[DGEN]", E526))=TRUE, ISNUMBER(SEARCH("STREET LIGHT", E526))=TRUE), 0, IF(AND(E528=0, E529=0),0, IF(AND(E529=0, E528*12&gt;250000), 0, IF(AND(E528=0, E529&gt;=50), 0, IF(E528*12&lt;=250000, I567*K565*-1, IF(E529&lt;50, I567*K565*-1, 0))))))</f>
        <v>-13.311356760000001</v>
      </c>
      <c r="L567" s="69">
        <f>K567-H567</f>
        <v>1.0034434800000014</v>
      </c>
      <c r="M567" s="128"/>
    </row>
    <row r="568" spans="1:13" ht="13" customHeight="1" thickBot="1" x14ac:dyDescent="0.3">
      <c r="A568" s="14" t="str">
        <f t="shared" si="83"/>
        <v>RESIDENTIAL SERVICE CLASSIFICATION</v>
      </c>
      <c r="B568" s="14" t="s">
        <v>87</v>
      </c>
      <c r="C568" s="60"/>
      <c r="D568" s="195" t="s">
        <v>88</v>
      </c>
      <c r="E568" s="195"/>
      <c r="F568" s="130"/>
      <c r="G568" s="131"/>
      <c r="H568" s="132">
        <f>H565+H566+H567</f>
        <v>123.93925336000002</v>
      </c>
      <c r="I568" s="133"/>
      <c r="J568" s="133"/>
      <c r="K568" s="134">
        <f>K565+K566+K567</f>
        <v>115.25131963999999</v>
      </c>
      <c r="L568" s="135">
        <f>K568-H568</f>
        <v>-8.6879337200000322</v>
      </c>
      <c r="M568" s="136">
        <f>IF((H568)=0,"",(L568/H568))</f>
        <v>-7.009832223827131E-2</v>
      </c>
    </row>
    <row r="569" spans="1:13" ht="13" customHeight="1" thickBot="1" x14ac:dyDescent="0.3">
      <c r="A569" s="14" t="str">
        <f t="shared" si="83"/>
        <v>RESIDENTIAL SERVICE CLASSIFICATION</v>
      </c>
      <c r="B569" s="14" t="s">
        <v>14</v>
      </c>
      <c r="C569" s="60"/>
      <c r="D569" s="109"/>
      <c r="E569" s="110"/>
      <c r="F569" s="111"/>
      <c r="G569" s="112"/>
      <c r="H569" s="113"/>
      <c r="I569" s="111"/>
      <c r="J569" s="114"/>
      <c r="K569" s="113"/>
      <c r="L569" s="115"/>
      <c r="M569" s="116"/>
    </row>
    <row r="570" spans="1:13" ht="13" x14ac:dyDescent="0.25">
      <c r="A570" s="14" t="str">
        <f t="shared" si="83"/>
        <v>RESIDENTIAL SERVICE CLASSIFICATION</v>
      </c>
      <c r="B570" s="14" t="s">
        <v>24</v>
      </c>
      <c r="C570" s="60"/>
      <c r="D570" s="117" t="s">
        <v>89</v>
      </c>
      <c r="E570" s="102"/>
      <c r="F570" s="118"/>
      <c r="G570" s="119"/>
      <c r="H570" s="120">
        <f>SUM(H562,H555:H558,H554)</f>
        <v>132.79622000000001</v>
      </c>
      <c r="I570" s="121"/>
      <c r="J570" s="121"/>
      <c r="K570" s="120">
        <f>SUM(K562,K555:K558,K554)</f>
        <v>124.21978000000001</v>
      </c>
      <c r="L570" s="122">
        <f>K570-H570</f>
        <v>-8.576439999999991</v>
      </c>
      <c r="M570" s="123">
        <f>IF((H570)=0,"",(L570/H570))</f>
        <v>-6.458346480042873E-2</v>
      </c>
    </row>
    <row r="571" spans="1:13" x14ac:dyDescent="0.25">
      <c r="A571" s="14" t="str">
        <f t="shared" si="83"/>
        <v>RESIDENTIAL SERVICE CLASSIFICATION</v>
      </c>
      <c r="B571" s="14" t="s">
        <v>24</v>
      </c>
      <c r="C571" s="60"/>
      <c r="D571" s="124" t="s">
        <v>85</v>
      </c>
      <c r="E571" s="102"/>
      <c r="F571" s="118">
        <v>0.13</v>
      </c>
      <c r="G571" s="119"/>
      <c r="H571" s="126">
        <f>H570*F571</f>
        <v>17.263508600000002</v>
      </c>
      <c r="I571" s="118">
        <v>0.13</v>
      </c>
      <c r="J571" s="127"/>
      <c r="K571" s="126">
        <f>K570*I571</f>
        <v>16.148571400000002</v>
      </c>
      <c r="L571" s="69">
        <f>K571-H571</f>
        <v>-1.1149372</v>
      </c>
      <c r="M571" s="128">
        <f>IF((H571)=0,"",(L571/H571))</f>
        <v>-6.45834648004288E-2</v>
      </c>
    </row>
    <row r="572" spans="1:13" ht="14.5" x14ac:dyDescent="0.35">
      <c r="A572" s="14" t="str">
        <f t="shared" si="83"/>
        <v>RESIDENTIAL SERVICE CLASSIFICATION</v>
      </c>
      <c r="B572" s="14" t="s">
        <v>24</v>
      </c>
      <c r="C572" s="60"/>
      <c r="D572" s="124" t="s">
        <v>86</v>
      </c>
      <c r="E572"/>
      <c r="F572" s="129">
        <v>0.11700000000000001</v>
      </c>
      <c r="G572" s="119"/>
      <c r="H572" s="126">
        <f>IF(OR(ISNUMBER(SEARCH("[DGEN]", E526))=TRUE, ISNUMBER(SEARCH("STREET LIGHT", E526))=TRUE), 0, IF(AND(E528=0, E529=0),0, IF(AND(E529=0, E528*12&gt;250000), 0, IF(AND(E528=0, E529&gt;=50), 0, IF(E528*12&lt;=250000, F572*H570*-1, IF(E529&lt;50, F572*H570*-1, 0))))))</f>
        <v>-15.537157740000001</v>
      </c>
      <c r="I572" s="129">
        <v>0.11700000000000001</v>
      </c>
      <c r="J572" s="127"/>
      <c r="K572" s="126">
        <f>IF(OR(ISNUMBER(SEARCH("[DGEN]", E526))=TRUE, ISNUMBER(SEARCH("STREET LIGHT", E526))=TRUE), 0, IF(AND(E528=0, E529=0),0, IF(AND(E529=0, E528*12&gt;250000), 0, IF(AND(E528=0, E529&gt;=50), 0, IF(E528*12&lt;=250000, I572*K570*-1, IF(E529&lt;50, I572*K570*-1, 0))))))</f>
        <v>-14.533714260000002</v>
      </c>
      <c r="L572" s="69"/>
      <c r="M572" s="128"/>
    </row>
    <row r="573" spans="1:13" ht="13.5" thickBot="1" x14ac:dyDescent="0.3">
      <c r="A573" s="14" t="str">
        <f t="shared" si="83"/>
        <v>RESIDENTIAL SERVICE CLASSIFICATION</v>
      </c>
      <c r="B573" s="14" t="s">
        <v>90</v>
      </c>
      <c r="C573" s="60">
        <f>B38</f>
        <v>9</v>
      </c>
      <c r="D573" s="195" t="s">
        <v>89</v>
      </c>
      <c r="E573" s="195"/>
      <c r="F573" s="137"/>
      <c r="G573" s="138"/>
      <c r="H573" s="132">
        <f>SUM(H570,H571)</f>
        <v>150.0597286</v>
      </c>
      <c r="I573" s="139"/>
      <c r="J573" s="139"/>
      <c r="K573" s="132">
        <f>SUM(K570,K571)</f>
        <v>140.36835140000002</v>
      </c>
      <c r="L573" s="140">
        <f>K573-H573</f>
        <v>-9.6913771999999767</v>
      </c>
      <c r="M573" s="141">
        <f>IF((H573)=0,"",(L573/H573))</f>
        <v>-6.4583464800428647E-2</v>
      </c>
    </row>
    <row r="574" spans="1:13" ht="13" thickBot="1" x14ac:dyDescent="0.3">
      <c r="A574" s="14" t="str">
        <f t="shared" si="83"/>
        <v>RESIDENTIAL SERVICE CLASSIFICATION</v>
      </c>
      <c r="B574" s="14" t="s">
        <v>24</v>
      </c>
      <c r="C574" s="60"/>
      <c r="D574" s="109"/>
      <c r="E574" s="110"/>
      <c r="F574" s="142"/>
      <c r="G574" s="143"/>
      <c r="H574" s="144"/>
      <c r="I574" s="142"/>
      <c r="J574" s="112"/>
      <c r="K574" s="144"/>
      <c r="L574" s="145"/>
      <c r="M574" s="116"/>
    </row>
    <row r="575" spans="1:13" ht="13" customHeight="1" x14ac:dyDescent="0.25">
      <c r="A575" s="14" t="str">
        <f t="shared" si="83"/>
        <v>RESIDENTIAL SERVICE CLASSIFICATION</v>
      </c>
      <c r="B575" s="14" t="s">
        <v>18</v>
      </c>
      <c r="C575" s="60"/>
      <c r="D575" s="117" t="s">
        <v>91</v>
      </c>
      <c r="E575" s="102"/>
      <c r="F575" s="118"/>
      <c r="G575" s="119"/>
      <c r="H575" s="120">
        <f>SUM(H563,H555:H558,H554)</f>
        <v>132.79622000000001</v>
      </c>
      <c r="I575" s="121"/>
      <c r="J575" s="121"/>
      <c r="K575" s="120">
        <f>SUM(K563,K555:K558,K554)</f>
        <v>124.21978000000001</v>
      </c>
      <c r="L575" s="122">
        <f>K575-H575</f>
        <v>-8.576439999999991</v>
      </c>
      <c r="M575" s="123">
        <f>IF((H575)=0,"",(L575/H575))</f>
        <v>-6.458346480042873E-2</v>
      </c>
    </row>
    <row r="576" spans="1:13" ht="12.65" customHeight="1" x14ac:dyDescent="0.25">
      <c r="A576" s="14" t="str">
        <f t="shared" si="83"/>
        <v>RESIDENTIAL SERVICE CLASSIFICATION</v>
      </c>
      <c r="B576" s="14" t="s">
        <v>18</v>
      </c>
      <c r="C576" s="60"/>
      <c r="D576" s="124" t="s">
        <v>85</v>
      </c>
      <c r="E576" s="102"/>
      <c r="F576" s="118">
        <v>0.13</v>
      </c>
      <c r="G576" s="119"/>
      <c r="H576" s="126">
        <f>H575*F576</f>
        <v>17.263508600000002</v>
      </c>
      <c r="I576" s="118">
        <v>0.13</v>
      </c>
      <c r="J576" s="127"/>
      <c r="K576" s="126">
        <f>K575*I576</f>
        <v>16.148571400000002</v>
      </c>
      <c r="L576" s="69">
        <f>K576-H576</f>
        <v>-1.1149372</v>
      </c>
      <c r="M576" s="128">
        <f>IF((H576)=0,"",(L576/H576))</f>
        <v>-6.45834648004288E-2</v>
      </c>
    </row>
    <row r="577" spans="1:15" ht="14.5" customHeight="1" x14ac:dyDescent="0.35">
      <c r="A577" s="14" t="str">
        <f t="shared" si="83"/>
        <v>RESIDENTIAL SERVICE CLASSIFICATION</v>
      </c>
      <c r="B577" s="14" t="s">
        <v>18</v>
      </c>
      <c r="C577" s="60"/>
      <c r="D577" s="124" t="s">
        <v>86</v>
      </c>
      <c r="E577"/>
      <c r="F577" s="129">
        <v>0.11700000000000001</v>
      </c>
      <c r="G577" s="119"/>
      <c r="H577" s="126">
        <f>IF(OR(ISNUMBER(SEARCH("[DGEN]", E526))=TRUE, ISNUMBER(SEARCH("STREET LIGHT", E526))=TRUE), 0, IF(AND(E528=0, E529=0),0, IF(AND(E529=0, E528*12&gt;250000), 0, IF(AND(E528=0, E529&gt;=50), 0, IF(E528*12&lt;=250000, F577*H575*-1, IF(E529&lt;50, F577*H575*-1, 0))))))</f>
        <v>-15.537157740000001</v>
      </c>
      <c r="I577" s="129">
        <v>0.11700000000000001</v>
      </c>
      <c r="J577" s="127"/>
      <c r="K577" s="126">
        <f>IF(OR(ISNUMBER(SEARCH("[DGEN]", E526))=TRUE, ISNUMBER(SEARCH("STREET LIGHT", E526))=TRUE), 0, IF(AND(E528=0, E529=0),0, IF(AND(E529=0, E528*12&gt;250000), 0, IF(AND(E528=0, E529&gt;=50), 0, IF(E528*12&lt;=250000, I577*K575*-1, IF(E529&lt;50, I577*K575*-1, 0))))))</f>
        <v>-14.533714260000002</v>
      </c>
      <c r="L577" s="69"/>
      <c r="M577" s="128"/>
    </row>
    <row r="578" spans="1:15" ht="13" customHeight="1" thickBot="1" x14ac:dyDescent="0.3">
      <c r="A578" s="14" t="str">
        <f t="shared" si="83"/>
        <v>RESIDENTIAL SERVICE CLASSIFICATION</v>
      </c>
      <c r="B578" s="14" t="s">
        <v>92</v>
      </c>
      <c r="C578" s="60"/>
      <c r="D578" s="195" t="s">
        <v>91</v>
      </c>
      <c r="E578" s="195"/>
      <c r="F578" s="137"/>
      <c r="G578" s="138"/>
      <c r="H578" s="132">
        <f>SUM(H575,H576)</f>
        <v>150.0597286</v>
      </c>
      <c r="I578" s="139"/>
      <c r="J578" s="139"/>
      <c r="K578" s="132">
        <f>SUM(K575,K576)</f>
        <v>140.36835140000002</v>
      </c>
      <c r="L578" s="140">
        <f>K578-H578</f>
        <v>-9.6913771999999767</v>
      </c>
      <c r="M578" s="141">
        <f>IF((H578)=0,"",(L578/H578))</f>
        <v>-6.4583464800428647E-2</v>
      </c>
    </row>
    <row r="579" spans="1:15" ht="13" customHeight="1" thickBot="1" x14ac:dyDescent="0.3">
      <c r="A579" s="14" t="str">
        <f t="shared" si="83"/>
        <v>RESIDENTIAL SERVICE CLASSIFICATION</v>
      </c>
      <c r="B579" s="14" t="s">
        <v>18</v>
      </c>
      <c r="C579" s="60"/>
      <c r="D579" s="109"/>
      <c r="E579" s="110"/>
      <c r="F579" s="146"/>
      <c r="G579" s="143"/>
      <c r="H579" s="147"/>
      <c r="I579" s="146"/>
      <c r="J579" s="112"/>
      <c r="K579" s="147"/>
      <c r="L579" s="145"/>
      <c r="M579" s="148"/>
    </row>
    <row r="582" spans="1:15" ht="13" x14ac:dyDescent="0.25">
      <c r="C582" s="14"/>
      <c r="D582" s="46" t="s">
        <v>38</v>
      </c>
      <c r="E582" s="192" t="str">
        <f>D39</f>
        <v>GENERAL SERVICE LESS THAN 50 KW SERVICE CLASSIFICATION</v>
      </c>
      <c r="F582" s="192"/>
      <c r="G582" s="192"/>
      <c r="H582" s="192"/>
      <c r="I582" s="192"/>
      <c r="J582" s="192"/>
      <c r="K582" s="14" t="str">
        <f>IF(N39="DEMAND - INTERVAL","RTSR - INTERVAL METERED","")</f>
        <v/>
      </c>
      <c r="O582" s="14" t="s">
        <v>26</v>
      </c>
    </row>
    <row r="583" spans="1:15" ht="13" x14ac:dyDescent="0.25">
      <c r="C583" s="14"/>
      <c r="D583" s="46" t="s">
        <v>39</v>
      </c>
      <c r="E583" s="193" t="str">
        <f>H39</f>
        <v>Non-RPP (Retailer)</v>
      </c>
      <c r="F583" s="193"/>
      <c r="G583" s="193"/>
      <c r="H583" s="47"/>
      <c r="I583" s="47"/>
    </row>
    <row r="584" spans="1:15" ht="15.5" x14ac:dyDescent="0.3">
      <c r="C584" s="14"/>
      <c r="D584" s="46" t="s">
        <v>40</v>
      </c>
      <c r="E584" s="48">
        <f>K39</f>
        <v>2000</v>
      </c>
      <c r="F584" s="49" t="s">
        <v>36</v>
      </c>
      <c r="J584" s="50"/>
      <c r="K584" s="50"/>
      <c r="L584" s="50"/>
      <c r="M584" s="50"/>
    </row>
    <row r="585" spans="1:15" ht="15.5" x14ac:dyDescent="0.35">
      <c r="C585" s="14"/>
      <c r="D585" s="46" t="s">
        <v>41</v>
      </c>
      <c r="E585" s="48">
        <f>L39</f>
        <v>0</v>
      </c>
      <c r="F585" s="51" t="s">
        <v>37</v>
      </c>
      <c r="G585" s="52"/>
      <c r="H585" s="53"/>
      <c r="I585" s="53"/>
      <c r="J585" s="53"/>
    </row>
    <row r="586" spans="1:15" ht="13" x14ac:dyDescent="0.3">
      <c r="C586" s="14"/>
      <c r="D586" s="46" t="s">
        <v>42</v>
      </c>
      <c r="E586" s="54">
        <f>I39</f>
        <v>1.0548</v>
      </c>
    </row>
    <row r="587" spans="1:15" ht="13" x14ac:dyDescent="0.3">
      <c r="C587" s="14"/>
      <c r="D587" s="46" t="s">
        <v>43</v>
      </c>
      <c r="E587" s="54">
        <f>J39</f>
        <v>1.0548</v>
      </c>
    </row>
    <row r="588" spans="1:15" x14ac:dyDescent="0.25">
      <c r="C588" s="14"/>
    </row>
    <row r="589" spans="1:15" ht="13" x14ac:dyDescent="0.3">
      <c r="C589" s="14"/>
      <c r="E589" s="49"/>
      <c r="F589" s="184" t="s">
        <v>44</v>
      </c>
      <c r="G589" s="194"/>
      <c r="H589" s="185"/>
      <c r="I589" s="184" t="s">
        <v>45</v>
      </c>
      <c r="J589" s="194"/>
      <c r="K589" s="185"/>
      <c r="L589" s="184" t="s">
        <v>46</v>
      </c>
      <c r="M589" s="185"/>
    </row>
    <row r="590" spans="1:15" ht="13" x14ac:dyDescent="0.3">
      <c r="C590" s="14"/>
      <c r="E590" s="186"/>
      <c r="F590" s="55" t="s">
        <v>47</v>
      </c>
      <c r="G590" s="55" t="s">
        <v>48</v>
      </c>
      <c r="H590" s="56" t="s">
        <v>49</v>
      </c>
      <c r="I590" s="55" t="s">
        <v>47</v>
      </c>
      <c r="J590" s="57" t="s">
        <v>48</v>
      </c>
      <c r="K590" s="56" t="s">
        <v>49</v>
      </c>
      <c r="L590" s="188" t="s">
        <v>50</v>
      </c>
      <c r="M590" s="190" t="s">
        <v>51</v>
      </c>
    </row>
    <row r="591" spans="1:15" ht="13" x14ac:dyDescent="0.3">
      <c r="C591" s="14"/>
      <c r="E591" s="187"/>
      <c r="F591" s="58" t="s">
        <v>52</v>
      </c>
      <c r="G591" s="58"/>
      <c r="H591" s="59" t="s">
        <v>52</v>
      </c>
      <c r="I591" s="58" t="s">
        <v>52</v>
      </c>
      <c r="J591" s="59"/>
      <c r="K591" s="59" t="s">
        <v>52</v>
      </c>
      <c r="L591" s="189"/>
      <c r="M591" s="191"/>
    </row>
    <row r="592" spans="1:15" ht="13" x14ac:dyDescent="0.25">
      <c r="A592" s="14" t="str">
        <f>$E582</f>
        <v>GENERAL SERVICE LESS THAN 50 KW SERVICE CLASSIFICATION</v>
      </c>
      <c r="C592" s="60"/>
      <c r="D592" s="61" t="s">
        <v>53</v>
      </c>
      <c r="E592" s="62"/>
      <c r="F592" s="63">
        <v>31.36</v>
      </c>
      <c r="G592" s="64">
        <v>1</v>
      </c>
      <c r="H592" s="65">
        <f>G592*F592</f>
        <v>31.36</v>
      </c>
      <c r="I592" s="66">
        <v>31.36</v>
      </c>
      <c r="J592" s="67">
        <f>G592</f>
        <v>1</v>
      </c>
      <c r="K592" s="68">
        <f>J592*I592</f>
        <v>31.36</v>
      </c>
      <c r="L592" s="69">
        <f t="shared" ref="L592:L612" si="88">K592-H592</f>
        <v>0</v>
      </c>
      <c r="M592" s="70">
        <f>IF(ISERROR(L592/H592), "", L592/H592)</f>
        <v>0</v>
      </c>
    </row>
    <row r="593" spans="1:13" ht="13" x14ac:dyDescent="0.25">
      <c r="A593" s="14" t="str">
        <f>A592</f>
        <v>GENERAL SERVICE LESS THAN 50 KW SERVICE CLASSIFICATION</v>
      </c>
      <c r="C593" s="60"/>
      <c r="D593" s="61" t="s">
        <v>54</v>
      </c>
      <c r="E593" s="62"/>
      <c r="F593" s="71">
        <v>8.8999999999999999E-3</v>
      </c>
      <c r="G593" s="64">
        <f>IF($E585&gt;0, $E585, $E584)</f>
        <v>2000</v>
      </c>
      <c r="H593" s="65">
        <f t="shared" ref="H593:H605" si="89">G593*F593</f>
        <v>17.8</v>
      </c>
      <c r="I593" s="72">
        <v>8.8999999999999999E-3</v>
      </c>
      <c r="J593" s="67">
        <f>IF($E585&gt;0, $E585, $E584)</f>
        <v>2000</v>
      </c>
      <c r="K593" s="68">
        <f>J593*I593</f>
        <v>17.8</v>
      </c>
      <c r="L593" s="69">
        <f t="shared" si="88"/>
        <v>0</v>
      </c>
      <c r="M593" s="70">
        <f t="shared" ref="M593:M603" si="90">IF(ISERROR(L593/H593), "", L593/H593)</f>
        <v>0</v>
      </c>
    </row>
    <row r="594" spans="1:13" ht="13" customHeight="1" x14ac:dyDescent="0.25">
      <c r="A594" s="14" t="str">
        <f t="shared" ref="A594:A635" si="91">A593</f>
        <v>GENERAL SERVICE LESS THAN 50 KW SERVICE CLASSIFICATION</v>
      </c>
      <c r="C594" s="60"/>
      <c r="D594" s="61" t="s">
        <v>55</v>
      </c>
      <c r="E594" s="62"/>
      <c r="F594" s="71"/>
      <c r="G594" s="64">
        <f>IF($E585&gt;0, $E585, $E584)</f>
        <v>2000</v>
      </c>
      <c r="H594" s="65">
        <v>0</v>
      </c>
      <c r="I594" s="72"/>
      <c r="J594" s="67">
        <f>IF($E585&gt;0, $E585, $E584)</f>
        <v>2000</v>
      </c>
      <c r="K594" s="68">
        <v>0</v>
      </c>
      <c r="L594" s="69"/>
      <c r="M594" s="70"/>
    </row>
    <row r="595" spans="1:13" ht="13" customHeight="1" x14ac:dyDescent="0.25">
      <c r="A595" s="14" t="str">
        <f t="shared" si="91"/>
        <v>GENERAL SERVICE LESS THAN 50 KW SERVICE CLASSIFICATION</v>
      </c>
      <c r="C595" s="60"/>
      <c r="D595" s="61" t="s">
        <v>56</v>
      </c>
      <c r="E595" s="62"/>
      <c r="F595" s="71"/>
      <c r="G595" s="64">
        <f>IF($E585&gt;0, $E585, $E584)</f>
        <v>2000</v>
      </c>
      <c r="H595" s="65">
        <v>0</v>
      </c>
      <c r="I595" s="72"/>
      <c r="J595" s="73">
        <f>IF($E585&gt;0, $E585, $E584)</f>
        <v>2000</v>
      </c>
      <c r="K595" s="68">
        <v>0</v>
      </c>
      <c r="L595" s="69">
        <f>K595-H595</f>
        <v>0</v>
      </c>
      <c r="M595" s="70" t="str">
        <f>IF(ISERROR(L595/H595), "", L595/H595)</f>
        <v/>
      </c>
    </row>
    <row r="596" spans="1:13" ht="13" x14ac:dyDescent="0.25">
      <c r="A596" s="14" t="str">
        <f t="shared" si="91"/>
        <v>GENERAL SERVICE LESS THAN 50 KW SERVICE CLASSIFICATION</v>
      </c>
      <c r="C596" s="60"/>
      <c r="D596" s="61" t="s">
        <v>57</v>
      </c>
      <c r="E596" s="62"/>
      <c r="F596" s="63">
        <v>-0.31</v>
      </c>
      <c r="G596" s="64">
        <v>1</v>
      </c>
      <c r="H596" s="65">
        <f t="shared" si="89"/>
        <v>-0.31</v>
      </c>
      <c r="I596" s="66">
        <v>-0.31</v>
      </c>
      <c r="J596" s="67">
        <f>G596</f>
        <v>1</v>
      </c>
      <c r="K596" s="68">
        <f t="shared" ref="K596:K603" si="92">J596*I596</f>
        <v>-0.31</v>
      </c>
      <c r="L596" s="69">
        <f t="shared" si="88"/>
        <v>0</v>
      </c>
      <c r="M596" s="70">
        <f t="shared" si="90"/>
        <v>0</v>
      </c>
    </row>
    <row r="597" spans="1:13" ht="13" x14ac:dyDescent="0.25">
      <c r="A597" s="14" t="str">
        <f t="shared" si="91"/>
        <v>GENERAL SERVICE LESS THAN 50 KW SERVICE CLASSIFICATION</v>
      </c>
      <c r="C597" s="60"/>
      <c r="D597" s="61" t="s">
        <v>58</v>
      </c>
      <c r="E597" s="62"/>
      <c r="F597" s="71">
        <v>2.3E-3</v>
      </c>
      <c r="G597" s="64">
        <f>IF($E585&gt;0, $E585, $E584)</f>
        <v>2000</v>
      </c>
      <c r="H597" s="65">
        <f t="shared" si="89"/>
        <v>4.5999999999999996</v>
      </c>
      <c r="I597" s="72">
        <v>1E-4</v>
      </c>
      <c r="J597" s="67">
        <f>IF($E585&gt;0, $E585, $E584)</f>
        <v>2000</v>
      </c>
      <c r="K597" s="68">
        <f t="shared" si="92"/>
        <v>0.2</v>
      </c>
      <c r="L597" s="69">
        <f t="shared" si="88"/>
        <v>-4.3999999999999995</v>
      </c>
      <c r="M597" s="70">
        <f t="shared" si="90"/>
        <v>-0.9565217391304347</v>
      </c>
    </row>
    <row r="598" spans="1:13" ht="13" x14ac:dyDescent="0.25">
      <c r="A598" s="14" t="str">
        <f t="shared" si="91"/>
        <v>GENERAL SERVICE LESS THAN 50 KW SERVICE CLASSIFICATION</v>
      </c>
      <c r="B598" s="14" t="s">
        <v>59</v>
      </c>
      <c r="C598" s="60">
        <f>B39</f>
        <v>10</v>
      </c>
      <c r="D598" s="74" t="s">
        <v>60</v>
      </c>
      <c r="E598" s="75"/>
      <c r="F598" s="76"/>
      <c r="G598" s="77"/>
      <c r="H598" s="78">
        <f>SUM(H592:H597)</f>
        <v>53.449999999999996</v>
      </c>
      <c r="I598" s="79"/>
      <c r="J598" s="80"/>
      <c r="K598" s="78">
        <f>SUM(K592:K597)</f>
        <v>49.05</v>
      </c>
      <c r="L598" s="81">
        <f t="shared" si="88"/>
        <v>-4.3999999999999986</v>
      </c>
      <c r="M598" s="82">
        <f>IF((H598)=0,"",(L598/H598))</f>
        <v>-8.2319925163704372E-2</v>
      </c>
    </row>
    <row r="599" spans="1:13" ht="13" x14ac:dyDescent="0.25">
      <c r="A599" s="14" t="str">
        <f t="shared" si="91"/>
        <v>GENERAL SERVICE LESS THAN 50 KW SERVICE CLASSIFICATION</v>
      </c>
      <c r="C599" s="60"/>
      <c r="D599" s="83" t="s">
        <v>61</v>
      </c>
      <c r="E599" s="62"/>
      <c r="F599" s="71">
        <f>IF((E584*12&gt;=150000), 0, IF(E583="RPP",(F615*OffPeakPer+F616*MidPeakPer+F617*OnPeakPer),IF(E583="Non-RPP (Retailer)",F618,F619)))</f>
        <v>0.1076</v>
      </c>
      <c r="G599" s="84">
        <f>IF(F599=0, 0, $E584*E586-E584)</f>
        <v>109.59999999999991</v>
      </c>
      <c r="H599" s="65">
        <f>G599*F599</f>
        <v>11.79295999999999</v>
      </c>
      <c r="I599" s="72">
        <f>IF((E584*12&gt;=150000), 0, IF(E583="RPP",(I615*OffPeakPer+I616*MidPeakPer+I617*OnPeakPer),IF(E583="Non-RPP (Retailer)",I618,I619)))</f>
        <v>0.1076</v>
      </c>
      <c r="J599" s="85">
        <f>IF(I599=0, 0, E584*E587-E584)</f>
        <v>109.59999999999991</v>
      </c>
      <c r="K599" s="68">
        <f>J599*I599</f>
        <v>11.79295999999999</v>
      </c>
      <c r="L599" s="69">
        <f>K599-H599</f>
        <v>0</v>
      </c>
      <c r="M599" s="70">
        <f>IF(ISERROR(L599/H599), "", L599/H599)</f>
        <v>0</v>
      </c>
    </row>
    <row r="600" spans="1:13" ht="25" x14ac:dyDescent="0.25">
      <c r="A600" s="14" t="str">
        <f t="shared" si="91"/>
        <v>GENERAL SERVICE LESS THAN 50 KW SERVICE CLASSIFICATION</v>
      </c>
      <c r="C600" s="60"/>
      <c r="D600" s="83" t="s">
        <v>62</v>
      </c>
      <c r="E600" s="62"/>
      <c r="F600" s="71">
        <v>1E-4</v>
      </c>
      <c r="G600" s="86">
        <f>IF($E585&gt;0, $E585, $E584)</f>
        <v>2000</v>
      </c>
      <c r="H600" s="65">
        <f t="shared" si="89"/>
        <v>0.2</v>
      </c>
      <c r="I600" s="72">
        <v>3.5999999999999999E-3</v>
      </c>
      <c r="J600" s="87">
        <f>IF($E585&gt;0, $E585, $E584)</f>
        <v>2000</v>
      </c>
      <c r="K600" s="68">
        <f t="shared" si="92"/>
        <v>7.2</v>
      </c>
      <c r="L600" s="69">
        <f t="shared" si="88"/>
        <v>7</v>
      </c>
      <c r="M600" s="70">
        <f t="shared" si="90"/>
        <v>35</v>
      </c>
    </row>
    <row r="601" spans="1:13" ht="13" x14ac:dyDescent="0.25">
      <c r="A601" s="14" t="str">
        <f t="shared" si="91"/>
        <v>GENERAL SERVICE LESS THAN 50 KW SERVICE CLASSIFICATION</v>
      </c>
      <c r="C601" s="60"/>
      <c r="D601" s="83" t="s">
        <v>63</v>
      </c>
      <c r="E601" s="62"/>
      <c r="F601" s="71">
        <v>-2.0000000000000001E-4</v>
      </c>
      <c r="G601" s="86">
        <f>IF($E585&gt;0, $E585, $E584)</f>
        <v>2000</v>
      </c>
      <c r="H601" s="65">
        <f>G601*F601</f>
        <v>-0.4</v>
      </c>
      <c r="I601" s="72">
        <v>-4.0000000000000002E-4</v>
      </c>
      <c r="J601" s="87">
        <f>IF($E585&gt;0, $E585, $E584)</f>
        <v>2000</v>
      </c>
      <c r="K601" s="68">
        <f>J601*I601</f>
        <v>-0.8</v>
      </c>
      <c r="L601" s="69">
        <f t="shared" si="88"/>
        <v>-0.4</v>
      </c>
      <c r="M601" s="70">
        <f t="shared" si="90"/>
        <v>1</v>
      </c>
    </row>
    <row r="602" spans="1:13" ht="13" x14ac:dyDescent="0.25">
      <c r="A602" s="14" t="str">
        <f t="shared" si="91"/>
        <v>GENERAL SERVICE LESS THAN 50 KW SERVICE CLASSIFICATION</v>
      </c>
      <c r="C602" s="60"/>
      <c r="D602" s="83" t="s">
        <v>64</v>
      </c>
      <c r="E602" s="62"/>
      <c r="F602" s="71">
        <v>7.0000000000000001E-3</v>
      </c>
      <c r="G602" s="86">
        <f>E584</f>
        <v>2000</v>
      </c>
      <c r="H602" s="65">
        <f>G602*F602</f>
        <v>14</v>
      </c>
      <c r="I602" s="72">
        <v>-6.7000000000000002E-3</v>
      </c>
      <c r="J602" s="87">
        <f>E584</f>
        <v>2000</v>
      </c>
      <c r="K602" s="68">
        <f t="shared" si="92"/>
        <v>-13.4</v>
      </c>
      <c r="L602" s="69">
        <f t="shared" si="88"/>
        <v>-27.4</v>
      </c>
      <c r="M602" s="70">
        <f t="shared" si="90"/>
        <v>-1.9571428571428571</v>
      </c>
    </row>
    <row r="603" spans="1:13" ht="13" x14ac:dyDescent="0.25">
      <c r="A603" s="14" t="str">
        <f t="shared" si="91"/>
        <v>GENERAL SERVICE LESS THAN 50 KW SERVICE CLASSIFICATION</v>
      </c>
      <c r="C603" s="60"/>
      <c r="D603" s="61" t="s">
        <v>65</v>
      </c>
      <c r="E603" s="62"/>
      <c r="F603" s="71">
        <v>8.9999999999999998E-4</v>
      </c>
      <c r="G603" s="86">
        <f>IF($E585&gt;0, $E585, $E584)</f>
        <v>2000</v>
      </c>
      <c r="H603" s="65">
        <f t="shared" si="89"/>
        <v>1.8</v>
      </c>
      <c r="I603" s="72">
        <v>1.6999999999999999E-3</v>
      </c>
      <c r="J603" s="87">
        <f>IF($E585&gt;0, $E585, $E584)</f>
        <v>2000</v>
      </c>
      <c r="K603" s="68">
        <f t="shared" si="92"/>
        <v>3.4</v>
      </c>
      <c r="L603" s="69">
        <f t="shared" si="88"/>
        <v>1.5999999999999999</v>
      </c>
      <c r="M603" s="70">
        <f t="shared" si="90"/>
        <v>0.88888888888888884</v>
      </c>
    </row>
    <row r="604" spans="1:13" ht="13" x14ac:dyDescent="0.25">
      <c r="A604" s="14" t="str">
        <f t="shared" si="91"/>
        <v>GENERAL SERVICE LESS THAN 50 KW SERVICE CLASSIFICATION</v>
      </c>
      <c r="C604" s="60"/>
      <c r="D604" s="83" t="s">
        <v>66</v>
      </c>
      <c r="E604" s="62"/>
      <c r="F604" s="88">
        <f>IF(OR(ISNUMBER(SEARCH("RESIDENTIAL", E582))=TRUE, ISNUMBER(SEARCH("GENERAL SERVICE LESS THAN 50", E582))=TRUE), SME, 0)</f>
        <v>0.42</v>
      </c>
      <c r="G604" s="64">
        <v>1</v>
      </c>
      <c r="H604" s="65">
        <f>G604*F604</f>
        <v>0.42</v>
      </c>
      <c r="I604" s="89">
        <f>IF(OR(ISNUMBER(SEARCH("RESIDENTIAL", E582))=TRUE, ISNUMBER(SEARCH("GENERAL SERVICE LESS THAN 50", E582))=TRUE), SME, 0)</f>
        <v>0.42</v>
      </c>
      <c r="J604" s="73">
        <v>1</v>
      </c>
      <c r="K604" s="68">
        <f>J604*I604</f>
        <v>0.42</v>
      </c>
      <c r="L604" s="69">
        <f t="shared" si="88"/>
        <v>0</v>
      </c>
      <c r="M604" s="70">
        <f>IF(ISERROR(L604/H604), "", L604/H604)</f>
        <v>0</v>
      </c>
    </row>
    <row r="605" spans="1:13" ht="13" x14ac:dyDescent="0.25">
      <c r="A605" s="14" t="str">
        <f t="shared" si="91"/>
        <v>GENERAL SERVICE LESS THAN 50 KW SERVICE CLASSIFICATION</v>
      </c>
      <c r="C605" s="60"/>
      <c r="D605" s="61" t="s">
        <v>67</v>
      </c>
      <c r="E605" s="62"/>
      <c r="F605" s="63">
        <v>0</v>
      </c>
      <c r="G605" s="64">
        <v>1</v>
      </c>
      <c r="H605" s="65">
        <f t="shared" si="89"/>
        <v>0</v>
      </c>
      <c r="I605" s="66">
        <v>0</v>
      </c>
      <c r="J605" s="73">
        <v>1</v>
      </c>
      <c r="K605" s="68">
        <f>J605*I605</f>
        <v>0</v>
      </c>
      <c r="L605" s="69">
        <f>K605-H605</f>
        <v>0</v>
      </c>
      <c r="M605" s="70" t="str">
        <f>IF(ISERROR(L605/H605), "", L605/H605)</f>
        <v/>
      </c>
    </row>
    <row r="606" spans="1:13" ht="13" x14ac:dyDescent="0.25">
      <c r="A606" s="14" t="str">
        <f t="shared" si="91"/>
        <v>GENERAL SERVICE LESS THAN 50 KW SERVICE CLASSIFICATION</v>
      </c>
      <c r="C606" s="60"/>
      <c r="D606" s="61" t="s">
        <v>68</v>
      </c>
      <c r="E606" s="62"/>
      <c r="F606" s="71">
        <v>0</v>
      </c>
      <c r="G606" s="86">
        <f>IF($E585&gt;0, $E585, $E584)</f>
        <v>2000</v>
      </c>
      <c r="H606" s="65">
        <f>G606*F606</f>
        <v>0</v>
      </c>
      <c r="I606" s="72">
        <v>0</v>
      </c>
      <c r="J606" s="87">
        <f>IF($E585&gt;0, $E585, $E584)</f>
        <v>2000</v>
      </c>
      <c r="K606" s="68">
        <f>J606*I606</f>
        <v>0</v>
      </c>
      <c r="L606" s="69">
        <f t="shared" si="88"/>
        <v>0</v>
      </c>
      <c r="M606" s="70" t="str">
        <f>IF(ISERROR(L606/H606), "", L606/H606)</f>
        <v/>
      </c>
    </row>
    <row r="607" spans="1:13" ht="26" x14ac:dyDescent="0.25">
      <c r="A607" s="14" t="str">
        <f t="shared" si="91"/>
        <v>GENERAL SERVICE LESS THAN 50 KW SERVICE CLASSIFICATION</v>
      </c>
      <c r="B607" s="14" t="s">
        <v>69</v>
      </c>
      <c r="C607" s="60">
        <f>B39</f>
        <v>10</v>
      </c>
      <c r="D607" s="90" t="s">
        <v>70</v>
      </c>
      <c r="E607" s="91"/>
      <c r="F607" s="92"/>
      <c r="G607" s="93"/>
      <c r="H607" s="94">
        <f>SUM(H598:H606)</f>
        <v>81.262959999999978</v>
      </c>
      <c r="I607" s="95"/>
      <c r="J607" s="96"/>
      <c r="K607" s="94">
        <f>SUM(K598:K606)</f>
        <v>57.662959999999998</v>
      </c>
      <c r="L607" s="81">
        <f t="shared" si="88"/>
        <v>-23.59999999999998</v>
      </c>
      <c r="M607" s="82">
        <f>IF((H607)=0,"",(L607/H607))</f>
        <v>-0.29041521500078249</v>
      </c>
    </row>
    <row r="608" spans="1:13" ht="13" x14ac:dyDescent="0.25">
      <c r="A608" s="14" t="str">
        <f t="shared" si="91"/>
        <v>GENERAL SERVICE LESS THAN 50 KW SERVICE CLASSIFICATION</v>
      </c>
      <c r="C608" s="60"/>
      <c r="D608" s="97" t="s">
        <v>71</v>
      </c>
      <c r="E608" s="62"/>
      <c r="F608" s="71">
        <v>9.1999999999999998E-3</v>
      </c>
      <c r="G608" s="84">
        <f>IF($E585&gt;0, $E585, $E584*$E586)</f>
        <v>2109.6</v>
      </c>
      <c r="H608" s="65">
        <f>G608*F608</f>
        <v>19.40832</v>
      </c>
      <c r="I608" s="98">
        <v>8.9999999999999993E-3</v>
      </c>
      <c r="J608" s="85">
        <f>IF($E585&gt;0, $E585, $E584*$E587)</f>
        <v>2109.6</v>
      </c>
      <c r="K608" s="68">
        <f>J608*I608</f>
        <v>18.986399999999996</v>
      </c>
      <c r="L608" s="69">
        <f t="shared" si="88"/>
        <v>-0.42192000000000363</v>
      </c>
      <c r="M608" s="70">
        <f>IF(ISERROR(L608/H608), "", L608/H608)</f>
        <v>-2.1739130434782795E-2</v>
      </c>
    </row>
    <row r="609" spans="1:13" ht="25" x14ac:dyDescent="0.25">
      <c r="A609" s="14" t="str">
        <f t="shared" si="91"/>
        <v>GENERAL SERVICE LESS THAN 50 KW SERVICE CLASSIFICATION</v>
      </c>
      <c r="C609" s="60"/>
      <c r="D609" s="99" t="s">
        <v>72</v>
      </c>
      <c r="E609" s="62"/>
      <c r="F609" s="71">
        <v>6.8999999999999999E-3</v>
      </c>
      <c r="G609" s="84">
        <f>IF($E585&gt;0, $E585, $E584*$E586)</f>
        <v>2109.6</v>
      </c>
      <c r="H609" s="65">
        <f>G609*F609</f>
        <v>14.556239999999999</v>
      </c>
      <c r="I609" s="98">
        <v>6.7999999999999996E-3</v>
      </c>
      <c r="J609" s="85">
        <f>IF($E585&gt;0, $E585, $E584*$E587)</f>
        <v>2109.6</v>
      </c>
      <c r="K609" s="68">
        <f>J609*I609</f>
        <v>14.345279999999999</v>
      </c>
      <c r="L609" s="69">
        <f t="shared" si="88"/>
        <v>-0.21096000000000004</v>
      </c>
      <c r="M609" s="70">
        <f>IF(ISERROR(L609/H609), "", L609/H609)</f>
        <v>-1.4492753623188409E-2</v>
      </c>
    </row>
    <row r="610" spans="1:13" ht="26" x14ac:dyDescent="0.25">
      <c r="A610" s="14" t="str">
        <f t="shared" si="91"/>
        <v>GENERAL SERVICE LESS THAN 50 KW SERVICE CLASSIFICATION</v>
      </c>
      <c r="B610" s="14" t="s">
        <v>73</v>
      </c>
      <c r="C610" s="60">
        <f>B39</f>
        <v>10</v>
      </c>
      <c r="D610" s="90" t="s">
        <v>74</v>
      </c>
      <c r="E610" s="75"/>
      <c r="F610" s="92"/>
      <c r="G610" s="93"/>
      <c r="H610" s="94">
        <f>SUM(H607:H609)</f>
        <v>115.22751999999998</v>
      </c>
      <c r="I610" s="95"/>
      <c r="J610" s="80"/>
      <c r="K610" s="94">
        <f>SUM(K607:K609)</f>
        <v>90.994640000000004</v>
      </c>
      <c r="L610" s="81">
        <f t="shared" si="88"/>
        <v>-24.23287999999998</v>
      </c>
      <c r="M610" s="82">
        <f>IF((H610)=0,"",(L610/H610))</f>
        <v>-0.21030462167371114</v>
      </c>
    </row>
    <row r="611" spans="1:13" ht="25" x14ac:dyDescent="0.25">
      <c r="A611" s="14" t="str">
        <f t="shared" si="91"/>
        <v>GENERAL SERVICE LESS THAN 50 KW SERVICE CLASSIFICATION</v>
      </c>
      <c r="C611" s="60"/>
      <c r="D611" s="100" t="s">
        <v>75</v>
      </c>
      <c r="E611" s="62"/>
      <c r="F611" s="71">
        <f>IF(AND('[2]1. Information Sheet'!$F$26:$H$26&gt;='[2]18. Regulatory Charges'!$D$14,'[2]1. Information Sheet'!$F$26:$H$26&lt;'[2]18. Regulatory Charges'!$E$14),'[2]18. Regulatory Charges'!$D$15+'[2]18. Regulatory Charges'!$D$16,'[2]18. Regulatory Charges'!$E$15+'[2]18. Regulatory Charges'!$E$16)</f>
        <v>4.5000000000000005E-3</v>
      </c>
      <c r="G611" s="84">
        <f>E584*E586</f>
        <v>2109.6</v>
      </c>
      <c r="H611" s="101">
        <f t="shared" ref="H611:H617" si="93">G611*F611</f>
        <v>9.4931999999999999</v>
      </c>
      <c r="I611" s="72">
        <f>'[2]18. Regulatory Charges'!$E$15+'[2]18. Regulatory Charges'!$E$16</f>
        <v>4.5000000000000005E-3</v>
      </c>
      <c r="J611" s="85">
        <f>E584*E587</f>
        <v>2109.6</v>
      </c>
      <c r="K611" s="68">
        <f t="shared" ref="K611:K617" si="94">J611*I611</f>
        <v>9.4931999999999999</v>
      </c>
      <c r="L611" s="69">
        <f t="shared" si="88"/>
        <v>0</v>
      </c>
      <c r="M611" s="70">
        <f t="shared" ref="M611:M619" si="95">IF(ISERROR(L611/H611), "", L611/H611)</f>
        <v>0</v>
      </c>
    </row>
    <row r="612" spans="1:13" ht="25" x14ac:dyDescent="0.25">
      <c r="A612" s="14" t="str">
        <f t="shared" si="91"/>
        <v>GENERAL SERVICE LESS THAN 50 KW SERVICE CLASSIFICATION</v>
      </c>
      <c r="C612" s="60"/>
      <c r="D612" s="100" t="s">
        <v>76</v>
      </c>
      <c r="E612" s="62"/>
      <c r="F612" s="71">
        <f>IF(AND('[2]1. Information Sheet'!$F$26:$H$26&gt;='[2]18. Regulatory Charges'!$D$14,'[2]1. Information Sheet'!$F$26:$H$26&lt;'[2]18. Regulatory Charges'!$D$14),'[2]18. Regulatory Charges'!$D$17,'[2]18. Regulatory Charges'!$E$17)</f>
        <v>6.9999999999999999E-4</v>
      </c>
      <c r="G612" s="84">
        <f>E584*E586</f>
        <v>2109.6</v>
      </c>
      <c r="H612" s="101">
        <f t="shared" si="93"/>
        <v>1.4767199999999998</v>
      </c>
      <c r="I612" s="72">
        <f>'[2]18. Regulatory Charges'!$E$17</f>
        <v>6.9999999999999999E-4</v>
      </c>
      <c r="J612" s="85">
        <f>E584*E587</f>
        <v>2109.6</v>
      </c>
      <c r="K612" s="68">
        <f t="shared" si="94"/>
        <v>1.4767199999999998</v>
      </c>
      <c r="L612" s="69">
        <f t="shared" si="88"/>
        <v>0</v>
      </c>
      <c r="M612" s="70">
        <f t="shared" si="95"/>
        <v>0</v>
      </c>
    </row>
    <row r="613" spans="1:13" ht="13" x14ac:dyDescent="0.25">
      <c r="A613" s="14" t="str">
        <f t="shared" si="91"/>
        <v>GENERAL SERVICE LESS THAN 50 KW SERVICE CLASSIFICATION</v>
      </c>
      <c r="C613" s="60"/>
      <c r="D613" s="102" t="s">
        <v>77</v>
      </c>
      <c r="E613" s="62"/>
      <c r="F613" s="150"/>
      <c r="G613" s="151"/>
      <c r="H613" s="152"/>
      <c r="I613" s="153"/>
      <c r="J613" s="154"/>
      <c r="K613" s="155"/>
      <c r="L613" s="156"/>
      <c r="M613" s="157"/>
    </row>
    <row r="614" spans="1:13" ht="25" customHeight="1" x14ac:dyDescent="0.25">
      <c r="A614" s="14" t="str">
        <f t="shared" si="91"/>
        <v>GENERAL SERVICE LESS THAN 50 KW SERVICE CLASSIFICATION</v>
      </c>
      <c r="C614" s="60"/>
      <c r="D614" s="100" t="s">
        <v>78</v>
      </c>
      <c r="E614" s="62"/>
      <c r="F614" s="71"/>
      <c r="G614" s="84"/>
      <c r="H614" s="101"/>
      <c r="I614" s="72"/>
      <c r="J614" s="85"/>
      <c r="K614" s="68"/>
      <c r="L614" s="69"/>
      <c r="M614" s="70"/>
    </row>
    <row r="615" spans="1:13" ht="13" customHeight="1" x14ac:dyDescent="0.25">
      <c r="A615" s="14" t="str">
        <f t="shared" si="91"/>
        <v>GENERAL SERVICE LESS THAN 50 KW SERVICE CLASSIFICATION</v>
      </c>
      <c r="B615" s="14" t="s">
        <v>14</v>
      </c>
      <c r="C615" s="60"/>
      <c r="D615" s="102" t="s">
        <v>79</v>
      </c>
      <c r="E615" s="62"/>
      <c r="F615" s="103">
        <f>OffPeak</f>
        <v>7.3999999999999996E-2</v>
      </c>
      <c r="G615" s="104">
        <f>IF(AND(E584*12&gt;=150000),OffPeakPer*E584*E586,OffPeakPer*E584)</f>
        <v>1260</v>
      </c>
      <c r="H615" s="101">
        <f t="shared" si="93"/>
        <v>93.24</v>
      </c>
      <c r="I615" s="105">
        <f>OffPeak</f>
        <v>7.3999999999999996E-2</v>
      </c>
      <c r="J615" s="106">
        <f>IF(AND(E584*12&gt;=150000),OffPeakPer*E584*E587,OffPeakPer*E584)</f>
        <v>1260</v>
      </c>
      <c r="K615" s="68">
        <f t="shared" si="94"/>
        <v>93.24</v>
      </c>
      <c r="L615" s="69">
        <f>K615-H615</f>
        <v>0</v>
      </c>
      <c r="M615" s="70">
        <f t="shared" si="95"/>
        <v>0</v>
      </c>
    </row>
    <row r="616" spans="1:13" ht="13" customHeight="1" x14ac:dyDescent="0.25">
      <c r="A616" s="14" t="str">
        <f t="shared" si="91"/>
        <v>GENERAL SERVICE LESS THAN 50 KW SERVICE CLASSIFICATION</v>
      </c>
      <c r="B616" s="14" t="s">
        <v>14</v>
      </c>
      <c r="C616" s="60"/>
      <c r="D616" s="102" t="s">
        <v>80</v>
      </c>
      <c r="E616" s="62"/>
      <c r="F616" s="103">
        <f>MidPeak</f>
        <v>0.10199999999999999</v>
      </c>
      <c r="G616" s="104">
        <f>IF(AND(E584*12&gt;=150000),MidPeakPer*E584*E586,MidPeakPer*E584)</f>
        <v>360</v>
      </c>
      <c r="H616" s="101">
        <f t="shared" si="93"/>
        <v>36.72</v>
      </c>
      <c r="I616" s="105">
        <f>MidPeak</f>
        <v>0.10199999999999999</v>
      </c>
      <c r="J616" s="106">
        <f>IF(AND(E584*12&gt;=150000),MidPeakPer*E584*E587,MidPeakPer*E584)</f>
        <v>360</v>
      </c>
      <c r="K616" s="68">
        <f t="shared" si="94"/>
        <v>36.72</v>
      </c>
      <c r="L616" s="69">
        <f>K616-H616</f>
        <v>0</v>
      </c>
      <c r="M616" s="70">
        <f t="shared" si="95"/>
        <v>0</v>
      </c>
    </row>
    <row r="617" spans="1:13" ht="13" customHeight="1" x14ac:dyDescent="0.25">
      <c r="A617" s="14" t="str">
        <f t="shared" si="91"/>
        <v>GENERAL SERVICE LESS THAN 50 KW SERVICE CLASSIFICATION</v>
      </c>
      <c r="B617" s="14" t="s">
        <v>14</v>
      </c>
      <c r="C617" s="60"/>
      <c r="D617" s="14" t="s">
        <v>81</v>
      </c>
      <c r="E617" s="62"/>
      <c r="F617" s="103">
        <f>OnPeak</f>
        <v>0.151</v>
      </c>
      <c r="G617" s="104">
        <f>IF(AND(E584*12&gt;=150000),OnPeakPer*E584*E586,OnPeakPer*E584)</f>
        <v>380</v>
      </c>
      <c r="H617" s="101">
        <f t="shared" si="93"/>
        <v>57.379999999999995</v>
      </c>
      <c r="I617" s="105">
        <f>OnPeak</f>
        <v>0.151</v>
      </c>
      <c r="J617" s="106">
        <f>IF(AND(E584*12&gt;=150000),OnPeakPer*E584*E587,OnPeakPer*E584)</f>
        <v>380</v>
      </c>
      <c r="K617" s="68">
        <f t="shared" si="94"/>
        <v>57.379999999999995</v>
      </c>
      <c r="L617" s="69">
        <f>K617-H617</f>
        <v>0</v>
      </c>
      <c r="M617" s="70">
        <f t="shared" si="95"/>
        <v>0</v>
      </c>
    </row>
    <row r="618" spans="1:13" ht="13" x14ac:dyDescent="0.25">
      <c r="A618" s="14" t="str">
        <f t="shared" si="91"/>
        <v>GENERAL SERVICE LESS THAN 50 KW SERVICE CLASSIFICATION</v>
      </c>
      <c r="B618" s="14" t="s">
        <v>24</v>
      </c>
      <c r="C618" s="60"/>
      <c r="D618" s="102" t="s">
        <v>82</v>
      </c>
      <c r="E618" s="62"/>
      <c r="F618" s="107">
        <v>0.1076</v>
      </c>
      <c r="G618" s="104">
        <f>IF(AND(E584*12&gt;=150000),E584*E586,E584)</f>
        <v>2000</v>
      </c>
      <c r="H618" s="101">
        <f>G618*F618</f>
        <v>215.2</v>
      </c>
      <c r="I618" s="108">
        <f>F618</f>
        <v>0.1076</v>
      </c>
      <c r="J618" s="106">
        <f>IF(AND(E584*12&gt;=150000),E584*E587,E584)</f>
        <v>2000</v>
      </c>
      <c r="K618" s="68">
        <f>J618*I618</f>
        <v>215.2</v>
      </c>
      <c r="L618" s="69">
        <f>K618-H618</f>
        <v>0</v>
      </c>
      <c r="M618" s="70">
        <f t="shared" si="95"/>
        <v>0</v>
      </c>
    </row>
    <row r="619" spans="1:13" ht="13.5" customHeight="1" thickBot="1" x14ac:dyDescent="0.3">
      <c r="A619" s="14" t="str">
        <f t="shared" si="91"/>
        <v>GENERAL SERVICE LESS THAN 50 KW SERVICE CLASSIFICATION</v>
      </c>
      <c r="B619" s="14" t="s">
        <v>18</v>
      </c>
      <c r="C619" s="60"/>
      <c r="D619" s="102" t="s">
        <v>83</v>
      </c>
      <c r="E619" s="62"/>
      <c r="F619" s="107">
        <v>0.1076</v>
      </c>
      <c r="G619" s="104">
        <f>IF(AND(E584*12&gt;=150000),E584*E586,E584)</f>
        <v>2000</v>
      </c>
      <c r="H619" s="101">
        <f>G619*F619</f>
        <v>215.2</v>
      </c>
      <c r="I619" s="108">
        <f>F619</f>
        <v>0.1076</v>
      </c>
      <c r="J619" s="106">
        <f>IF(AND(E584*12&gt;=150000),E584*E587,E584)</f>
        <v>2000</v>
      </c>
      <c r="K619" s="68">
        <f>J619*I619</f>
        <v>215.2</v>
      </c>
      <c r="L619" s="69">
        <f>K619-H619</f>
        <v>0</v>
      </c>
      <c r="M619" s="70">
        <f t="shared" si="95"/>
        <v>0</v>
      </c>
    </row>
    <row r="620" spans="1:13" ht="13" thickBot="1" x14ac:dyDescent="0.3">
      <c r="A620" s="14" t="str">
        <f t="shared" si="91"/>
        <v>GENERAL SERVICE LESS THAN 50 KW SERVICE CLASSIFICATION</v>
      </c>
      <c r="C620" s="60"/>
      <c r="D620" s="109"/>
      <c r="E620" s="110"/>
      <c r="F620" s="111"/>
      <c r="G620" s="112"/>
      <c r="H620" s="113"/>
      <c r="I620" s="111"/>
      <c r="J620" s="114"/>
      <c r="K620" s="113"/>
      <c r="L620" s="115"/>
      <c r="M620" s="116"/>
    </row>
    <row r="621" spans="1:13" ht="13" customHeight="1" x14ac:dyDescent="0.25">
      <c r="A621" s="14" t="str">
        <f t="shared" si="91"/>
        <v>GENERAL SERVICE LESS THAN 50 KW SERVICE CLASSIFICATION</v>
      </c>
      <c r="B621" s="14" t="s">
        <v>14</v>
      </c>
      <c r="C621" s="60"/>
      <c r="D621" s="117" t="s">
        <v>84</v>
      </c>
      <c r="E621" s="102"/>
      <c r="F621" s="118"/>
      <c r="G621" s="119"/>
      <c r="H621" s="120">
        <f>SUM(H611:H617,H610)</f>
        <v>313.53743999999995</v>
      </c>
      <c r="I621" s="121"/>
      <c r="J621" s="121"/>
      <c r="K621" s="120">
        <f>SUM(K611:K617,K610)</f>
        <v>289.30455999999998</v>
      </c>
      <c r="L621" s="122">
        <f>K621-H621</f>
        <v>-24.232879999999966</v>
      </c>
      <c r="M621" s="123">
        <f>IF((H621)=0,"",(L621/H621))</f>
        <v>-7.7288632579254238E-2</v>
      </c>
    </row>
    <row r="622" spans="1:13" ht="12.65" customHeight="1" x14ac:dyDescent="0.25">
      <c r="A622" s="14" t="str">
        <f t="shared" si="91"/>
        <v>GENERAL SERVICE LESS THAN 50 KW SERVICE CLASSIFICATION</v>
      </c>
      <c r="B622" s="14" t="s">
        <v>14</v>
      </c>
      <c r="C622" s="60"/>
      <c r="D622" s="124" t="s">
        <v>85</v>
      </c>
      <c r="E622" s="102"/>
      <c r="F622" s="118">
        <v>0.13</v>
      </c>
      <c r="G622" s="125"/>
      <c r="H622" s="126">
        <f>H621*F622</f>
        <v>40.759867199999995</v>
      </c>
      <c r="I622" s="127">
        <v>0.13</v>
      </c>
      <c r="J622" s="64"/>
      <c r="K622" s="126">
        <f>K621*I622</f>
        <v>37.609592800000001</v>
      </c>
      <c r="L622" s="69">
        <f>K622-H622</f>
        <v>-3.1502743999999936</v>
      </c>
      <c r="M622" s="128">
        <f>IF((H622)=0,"",(L622/H622))</f>
        <v>-7.7288632579254182E-2</v>
      </c>
    </row>
    <row r="623" spans="1:13" ht="14.5" customHeight="1" x14ac:dyDescent="0.35">
      <c r="A623" s="14" t="str">
        <f t="shared" si="91"/>
        <v>GENERAL SERVICE LESS THAN 50 KW SERVICE CLASSIFICATION</v>
      </c>
      <c r="B623" s="14" t="s">
        <v>14</v>
      </c>
      <c r="C623" s="60"/>
      <c r="D623" s="124" t="s">
        <v>86</v>
      </c>
      <c r="E623"/>
      <c r="F623" s="129">
        <v>0.11700000000000001</v>
      </c>
      <c r="G623" s="125"/>
      <c r="H623" s="126">
        <f>IF(OR(ISNUMBER(SEARCH("[DGEN]", E582))=TRUE, ISNUMBER(SEARCH("STREET LIGHT", E582))=TRUE), 0, IF(AND(E584=0, E585=0),0, IF(AND(E585=0, E584*12&gt;250000), 0, IF(AND(E584=0, E585&gt;=50), 0, IF(E584*12&lt;=250000, F623*H621*-1, IF(E585&lt;50, F623*H621*-1, 0))))))</f>
        <v>-36.683880479999999</v>
      </c>
      <c r="I623" s="129">
        <v>0.11700000000000001</v>
      </c>
      <c r="J623" s="64"/>
      <c r="K623" s="126">
        <f>IF(OR(ISNUMBER(SEARCH("[DGEN]", E582))=TRUE, ISNUMBER(SEARCH("STREET LIGHT", E582))=TRUE), 0, IF(AND(E584=0, E585=0),0, IF(AND(E585=0, E584*12&gt;250000), 0, IF(AND(E584=0, E585&gt;=50), 0, IF(E584*12&lt;=250000, I623*K621*-1, IF(E585&lt;50, I623*K621*-1, 0))))))</f>
        <v>-33.84863352</v>
      </c>
      <c r="L623" s="69">
        <f>K623-H623</f>
        <v>2.8352469599999992</v>
      </c>
      <c r="M623" s="128"/>
    </row>
    <row r="624" spans="1:13" ht="13" customHeight="1" thickBot="1" x14ac:dyDescent="0.3">
      <c r="A624" s="14" t="str">
        <f t="shared" si="91"/>
        <v>GENERAL SERVICE LESS THAN 50 KW SERVICE CLASSIFICATION</v>
      </c>
      <c r="B624" s="14" t="s">
        <v>87</v>
      </c>
      <c r="C624" s="60"/>
      <c r="D624" s="195" t="s">
        <v>88</v>
      </c>
      <c r="E624" s="195"/>
      <c r="F624" s="130"/>
      <c r="G624" s="131"/>
      <c r="H624" s="132">
        <f>H621+H622+H623</f>
        <v>317.61342671999989</v>
      </c>
      <c r="I624" s="133"/>
      <c r="J624" s="133"/>
      <c r="K624" s="134">
        <f>K621+K622+K623</f>
        <v>293.06551927999999</v>
      </c>
      <c r="L624" s="135">
        <f>K624-H624</f>
        <v>-24.547907439999904</v>
      </c>
      <c r="M624" s="136">
        <f>IF((H624)=0,"",(L624/H624))</f>
        <v>-7.7288632579254057E-2</v>
      </c>
    </row>
    <row r="625" spans="1:13" ht="13" customHeight="1" thickBot="1" x14ac:dyDescent="0.3">
      <c r="A625" s="14" t="str">
        <f t="shared" si="91"/>
        <v>GENERAL SERVICE LESS THAN 50 KW SERVICE CLASSIFICATION</v>
      </c>
      <c r="B625" s="14" t="s">
        <v>14</v>
      </c>
      <c r="C625" s="60"/>
      <c r="D625" s="109"/>
      <c r="E625" s="110"/>
      <c r="F625" s="111"/>
      <c r="G625" s="112"/>
      <c r="H625" s="113"/>
      <c r="I625" s="111"/>
      <c r="J625" s="114"/>
      <c r="K625" s="113"/>
      <c r="L625" s="115"/>
      <c r="M625" s="116"/>
    </row>
    <row r="626" spans="1:13" ht="13" x14ac:dyDescent="0.25">
      <c r="A626" s="14" t="str">
        <f t="shared" si="91"/>
        <v>GENERAL SERVICE LESS THAN 50 KW SERVICE CLASSIFICATION</v>
      </c>
      <c r="B626" s="14" t="s">
        <v>24</v>
      </c>
      <c r="C626" s="60"/>
      <c r="D626" s="117" t="s">
        <v>89</v>
      </c>
      <c r="E626" s="102"/>
      <c r="F626" s="118"/>
      <c r="G626" s="119"/>
      <c r="H626" s="120">
        <f>SUM(H618,H611:H614,H610)</f>
        <v>341.39743999999996</v>
      </c>
      <c r="I626" s="121"/>
      <c r="J626" s="121"/>
      <c r="K626" s="120">
        <f>SUM(K618,K611:K614,K610)</f>
        <v>317.16455999999999</v>
      </c>
      <c r="L626" s="122">
        <f>K626-H626</f>
        <v>-24.232879999999966</v>
      </c>
      <c r="M626" s="123">
        <f>IF((H626)=0,"",(L626/H626))</f>
        <v>-7.0981434424347081E-2</v>
      </c>
    </row>
    <row r="627" spans="1:13" x14ac:dyDescent="0.25">
      <c r="A627" s="14" t="str">
        <f t="shared" si="91"/>
        <v>GENERAL SERVICE LESS THAN 50 KW SERVICE CLASSIFICATION</v>
      </c>
      <c r="B627" s="14" t="s">
        <v>24</v>
      </c>
      <c r="C627" s="60"/>
      <c r="D627" s="124" t="s">
        <v>85</v>
      </c>
      <c r="E627" s="102"/>
      <c r="F627" s="118">
        <v>0.13</v>
      </c>
      <c r="G627" s="119"/>
      <c r="H627" s="126">
        <f>H626*F627</f>
        <v>44.381667199999995</v>
      </c>
      <c r="I627" s="118">
        <v>0.13</v>
      </c>
      <c r="J627" s="127"/>
      <c r="K627" s="126">
        <f>K626*I627</f>
        <v>41.231392800000002</v>
      </c>
      <c r="L627" s="69">
        <f>K627-H627</f>
        <v>-3.1502743999999936</v>
      </c>
      <c r="M627" s="128">
        <f>IF((H627)=0,"",(L627/H627))</f>
        <v>-7.098143442434704E-2</v>
      </c>
    </row>
    <row r="628" spans="1:13" ht="14.5" x14ac:dyDescent="0.35">
      <c r="A628" s="14" t="str">
        <f t="shared" si="91"/>
        <v>GENERAL SERVICE LESS THAN 50 KW SERVICE CLASSIFICATION</v>
      </c>
      <c r="B628" s="14" t="s">
        <v>24</v>
      </c>
      <c r="C628" s="60"/>
      <c r="D628" s="124" t="s">
        <v>86</v>
      </c>
      <c r="E628"/>
      <c r="F628" s="129">
        <v>0.11700000000000001</v>
      </c>
      <c r="G628" s="119"/>
      <c r="H628" s="126">
        <f>IF(OR(ISNUMBER(SEARCH("[DGEN]", E582))=TRUE, ISNUMBER(SEARCH("STREET LIGHT", E582))=TRUE), 0, IF(AND(E584=0, E585=0),0, IF(AND(E585=0, E584*12&gt;250000), 0, IF(AND(E584=0, E585&gt;=50), 0, IF(E584*12&lt;=250000, F628*H626*-1, IF(E585&lt;50, F628*H626*-1, 0))))))</f>
        <v>-39.943500479999997</v>
      </c>
      <c r="I628" s="129">
        <v>0.11700000000000001</v>
      </c>
      <c r="J628" s="127"/>
      <c r="K628" s="126">
        <f>IF(OR(ISNUMBER(SEARCH("[DGEN]", E582))=TRUE, ISNUMBER(SEARCH("STREET LIGHT", E582))=TRUE), 0, IF(AND(E584=0, E585=0),0, IF(AND(E585=0, E584*12&gt;250000), 0, IF(AND(E584=0, E585&gt;=50), 0, IF(E584*12&lt;=250000, I628*K626*-1, IF(E585&lt;50, I628*K626*-1, 0))))))</f>
        <v>-37.108253519999998</v>
      </c>
      <c r="L628" s="69"/>
      <c r="M628" s="128"/>
    </row>
    <row r="629" spans="1:13" ht="13.5" thickBot="1" x14ac:dyDescent="0.3">
      <c r="A629" s="14" t="str">
        <f t="shared" si="91"/>
        <v>GENERAL SERVICE LESS THAN 50 KW SERVICE CLASSIFICATION</v>
      </c>
      <c r="B629" s="14" t="s">
        <v>90</v>
      </c>
      <c r="C629" s="60">
        <f>B39</f>
        <v>10</v>
      </c>
      <c r="D629" s="195" t="s">
        <v>89</v>
      </c>
      <c r="E629" s="195"/>
      <c r="F629" s="137"/>
      <c r="G629" s="138"/>
      <c r="H629" s="132">
        <f>SUM(H626,H627)</f>
        <v>385.77910719999994</v>
      </c>
      <c r="I629" s="139"/>
      <c r="J629" s="139"/>
      <c r="K629" s="132">
        <f>SUM(K626,K627)</f>
        <v>358.39595279999998</v>
      </c>
      <c r="L629" s="140">
        <f>K629-H629</f>
        <v>-27.383154399999967</v>
      </c>
      <c r="M629" s="141">
        <f>IF((H629)=0,"",(L629/H629))</f>
        <v>-7.0981434424347095E-2</v>
      </c>
    </row>
    <row r="630" spans="1:13" ht="13" thickBot="1" x14ac:dyDescent="0.3">
      <c r="A630" s="14" t="str">
        <f t="shared" si="91"/>
        <v>GENERAL SERVICE LESS THAN 50 KW SERVICE CLASSIFICATION</v>
      </c>
      <c r="B630" s="14" t="s">
        <v>24</v>
      </c>
      <c r="C630" s="60"/>
      <c r="D630" s="109"/>
      <c r="E630" s="110"/>
      <c r="F630" s="142"/>
      <c r="G630" s="143"/>
      <c r="H630" s="144"/>
      <c r="I630" s="142"/>
      <c r="J630" s="112"/>
      <c r="K630" s="144"/>
      <c r="L630" s="145"/>
      <c r="M630" s="116"/>
    </row>
    <row r="631" spans="1:13" ht="13" customHeight="1" x14ac:dyDescent="0.25">
      <c r="A631" s="14" t="str">
        <f t="shared" si="91"/>
        <v>GENERAL SERVICE LESS THAN 50 KW SERVICE CLASSIFICATION</v>
      </c>
      <c r="B631" s="14" t="s">
        <v>18</v>
      </c>
      <c r="C631" s="60"/>
      <c r="D631" s="117" t="s">
        <v>91</v>
      </c>
      <c r="E631" s="102"/>
      <c r="F631" s="118"/>
      <c r="G631" s="119"/>
      <c r="H631" s="120">
        <f>SUM(H619,H611:H614,H610)</f>
        <v>341.39743999999996</v>
      </c>
      <c r="I631" s="121"/>
      <c r="J631" s="121"/>
      <c r="K631" s="120">
        <f>SUM(K619,K611:K614,K610)</f>
        <v>317.16455999999999</v>
      </c>
      <c r="L631" s="122">
        <f>K631-H631</f>
        <v>-24.232879999999966</v>
      </c>
      <c r="M631" s="123">
        <f>IF((H631)=0,"",(L631/H631))</f>
        <v>-7.0981434424347081E-2</v>
      </c>
    </row>
    <row r="632" spans="1:13" ht="12.65" customHeight="1" x14ac:dyDescent="0.25">
      <c r="A632" s="14" t="str">
        <f t="shared" si="91"/>
        <v>GENERAL SERVICE LESS THAN 50 KW SERVICE CLASSIFICATION</v>
      </c>
      <c r="B632" s="14" t="s">
        <v>18</v>
      </c>
      <c r="C632" s="60"/>
      <c r="D632" s="124" t="s">
        <v>85</v>
      </c>
      <c r="E632" s="102"/>
      <c r="F632" s="118">
        <v>0.13</v>
      </c>
      <c r="G632" s="119"/>
      <c r="H632" s="126">
        <f>H631*F632</f>
        <v>44.381667199999995</v>
      </c>
      <c r="I632" s="118">
        <v>0.13</v>
      </c>
      <c r="J632" s="127"/>
      <c r="K632" s="126">
        <f>K631*I632</f>
        <v>41.231392800000002</v>
      </c>
      <c r="L632" s="69">
        <f>K632-H632</f>
        <v>-3.1502743999999936</v>
      </c>
      <c r="M632" s="128">
        <f>IF((H632)=0,"",(L632/H632))</f>
        <v>-7.098143442434704E-2</v>
      </c>
    </row>
    <row r="633" spans="1:13" ht="14.5" customHeight="1" x14ac:dyDescent="0.35">
      <c r="A633" s="14" t="str">
        <f t="shared" si="91"/>
        <v>GENERAL SERVICE LESS THAN 50 KW SERVICE CLASSIFICATION</v>
      </c>
      <c r="B633" s="14" t="s">
        <v>18</v>
      </c>
      <c r="C633" s="60"/>
      <c r="D633" s="124" t="s">
        <v>86</v>
      </c>
      <c r="E633"/>
      <c r="F633" s="129">
        <v>0.11700000000000001</v>
      </c>
      <c r="G633" s="119"/>
      <c r="H633" s="126">
        <f>IF(OR(ISNUMBER(SEARCH("[DGEN]", E582))=TRUE, ISNUMBER(SEARCH("STREET LIGHT", E582))=TRUE), 0, IF(AND(E584=0, E585=0),0, IF(AND(E585=0, E584*12&gt;250000), 0, IF(AND(E584=0, E585&gt;=50), 0, IF(E584*12&lt;=250000, F633*H631*-1, IF(E585&lt;50, F633*H631*-1, 0))))))</f>
        <v>-39.943500479999997</v>
      </c>
      <c r="I633" s="129">
        <v>0.11700000000000001</v>
      </c>
      <c r="J633" s="127"/>
      <c r="K633" s="126">
        <f>IF(OR(ISNUMBER(SEARCH("[DGEN]", E582))=TRUE, ISNUMBER(SEARCH("STREET LIGHT", E582))=TRUE), 0, IF(AND(E584=0, E585=0),0, IF(AND(E585=0, E584*12&gt;250000), 0, IF(AND(E584=0, E585&gt;=50), 0, IF(E584*12&lt;=250000, I633*K631*-1, IF(E585&lt;50, I633*K631*-1, 0))))))</f>
        <v>-37.108253519999998</v>
      </c>
      <c r="L633" s="69"/>
      <c r="M633" s="128"/>
    </row>
    <row r="634" spans="1:13" ht="13" customHeight="1" thickBot="1" x14ac:dyDescent="0.3">
      <c r="A634" s="14" t="str">
        <f t="shared" si="91"/>
        <v>GENERAL SERVICE LESS THAN 50 KW SERVICE CLASSIFICATION</v>
      </c>
      <c r="B634" s="14" t="s">
        <v>92</v>
      </c>
      <c r="C634" s="60"/>
      <c r="D634" s="195" t="s">
        <v>91</v>
      </c>
      <c r="E634" s="195"/>
      <c r="F634" s="137"/>
      <c r="G634" s="138"/>
      <c r="H634" s="132">
        <f>SUM(H631,H632)</f>
        <v>385.77910719999994</v>
      </c>
      <c r="I634" s="139"/>
      <c r="J634" s="139"/>
      <c r="K634" s="132">
        <f>SUM(K631,K632)</f>
        <v>358.39595279999998</v>
      </c>
      <c r="L634" s="140">
        <f>K634-H634</f>
        <v>-27.383154399999967</v>
      </c>
      <c r="M634" s="141">
        <f>IF((H634)=0,"",(L634/H634))</f>
        <v>-7.0981434424347095E-2</v>
      </c>
    </row>
    <row r="635" spans="1:13" ht="13" customHeight="1" thickBot="1" x14ac:dyDescent="0.3">
      <c r="A635" s="14" t="str">
        <f t="shared" si="91"/>
        <v>GENERAL SERVICE LESS THAN 50 KW SERVICE CLASSIFICATION</v>
      </c>
      <c r="B635" s="14" t="s">
        <v>18</v>
      </c>
      <c r="C635" s="60"/>
      <c r="D635" s="109"/>
      <c r="E635" s="110"/>
      <c r="F635" s="146"/>
      <c r="G635" s="143"/>
      <c r="H635" s="147"/>
      <c r="I635" s="146"/>
      <c r="J635" s="112"/>
      <c r="K635" s="147"/>
      <c r="L635" s="145"/>
      <c r="M635" s="148"/>
    </row>
  </sheetData>
  <autoFilter ref="A87:CA635" xr:uid="{8A6A3EEF-2AE1-4954-9891-1E1625BF3698}"/>
  <mergeCells count="144">
    <mergeCell ref="D624:E624"/>
    <mergeCell ref="D629:E629"/>
    <mergeCell ref="D634:E634"/>
    <mergeCell ref="L589:M589"/>
    <mergeCell ref="E590:E591"/>
    <mergeCell ref="L590:L591"/>
    <mergeCell ref="M590:M591"/>
    <mergeCell ref="D568:E568"/>
    <mergeCell ref="D573:E573"/>
    <mergeCell ref="D578:E578"/>
    <mergeCell ref="E582:J582"/>
    <mergeCell ref="E583:G583"/>
    <mergeCell ref="F589:H589"/>
    <mergeCell ref="I589:K589"/>
    <mergeCell ref="L533:M533"/>
    <mergeCell ref="E534:E535"/>
    <mergeCell ref="L534:L535"/>
    <mergeCell ref="M534:M535"/>
    <mergeCell ref="D512:E512"/>
    <mergeCell ref="D517:E517"/>
    <mergeCell ref="D522:E522"/>
    <mergeCell ref="E526:J526"/>
    <mergeCell ref="E527:G527"/>
    <mergeCell ref="F533:H533"/>
    <mergeCell ref="I533:K533"/>
    <mergeCell ref="L477:M477"/>
    <mergeCell ref="E478:E479"/>
    <mergeCell ref="L478:L479"/>
    <mergeCell ref="M478:M479"/>
    <mergeCell ref="D456:E456"/>
    <mergeCell ref="D461:E461"/>
    <mergeCell ref="D466:E466"/>
    <mergeCell ref="E470:J470"/>
    <mergeCell ref="E471:G471"/>
    <mergeCell ref="F477:H477"/>
    <mergeCell ref="I477:K477"/>
    <mergeCell ref="L421:M421"/>
    <mergeCell ref="E422:E423"/>
    <mergeCell ref="L422:L423"/>
    <mergeCell ref="M422:M423"/>
    <mergeCell ref="D400:E400"/>
    <mergeCell ref="D405:E405"/>
    <mergeCell ref="D410:E410"/>
    <mergeCell ref="E414:J414"/>
    <mergeCell ref="E415:G415"/>
    <mergeCell ref="F421:H421"/>
    <mergeCell ref="I421:K421"/>
    <mergeCell ref="L365:M365"/>
    <mergeCell ref="E366:E367"/>
    <mergeCell ref="L366:L367"/>
    <mergeCell ref="M366:M367"/>
    <mergeCell ref="D344:E344"/>
    <mergeCell ref="D349:E349"/>
    <mergeCell ref="D354:E354"/>
    <mergeCell ref="E358:J358"/>
    <mergeCell ref="E359:G359"/>
    <mergeCell ref="F365:H365"/>
    <mergeCell ref="I365:K365"/>
    <mergeCell ref="L309:M309"/>
    <mergeCell ref="E310:E311"/>
    <mergeCell ref="L310:L311"/>
    <mergeCell ref="M310:M311"/>
    <mergeCell ref="D288:E288"/>
    <mergeCell ref="D293:E293"/>
    <mergeCell ref="D298:E298"/>
    <mergeCell ref="E302:J302"/>
    <mergeCell ref="E303:G303"/>
    <mergeCell ref="F309:H309"/>
    <mergeCell ref="I309:K309"/>
    <mergeCell ref="L253:M253"/>
    <mergeCell ref="E254:E255"/>
    <mergeCell ref="L254:L255"/>
    <mergeCell ref="M254:M255"/>
    <mergeCell ref="D232:E232"/>
    <mergeCell ref="D237:E237"/>
    <mergeCell ref="D242:E242"/>
    <mergeCell ref="E246:J246"/>
    <mergeCell ref="E247:G247"/>
    <mergeCell ref="F253:H253"/>
    <mergeCell ref="I253:K253"/>
    <mergeCell ref="L197:M197"/>
    <mergeCell ref="E198:E199"/>
    <mergeCell ref="L198:L199"/>
    <mergeCell ref="M198:M199"/>
    <mergeCell ref="D176:E176"/>
    <mergeCell ref="D181:E181"/>
    <mergeCell ref="D186:E186"/>
    <mergeCell ref="E190:J190"/>
    <mergeCell ref="E191:G191"/>
    <mergeCell ref="F197:H197"/>
    <mergeCell ref="I197:K197"/>
    <mergeCell ref="L141:M141"/>
    <mergeCell ref="E142:E143"/>
    <mergeCell ref="L142:L143"/>
    <mergeCell ref="M142:M143"/>
    <mergeCell ref="D120:E120"/>
    <mergeCell ref="D125:E125"/>
    <mergeCell ref="D130:E130"/>
    <mergeCell ref="E134:J134"/>
    <mergeCell ref="E135:G135"/>
    <mergeCell ref="F141:H141"/>
    <mergeCell ref="I141:K141"/>
    <mergeCell ref="L85:M85"/>
    <mergeCell ref="E86:E87"/>
    <mergeCell ref="L86:L87"/>
    <mergeCell ref="M86:M87"/>
    <mergeCell ref="E78:J78"/>
    <mergeCell ref="E79:G79"/>
    <mergeCell ref="F85:H85"/>
    <mergeCell ref="I85:K85"/>
    <mergeCell ref="D73:F73"/>
    <mergeCell ref="D74:F74"/>
    <mergeCell ref="D67:F67"/>
    <mergeCell ref="D68:F68"/>
    <mergeCell ref="D69:F69"/>
    <mergeCell ref="D70:F70"/>
    <mergeCell ref="D71:F71"/>
    <mergeCell ref="D72:F72"/>
    <mergeCell ref="D61:F61"/>
    <mergeCell ref="D62:F62"/>
    <mergeCell ref="D63:F63"/>
    <mergeCell ref="D64:F64"/>
    <mergeCell ref="D65:F65"/>
    <mergeCell ref="D66:F66"/>
    <mergeCell ref="D55:F55"/>
    <mergeCell ref="D56:F56"/>
    <mergeCell ref="D57:F57"/>
    <mergeCell ref="D58:F58"/>
    <mergeCell ref="D59:F59"/>
    <mergeCell ref="D60:F60"/>
    <mergeCell ref="D52:F54"/>
    <mergeCell ref="G52:G54"/>
    <mergeCell ref="H52:M52"/>
    <mergeCell ref="N52:O52"/>
    <mergeCell ref="H53:I53"/>
    <mergeCell ref="J53:K53"/>
    <mergeCell ref="L53:M53"/>
    <mergeCell ref="N53:O53"/>
    <mergeCell ref="C3:K3"/>
    <mergeCell ref="D10:M10"/>
    <mergeCell ref="D11:M11"/>
    <mergeCell ref="N11:O11"/>
    <mergeCell ref="D12:N12"/>
    <mergeCell ref="D29:F29"/>
  </mergeCells>
  <conditionalFormatting sqref="K30:K49">
    <cfRule type="expression" dxfId="2" priority="2">
      <formula>$G30="kVa"</formula>
    </cfRule>
    <cfRule type="expression" dxfId="1" priority="3">
      <formula>$G30="kWh"</formula>
    </cfRule>
  </conditionalFormatting>
  <conditionalFormatting sqref="K30:L49">
    <cfRule type="expression" dxfId="0" priority="1">
      <formula>$G30="kW"</formula>
    </cfRule>
  </conditionalFormatting>
  <dataValidations count="4">
    <dataValidation type="list" allowBlank="1" showInputMessage="1" showErrorMessage="1" sqref="H30:H49" xr:uid="{B4538DEC-8B06-49B1-8B48-43DDA8909103}">
      <formula1>"RPP, Non-RPP (Retailer), Non-RPP (Other)"</formula1>
    </dataValidation>
    <dataValidation type="list" allowBlank="1" showInputMessage="1" showErrorMessage="1" sqref="M30:M49" xr:uid="{95EEE591-B483-47E7-970C-4875FBD81379}">
      <formula1>"CONSUMPTION, DEMAND, DEMAND - INTERVAL"</formula1>
    </dataValidation>
    <dataValidation allowBlank="1" showInputMessage="1" showErrorMessage="1" sqref="D30:D36" xr:uid="{4343C26E-CAE9-4758-AE1D-8DEEF910D9F8}"/>
    <dataValidation type="list" allowBlank="1" showInputMessage="1" showErrorMessage="1" prompt="Select Charge Unit - monthly, per kWh, per kW" sqref="E121 E126 E131 E116 E177 E182 E187 E172 E233 E238 E243 E228 E289 E294 E299 E284 E345 E350 E355 E340 E401 E406 E411 E396 E457 E462 E467 E452 E513 E518 E523 E508 E569 E574 E579 E564 E625 E630 E635 E620" xr:uid="{B34E7252-50FE-43DB-BDD1-37F25F150C0B}">
      <formula1>"Monthly, per kWh, per kW"</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Allmapsinthefolder xmlns="7e651a3a-8d05-4ee0-9344-b668032e30e0">false</Allmapsinthefolder>
    <RRA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EB-2023-0059</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2023-08-17T04:00:00+00:00</IssueDate>
    <Applicant xmlns="7e651a3a-8d05-4ee0-9344-b668032e30e0">Hydro One Networks Inc. - HONI</Applicant>
    <WitnessApproved xmlns="7e651a3a-8d05-4ee0-9344-b668032e30e0">false</WitnessApproved>
    <Strategic xmlns="7e651a3a-8d05-4ee0-9344-b668032e30e0">false</Strategic>
    <Witness xmlns="7e651a3a-8d05-4ee0-9344-b668032e30e0">
      <UserInfo>
        <DisplayName/>
        <AccountId xsi:nil="true"/>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72048c76357f7c6e154ec10a951fc50f">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87d3e6a51955c0801646648d1fa7a772"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F96E4B-120F-4F00-90E3-2BFAACC64E70}">
  <ds:schemaRefs>
    <ds:schemaRef ds:uri="http://schemas.microsoft.com/sharepoint/v3/contenttype/forms"/>
  </ds:schemaRefs>
</ds:datastoreItem>
</file>

<file path=customXml/itemProps2.xml><?xml version="1.0" encoding="utf-8"?>
<ds:datastoreItem xmlns:ds="http://schemas.openxmlformats.org/officeDocument/2006/customXml" ds:itemID="{31BBBD17-8CFC-4D11-9C60-E17EE59A17FE}">
  <ds:schemaRefs>
    <ds:schemaRef ds:uri="http://schemas.microsoft.com/office/2006/metadata/properties"/>
    <ds:schemaRef ds:uri="1f5e108a-442b-424d-88d6-fdac133e65d6"/>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e651a3a-8d05-4ee0-9344-b668032e30e0"/>
    <ds:schemaRef ds:uri="http://purl.org/dc/elements/1.1/"/>
    <ds:schemaRef ds:uri="http://purl.org/dc/terms/"/>
    <ds:schemaRef ds:uri="http://www.w3.org/XML/1998/namespace"/>
  </ds:schemaRefs>
</ds:datastoreItem>
</file>

<file path=customXml/itemProps3.xml><?xml version="1.0" encoding="utf-8"?>
<ds:datastoreItem xmlns:ds="http://schemas.openxmlformats.org/officeDocument/2006/customXml" ds:itemID="{70917C24-FE0E-4CDF-8579-5A050C9EF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 Bill Impacts-PeterboroughRZ</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8 - Bill Impacts - Peterborough RZ</dc:title>
  <dc:subject/>
  <dc:creator>KIM Susan</dc:creator>
  <cp:keywords/>
  <dc:description/>
  <cp:lastModifiedBy>MOLINA Carla</cp:lastModifiedBy>
  <cp:revision/>
  <cp:lastPrinted>2023-08-15T13:55:15Z</cp:lastPrinted>
  <dcterms:created xsi:type="dcterms:W3CDTF">2023-08-09T18:24:23Z</dcterms:created>
  <dcterms:modified xsi:type="dcterms:W3CDTF">2023-08-15T13:55:46Z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